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<sst xmlns="http://schemas.openxmlformats.org/spreadsheetml/2006/main" count="4090" uniqueCount="1065">
  <si>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</si>
  <si>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</si>
  <si>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</si>
  <si>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</si>
  <si>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</si>
  <si>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</si>
  <si>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</si>
  <si>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</si>
  <si>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</si>
  <si>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</si>
  <si>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</si>
  <si>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</si>
  <si>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</si>
  <si>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</si>
  <si>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</si>
  <si>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</si>
  <si>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</si>
  <si>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</si>
  <si>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</si>
  <si>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</si>
  <si>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</si>
  <si>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</si>
  <si>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</si>
  <si>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</si>
  <si>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</si>
  <si>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</si>
  <si>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</si>
  <si>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</si>
  <si>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</si>
  <si>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</si>
  <si>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</si>
  <si>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</si>
  <si>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</si>
  <si>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</si>
  <si>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</si>
  <si>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</si>
  <si>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</si>
  <si>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</si>
  <si>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</si>
  <si>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</si>
  <si>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</si>
  <si>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</si>
  <si>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</si>
  <si>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</si>
  <si>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</si>
  <si>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</si>
  <si>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</si>
  <si>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</si>
  <si>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</si>
  <si>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</si>
  <si>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</si>
  <si>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</si>
  <si>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</si>
  <si>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</si>
  <si>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</si>
  <si>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</si>
  <si>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</si>
  <si>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</si>
  <si>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</si>
  <si>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</si>
  <si>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</si>
  <si>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</si>
  <si>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</si>
  <si>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</si>
  <si>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</si>
  <si>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</si>
  <si>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</si>
  <si>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</si>
  <si>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</si>
  <si>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</si>
  <si>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</si>
  <si>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</si>
  <si>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</si>
  <si>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</si>
  <si>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</si>
  <si>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</si>
  <si>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</si>
  <si>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</si>
  <si>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</si>
  <si>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</si>
  <si>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</si>
  <si>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</si>
  <si>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</si>
  <si>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</si>
  <si>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</si>
  <si>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</si>
  <si>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</si>
  <si>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</si>
  <si>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</si>
  <si>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</si>
  <si>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</si>
  <si>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</si>
  <si>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</si>
  <si>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</si>
  <si>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</si>
  <si>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</si>
  <si>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</si>
  <si>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</si>
  <si>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</si>
  <si>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</si>
  <si>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</si>
  <si>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</si>
  <si>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</si>
  <si>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</si>
  <si>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</si>
  <si>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</si>
  <si>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</si>
  <si>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</si>
  <si>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</si>
  <si>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</si>
  <si>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</si>
  <si>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</si>
  <si>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</si>
  <si>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</si>
  <si>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</si>
  <si>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</si>
  <si>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</si>
  <si>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</si>
  <si>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</si>
  <si>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</si>
  <si>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</si>
  <si>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</si>
  <si>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</si>
  <si>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</si>
  <si>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</si>
  <si>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</si>
  <si>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</si>
  <si>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</si>
  <si>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</si>
  <si>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</si>
  <si>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</si>
  <si>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</si>
  <si>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</si>
  <si>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</si>
  <si>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</si>
  <si>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</si>
  <si>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</si>
  <si>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</si>
  <si>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</si>
  <si>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</si>
  <si>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</si>
  <si>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</si>
  <si>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</si>
  <si>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</si>
  <si>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</si>
  <si>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</si>
  <si>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</si>
  <si>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</si>
  <si>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</si>
  <si>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</si>
  <si>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</si>
  <si>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</si>
  <si>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</si>
  <si>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</si>
  <si>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</si>
  <si>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</si>
  <si>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</si>
  <si>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</si>
  <si>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</si>
  <si>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</si>
  <si>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</si>
  <si>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</si>
  <si>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</si>
  <si>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</si>
  <si>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</si>
  <si>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</si>
  <si>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</si>
  <si>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</si>
  <si>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</si>
  <si>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</si>
  <si>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</si>
  <si>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</si>
  <si>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</si>
  <si>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</si>
  <si>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</si>
  <si>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</si>
  <si>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</si>
  <si>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</si>
  <si>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</si>
  <si>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</si>
  <si>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</si>
  <si>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</si>
  <si>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</si>
  <si>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</si>
  <si>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</si>
  <si>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</si>
  <si>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</si>
  <si>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</si>
  <si>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</si>
  <si>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</si>
  <si>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</si>
  <si>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</si>
  <si>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</si>
  <si>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</si>
  <si>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</si>
  <si>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</si>
  <si>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</si>
  <si>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</si>
  <si>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</si>
  <si>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</si>
  <si>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</si>
  <si>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</si>
  <si>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</si>
  <si>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</si>
  <si>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</si>
  <si>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</si>
  <si>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</si>
  <si>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</si>
  <si>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</si>
  <si>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</si>
  <si>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</si>
  <si>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</si>
  <si>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</si>
  <si>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</si>
  <si>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</si>
  <si>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</si>
  <si>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</si>
  <si>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</si>
  <si>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</si>
  <si>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</si>
  <si>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</si>
  <si>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</si>
  <si>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</si>
  <si>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</si>
  <si>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</si>
  <si>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</si>
  <si>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</si>
  <si>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</si>
  <si>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</si>
  <si>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</si>
  <si>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</si>
  <si>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</si>
  <si>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</si>
  <si>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</si>
  <si>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</si>
  <si>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</si>
  <si>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</si>
  <si>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</si>
  <si>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</si>
  <si>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</si>
  <si>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</si>
  <si>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</si>
  <si>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</si>
  <si>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</si>
  <si>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</si>
  <si>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</si>
  <si>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</si>
  <si>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</si>
  <si>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</si>
  <si>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</si>
  <si>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</si>
  <si>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</si>
  <si>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</si>
  <si>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</si>
  <si>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</si>
  <si>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</si>
  <si>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</si>
  <si>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</si>
  <si>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</si>
  <si>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</si>
  <si>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</si>
  <si>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</si>
  <si>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</si>
  <si>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</si>
  <si>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</si>
  <si>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</si>
  <si>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</si>
  <si>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</si>
  <si>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</si>
  <si>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</si>
  <si>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</si>
  <si>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</si>
  <si>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</si>
  <si>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</si>
  <si>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</si>
  <si>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</si>
  <si>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</si>
  <si>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</si>
  <si>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</si>
  <si>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</si>
  <si>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</si>
  <si>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</si>
  <si>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</si>
  <si>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</si>
  <si>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</si>
  <si>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</si>
  <si>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</si>
  <si>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</si>
  <si>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</si>
  <si>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</si>
  <si>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</si>
  <si>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</si>
  <si>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</si>
  <si>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</si>
  <si>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</si>
  <si>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</si>
  <si>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</si>
  <si>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</si>
  <si>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</si>
  <si>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</si>
  <si>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</si>
  <si>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</si>
  <si>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</si>
  <si>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</si>
  <si>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</si>
  <si>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</si>
  <si>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</si>
  <si>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</si>
  <si>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</si>
  <si>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</si>
  <si>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</si>
  <si>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</si>
  <si>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</si>
  <si>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</si>
  <si>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</si>
  <si>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</si>
  <si>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</si>
  <si>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</si>
  <si>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</si>
  <si>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</si>
  <si>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</si>
  <si>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</si>
  <si>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</si>
  <si>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</si>
  <si>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</si>
  <si>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</si>
  <si>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</si>
  <si>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</si>
  <si>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</si>
  <si>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</si>
  <si>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</si>
  <si>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</si>
  <si>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</si>
  <si>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</si>
  <si>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</si>
  <si>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</si>
  <si>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</si>
  <si>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</si>
  <si>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</si>
  <si>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</si>
  <si>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</si>
  <si>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</si>
  <si>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</si>
  <si>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</si>
  <si>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</si>
  <si>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</si>
  <si>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</si>
  <si>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</si>
  <si>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</si>
  <si>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</si>
  <si>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</si>
  <si>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</si>
  <si>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</si>
  <si>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</si>
  <si>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</si>
  <si>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</si>
  <si>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</si>
  <si>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</si>
  <si>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</si>
  <si>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</si>
  <si>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</si>
  <si>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</si>
  <si>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</si>
  <si>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</si>
  <si>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</si>
  <si>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</si>
  <si>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</si>
  <si>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</si>
  <si>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</si>
  <si>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</si>
  <si>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</si>
  <si>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</si>
  <si>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</si>
  <si>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</si>
  <si>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</si>
  <si>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</si>
  <si>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</si>
  <si>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</si>
  <si>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</si>
  <si>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</si>
  <si>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</si>
  <si>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</si>
  <si>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</si>
  <si>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</si>
  <si>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</si>
  <si>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</si>
  <si>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</si>
  <si>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</si>
  <si>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</si>
  <si>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</si>
  <si>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</si>
  <si>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</si>
  <si>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</si>
  <si>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</si>
  <si>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</si>
  <si>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</si>
  <si>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</si>
  <si>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</si>
  <si>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</si>
  <si>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</si>
  <si>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</si>
  <si>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</si>
  <si>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</si>
  <si>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</si>
  <si>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</si>
  <si>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</si>
  <si>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</si>
  <si>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</si>
  <si>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</si>
  <si>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</si>
  <si>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</si>
  <si>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</si>
  <si>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</si>
  <si>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</si>
  <si>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</si>
  <si>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</si>
  <si>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</si>
  <si>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</si>
  <si>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</si>
  <si>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</si>
  <si>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</si>
  <si>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</si>
  <si>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</si>
  <si>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</si>
  <si>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</si>
  <si>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</si>
  <si>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</si>
  <si>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</si>
  <si>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</si>
  <si>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</si>
  <si>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</si>
  <si>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</si>
  <si>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</si>
  <si>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</si>
  <si>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</si>
  <si>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</si>
  <si>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</si>
  <si>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</si>
  <si>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</si>
  <si>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</si>
  <si>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</si>
  <si>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</si>
  <si>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</si>
  <si>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</si>
  <si>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</si>
  <si>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</si>
  <si>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</si>
  <si>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</si>
  <si>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</si>
  <si>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</si>
  <si>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</si>
  <si>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</si>
  <si>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</si>
  <si>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</si>
  <si>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</si>
  <si>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</si>
  <si>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</si>
  <si>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</si>
  <si>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</si>
  <si>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</si>
  <si>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</si>
  <si>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</si>
  <si>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</si>
  <si>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</si>
  <si>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</si>
  <si>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</si>
  <si>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</si>
  <si>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</si>
  <si>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</si>
  <si>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</si>
  <si>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</si>
  <si>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</si>
  <si>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</si>
  <si>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</si>
  <si>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</si>
  <si>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</si>
  <si>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</si>
  <si>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</si>
  <si>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</si>
  <si>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</si>
  <si>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</si>
  <si>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</si>
  <si>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</si>
  <si>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</si>
  <si>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</si>
  <si>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</si>
  <si>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</si>
  <si>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</si>
  <si>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</si>
  <si>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</si>
  <si>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</si>
  <si>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</si>
  <si>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</si>
  <si>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</si>
  <si>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</si>
  <si>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</si>
  <si>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</si>
  <si>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</si>
  <si>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</si>
  <si>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</si>
  <si>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</si>
  <si>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</si>
  <si>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</si>
  <si>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</si>
  <si>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</si>
  <si>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</si>
  <si>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</si>
  <si>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</si>
  <si>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</si>
  <si>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</si>
  <si>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</si>
  <si>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</si>
  <si>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</si>
  <si>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</si>
  <si>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</si>
  <si>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</si>
  <si>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</si>
  <si>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</si>
  <si>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</si>
  <si>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</si>
  <si>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</si>
  <si>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</si>
  <si>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</si>
  <si>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</si>
  <si>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</si>
  <si>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</si>
  <si>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</si>
  <si>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</si>
  <si>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</si>
  <si>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</si>
  <si>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</si>
  <si>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</si>
  <si>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</si>
  <si>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</si>
  <si>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</si>
  <si>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</si>
  <si>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</si>
  <si>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</si>
  <si>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</si>
  <si>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</si>
  <si>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</si>
  <si>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</si>
  <si>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</si>
  <si>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</si>
  <si>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</si>
  <si>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</si>
  <si>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</si>
  <si>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</si>
  <si>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</si>
  <si>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</si>
  <si>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</si>
  <si>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</si>
  <si>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</si>
  <si>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</si>
  <si>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</si>
  <si>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</si>
  <si>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</si>
  <si>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</si>
  <si>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</si>
  <si>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</si>
  <si>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</si>
  <si>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</si>
  <si>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</si>
  <si>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</si>
  <si>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</si>
  <si>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</si>
  <si>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</si>
  <si>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</si>
  <si>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</si>
  <si>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</si>
  <si>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</si>
  <si>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</si>
  <si>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</si>
  <si>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</si>
  <si>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</si>
  <si>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</si>
  <si>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</si>
  <si>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</si>
  <si>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</si>
  <si>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</si>
  <si>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</si>
  <si>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</si>
  <si>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</si>
  <si>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</si>
  <si>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</si>
  <si>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</si>
  <si>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</si>
  <si>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</si>
  <si>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</si>
  <si>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</si>
  <si>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</si>
  <si>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</si>
  <si>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</si>
  <si>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</si>
  <si>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</si>
  <si>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</si>
  <si>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</si>
  <si>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</si>
  <si>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</si>
  <si>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</si>
  <si>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</si>
  <si>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</si>
  <si>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</si>
  <si>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</si>
  <si>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</si>
  <si>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</si>
  <si>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</si>
  <si>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</si>
  <si>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</si>
  <si>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</si>
  <si>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</si>
  <si>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</si>
  <si>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</si>
  <si>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</si>
  <si>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</si>
  <si>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</si>
  <si>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</si>
  <si>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</si>
  <si>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</si>
  <si>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</si>
  <si>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</si>
  <si>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</si>
  <si>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</si>
  <si>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</si>
  <si>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</si>
  <si>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</si>
  <si>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</si>
  <si>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</si>
  <si>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</si>
  <si>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</si>
  <si>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</si>
  <si>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</si>
  <si>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</si>
  <si>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</si>
  <si>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</si>
  <si>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</si>
  <si>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</si>
  <si>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</si>
  <si>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</si>
  <si>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</si>
  <si>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</si>
  <si>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</si>
  <si>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</si>
  <si>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</si>
  <si>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</si>
  <si>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</si>
  <si>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</si>
  <si>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</si>
  <si>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</si>
  <si>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</si>
  <si>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</si>
  <si>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</si>
  <si>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</si>
  <si>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</si>
  <si>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</si>
  <si>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</si>
  <si>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</si>
  <si>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</si>
  <si>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</si>
  <si>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</si>
  <si>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</si>
  <si>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</si>
  <si>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</si>
  <si>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</si>
  <si>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</si>
  <si>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</si>
  <si>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</si>
  <si>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</si>
  <si>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</si>
  <si>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</si>
  <si>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</si>
  <si>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</si>
  <si>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</si>
  <si>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</si>
  <si>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</si>
  <si>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</si>
  <si>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</si>
  <si>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</si>
  <si>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</si>
  <si>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</si>
  <si>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</si>
  <si>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</si>
  <si>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</si>
  <si>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</si>
  <si>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</si>
  <si>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</si>
  <si>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</si>
  <si>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</si>
  <si>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</si>
  <si>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</si>
  <si>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</si>
  <si>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</si>
  <si>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</si>
  <si>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</si>
  <si>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</si>
  <si>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</si>
  <si>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</si>
  <si>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</si>
  <si>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</si>
  <si>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</si>
  <si>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</si>
  <si>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</si>
  <si>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</si>
  <si>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</si>
  <si>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</si>
  <si>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</si>
  <si>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</si>
  <si>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</si>
  <si>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</si>
  <si>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</si>
  <si>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</si>
  <si>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</si>
  <si>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</si>
  <si>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</si>
  <si>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</si>
  <si>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</si>
  <si>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</si>
  <si>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</si>
  <si>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</si>
  <si>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</si>
  <si>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</si>
  <si>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</si>
  <si>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</si>
  <si>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</si>
  <si>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</si>
  <si>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</si>
  <si>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</si>
  <si>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</si>
  <si>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</si>
  <si>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</si>
  <si>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</si>
  <si>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</si>
  <si>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</si>
  <si>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</si>
  <si>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</si>
  <si>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</si>
  <si>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</si>
  <si>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</si>
  <si>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</si>
  <si>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</si>
  <si>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</si>
  <si>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</si>
  <si>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</si>
  <si>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</si>
  <si>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</si>
  <si>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</si>
  <si>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</si>
  <si>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</si>
  <si>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</si>
  <si>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</si>
  <si>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</si>
  <si>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</si>
  <si>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</si>
  <si>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</si>
  <si>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</si>
  <si>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</si>
  <si>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</si>
  <si>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</si>
  <si>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</si>
  <si>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</si>
  <si>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</si>
  <si>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</si>
  <si>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</si>
  <si>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</si>
  <si>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</si>
  <si>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</si>
  <si>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</si>
  <si>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</si>
  <si>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</si>
  <si>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</si>
  <si>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</si>
  <si>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</si>
  <si>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</si>
  <si>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</si>
  <si>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</si>
  <si>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</si>
  <si>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</si>
  <si>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</si>
  <si>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</si>
  <si>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</si>
  <si>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</si>
  <si>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</si>
  <si>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</si>
  <si>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</si>
  <si>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</si>
  <si>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</si>
  <si>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</si>
  <si>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</si>
  <si>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</si>
  <si>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</si>
  <si>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</si>
  <si>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</si>
  <si>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</si>
  <si>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</si>
  <si>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</si>
  <si>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</si>
  <si>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</si>
  <si>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</si>
  <si>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</si>
  <si>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</si>
  <si>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</si>
  <si>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</si>
  <si>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</si>
  <si>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</si>
  <si>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</si>
  <si>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</si>
  <si>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</si>
  <si>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</si>
  <si>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</si>
  <si>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</si>
  <si>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</si>
  <si>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</si>
  <si>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</si>
  <si>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</si>
  <si>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</si>
  <si>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</si>
  <si>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</si>
  <si>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</si>
  <si>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</si>
  <si>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</si>
  <si>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</si>
  <si>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</si>
  <si>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</si>
  <si>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</si>
  <si>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</si>
  <si>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</si>
  <si>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</si>
  <si>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</si>
  <si>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</si>
  <si>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</si>
  <si>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</si>
  <si>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</si>
  <si>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</si>
  <si>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</si>
  <si>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</si>
  <si>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</si>
  <si>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</si>
  <si>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</si>
  <si>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</si>
  <si>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</si>
  <si>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</si>
  <si>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</si>
  <si>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</si>
  <si>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</si>
  <si>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</si>
  <si>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</si>
  <si>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</si>
  <si>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</si>
  <si>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</si>
  <si>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</si>
  <si>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</si>
  <si>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</si>
  <si>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</si>
  <si>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</si>
  <si>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</si>
  <si>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</si>
  <si>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</si>
  <si>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</si>
  <si>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</si>
  <si>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</si>
  <si>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</si>
  <si>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</si>
  <si>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</si>
  <si>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</si>
  <si>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</si>
  <si>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</si>
  <si>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</si>
  <si>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</si>
  <si>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</si>
  <si>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</si>
  <si>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</si>
  <si>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</si>
  <si>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</si>
  <si>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</si>
  <si>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</si>
  <si>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</si>
  <si>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</si>
  <si>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</si>
  <si>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</si>
  <si>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</si>
  <si>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</si>
  <si>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</si>
  <si>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</si>
  <si>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</si>
  <si>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</si>
  <si>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</si>
  <si>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</si>
  <si>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</si>
  <si>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</si>
  <si>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</si>
  <si>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</si>
  <si>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</si>
  <si>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</si>
  <si>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</si>
  <si>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</si>
  <si>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</si>
  <si>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</si>
  <si>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</si>
  <si>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</si>
  <si>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</si>
  <si>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</si>
  <si>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</si>
  <si>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</si>
  <si>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</si>
  <si>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</si>
  <si>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</si>
  <si>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</si>
  <si>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</si>
  <si>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</si>
  <si>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</si>
  <si>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</si>
  <si>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</si>
  <si>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</si>
  <si>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</si>
  <si>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</si>
  <si>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</si>
  <si>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</si>
  <si>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</si>
  <si>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</si>
  <si>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</si>
  <si>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</si>
  <si>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</si>
  <si>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</si>
  <si>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</si>
  <si>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</si>
  <si>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</si>
  <si>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</si>
  <si>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</si>
  <si>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</si>
  <si>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</si>
  <si>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</si>
  <si>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</si>
  <si>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</si>
  <si>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</si>
  <si>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</si>
  <si>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</si>
  <si>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</si>
  <si>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</si>
  <si>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</si>
  <si>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</si>
  <si>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</si>
  <si>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</si>
  <si>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</si>
  <si>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</si>
  <si>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</si>
  <si>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</si>
  <si>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</si>
  <si>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</si>
  <si>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</si>
  <si>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</si>
  <si>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</si>
  <si>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</si>
  <si>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</si>
  <si>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</si>
  <si>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</si>
  <si>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</si>
  <si>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</si>
  <si>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</si>
  <si>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</si>
  <si>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</si>
  <si>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</si>
  <si>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</si>
  <si>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</si>
  <si>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</si>
  <si>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</si>
  <si>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</si>
  <si>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</si>
  <si>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</si>
  <si>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</si>
  <si>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</si>
  <si>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</si>
  <si>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</si>
  <si>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</si>
  <si>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</si>
  <si>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</si>
  <si>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</si>
  <si>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</si>
  <si>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</si>
  <si>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</si>
  <si>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</si>
  <si>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</si>
  <si>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</si>
  <si>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</si>
  <si>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</si>
  <si>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</si>
  <si>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</si>
  <si>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</si>
  <si>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</si>
  <si>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</si>
  <si>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</si>
  <si>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</si>
  <si>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</si>
  <si>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</si>
  <si>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</si>
  <si>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</si>
  <si>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</si>
  <si>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</si>
  <si>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</si>
  <si>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</si>
  <si>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</si>
  <si>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</si>
  <si>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</si>
  <si>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</si>
  <si>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</si>
  <si>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</si>
  <si>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</si>
  <si>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</si>
  <si>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</si>
  <si>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</si>
  <si>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</si>
  <si>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</si>
  <si>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</si>
  <si>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</si>
  <si>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</si>
  <si>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</si>
  <si>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</si>
  <si>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</si>
  <si>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</si>
  <si>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</si>
  <si>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</si>
  <si>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</si>
  <si>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</si>
  <si>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</si>
  <si>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</si>
  <si>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</si>
  <si>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</si>
  <si>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</si>
  <si>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</si>
  <si>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</si>
  <si>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</si>
  <si>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</si>
  <si>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</si>
  <si>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</si>
  <si>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</si>
  <si>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</si>
  <si>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</si>
  <si>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</si>
  <si>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</si>
  <si>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</si>
  <si>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</si>
  <si>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</si>
  <si>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</si>
  <si>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</si>
  <si>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</si>
  <si>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</si>
  <si>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</si>
  <si>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</si>
  <si>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</si>
  <si>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</si>
  <si>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</si>
  <si>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</si>
  <si>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</si>
  <si>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</si>
  <si>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</si>
  <si>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</si>
  <si>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</si>
  <si>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</si>
  <si>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</si>
  <si>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</si>
  <si>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</si>
  <si>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</si>
  <si>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</si>
  <si>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</si>
  <si>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Current Pending on 02/20/2016</t>
  </si>
  <si>
    <t>Prior Pending on 02/13/2016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</si>
</sst>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1050</v>
      </c>
      <c r="C2" t="s">
        <v>503</v>
      </c>
      <c r="D2" t="s">
        <v>919</v>
      </c>
      <c r="E2" t="s">
        <v>920</v>
      </c>
      <c r="F2" t="s">
        <v>921</v>
      </c>
      <c r="G2" t="s">
        <v>922</v>
      </c>
      <c r="H2" t="s">
        <v>924</v>
      </c>
      <c r="I2" t="s">
        <v>1044</v>
      </c>
      <c r="J2" t="s">
        <v>925</v>
      </c>
      <c r="K2" t="s">
        <v>926</v>
      </c>
      <c r="L2" t="s">
        <v>923</v>
      </c>
      <c r="M2" t="s">
        <v>928</v>
      </c>
      <c r="N2" t="s">
        <v>929</v>
      </c>
      <c r="O2" t="s">
        <v>930</v>
      </c>
      <c r="P2" t="s">
        <v>931</v>
      </c>
    </row>
    <row r="3" spans="2:16" x14ac:dyDescent="0.2">
      <c r="B3" t="s">
        <v>587</v>
      </c>
      <c r="C3" t="s">
        <v>405</v>
      </c>
      <c r="D3" s="18">
        <v>42402.792557870373</v>
      </c>
      <c r="E3" t="s">
        <v>163</v>
      </c>
      <c r="F3" s="19">
        <v>0.99021257719037603</v>
      </c>
      <c r="G3" s="19">
        <v>0.98229750382068259</v>
      </c>
      <c r="H3" s="19">
        <v>0.92386557307200678</v>
      </c>
      <c r="I3" s="19">
        <v>4.4702571638478329E-2</v>
      </c>
      <c r="J3" s="19">
        <v>0.90872643939115538</v>
      </c>
      <c r="K3" s="19">
        <v>4.9032565706370053E-2</v>
      </c>
      <c r="L3" s="19"/>
      <c r="M3" s="19"/>
      <c r="N3" s="19"/>
      <c r="O3" s="19"/>
      <c r="P3" s="19"/>
    </row>
    <row r="4" spans="2:16" x14ac:dyDescent="0.2">
      <c r="B4" t="s">
        <v>646</v>
      </c>
      <c r="C4" t="s">
        <v>405</v>
      </c>
      <c r="D4" s="18">
        <v>42402.792557870373</v>
      </c>
      <c r="E4" t="s">
        <v>188</v>
      </c>
      <c r="F4" s="19">
        <v>0.98909882056567033</v>
      </c>
      <c r="G4" s="19">
        <v>0.96676514032496319</v>
      </c>
      <c r="H4" s="19">
        <v>0.8929422000597349</v>
      </c>
      <c r="I4" s="19">
        <v>4.4598008524262482E-2</v>
      </c>
      <c r="J4" s="19">
        <v>0.94163413191363499</v>
      </c>
      <c r="K4" s="19">
        <v>4.3932684132348569E-2</v>
      </c>
      <c r="L4" s="19"/>
      <c r="M4" s="19"/>
      <c r="N4" s="19"/>
      <c r="O4" s="19"/>
      <c r="P4" s="19"/>
    </row>
    <row r="5" spans="2:16" x14ac:dyDescent="0.2">
      <c r="B5" t="s">
        <v>540</v>
      </c>
      <c r="C5" t="s">
        <v>381</v>
      </c>
      <c r="D5" s="18">
        <v>42402.792557870373</v>
      </c>
      <c r="E5" t="s">
        <v>145</v>
      </c>
      <c r="F5" s="19">
        <v>0.94457178007158704</v>
      </c>
      <c r="G5" s="19">
        <v>0.85597397425354405</v>
      </c>
      <c r="H5" s="19">
        <v>0.88032852600260514</v>
      </c>
      <c r="I5" s="19">
        <v>4.8600403971410841E-2</v>
      </c>
      <c r="J5" s="19">
        <v>0.86614596291708057</v>
      </c>
      <c r="K5" s="19">
        <v>5.0205853138540278E-2</v>
      </c>
      <c r="L5" s="19"/>
      <c r="M5" s="19"/>
      <c r="N5" s="19"/>
      <c r="O5" s="19"/>
      <c r="P5" s="19"/>
    </row>
    <row r="6" spans="2:16" x14ac:dyDescent="0.2">
      <c r="B6" t="s">
        <v>534</v>
      </c>
      <c r="C6" t="s">
        <v>370</v>
      </c>
      <c r="D6" s="18">
        <v>42402.792557870373</v>
      </c>
      <c r="E6" t="s">
        <v>143</v>
      </c>
      <c r="F6" s="19">
        <v>0.9522162611490943</v>
      </c>
      <c r="G6" s="19">
        <v>0.82786855283839611</v>
      </c>
      <c r="H6" s="19">
        <v>0.842203026026212</v>
      </c>
      <c r="I6" s="19">
        <v>4.38819383870198E-2</v>
      </c>
      <c r="J6" s="19">
        <v>0.89718885478540555</v>
      </c>
      <c r="K6" s="19">
        <v>4.6466325855455043E-2</v>
      </c>
      <c r="L6" s="19"/>
      <c r="M6" s="19"/>
      <c r="N6" s="19"/>
      <c r="O6" s="19"/>
      <c r="P6" s="19"/>
    </row>
    <row r="7" spans="2:16" x14ac:dyDescent="0.2">
      <c r="B7" t="s">
        <v>602</v>
      </c>
      <c r="C7" t="s">
        <v>405</v>
      </c>
      <c r="D7" s="18">
        <v>42402.792557870373</v>
      </c>
      <c r="E7" t="s">
        <v>169</v>
      </c>
      <c r="F7" s="19">
        <v>0.99026854282351851</v>
      </c>
      <c r="G7" s="19">
        <v>0.9609375</v>
      </c>
      <c r="H7" s="19">
        <v>0.94417611647767041</v>
      </c>
      <c r="I7" s="19">
        <v>4.5377108513082194E-2</v>
      </c>
      <c r="J7" s="19">
        <v>0.96052981361169898</v>
      </c>
      <c r="K7" s="19">
        <v>2.9626253054451154E-2</v>
      </c>
      <c r="L7" s="19"/>
      <c r="M7" s="19"/>
      <c r="N7" s="19"/>
      <c r="O7" s="19"/>
      <c r="P7" s="19"/>
    </row>
    <row r="8" spans="2:16" x14ac:dyDescent="0.2">
      <c r="B8" t="s">
        <v>513</v>
      </c>
      <c r="C8" t="s">
        <v>370</v>
      </c>
      <c r="D8" s="18">
        <v>42402.792557870373</v>
      </c>
      <c r="E8" t="s">
        <v>136</v>
      </c>
      <c r="F8" s="19">
        <v>0.92003092401083031</v>
      </c>
      <c r="G8" s="19">
        <v>0.82912793271359009</v>
      </c>
      <c r="H8" s="19">
        <v>0.8224097713256715</v>
      </c>
      <c r="I8" s="19">
        <v>5.8539885663012187E-2</v>
      </c>
      <c r="J8" s="19">
        <v>0.91285424560278361</v>
      </c>
      <c r="K8" s="19">
        <v>5.6891988498294598E-2</v>
      </c>
      <c r="L8" s="19"/>
      <c r="M8" s="19"/>
      <c r="N8" s="19"/>
      <c r="O8" s="19"/>
      <c r="P8" s="19"/>
    </row>
    <row r="9" spans="2:16" x14ac:dyDescent="0.2">
      <c r="B9" t="s">
        <v>521</v>
      </c>
      <c r="C9" t="s">
        <v>370</v>
      </c>
      <c r="D9" s="18">
        <v>42402.792557870373</v>
      </c>
      <c r="E9" t="s">
        <v>139</v>
      </c>
      <c r="F9" s="19">
        <v>0.94734487088812225</v>
      </c>
      <c r="G9" s="19">
        <v>0.91250149826201588</v>
      </c>
      <c r="H9" s="19">
        <v>0.88085529288821096</v>
      </c>
      <c r="I9" s="19">
        <v>5.1265236134882243E-2</v>
      </c>
      <c r="J9" s="19">
        <v>0.87298312137742362</v>
      </c>
      <c r="K9" s="19">
        <v>4.8714812917729021E-2</v>
      </c>
      <c r="L9" s="19"/>
      <c r="M9" s="19"/>
      <c r="N9" s="19"/>
      <c r="O9" s="19"/>
      <c r="P9" s="19"/>
    </row>
    <row r="10" spans="2:16" x14ac:dyDescent="0.2">
      <c r="B10" t="s">
        <v>638</v>
      </c>
      <c r="C10" t="s">
        <v>386</v>
      </c>
      <c r="D10" s="18">
        <v>42402.792557870373</v>
      </c>
      <c r="E10" t="s">
        <v>674</v>
      </c>
      <c r="F10" s="19">
        <v>0.95627859234941748</v>
      </c>
      <c r="G10" s="19">
        <v>0.91538461538461535</v>
      </c>
      <c r="H10" s="19">
        <v>0.87379115915701289</v>
      </c>
      <c r="I10" s="19">
        <v>5.4125456874918425E-2</v>
      </c>
      <c r="J10" s="19">
        <v>0.88011518781566589</v>
      </c>
      <c r="K10" s="19">
        <v>5.7671836319839895E-2</v>
      </c>
      <c r="L10" s="19"/>
      <c r="M10" s="19"/>
      <c r="N10" s="19"/>
      <c r="O10" s="19"/>
      <c r="P10" s="19"/>
    </row>
    <row r="11" spans="2:16" x14ac:dyDescent="0.2">
      <c r="B11" t="s">
        <v>568</v>
      </c>
      <c r="C11" t="s">
        <v>391</v>
      </c>
      <c r="D11" s="18">
        <v>42402.792557870373</v>
      </c>
      <c r="E11" t="s">
        <v>155</v>
      </c>
      <c r="F11" s="19">
        <v>0.92786852923383256</v>
      </c>
      <c r="G11" s="19">
        <v>0.83343613435892483</v>
      </c>
      <c r="H11" s="19">
        <v>0.89533340032093134</v>
      </c>
      <c r="I11" s="19">
        <v>4.5621680266297912E-2</v>
      </c>
      <c r="J11" s="19">
        <v>0.87116229207732476</v>
      </c>
      <c r="K11" s="19">
        <v>4.9192003057344211E-2</v>
      </c>
      <c r="L11" s="252"/>
      <c r="M11" s="252"/>
      <c r="N11" s="252"/>
      <c r="O11" s="252"/>
      <c r="P11" s="252"/>
    </row>
    <row r="12" spans="2:16" x14ac:dyDescent="0.2">
      <c r="B12" t="s">
        <v>560</v>
      </c>
      <c r="C12" t="s">
        <v>391</v>
      </c>
      <c r="D12" s="18">
        <v>42402.792557870373</v>
      </c>
      <c r="E12" t="s">
        <v>152</v>
      </c>
      <c r="F12" s="19">
        <v>0.98130619800575092</v>
      </c>
      <c r="G12" s="19">
        <v>0.90968935883532154</v>
      </c>
      <c r="H12" s="19">
        <v>0.92193247716030458</v>
      </c>
      <c r="I12" s="19">
        <v>4.1420701289907241E-2</v>
      </c>
      <c r="J12" s="19">
        <v>0.86279036764797001</v>
      </c>
      <c r="K12" s="19">
        <v>5.9175225691739969E-2</v>
      </c>
      <c r="L12" s="19"/>
      <c r="M12" s="19"/>
      <c r="N12" s="19"/>
      <c r="O12" s="19"/>
      <c r="P12" s="19"/>
    </row>
    <row r="13" spans="2:16" x14ac:dyDescent="0.2">
      <c r="B13" t="s">
        <v>548</v>
      </c>
      <c r="C13" t="s">
        <v>381</v>
      </c>
      <c r="D13" s="18">
        <v>42402.792557870373</v>
      </c>
      <c r="E13" t="s">
        <v>148</v>
      </c>
      <c r="F13" s="19">
        <v>0.9742299327494397</v>
      </c>
      <c r="G13" s="19">
        <v>0.91804427898134577</v>
      </c>
      <c r="H13" s="19">
        <v>0.94060298179653867</v>
      </c>
      <c r="I13" s="19">
        <v>4.6325147759908279E-2</v>
      </c>
      <c r="J13" s="19">
        <v>0.90254791306439397</v>
      </c>
      <c r="K13" s="19">
        <v>5.7514173835959283E-2</v>
      </c>
      <c r="L13" s="19"/>
      <c r="M13" s="19"/>
      <c r="N13" s="19"/>
      <c r="O13" s="19"/>
      <c r="P13" s="19"/>
    </row>
    <row r="14" spans="2:16" x14ac:dyDescent="0.2">
      <c r="B14" t="s">
        <v>386</v>
      </c>
      <c r="C14" t="s">
        <v>386</v>
      </c>
      <c r="D14" s="18">
        <v>42402.792557870373</v>
      </c>
      <c r="E14" t="s">
        <v>665</v>
      </c>
      <c r="F14" s="19">
        <v>0.96385830894499491</v>
      </c>
      <c r="G14" s="19">
        <v>0.89832405666373194</v>
      </c>
      <c r="H14" s="19">
        <v>0.90693090678591337</v>
      </c>
      <c r="I14" s="19">
        <v>1.6899784172818285E-2</v>
      </c>
      <c r="J14" s="19">
        <v>0.92669655812967577</v>
      </c>
      <c r="K14" s="19">
        <v>1.6435234493496723E-2</v>
      </c>
      <c r="L14" s="19"/>
      <c r="M14" s="19"/>
      <c r="N14" s="19"/>
      <c r="O14" s="19"/>
      <c r="P14" s="19"/>
    </row>
    <row r="15" spans="2:16" x14ac:dyDescent="0.2">
      <c r="B15" t="s">
        <v>585</v>
      </c>
      <c r="C15" t="s">
        <v>386</v>
      </c>
      <c r="D15" s="18">
        <v>42402.792557870373</v>
      </c>
      <c r="E15" t="s">
        <v>162</v>
      </c>
      <c r="F15" s="19">
        <v>0.99358005638977287</v>
      </c>
      <c r="G15" s="19">
        <v>0.96201901813356927</v>
      </c>
      <c r="H15" s="19">
        <v>0.9303037937613321</v>
      </c>
      <c r="I15" s="19">
        <v>4.0995542416165168E-2</v>
      </c>
      <c r="J15" s="19">
        <v>0.89831627321759144</v>
      </c>
      <c r="K15" s="19">
        <v>4.8364845836913875E-2</v>
      </c>
      <c r="L15" s="19"/>
      <c r="M15" s="19"/>
      <c r="N15" s="19"/>
      <c r="O15" s="19"/>
      <c r="P15" s="19"/>
    </row>
    <row r="16" spans="2:16" x14ac:dyDescent="0.2">
      <c r="B16" t="s">
        <v>577</v>
      </c>
      <c r="C16" t="s">
        <v>391</v>
      </c>
      <c r="D16" s="18">
        <v>42402.792557870373</v>
      </c>
      <c r="E16" t="s">
        <v>159</v>
      </c>
      <c r="F16" s="19">
        <v>0.92810210956899997</v>
      </c>
      <c r="G16" s="19">
        <v>0.91901779500944425</v>
      </c>
      <c r="H16" s="19">
        <v>0.97493066328209455</v>
      </c>
      <c r="I16" s="19">
        <v>2.7563920207492387E-2</v>
      </c>
      <c r="J16" s="19">
        <v>0.97754531193891614</v>
      </c>
      <c r="K16" s="19">
        <v>2.2121885807232147E-2</v>
      </c>
      <c r="L16" s="252"/>
      <c r="M16" s="252"/>
      <c r="N16" s="252"/>
      <c r="O16" s="252"/>
      <c r="P16" s="252"/>
    </row>
    <row r="17" spans="2:16" x14ac:dyDescent="0.2">
      <c r="B17" t="s">
        <v>570</v>
      </c>
      <c r="C17" t="s">
        <v>391</v>
      </c>
      <c r="D17" s="18">
        <v>42402.792557870373</v>
      </c>
      <c r="E17" t="s">
        <v>156</v>
      </c>
      <c r="F17" s="19">
        <v>0.96092343745443665</v>
      </c>
      <c r="G17" s="19">
        <v>0.93576303239598746</v>
      </c>
      <c r="H17" s="19">
        <v>0.90173179529156078</v>
      </c>
      <c r="I17" s="19">
        <v>4.4586971947892164E-2</v>
      </c>
      <c r="J17" s="19">
        <v>0.90434008944486888</v>
      </c>
      <c r="K17" s="19">
        <v>4.8270521665829375E-2</v>
      </c>
      <c r="L17" s="19"/>
      <c r="M17" s="19"/>
      <c r="N17" s="19"/>
      <c r="O17" s="19"/>
      <c r="P17" s="19"/>
    </row>
    <row r="18" spans="2:16" x14ac:dyDescent="0.2">
      <c r="B18" t="s">
        <v>634</v>
      </c>
      <c r="C18" t="s">
        <v>391</v>
      </c>
      <c r="D18" s="18">
        <v>42402.792557870373</v>
      </c>
      <c r="E18" t="s">
        <v>183</v>
      </c>
      <c r="F18" s="19">
        <v>0.91959858177129838</v>
      </c>
      <c r="G18" s="19">
        <v>0.88588474232038583</v>
      </c>
      <c r="H18" s="19">
        <v>0.93298881157047342</v>
      </c>
      <c r="I18" s="19">
        <v>4.1028432257753093E-2</v>
      </c>
      <c r="J18" s="19">
        <v>0.96429435512764439</v>
      </c>
      <c r="K18" s="19">
        <v>3.1242122640087331E-2</v>
      </c>
      <c r="L18" s="19"/>
      <c r="M18" s="19"/>
      <c r="N18" s="19"/>
      <c r="O18" s="19"/>
      <c r="P18" s="19"/>
    </row>
    <row r="19" spans="2:16" x14ac:dyDescent="0.2">
      <c r="B19" t="s">
        <v>632</v>
      </c>
      <c r="C19" t="s">
        <v>386</v>
      </c>
      <c r="D19" s="18">
        <v>42402.792557870373</v>
      </c>
      <c r="E19" t="s">
        <v>182</v>
      </c>
      <c r="F19" s="19">
        <v>1</v>
      </c>
      <c r="G19" s="19">
        <v>1</v>
      </c>
      <c r="H19" s="19">
        <v>0.95049704259655077</v>
      </c>
      <c r="I19" s="19">
        <v>3.8901834799351533E-2</v>
      </c>
      <c r="J19" s="19">
        <v>0.95833722493455042</v>
      </c>
      <c r="K19" s="19">
        <v>3.182887260554651E-2</v>
      </c>
      <c r="L19" s="19"/>
      <c r="M19" s="19"/>
      <c r="N19" s="19"/>
      <c r="O19" s="19"/>
      <c r="P19" s="19"/>
    </row>
    <row r="20" spans="2:16" x14ac:dyDescent="0.2">
      <c r="B20" t="s">
        <v>523</v>
      </c>
      <c r="C20" t="s">
        <v>370</v>
      </c>
      <c r="D20" s="18">
        <v>42402.792557870373</v>
      </c>
      <c r="E20" t="s">
        <v>140</v>
      </c>
      <c r="F20" s="19">
        <v>0.98993004258277562</v>
      </c>
      <c r="G20" s="19">
        <v>0.98201187565490722</v>
      </c>
      <c r="H20" s="19">
        <v>0.91856880779742667</v>
      </c>
      <c r="I20" s="19">
        <v>4.4166390999585019E-2</v>
      </c>
      <c r="J20" s="19">
        <v>0.97189620044649627</v>
      </c>
      <c r="K20" s="19">
        <v>2.8646577881709233E-2</v>
      </c>
      <c r="L20" s="19"/>
      <c r="M20" s="19"/>
      <c r="N20" s="19"/>
      <c r="O20" s="19"/>
      <c r="P20" s="19"/>
    </row>
    <row r="21" spans="2:16" x14ac:dyDescent="0.2">
      <c r="B21" t="s">
        <v>642</v>
      </c>
      <c r="C21" t="s">
        <v>405</v>
      </c>
      <c r="D21" s="18">
        <v>42402.792557870373</v>
      </c>
      <c r="E21" t="s">
        <v>186</v>
      </c>
      <c r="F21" s="19">
        <v>0.9495042068983468</v>
      </c>
      <c r="G21" s="19">
        <v>0.91495578016424506</v>
      </c>
      <c r="H21" s="19">
        <v>0.88919333979954762</v>
      </c>
      <c r="I21" s="19">
        <v>4.591444878848968E-2</v>
      </c>
      <c r="J21" s="19">
        <v>0.96366085459851836</v>
      </c>
      <c r="K21" s="19">
        <v>2.9708351548735051E-2</v>
      </c>
      <c r="L21" s="19"/>
      <c r="M21" s="19"/>
      <c r="N21" s="19"/>
      <c r="O21" s="19"/>
      <c r="P21" s="19"/>
    </row>
    <row r="22" spans="2:16" x14ac:dyDescent="0.2">
      <c r="B22" t="s">
        <v>620</v>
      </c>
      <c r="C22" t="s">
        <v>386</v>
      </c>
      <c r="D22" s="18">
        <v>42402.792557870373</v>
      </c>
      <c r="E22" t="s">
        <v>177</v>
      </c>
      <c r="F22" s="19">
        <v>0.93263306936421397</v>
      </c>
      <c r="G22" s="19">
        <v>0.76488137561623049</v>
      </c>
      <c r="H22" s="19">
        <v>0.85649054881211739</v>
      </c>
      <c r="I22" s="19">
        <v>4.7083109080858637E-2</v>
      </c>
      <c r="J22" s="19">
        <v>0.897273540950976</v>
      </c>
      <c r="K22" s="19">
        <v>4.7670647730583153E-2</v>
      </c>
      <c r="L22" s="19"/>
      <c r="M22" s="19"/>
      <c r="N22" s="19"/>
      <c r="O22" s="19"/>
      <c r="P22" s="19"/>
    </row>
    <row r="23" spans="2:16" x14ac:dyDescent="0.2">
      <c r="B23" t="s">
        <v>538</v>
      </c>
      <c r="C23" t="s">
        <v>370</v>
      </c>
      <c r="D23" s="18">
        <v>42402.792557870373</v>
      </c>
      <c r="E23" t="s">
        <v>144</v>
      </c>
      <c r="F23" s="19">
        <v>0.95520986394348695</v>
      </c>
      <c r="G23" s="19">
        <v>0.8990246406570841</v>
      </c>
      <c r="H23" s="19">
        <v>0.89846693280810053</v>
      </c>
      <c r="I23" s="19">
        <v>4.4677437236061268E-2</v>
      </c>
      <c r="J23" s="19">
        <v>0.8798455168020386</v>
      </c>
      <c r="K23" s="19">
        <v>5.406313262750892E-2</v>
      </c>
      <c r="L23" s="19"/>
      <c r="M23" s="19"/>
      <c r="N23" s="19"/>
      <c r="O23" s="19"/>
      <c r="P23" s="19"/>
    </row>
    <row r="24" spans="2:16" x14ac:dyDescent="0.2">
      <c r="B24" t="s">
        <v>562</v>
      </c>
      <c r="C24" t="s">
        <v>391</v>
      </c>
      <c r="D24" s="18">
        <v>42402.792557870373</v>
      </c>
      <c r="E24" t="s">
        <v>153</v>
      </c>
      <c r="F24" s="19">
        <v>0.96955401407551856</v>
      </c>
      <c r="G24" s="19">
        <v>0.93647607461476068</v>
      </c>
      <c r="H24" s="19">
        <v>0.91864561176467907</v>
      </c>
      <c r="I24" s="19">
        <v>4.5358079478069226E-2</v>
      </c>
      <c r="J24" s="19">
        <v>0.94995618077013422</v>
      </c>
      <c r="K24" s="19">
        <v>3.176495137067107E-2</v>
      </c>
      <c r="L24" s="19"/>
      <c r="M24" s="19"/>
      <c r="N24" s="19"/>
      <c r="O24" s="19"/>
      <c r="P24" s="19"/>
    </row>
    <row r="25" spans="2:16" x14ac:dyDescent="0.2">
      <c r="B25" t="s">
        <v>556</v>
      </c>
      <c r="C25" t="s">
        <v>386</v>
      </c>
      <c r="D25" s="18">
        <v>42402.792557870373</v>
      </c>
      <c r="E25" t="s">
        <v>151</v>
      </c>
      <c r="F25" s="19">
        <v>0.93464424154020975</v>
      </c>
      <c r="G25" s="19">
        <v>0.85293821931288238</v>
      </c>
      <c r="H25" s="19">
        <v>0.90171597660623126</v>
      </c>
      <c r="I25" s="19">
        <v>4.1754556805369984E-2</v>
      </c>
      <c r="J25" s="19">
        <v>0.88765514428503201</v>
      </c>
      <c r="K25" s="19">
        <v>5.2662266913355536E-2</v>
      </c>
      <c r="L25" s="19"/>
      <c r="M25" s="19"/>
      <c r="N25" s="19"/>
      <c r="O25" s="19"/>
      <c r="P25" s="19"/>
    </row>
    <row r="26" spans="2:16" x14ac:dyDescent="0.2">
      <c r="B26" t="s">
        <v>579</v>
      </c>
      <c r="C26" t="s">
        <v>391</v>
      </c>
      <c r="D26" s="18">
        <v>42402.792557870373</v>
      </c>
      <c r="E26" t="s">
        <v>160</v>
      </c>
      <c r="F26" s="19">
        <v>0.94408368475064464</v>
      </c>
      <c r="G26" s="19">
        <v>0.82149858561936728</v>
      </c>
      <c r="H26" s="19">
        <v>0.94280739099584399</v>
      </c>
      <c r="I26" s="19">
        <v>4.0941982349522732E-2</v>
      </c>
      <c r="J26" s="19">
        <v>0.98282962681366026</v>
      </c>
      <c r="K26" s="19">
        <v>2.0997937551773944E-2</v>
      </c>
      <c r="L26" s="19"/>
      <c r="M26" s="19"/>
      <c r="N26" s="19"/>
      <c r="O26" s="19"/>
      <c r="P26" s="19"/>
    </row>
    <row r="27" spans="2:16" x14ac:dyDescent="0.2">
      <c r="B27" t="s">
        <v>608</v>
      </c>
      <c r="C27" t="s">
        <v>386</v>
      </c>
      <c r="D27" s="18">
        <v>42402.792557870373</v>
      </c>
      <c r="E27" t="s">
        <v>172</v>
      </c>
      <c r="F27" s="19">
        <v>0.93944228355647597</v>
      </c>
      <c r="G27" s="19">
        <v>0.84470554105018858</v>
      </c>
      <c r="H27" s="19">
        <v>0.89016887853807003</v>
      </c>
      <c r="I27" s="19">
        <v>5.2218716912599064E-2</v>
      </c>
      <c r="J27" s="19">
        <v>0.93720768377588071</v>
      </c>
      <c r="K27" s="19">
        <v>4.298039800169505E-2</v>
      </c>
      <c r="L27" s="19"/>
      <c r="M27" s="19"/>
      <c r="N27" s="19"/>
      <c r="O27" s="19"/>
      <c r="P27" s="19"/>
    </row>
    <row r="28" spans="2:16" x14ac:dyDescent="0.2">
      <c r="B28" t="s">
        <v>594</v>
      </c>
      <c r="C28" t="s">
        <v>405</v>
      </c>
      <c r="D28" s="18">
        <v>42402.792557870373</v>
      </c>
      <c r="E28" t="s">
        <v>166</v>
      </c>
      <c r="F28" s="19">
        <v>0.89326907729976479</v>
      </c>
      <c r="G28" s="19">
        <v>0.8751943024541895</v>
      </c>
      <c r="H28" s="19">
        <v>0.87883883632687643</v>
      </c>
      <c r="I28" s="19">
        <v>4.6543643046770174E-2</v>
      </c>
      <c r="J28" s="19">
        <v>0.89139772142951879</v>
      </c>
      <c r="K28" s="19">
        <v>4.9515158506126582E-2</v>
      </c>
      <c r="L28" s="19"/>
      <c r="M28" s="19"/>
      <c r="N28" s="19"/>
      <c r="O28" s="19"/>
      <c r="P28" s="19"/>
    </row>
    <row r="29" spans="2:16" x14ac:dyDescent="0.2">
      <c r="B29" t="s">
        <v>564</v>
      </c>
      <c r="C29" t="s">
        <v>381</v>
      </c>
      <c r="D29" s="18">
        <v>42402.792557870373</v>
      </c>
      <c r="E29" t="s">
        <v>154</v>
      </c>
      <c r="F29" s="19">
        <v>0.97932943894426017</v>
      </c>
      <c r="G29" s="19">
        <v>0.9162293545417235</v>
      </c>
      <c r="H29" s="19">
        <v>0.91881713362202855</v>
      </c>
      <c r="I29" s="19">
        <v>4.4440201418607189E-2</v>
      </c>
      <c r="J29" s="19">
        <v>0.90707189397400168</v>
      </c>
      <c r="K29" s="19">
        <v>4.6703027555203253E-2</v>
      </c>
      <c r="L29" s="19"/>
      <c r="M29" s="19"/>
      <c r="N29" s="19"/>
      <c r="O29" s="19"/>
      <c r="P29" s="19"/>
    </row>
    <row r="30" spans="2:16" x14ac:dyDescent="0.2">
      <c r="B30" t="s">
        <v>623</v>
      </c>
      <c r="C30" t="s">
        <v>370</v>
      </c>
      <c r="D30" s="18">
        <v>42402.792557870373</v>
      </c>
      <c r="E30" t="s">
        <v>178</v>
      </c>
      <c r="F30" s="19">
        <v>0.9225344833944219</v>
      </c>
      <c r="G30" s="19">
        <v>0.87495107632093938</v>
      </c>
      <c r="H30" s="19">
        <v>0.91155899939943086</v>
      </c>
      <c r="I30" s="19">
        <v>4.248226071937445E-2</v>
      </c>
      <c r="J30" s="19">
        <v>0.90746375865221363</v>
      </c>
      <c r="K30" s="19">
        <v>4.8376078880169475E-2</v>
      </c>
      <c r="L30" s="19"/>
      <c r="M30" s="19"/>
      <c r="N30" s="19"/>
      <c r="O30" s="19"/>
      <c r="P30" s="19"/>
    </row>
    <row r="31" spans="2:16" x14ac:dyDescent="0.2">
      <c r="B31" t="s">
        <v>616</v>
      </c>
      <c r="C31" t="s">
        <v>405</v>
      </c>
      <c r="D31" s="18">
        <v>42402.792557870373</v>
      </c>
      <c r="E31" t="s">
        <v>176</v>
      </c>
      <c r="F31" s="19">
        <v>0.93786895456104569</v>
      </c>
      <c r="G31" s="19">
        <v>0.85092421441774491</v>
      </c>
      <c r="H31" s="19">
        <v>0.92198482494131651</v>
      </c>
      <c r="I31" s="19">
        <v>4.6643039070142792E-2</v>
      </c>
      <c r="J31" s="19">
        <v>0.97874008221011366</v>
      </c>
      <c r="K31" s="19">
        <v>2.2704340495750017E-2</v>
      </c>
      <c r="L31" s="19"/>
      <c r="M31" s="19"/>
      <c r="N31" s="19"/>
      <c r="O31" s="19"/>
      <c r="P31" s="19"/>
    </row>
    <row r="32" spans="2:16" x14ac:dyDescent="0.2">
      <c r="B32" t="s">
        <v>391</v>
      </c>
      <c r="C32" t="s">
        <v>391</v>
      </c>
      <c r="D32" s="18">
        <v>42402.792557870373</v>
      </c>
      <c r="E32" t="s">
        <v>664</v>
      </c>
      <c r="F32" s="19">
        <v>0.96069504266336359</v>
      </c>
      <c r="G32" s="19">
        <v>0.91998299165750519</v>
      </c>
      <c r="H32" s="19">
        <v>0.93274408586577651</v>
      </c>
      <c r="I32" s="19">
        <v>1.2962535302318515E-2</v>
      </c>
      <c r="J32" s="19">
        <v>0.90450873283650812</v>
      </c>
      <c r="K32" s="19">
        <v>2.0217744940316251E-2</v>
      </c>
      <c r="L32" s="19"/>
      <c r="M32" s="19"/>
      <c r="N32" s="19"/>
      <c r="O32" s="19"/>
      <c r="P32" s="19"/>
    </row>
    <row r="33" spans="2:16" x14ac:dyDescent="0.2">
      <c r="B33" t="s">
        <v>209</v>
      </c>
      <c r="C33" t="s">
        <v>391</v>
      </c>
      <c r="D33" s="18">
        <v>42402.792557870373</v>
      </c>
      <c r="E33" t="s">
        <v>157</v>
      </c>
      <c r="F33" s="19">
        <v>1</v>
      </c>
      <c r="G33" s="19">
        <v>1</v>
      </c>
      <c r="H33" s="19">
        <v>0.97024033102774343</v>
      </c>
      <c r="I33" s="19">
        <v>3.2569503735522642E-2</v>
      </c>
      <c r="J33" s="19">
        <v>0.90559044392784016</v>
      </c>
      <c r="K33" s="19">
        <v>5.1611680850660237E-2</v>
      </c>
      <c r="L33" s="19">
        <v>1</v>
      </c>
      <c r="M33" s="19">
        <v>0.95704848542894139</v>
      </c>
      <c r="N33" s="19">
        <v>3.3782744105177114E-2</v>
      </c>
      <c r="O33" s="19">
        <v>0.98013116774505915</v>
      </c>
      <c r="P33" s="19">
        <v>2.0651495188656527E-2</v>
      </c>
    </row>
    <row r="34" spans="2:16" x14ac:dyDescent="0.2">
      <c r="B34" t="s">
        <v>572</v>
      </c>
      <c r="C34" t="s">
        <v>391</v>
      </c>
      <c r="D34" s="18">
        <v>42402.792557870373</v>
      </c>
      <c r="E34" t="s">
        <v>157</v>
      </c>
      <c r="F34" s="19">
        <v>1</v>
      </c>
      <c r="G34" s="19">
        <v>1</v>
      </c>
      <c r="H34" s="19">
        <v>0.97024033102774343</v>
      </c>
      <c r="I34" s="19">
        <v>3.2569503735522642E-2</v>
      </c>
      <c r="J34" s="19">
        <v>0.90559044392784016</v>
      </c>
      <c r="K34" s="19">
        <v>5.1611680850660237E-2</v>
      </c>
      <c r="L34" s="19">
        <v>1</v>
      </c>
      <c r="M34" s="19">
        <v>0.95704848542894139</v>
      </c>
      <c r="N34" s="19">
        <v>3.3782744105177114E-2</v>
      </c>
      <c r="O34" s="19">
        <v>0.98013116774505915</v>
      </c>
      <c r="P34" s="19">
        <v>2.0651495188656527E-2</v>
      </c>
    </row>
    <row r="35" spans="2:16" x14ac:dyDescent="0.2">
      <c r="B35" t="s">
        <v>554</v>
      </c>
      <c r="C35" t="s">
        <v>381</v>
      </c>
      <c r="D35" s="18">
        <v>42402.792557870373</v>
      </c>
      <c r="E35" t="s">
        <v>150</v>
      </c>
      <c r="F35" s="19">
        <v>0.88554670062240204</v>
      </c>
      <c r="G35" s="19">
        <v>0.85741808662337904</v>
      </c>
      <c r="H35" s="19">
        <v>0.91149482243486379</v>
      </c>
      <c r="I35" s="19">
        <v>4.19390239845071E-2</v>
      </c>
      <c r="J35" s="19">
        <v>0.93555163866055802</v>
      </c>
      <c r="K35" s="19">
        <v>3.8161796524960677E-2</v>
      </c>
      <c r="L35" s="19"/>
      <c r="M35" s="19"/>
      <c r="N35" s="19"/>
      <c r="O35" s="19"/>
      <c r="P35" s="19"/>
    </row>
    <row r="36" spans="2:16" x14ac:dyDescent="0.2">
      <c r="B36" t="s">
        <v>610</v>
      </c>
      <c r="C36" t="s">
        <v>386</v>
      </c>
      <c r="D36" s="18">
        <v>42402.792557870373</v>
      </c>
      <c r="E36" t="s">
        <v>173</v>
      </c>
      <c r="F36" s="19">
        <v>0.97083422013069431</v>
      </c>
      <c r="G36" s="19">
        <v>0.93651120491437601</v>
      </c>
      <c r="H36" s="19">
        <v>0.93058725544370491</v>
      </c>
      <c r="I36" s="19">
        <v>4.4592152108633626E-2</v>
      </c>
      <c r="J36" s="19">
        <v>0.93236830491634104</v>
      </c>
      <c r="K36" s="19">
        <v>4.9416540512729125E-2</v>
      </c>
      <c r="L36" s="19"/>
      <c r="M36" s="19"/>
      <c r="N36" s="19"/>
      <c r="O36" s="19"/>
      <c r="P36" s="19"/>
    </row>
    <row r="37" spans="2:16" x14ac:dyDescent="0.2">
      <c r="B37" t="s">
        <v>550</v>
      </c>
      <c r="C37" t="s">
        <v>381</v>
      </c>
      <c r="D37" s="18">
        <v>42402.792557870373</v>
      </c>
      <c r="E37" t="s">
        <v>91</v>
      </c>
      <c r="F37" s="19">
        <v>0.9512168387527079</v>
      </c>
      <c r="G37" s="19">
        <v>0.94444706808343182</v>
      </c>
      <c r="H37" s="19">
        <v>0.94161034412323064</v>
      </c>
      <c r="I37" s="19">
        <v>3.6520600797546904E-2</v>
      </c>
      <c r="J37" s="19">
        <v>0.94699861910129357</v>
      </c>
      <c r="K37" s="19">
        <v>3.6091367627528258E-2</v>
      </c>
      <c r="L37" s="19"/>
      <c r="M37" s="19"/>
      <c r="N37" s="19"/>
      <c r="O37" s="19"/>
      <c r="P37" s="19"/>
    </row>
    <row r="38" spans="2:16" x14ac:dyDescent="0.2">
      <c r="B38" t="s">
        <v>552</v>
      </c>
      <c r="C38" t="s">
        <v>386</v>
      </c>
      <c r="D38" s="18">
        <v>42402.792557870373</v>
      </c>
      <c r="E38" t="s">
        <v>149</v>
      </c>
      <c r="F38" s="19">
        <v>0.95369416580983546</v>
      </c>
      <c r="G38" s="19">
        <v>0.95236875800256082</v>
      </c>
      <c r="H38" s="19">
        <v>0.93075943578109166</v>
      </c>
      <c r="I38" s="19">
        <v>4.0838302058497436E-2</v>
      </c>
      <c r="J38" s="19">
        <v>0.93927354812821884</v>
      </c>
      <c r="K38" s="19">
        <v>3.8567106306674363E-2</v>
      </c>
      <c r="L38" s="19"/>
      <c r="M38" s="19"/>
      <c r="N38" s="19"/>
      <c r="O38" s="19"/>
      <c r="P38" s="19"/>
    </row>
    <row r="39" spans="2:16" x14ac:dyDescent="0.2">
      <c r="B39" t="s">
        <v>519</v>
      </c>
      <c r="C39" t="s">
        <v>370</v>
      </c>
      <c r="D39" s="18">
        <v>42402.792557870373</v>
      </c>
      <c r="E39" t="s">
        <v>138</v>
      </c>
      <c r="F39" s="19">
        <v>0.88952171488590737</v>
      </c>
      <c r="G39" s="19">
        <v>0.83282529113340265</v>
      </c>
      <c r="H39" s="19">
        <v>0.88424799257486897</v>
      </c>
      <c r="I39" s="19">
        <v>5.0536325462534393E-2</v>
      </c>
      <c r="J39" s="19">
        <v>0.92408633871721113</v>
      </c>
      <c r="K39" s="19">
        <v>4.2544668366328295E-2</v>
      </c>
      <c r="L39" s="19"/>
      <c r="M39" s="19"/>
      <c r="N39" s="19"/>
      <c r="O39" s="19"/>
      <c r="P39" s="19"/>
    </row>
    <row r="40" spans="2:16" x14ac:dyDescent="0.2">
      <c r="B40" t="s">
        <v>525</v>
      </c>
      <c r="C40" t="s">
        <v>370</v>
      </c>
      <c r="D40" s="18">
        <v>42402.792557870373</v>
      </c>
      <c r="E40" t="s">
        <v>141</v>
      </c>
      <c r="F40" s="19">
        <v>0.95354711421527771</v>
      </c>
      <c r="G40" s="19">
        <v>0.91015948021264037</v>
      </c>
      <c r="H40" s="19">
        <v>0.88299603417964745</v>
      </c>
      <c r="I40" s="19">
        <v>4.4161345626278742E-2</v>
      </c>
      <c r="J40" s="19">
        <v>0.86248768091456884</v>
      </c>
      <c r="K40" s="19">
        <v>4.8970754203361368E-2</v>
      </c>
      <c r="L40" s="19"/>
      <c r="M40" s="19"/>
      <c r="N40" s="19"/>
      <c r="O40" s="19"/>
      <c r="P40" s="19"/>
    </row>
    <row r="41" spans="2:16" x14ac:dyDescent="0.2">
      <c r="B41" t="s">
        <v>370</v>
      </c>
      <c r="C41" t="s">
        <v>370</v>
      </c>
      <c r="D41" s="18">
        <v>42402.792557870373</v>
      </c>
      <c r="E41" t="s">
        <v>663</v>
      </c>
      <c r="F41" s="19">
        <v>0.95757339174388845</v>
      </c>
      <c r="G41" s="19">
        <v>0.88451958322366298</v>
      </c>
      <c r="H41" s="19">
        <v>0.87102005553659012</v>
      </c>
      <c r="I41" s="19">
        <v>1.6779937109791945E-2</v>
      </c>
      <c r="J41" s="19">
        <v>0.88779000950336173</v>
      </c>
      <c r="K41" s="19">
        <v>1.6398674127541639E-2</v>
      </c>
      <c r="L41" s="19"/>
      <c r="M41" s="19"/>
      <c r="N41" s="19"/>
      <c r="O41" s="19"/>
      <c r="P41" s="19"/>
    </row>
    <row r="42" spans="2:16" x14ac:dyDescent="0.2">
      <c r="B42" t="s">
        <v>592</v>
      </c>
      <c r="C42" t="s">
        <v>405</v>
      </c>
      <c r="D42" s="18">
        <v>42402.792557870373</v>
      </c>
      <c r="E42" t="s">
        <v>165</v>
      </c>
      <c r="F42" s="19">
        <v>0.9511999543340518</v>
      </c>
      <c r="G42" s="19">
        <v>0.88320356351285223</v>
      </c>
      <c r="H42" s="19">
        <v>0.93320076882911129</v>
      </c>
      <c r="I42" s="19">
        <v>3.7236070038179747E-2</v>
      </c>
      <c r="J42" s="19">
        <v>0.90908549174824882</v>
      </c>
      <c r="K42" s="19">
        <v>4.8477228639203104E-2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405</v>
      </c>
      <c r="C44" t="s">
        <v>405</v>
      </c>
      <c r="D44" s="18">
        <v>42402.792557870373</v>
      </c>
      <c r="E44" t="s">
        <v>666</v>
      </c>
      <c r="F44" s="19">
        <v>0.95091248007184537</v>
      </c>
      <c r="G44" s="19">
        <v>0.87059993889652698</v>
      </c>
      <c r="H44" s="19">
        <v>0.90082882892466642</v>
      </c>
      <c r="I44" s="19">
        <v>1.6731572431743159E-2</v>
      </c>
      <c r="J44" s="19">
        <v>0.93225376419541728</v>
      </c>
      <c r="K44" s="19">
        <v>1.5504671358880699E-2</v>
      </c>
      <c r="L44" s="19"/>
      <c r="M44" s="19"/>
      <c r="N44" s="19"/>
      <c r="O44" s="19"/>
      <c r="P44" s="19"/>
    </row>
    <row r="45" spans="2:16" x14ac:dyDescent="0.2">
      <c r="B45" t="s">
        <v>210</v>
      </c>
      <c r="C45" t="s">
        <v>370</v>
      </c>
      <c r="D45" s="18">
        <v>42402.792557870373</v>
      </c>
      <c r="E45" t="s">
        <v>99</v>
      </c>
      <c r="F45" s="19">
        <v>0.96983043474868014</v>
      </c>
      <c r="G45" s="19">
        <v>0.95262104841936779</v>
      </c>
      <c r="H45" s="19">
        <v>0.87100740304885416</v>
      </c>
      <c r="I45" s="19">
        <v>5.0069275114879373E-2</v>
      </c>
      <c r="J45" s="19">
        <v>0.88783491475028098</v>
      </c>
      <c r="K45" s="19">
        <v>5.2746539175090777E-2</v>
      </c>
      <c r="L45" s="19">
        <v>0.91136788048552764</v>
      </c>
      <c r="M45" s="19">
        <v>0.93459371679464298</v>
      </c>
      <c r="N45" s="19">
        <v>4.2261878047708451E-2</v>
      </c>
      <c r="O45" s="19">
        <v>0.92155775825621267</v>
      </c>
      <c r="P45" s="19">
        <v>5.0714243158281887E-2</v>
      </c>
    </row>
    <row r="46" spans="2:16" x14ac:dyDescent="0.2">
      <c r="B46" t="s">
        <v>527</v>
      </c>
      <c r="C46" t="s">
        <v>370</v>
      </c>
      <c r="D46" s="18">
        <v>42402.792557870373</v>
      </c>
      <c r="E46" t="s">
        <v>99</v>
      </c>
      <c r="F46" s="19">
        <v>0.96983043474868014</v>
      </c>
      <c r="G46" s="19">
        <v>0.95262104841936779</v>
      </c>
      <c r="H46" s="19">
        <v>0.87100740304885416</v>
      </c>
      <c r="I46" s="19">
        <v>5.0069275114879373E-2</v>
      </c>
      <c r="J46" s="19">
        <v>0.88783491475028098</v>
      </c>
      <c r="K46" s="19">
        <v>5.2746539175090777E-2</v>
      </c>
      <c r="L46" s="19">
        <v>0.91136788048552764</v>
      </c>
      <c r="M46" s="19">
        <v>0.93459371679464298</v>
      </c>
      <c r="N46" s="19">
        <v>4.2261878047708451E-2</v>
      </c>
      <c r="O46" s="19">
        <v>0.92155775825621267</v>
      </c>
      <c r="P46" s="19">
        <v>5.0714243158281887E-2</v>
      </c>
    </row>
    <row r="47" spans="2:16" x14ac:dyDescent="0.2">
      <c r="B47" t="s">
        <v>596</v>
      </c>
      <c r="C47" t="s">
        <v>405</v>
      </c>
      <c r="D47" s="18">
        <v>42402.792557870373</v>
      </c>
      <c r="E47" t="s">
        <v>167</v>
      </c>
      <c r="F47" s="19">
        <v>0.97265204598921262</v>
      </c>
      <c r="G47" s="19">
        <v>0.87517063698063879</v>
      </c>
      <c r="H47" s="19">
        <v>0.89218377265116833</v>
      </c>
      <c r="I47" s="19">
        <v>5.1810838271822417E-2</v>
      </c>
      <c r="J47" s="19">
        <v>0.92430392962543739</v>
      </c>
      <c r="K47" s="19">
        <v>4.5480489635469114E-2</v>
      </c>
      <c r="L47" s="19"/>
      <c r="M47" s="19"/>
      <c r="N47" s="19"/>
      <c r="O47" s="19"/>
      <c r="P47" s="19"/>
    </row>
    <row r="48" spans="2:16" x14ac:dyDescent="0.2">
      <c r="B48" t="s">
        <v>530</v>
      </c>
      <c r="C48" t="s">
        <v>370</v>
      </c>
      <c r="D48" s="18">
        <v>42402.792557870373</v>
      </c>
      <c r="E48" t="s">
        <v>142</v>
      </c>
      <c r="F48" s="19">
        <v>0.93799862424031832</v>
      </c>
      <c r="G48" s="19">
        <v>0.89850958126330749</v>
      </c>
      <c r="H48" s="19">
        <v>0.90169103094867309</v>
      </c>
      <c r="I48" s="19">
        <v>4.7082646149322185E-2</v>
      </c>
      <c r="J48" s="19">
        <v>0.86885072585735335</v>
      </c>
      <c r="K48" s="19">
        <v>6.4142498818594407E-2</v>
      </c>
      <c r="L48" s="19"/>
      <c r="M48" s="19"/>
      <c r="N48" s="19"/>
      <c r="O48" s="19"/>
      <c r="P48" s="19"/>
    </row>
    <row r="49" spans="2:16" x14ac:dyDescent="0.2">
      <c r="B49" t="s">
        <v>604</v>
      </c>
      <c r="C49" t="s">
        <v>405</v>
      </c>
      <c r="D49" s="18">
        <v>42402.792557870373</v>
      </c>
      <c r="E49" t="s">
        <v>170</v>
      </c>
      <c r="F49" s="19">
        <v>0.90487665826153918</v>
      </c>
      <c r="G49" s="19">
        <v>0.85402702887174931</v>
      </c>
      <c r="H49" s="19">
        <v>0.90344693081011473</v>
      </c>
      <c r="I49" s="19">
        <v>4.9583924989371794E-2</v>
      </c>
      <c r="J49" s="19">
        <v>0.94688624777347807</v>
      </c>
      <c r="K49" s="19">
        <v>3.6917605481218703E-2</v>
      </c>
      <c r="L49" s="19"/>
      <c r="M49" s="19"/>
      <c r="N49" s="19"/>
      <c r="O49" s="19"/>
      <c r="P49" s="19"/>
    </row>
    <row r="50" spans="2:16" x14ac:dyDescent="0.2">
      <c r="B50" t="s">
        <v>515</v>
      </c>
      <c r="C50" t="s">
        <v>370</v>
      </c>
      <c r="D50" s="18">
        <v>42402.792557870373</v>
      </c>
      <c r="E50" t="s">
        <v>137</v>
      </c>
      <c r="F50" s="19">
        <v>0.95403590393920756</v>
      </c>
      <c r="G50" s="19">
        <v>0.91120550016198121</v>
      </c>
      <c r="H50" s="19">
        <v>0.85700166900714037</v>
      </c>
      <c r="I50" s="19">
        <v>6.239579409000285E-2</v>
      </c>
      <c r="J50" s="19">
        <v>0.94730565810244738</v>
      </c>
      <c r="K50" s="19">
        <v>3.9028748484039609E-2</v>
      </c>
      <c r="L50" s="19"/>
      <c r="M50" s="19"/>
      <c r="N50" s="19"/>
      <c r="O50" s="19"/>
      <c r="P50" s="19"/>
    </row>
    <row r="51" spans="2:16" x14ac:dyDescent="0.2">
      <c r="B51" t="s">
        <v>612</v>
      </c>
      <c r="C51" t="s">
        <v>405</v>
      </c>
      <c r="D51" s="18">
        <v>42402.792557870373</v>
      </c>
      <c r="E51" t="s">
        <v>174</v>
      </c>
      <c r="F51" s="19">
        <v>0.93606805140841598</v>
      </c>
      <c r="G51" s="19">
        <v>0.90032062952623715</v>
      </c>
      <c r="H51" s="19">
        <v>0.89390537174154416</v>
      </c>
      <c r="I51" s="19">
        <v>5.0963464107201588E-2</v>
      </c>
      <c r="J51" s="19">
        <v>0.93322644016138834</v>
      </c>
      <c r="K51" s="19">
        <v>4.7041991674280366E-2</v>
      </c>
      <c r="L51" s="19"/>
      <c r="M51" s="19"/>
      <c r="N51" s="19"/>
      <c r="O51" s="19"/>
      <c r="P51" s="19"/>
    </row>
    <row r="52" spans="2:16" x14ac:dyDescent="0.2">
      <c r="B52" t="s">
        <v>536</v>
      </c>
      <c r="C52" t="s">
        <v>370</v>
      </c>
      <c r="D52" s="18">
        <v>42402.792557870373</v>
      </c>
      <c r="E52" t="s">
        <v>103</v>
      </c>
      <c r="F52" s="19">
        <v>0.96462301783285598</v>
      </c>
      <c r="G52" s="19">
        <v>0.84775253745770907</v>
      </c>
      <c r="H52" s="19">
        <v>0.90270774976657331</v>
      </c>
      <c r="I52" s="19">
        <v>4.9104041771363856E-2</v>
      </c>
      <c r="J52" s="19">
        <v>0.90813818095777743</v>
      </c>
      <c r="K52" s="19">
        <v>4.5930490841287079E-2</v>
      </c>
      <c r="L52" s="19"/>
      <c r="M52" s="19"/>
      <c r="N52" s="19"/>
      <c r="O52" s="19"/>
      <c r="P52" s="19"/>
    </row>
    <row r="53" spans="2:16" x14ac:dyDescent="0.2">
      <c r="B53" t="s">
        <v>589</v>
      </c>
      <c r="C53" t="s">
        <v>386</v>
      </c>
      <c r="D53" s="18">
        <v>42402.792557870373</v>
      </c>
      <c r="E53" t="s">
        <v>164</v>
      </c>
      <c r="F53" s="19">
        <v>0.97093573968339297</v>
      </c>
      <c r="G53" s="19">
        <v>0.91699368708411522</v>
      </c>
      <c r="H53" s="19">
        <v>0.91995036059274715</v>
      </c>
      <c r="I53" s="19">
        <v>4.1806825532778688E-2</v>
      </c>
      <c r="J53" s="19">
        <v>0.96085201077483051</v>
      </c>
      <c r="K53" s="19">
        <v>3.0732842229228369E-2</v>
      </c>
      <c r="L53" s="252"/>
      <c r="M53" s="252"/>
      <c r="N53" s="252"/>
      <c r="O53" s="252"/>
      <c r="P53" s="252"/>
    </row>
    <row r="54" spans="2:16" x14ac:dyDescent="0.2">
      <c r="B54" t="s">
        <v>625</v>
      </c>
      <c r="C54" t="s">
        <v>405</v>
      </c>
      <c r="D54" s="18">
        <v>42402.792557870373</v>
      </c>
      <c r="E54" t="s">
        <v>179</v>
      </c>
      <c r="F54" s="19">
        <v>0.97267888359946175</v>
      </c>
      <c r="G54" s="19">
        <v>0.81957527808562181</v>
      </c>
      <c r="H54" s="19">
        <v>0.8747351783338988</v>
      </c>
      <c r="I54" s="19">
        <v>4.4920823423744378E-2</v>
      </c>
      <c r="J54" s="19">
        <v>0.93401734259708091</v>
      </c>
      <c r="K54" s="19">
        <v>4.1153618499221806E-2</v>
      </c>
      <c r="L54" s="19"/>
      <c r="M54" s="19"/>
      <c r="N54" s="19"/>
      <c r="O54" s="19"/>
      <c r="P54" s="19"/>
    </row>
    <row r="55" spans="2:16" x14ac:dyDescent="0.2">
      <c r="B55" t="s">
        <v>614</v>
      </c>
      <c r="C55" t="s">
        <v>381</v>
      </c>
      <c r="D55" s="18">
        <v>42402.792557870373</v>
      </c>
      <c r="E55" t="s">
        <v>175</v>
      </c>
      <c r="F55" s="19">
        <v>0.94091938832361088</v>
      </c>
      <c r="G55" s="19">
        <v>0.89865552760809697</v>
      </c>
      <c r="H55" s="19">
        <v>0.86108257554476819</v>
      </c>
      <c r="I55" s="19">
        <v>5.1576093785307787E-2</v>
      </c>
      <c r="J55" s="19">
        <v>0.84396393101002032</v>
      </c>
      <c r="K55" s="19">
        <v>5.8887028450742493E-2</v>
      </c>
      <c r="L55" s="19"/>
      <c r="M55" s="19"/>
      <c r="N55" s="19"/>
      <c r="O55" s="19"/>
      <c r="P55" s="19"/>
    </row>
    <row r="56" spans="2:16" x14ac:dyDescent="0.2">
      <c r="B56" t="s">
        <v>598</v>
      </c>
      <c r="C56" t="s">
        <v>405</v>
      </c>
      <c r="D56" s="18">
        <v>42402.792557870373</v>
      </c>
      <c r="E56" t="s">
        <v>168</v>
      </c>
      <c r="F56" s="19">
        <v>0.9526163113588153</v>
      </c>
      <c r="G56" s="19">
        <v>0.86859184476202966</v>
      </c>
      <c r="H56" s="19">
        <v>0.91417097258314695</v>
      </c>
      <c r="I56" s="19">
        <v>4.1688607192402499E-2</v>
      </c>
      <c r="J56" s="19">
        <v>0.94901451799278203</v>
      </c>
      <c r="K56" s="19">
        <v>3.6092080078209535E-2</v>
      </c>
      <c r="L56" s="19"/>
      <c r="M56" s="19"/>
      <c r="N56" s="19"/>
      <c r="O56" s="19"/>
      <c r="P56" s="19"/>
    </row>
    <row r="57" spans="2:16" x14ac:dyDescent="0.2">
      <c r="B57" t="s">
        <v>636</v>
      </c>
      <c r="C57" t="s">
        <v>391</v>
      </c>
      <c r="D57" s="18">
        <v>42402.792557870373</v>
      </c>
      <c r="E57" t="s">
        <v>184</v>
      </c>
      <c r="F57" s="19">
        <v>0.95610576715696816</v>
      </c>
      <c r="G57" s="19">
        <v>0.96147789218655366</v>
      </c>
      <c r="H57" s="19">
        <v>0.94407724738202092</v>
      </c>
      <c r="I57" s="19">
        <v>3.7696104611010244E-2</v>
      </c>
      <c r="J57" s="19">
        <v>0.93535379963951404</v>
      </c>
      <c r="K57" s="19">
        <v>3.866493813454433E-2</v>
      </c>
      <c r="L57" s="19"/>
      <c r="M57" s="19"/>
      <c r="N57" s="19"/>
      <c r="O57" s="19"/>
      <c r="P57" s="19"/>
    </row>
    <row r="58" spans="2:16" x14ac:dyDescent="0.2">
      <c r="B58" t="s">
        <v>381</v>
      </c>
      <c r="C58" t="s">
        <v>381</v>
      </c>
      <c r="D58" s="18">
        <v>42402.792557870373</v>
      </c>
      <c r="E58" t="s">
        <v>662</v>
      </c>
      <c r="F58" s="19">
        <v>0.93370662958414119</v>
      </c>
      <c r="G58" s="19">
        <v>0.88971006798547725</v>
      </c>
      <c r="H58" s="19">
        <v>0.89601095127896169</v>
      </c>
      <c r="I58" s="19">
        <v>2.1608141535586895E-2</v>
      </c>
      <c r="J58" s="19">
        <v>0.88980819445518344</v>
      </c>
      <c r="K58" s="19">
        <v>2.6709645963988251E-2</v>
      </c>
      <c r="L58" s="19"/>
      <c r="M58" s="19"/>
      <c r="N58" s="19"/>
      <c r="O58" s="19"/>
      <c r="P58" s="19"/>
    </row>
    <row r="59" spans="2:16" x14ac:dyDescent="0.2">
      <c r="B59" t="s">
        <v>575</v>
      </c>
      <c r="C59" t="s">
        <v>391</v>
      </c>
      <c r="D59" s="18">
        <v>42402.792557870373</v>
      </c>
      <c r="E59" t="s">
        <v>158</v>
      </c>
      <c r="F59" s="19">
        <v>0.92872188132824673</v>
      </c>
      <c r="G59" s="19">
        <v>0.94149561130693216</v>
      </c>
      <c r="H59" s="19">
        <v>0.91759667900002095</v>
      </c>
      <c r="I59" s="19">
        <v>4.1870510558278513E-2</v>
      </c>
      <c r="J59" s="19">
        <v>0.87590974808953648</v>
      </c>
      <c r="K59" s="19">
        <v>5.2352628836894725E-2</v>
      </c>
      <c r="L59" s="19"/>
      <c r="M59" s="19"/>
      <c r="N59" s="19"/>
      <c r="O59" s="19"/>
      <c r="P59" s="19"/>
    </row>
    <row r="60" spans="2:16" x14ac:dyDescent="0.2">
      <c r="B60" t="s">
        <v>212</v>
      </c>
      <c r="C60" t="s">
        <v>391</v>
      </c>
      <c r="D60" s="18">
        <v>42402.792557870373</v>
      </c>
      <c r="E60" t="s">
        <v>161</v>
      </c>
      <c r="F60" s="19">
        <v>0.9783971930021349</v>
      </c>
      <c r="G60" s="19">
        <v>0.93732946859903377</v>
      </c>
      <c r="H60" s="19">
        <v>0.95762070183218773</v>
      </c>
      <c r="I60" s="19">
        <v>3.4354336701004441E-2</v>
      </c>
      <c r="J60" s="19">
        <v>0.87665682618486718</v>
      </c>
      <c r="K60" s="19">
        <v>5.4449177398107194E-2</v>
      </c>
      <c r="L60" s="19">
        <v>1</v>
      </c>
      <c r="M60" s="19">
        <v>1</v>
      </c>
      <c r="N60" s="19">
        <v>0</v>
      </c>
      <c r="O60" s="19">
        <v>0.99067946088732484</v>
      </c>
      <c r="P60" s="19">
        <v>1.389452691707369E-2</v>
      </c>
    </row>
    <row r="61" spans="2:16" x14ac:dyDescent="0.2">
      <c r="B61" t="s">
        <v>581</v>
      </c>
      <c r="C61" t="s">
        <v>391</v>
      </c>
      <c r="D61" s="18">
        <v>42402.792557870373</v>
      </c>
      <c r="E61" t="s">
        <v>161</v>
      </c>
      <c r="F61" s="19">
        <v>0.9783971930021349</v>
      </c>
      <c r="G61" s="19">
        <v>0.93732946859903377</v>
      </c>
      <c r="H61" s="19">
        <v>0.95762070183218773</v>
      </c>
      <c r="I61" s="19">
        <v>3.4354336701004441E-2</v>
      </c>
      <c r="J61" s="19">
        <v>0.87665682618486718</v>
      </c>
      <c r="K61" s="19">
        <v>5.4449177398107194E-2</v>
      </c>
      <c r="L61" s="19">
        <v>1</v>
      </c>
      <c r="M61" s="19">
        <v>1</v>
      </c>
      <c r="N61" s="19">
        <v>0</v>
      </c>
      <c r="O61" s="19">
        <v>0.99067946088732484</v>
      </c>
      <c r="P61" s="19">
        <v>1.389452691707369E-2</v>
      </c>
    </row>
    <row r="62" spans="2:16" x14ac:dyDescent="0.2">
      <c r="B62" t="s">
        <v>542</v>
      </c>
      <c r="C62" t="s">
        <v>381</v>
      </c>
      <c r="D62" s="18">
        <v>42402.792557870373</v>
      </c>
      <c r="E62" t="s">
        <v>146</v>
      </c>
      <c r="F62" s="19">
        <v>0.88272116463669792</v>
      </c>
      <c r="G62" s="19">
        <v>0.86958418634017032</v>
      </c>
      <c r="H62" s="19">
        <v>0.85547639285164678</v>
      </c>
      <c r="I62" s="19">
        <v>5.810087084719498E-2</v>
      </c>
      <c r="J62" s="19">
        <v>0.86861864788594056</v>
      </c>
      <c r="K62" s="19">
        <v>5.8529750197890779E-2</v>
      </c>
      <c r="L62" s="19"/>
      <c r="M62" s="19"/>
      <c r="N62" s="19"/>
      <c r="O62" s="19"/>
      <c r="P62" s="19"/>
    </row>
    <row r="63" spans="2:16" x14ac:dyDescent="0.2">
      <c r="B63" t="s">
        <v>628</v>
      </c>
      <c r="C63" t="s">
        <v>370</v>
      </c>
      <c r="D63" s="18">
        <v>42402.792557870373</v>
      </c>
      <c r="E63" t="s">
        <v>180</v>
      </c>
      <c r="F63" s="19">
        <v>0.98553645310298277</v>
      </c>
      <c r="G63" s="19">
        <v>0.9533347630280935</v>
      </c>
      <c r="H63" s="19">
        <v>0.87306950737491573</v>
      </c>
      <c r="I63" s="19">
        <v>5.9091365831284007E-2</v>
      </c>
      <c r="J63" s="19">
        <v>0.95094492314857926</v>
      </c>
      <c r="K63" s="19">
        <v>3.9694218061758518E-2</v>
      </c>
      <c r="L63" s="19"/>
      <c r="M63" s="19"/>
      <c r="N63" s="19"/>
      <c r="O63" s="19"/>
      <c r="P63" s="19"/>
    </row>
    <row r="64" spans="2:16" x14ac:dyDescent="0.2">
      <c r="B64" t="s">
        <v>697</v>
      </c>
      <c r="C64" t="s">
        <v>6</v>
      </c>
      <c r="D64" s="18">
        <v>42402.792557870373</v>
      </c>
      <c r="E64" t="s">
        <v>438</v>
      </c>
      <c r="F64" s="19"/>
      <c r="G64" s="19"/>
      <c r="H64" s="19"/>
      <c r="I64" s="19"/>
      <c r="J64" s="19"/>
      <c r="K64" s="19"/>
      <c r="L64" s="19">
        <v>0.9711446755960863</v>
      </c>
      <c r="M64" s="19">
        <v>0.96570592799830079</v>
      </c>
      <c r="N64" s="19">
        <v>1.7053791268045515E-2</v>
      </c>
      <c r="O64" s="19">
        <v>0.96388619008919263</v>
      </c>
      <c r="P64" s="19">
        <v>1.9360568793987624E-2</v>
      </c>
    </row>
    <row r="65" spans="2:16" x14ac:dyDescent="0.2">
      <c r="B65" t="s">
        <v>699</v>
      </c>
      <c r="C65" t="s">
        <v>6</v>
      </c>
      <c r="D65" s="18">
        <v>42402.792557870373</v>
      </c>
      <c r="E65" t="s">
        <v>438</v>
      </c>
      <c r="F65" s="19">
        <v>0.95422851559641386</v>
      </c>
      <c r="G65" s="19">
        <v>0.89217828476173011</v>
      </c>
      <c r="H65" s="19">
        <v>0.90031803464973736</v>
      </c>
      <c r="I65" s="19">
        <v>7.7183743553186444E-3</v>
      </c>
      <c r="J65" s="19">
        <v>0.90575421880437812</v>
      </c>
      <c r="K65" s="19">
        <v>8.8378441050331706E-3</v>
      </c>
      <c r="L65" s="19">
        <v>0.9711446755960863</v>
      </c>
      <c r="M65" s="19">
        <v>0.96570592799830079</v>
      </c>
      <c r="N65" s="19">
        <v>1.7053791268045515E-2</v>
      </c>
      <c r="O65" s="19">
        <v>0.96388619008919263</v>
      </c>
      <c r="P65" s="19">
        <v>1.9360568793987624E-2</v>
      </c>
    </row>
    <row r="66" spans="2:16" x14ac:dyDescent="0.2">
      <c r="B66" t="s">
        <v>606</v>
      </c>
      <c r="C66" t="s">
        <v>386</v>
      </c>
      <c r="D66" s="18">
        <v>42402.792557870373</v>
      </c>
      <c r="E66" t="s">
        <v>171</v>
      </c>
      <c r="F66" s="19">
        <v>0.97258266529556636</v>
      </c>
      <c r="G66" s="19">
        <v>0.93032200756151151</v>
      </c>
      <c r="H66" s="19">
        <v>0.90570169676241019</v>
      </c>
      <c r="I66" s="19">
        <v>4.4208248820713864E-2</v>
      </c>
      <c r="J66" s="19">
        <v>0.90772004227319869</v>
      </c>
      <c r="K66" s="19">
        <v>4.7943769822090303E-2</v>
      </c>
      <c r="L66" s="19"/>
      <c r="M66" s="19"/>
      <c r="N66" s="19"/>
      <c r="O66" s="19"/>
      <c r="P66" s="19"/>
    </row>
    <row r="67" spans="2:16" x14ac:dyDescent="0.2">
      <c r="B67" t="s">
        <v>671</v>
      </c>
      <c r="C67" t="s">
        <v>370</v>
      </c>
      <c r="D67" s="18">
        <v>42402.792557870373</v>
      </c>
      <c r="E67" t="s">
        <v>670</v>
      </c>
      <c r="F67" s="152">
        <v>0.92475683495231864</v>
      </c>
      <c r="G67" s="152">
        <v>0.89866209641751438</v>
      </c>
      <c r="H67" s="152">
        <v>0.90146484051538556</v>
      </c>
      <c r="I67" s="152">
        <v>0.10254957345666249</v>
      </c>
      <c r="J67" s="152">
        <v>0.81585299685723489</v>
      </c>
      <c r="K67" s="152">
        <v>3.9054668872034452E-2</v>
      </c>
      <c r="L67" s="152"/>
      <c r="M67" s="152"/>
      <c r="N67" s="152"/>
      <c r="O67" s="152"/>
      <c r="P67" s="152"/>
    </row>
    <row r="68" spans="2:16" x14ac:dyDescent="0.2">
      <c r="B68" t="s">
        <v>630</v>
      </c>
      <c r="C68" t="s">
        <v>370</v>
      </c>
      <c r="D68" s="18">
        <v>42402.792557870373</v>
      </c>
      <c r="E68" t="s">
        <v>89</v>
      </c>
      <c r="F68" s="152">
        <v>0.90064306247072845</v>
      </c>
      <c r="G68" s="152">
        <v>0.77753343310964129</v>
      </c>
      <c r="H68" s="152">
        <v>0.82786762886633225</v>
      </c>
      <c r="I68" s="152">
        <v>5.3760968353088433E-2</v>
      </c>
      <c r="J68" s="152">
        <v>0.89402069989789279</v>
      </c>
      <c r="K68" s="152">
        <v>3.9991870818219727E-2</v>
      </c>
      <c r="L68" s="152"/>
      <c r="M68" s="152"/>
      <c r="N68" s="152"/>
      <c r="O68" s="152"/>
      <c r="P68" s="152"/>
    </row>
    <row r="69" spans="2:16" x14ac:dyDescent="0.2">
      <c r="B69" t="s">
        <v>640</v>
      </c>
      <c r="C69" t="s">
        <v>391</v>
      </c>
      <c r="D69" s="18">
        <v>42402.792557870373</v>
      </c>
      <c r="E69" t="s">
        <v>185</v>
      </c>
      <c r="F69" s="152">
        <v>0.96384291546673162</v>
      </c>
      <c r="G69" s="152">
        <v>0.92170453086895132</v>
      </c>
      <c r="H69" s="152">
        <v>0.92700956950220914</v>
      </c>
      <c r="I69" s="152">
        <v>4.1403141636690177E-2</v>
      </c>
      <c r="J69" s="152">
        <v>0.90248105965581249</v>
      </c>
      <c r="K69" s="152">
        <v>6.077168311919081E-2</v>
      </c>
      <c r="L69" s="152"/>
      <c r="M69" s="152"/>
      <c r="N69" s="152"/>
      <c r="O69" s="152"/>
      <c r="P69" s="152"/>
    </row>
    <row r="70" spans="2:16" x14ac:dyDescent="0.2">
      <c r="B70" t="s">
        <v>644</v>
      </c>
      <c r="C70" t="s">
        <v>370</v>
      </c>
      <c r="D70" s="18">
        <v>42402.792557870373</v>
      </c>
      <c r="E70" t="s">
        <v>187</v>
      </c>
      <c r="F70" s="152">
        <v>0.92589855291765899</v>
      </c>
      <c r="G70" s="152">
        <v>0.81636345852895142</v>
      </c>
      <c r="H70" s="152">
        <v>0.87410464368295715</v>
      </c>
      <c r="I70" s="152">
        <v>4.7224326417964806E-2</v>
      </c>
      <c r="J70" s="152">
        <v>0.89126167613821938</v>
      </c>
      <c r="K70" s="152">
        <v>5.0360055410220851E-2</v>
      </c>
      <c r="L70" s="152"/>
      <c r="M70" s="152"/>
      <c r="N70" s="152"/>
      <c r="O70" s="152"/>
      <c r="P70" s="152"/>
    </row>
    <row r="71" spans="2:16" x14ac:dyDescent="0.2">
      <c r="B71" t="s">
        <v>544</v>
      </c>
      <c r="C71" t="s">
        <v>370</v>
      </c>
      <c r="D71" s="18">
        <v>42402.792557870373</v>
      </c>
      <c r="E71" t="s">
        <v>147</v>
      </c>
      <c r="F71" s="152">
        <v>0.96731833501782438</v>
      </c>
      <c r="G71" s="152">
        <v>0.84046100756427677</v>
      </c>
      <c r="H71" s="152">
        <v>0.83662619612724343</v>
      </c>
      <c r="I71" s="152">
        <v>5.3468016413209654E-2</v>
      </c>
      <c r="J71" s="152">
        <v>0.93547537910290268</v>
      </c>
      <c r="K71" s="152">
        <v>3.9996947951909403E-2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951</v>
      </c>
      <c r="C2" t="s">
        <v>952</v>
      </c>
      <c r="D2" t="s">
        <v>133</v>
      </c>
      <c r="F2" t="s">
        <v>946</v>
      </c>
      <c r="G2" t="s">
        <v>933</v>
      </c>
      <c r="H2" t="s">
        <v>934</v>
      </c>
      <c r="I2" t="s">
        <v>935</v>
      </c>
      <c r="J2" t="s">
        <v>936</v>
      </c>
      <c r="K2" t="s">
        <v>937</v>
      </c>
      <c r="L2" t="s">
        <v>938</v>
      </c>
      <c r="M2" t="s">
        <v>939</v>
      </c>
      <c r="N2" t="s">
        <v>940</v>
      </c>
      <c r="O2" t="s">
        <v>941</v>
      </c>
      <c r="P2" t="s">
        <v>942</v>
      </c>
      <c r="Q2" t="s">
        <v>943</v>
      </c>
      <c r="R2" t="s">
        <v>944</v>
      </c>
      <c r="S2" t="s">
        <v>945</v>
      </c>
      <c r="V2" t="s">
        <v>947</v>
      </c>
      <c r="W2" t="s">
        <v>933</v>
      </c>
      <c r="X2" t="s">
        <v>934</v>
      </c>
      <c r="Y2" t="s">
        <v>935</v>
      </c>
      <c r="Z2" t="s">
        <v>936</v>
      </c>
      <c r="AA2" t="s">
        <v>937</v>
      </c>
      <c r="AB2" t="s">
        <v>938</v>
      </c>
      <c r="AC2" t="s">
        <v>939</v>
      </c>
      <c r="AD2" t="s">
        <v>940</v>
      </c>
      <c r="AE2" t="s">
        <v>941</v>
      </c>
      <c r="AF2" t="s">
        <v>942</v>
      </c>
      <c r="AG2" t="s">
        <v>943</v>
      </c>
      <c r="AH2" t="s">
        <v>944</v>
      </c>
      <c r="AI2" t="s">
        <v>945</v>
      </c>
      <c r="AL2" t="s">
        <v>948</v>
      </c>
      <c r="AM2" t="s">
        <v>933</v>
      </c>
      <c r="AN2" t="s">
        <v>934</v>
      </c>
      <c r="AO2" t="s">
        <v>935</v>
      </c>
      <c r="AP2" t="s">
        <v>936</v>
      </c>
      <c r="AQ2" t="s">
        <v>937</v>
      </c>
      <c r="AR2" t="s">
        <v>938</v>
      </c>
      <c r="AS2" t="s">
        <v>939</v>
      </c>
      <c r="AT2" t="s">
        <v>940</v>
      </c>
      <c r="AU2" t="s">
        <v>941</v>
      </c>
      <c r="AV2" t="s">
        <v>942</v>
      </c>
      <c r="AW2" t="s">
        <v>943</v>
      </c>
      <c r="AX2" t="s">
        <v>944</v>
      </c>
      <c r="AY2" t="s">
        <v>945</v>
      </c>
    </row>
    <row r="3" spans="2:51" x14ac:dyDescent="0.2">
      <c r="B3" t="s">
        <v>954</v>
      </c>
      <c r="C3">
        <v>398959</v>
      </c>
      <c r="D3">
        <v>423.32456600339998</v>
      </c>
      <c r="F3" t="s">
        <v>8</v>
      </c>
      <c r="G3">
        <v>10931</v>
      </c>
      <c r="P3">
        <v>10931</v>
      </c>
      <c r="Q3">
        <v>181.9195717815</v>
      </c>
      <c r="V3" t="s">
        <v>309</v>
      </c>
      <c r="W3">
        <v>432</v>
      </c>
      <c r="X3">
        <v>304</v>
      </c>
      <c r="Y3">
        <v>341.86184210530001</v>
      </c>
      <c r="Z3">
        <v>28</v>
      </c>
      <c r="AA3">
        <v>697.78571428570001</v>
      </c>
      <c r="AB3">
        <v>79</v>
      </c>
      <c r="AC3">
        <v>589.20253164559995</v>
      </c>
      <c r="AD3">
        <v>31</v>
      </c>
      <c r="AE3">
        <v>681.83870967739995</v>
      </c>
      <c r="AF3">
        <v>17</v>
      </c>
      <c r="AG3">
        <v>225.5294117647</v>
      </c>
      <c r="AH3">
        <v>1</v>
      </c>
      <c r="AI3">
        <v>222</v>
      </c>
      <c r="AL3" t="s">
        <v>309</v>
      </c>
      <c r="AM3">
        <v>8</v>
      </c>
      <c r="AN3">
        <v>4</v>
      </c>
      <c r="AO3">
        <v>547.25</v>
      </c>
      <c r="AP3">
        <v>1</v>
      </c>
      <c r="AQ3">
        <v>317</v>
      </c>
      <c r="AR3">
        <v>2</v>
      </c>
      <c r="AS3">
        <v>392</v>
      </c>
      <c r="AT3">
        <v>2</v>
      </c>
      <c r="AU3">
        <v>108.5</v>
      </c>
    </row>
    <row r="4" spans="2:51" x14ac:dyDescent="0.2">
      <c r="B4" t="s">
        <v>953</v>
      </c>
      <c r="C4">
        <v>36241</v>
      </c>
      <c r="D4">
        <v>423.32456600339998</v>
      </c>
      <c r="F4" t="s">
        <v>8</v>
      </c>
      <c r="G4">
        <v>10931</v>
      </c>
      <c r="P4">
        <v>10931</v>
      </c>
      <c r="Q4">
        <v>181.9195717815</v>
      </c>
      <c r="V4" t="s">
        <v>8</v>
      </c>
      <c r="W4">
        <v>4643</v>
      </c>
      <c r="X4">
        <v>3460</v>
      </c>
      <c r="Y4">
        <v>463.9436253252</v>
      </c>
      <c r="Z4">
        <v>439</v>
      </c>
      <c r="AA4">
        <v>449.71753986329998</v>
      </c>
      <c r="AB4">
        <v>441</v>
      </c>
      <c r="AC4">
        <v>533.41043083900001</v>
      </c>
      <c r="AD4">
        <v>701</v>
      </c>
      <c r="AE4">
        <v>855.35092724679998</v>
      </c>
      <c r="AF4">
        <v>32</v>
      </c>
      <c r="AG4">
        <v>321.15625</v>
      </c>
      <c r="AH4">
        <v>9</v>
      </c>
      <c r="AI4">
        <v>336.7777777778</v>
      </c>
      <c r="AL4" t="s">
        <v>8</v>
      </c>
      <c r="AM4">
        <v>64</v>
      </c>
      <c r="AN4">
        <v>55</v>
      </c>
      <c r="AO4">
        <v>213.56363636360001</v>
      </c>
      <c r="AP4">
        <v>6</v>
      </c>
      <c r="AQ4">
        <v>372.1666666667</v>
      </c>
      <c r="AR4">
        <v>9</v>
      </c>
      <c r="AS4">
        <v>209.6666666667</v>
      </c>
    </row>
    <row r="5" spans="2:51" x14ac:dyDescent="0.2">
      <c r="B5" t="s">
        <v>965</v>
      </c>
      <c r="C5">
        <v>23582</v>
      </c>
      <c r="D5">
        <v>571.68149436010003</v>
      </c>
      <c r="F5" t="s">
        <v>43</v>
      </c>
      <c r="G5">
        <v>613</v>
      </c>
      <c r="H5">
        <v>506</v>
      </c>
      <c r="I5">
        <v>259.08695652170002</v>
      </c>
      <c r="J5">
        <v>27</v>
      </c>
      <c r="K5">
        <v>543.5925925926</v>
      </c>
      <c r="L5">
        <v>81</v>
      </c>
      <c r="M5">
        <v>244.49382716049999</v>
      </c>
      <c r="N5">
        <v>25</v>
      </c>
      <c r="O5">
        <v>276.2</v>
      </c>
      <c r="R5">
        <v>1</v>
      </c>
      <c r="S5">
        <v>218</v>
      </c>
      <c r="V5" t="s">
        <v>8</v>
      </c>
      <c r="W5">
        <v>5075</v>
      </c>
      <c r="X5">
        <v>3764</v>
      </c>
      <c r="Y5">
        <v>454.0810523518</v>
      </c>
      <c r="Z5">
        <v>467</v>
      </c>
      <c r="AA5">
        <v>464.591006424</v>
      </c>
      <c r="AB5">
        <v>520</v>
      </c>
      <c r="AC5">
        <v>541.88653846149998</v>
      </c>
      <c r="AD5">
        <v>732</v>
      </c>
      <c r="AE5">
        <v>848.00273224039995</v>
      </c>
      <c r="AF5">
        <v>49</v>
      </c>
      <c r="AG5">
        <v>287.97959183670002</v>
      </c>
      <c r="AH5">
        <v>10</v>
      </c>
      <c r="AI5">
        <v>325.3</v>
      </c>
      <c r="AL5" t="s">
        <v>8</v>
      </c>
      <c r="AM5">
        <v>72</v>
      </c>
      <c r="AN5">
        <v>59</v>
      </c>
      <c r="AO5">
        <v>236.186440678</v>
      </c>
      <c r="AP5">
        <v>7</v>
      </c>
      <c r="AQ5">
        <v>364.28571428570001</v>
      </c>
      <c r="AR5">
        <v>11</v>
      </c>
      <c r="AS5">
        <v>242.8181818182</v>
      </c>
      <c r="AT5">
        <v>2</v>
      </c>
      <c r="AU5">
        <v>108.5</v>
      </c>
    </row>
    <row r="6" spans="2:51" x14ac:dyDescent="0.2">
      <c r="B6" t="s">
        <v>241</v>
      </c>
      <c r="C6">
        <v>53879</v>
      </c>
      <c r="D6">
        <v>601.83730210290003</v>
      </c>
      <c r="F6" t="s">
        <v>37</v>
      </c>
      <c r="G6">
        <v>8258</v>
      </c>
      <c r="H6">
        <v>6475</v>
      </c>
      <c r="I6">
        <v>453.36617760619998</v>
      </c>
      <c r="J6">
        <v>264</v>
      </c>
      <c r="K6">
        <v>860.54545454549998</v>
      </c>
      <c r="L6">
        <v>1209</v>
      </c>
      <c r="M6">
        <v>613.9065343259</v>
      </c>
      <c r="N6">
        <v>558</v>
      </c>
      <c r="O6">
        <v>617.28136200719996</v>
      </c>
      <c r="R6">
        <v>16</v>
      </c>
      <c r="S6">
        <v>785.8125</v>
      </c>
      <c r="V6" t="s">
        <v>400</v>
      </c>
      <c r="W6">
        <v>1376</v>
      </c>
      <c r="X6">
        <v>706</v>
      </c>
      <c r="Y6">
        <v>181.06798866860001</v>
      </c>
      <c r="Z6">
        <v>177</v>
      </c>
      <c r="AA6">
        <v>303.41807909599999</v>
      </c>
      <c r="AB6">
        <v>468</v>
      </c>
      <c r="AC6">
        <v>283.18162393159997</v>
      </c>
      <c r="AD6">
        <v>121</v>
      </c>
      <c r="AE6">
        <v>277.31404958680002</v>
      </c>
      <c r="AF6">
        <v>79</v>
      </c>
      <c r="AG6">
        <v>177.86075949369999</v>
      </c>
      <c r="AH6">
        <v>2</v>
      </c>
      <c r="AI6">
        <v>161.5</v>
      </c>
      <c r="AL6" t="s">
        <v>400</v>
      </c>
      <c r="AM6">
        <v>28</v>
      </c>
      <c r="AN6">
        <v>19</v>
      </c>
      <c r="AO6">
        <v>149.63157894739999</v>
      </c>
      <c r="AP6">
        <v>14</v>
      </c>
      <c r="AQ6">
        <v>239.28571428570001</v>
      </c>
      <c r="AR6">
        <v>9</v>
      </c>
      <c r="AS6">
        <v>197.6666666667</v>
      </c>
    </row>
    <row r="7" spans="2:51" x14ac:dyDescent="0.2">
      <c r="B7" t="s">
        <v>240</v>
      </c>
      <c r="C7">
        <v>236603</v>
      </c>
      <c r="D7">
        <v>405.86561196330001</v>
      </c>
      <c r="F7" t="s">
        <v>42</v>
      </c>
      <c r="G7">
        <v>5392</v>
      </c>
      <c r="H7">
        <v>3782</v>
      </c>
      <c r="I7">
        <v>403.80460074029997</v>
      </c>
      <c r="J7">
        <v>864</v>
      </c>
      <c r="K7">
        <v>479.22569444440001</v>
      </c>
      <c r="L7">
        <v>1019</v>
      </c>
      <c r="M7">
        <v>622.66633954860004</v>
      </c>
      <c r="N7">
        <v>573</v>
      </c>
      <c r="O7">
        <v>417.90226876089997</v>
      </c>
      <c r="R7">
        <v>18</v>
      </c>
      <c r="S7">
        <v>495.2222222222</v>
      </c>
      <c r="V7" t="s">
        <v>392</v>
      </c>
      <c r="W7">
        <v>13555</v>
      </c>
      <c r="X7">
        <v>9965</v>
      </c>
      <c r="Y7">
        <v>640.42579026589999</v>
      </c>
      <c r="Z7">
        <v>554</v>
      </c>
      <c r="AA7">
        <v>1175.9512635379001</v>
      </c>
      <c r="AB7">
        <v>2522</v>
      </c>
      <c r="AC7">
        <v>1307.8441712926001</v>
      </c>
      <c r="AD7">
        <v>873</v>
      </c>
      <c r="AE7">
        <v>890.98739977089997</v>
      </c>
      <c r="AF7">
        <v>175</v>
      </c>
      <c r="AG7">
        <v>228.0285714286</v>
      </c>
      <c r="AH7">
        <v>20</v>
      </c>
      <c r="AI7">
        <v>838.35</v>
      </c>
      <c r="AL7" t="s">
        <v>392</v>
      </c>
      <c r="AM7">
        <v>356</v>
      </c>
      <c r="AN7">
        <v>278</v>
      </c>
      <c r="AO7">
        <v>512.82014388489995</v>
      </c>
      <c r="AP7">
        <v>49</v>
      </c>
      <c r="AQ7">
        <v>965.26530612240003</v>
      </c>
      <c r="AR7">
        <v>74</v>
      </c>
      <c r="AS7">
        <v>477.86486486490003</v>
      </c>
      <c r="AT7">
        <v>4</v>
      </c>
      <c r="AU7">
        <v>171</v>
      </c>
    </row>
    <row r="8" spans="2:51" x14ac:dyDescent="0.2">
      <c r="B8" t="s">
        <v>242</v>
      </c>
      <c r="C8">
        <v>24814</v>
      </c>
      <c r="D8">
        <v>528.93461786520004</v>
      </c>
      <c r="F8" t="s">
        <v>50</v>
      </c>
      <c r="G8">
        <v>1081</v>
      </c>
      <c r="H8">
        <v>364</v>
      </c>
      <c r="I8">
        <v>93.554945054900003</v>
      </c>
      <c r="J8">
        <v>331</v>
      </c>
      <c r="K8">
        <v>214.5196374622</v>
      </c>
      <c r="L8">
        <v>504</v>
      </c>
      <c r="M8">
        <v>218.43253968249999</v>
      </c>
      <c r="N8">
        <v>210</v>
      </c>
      <c r="O8">
        <v>211.48095238100001</v>
      </c>
      <c r="R8">
        <v>3</v>
      </c>
      <c r="S8">
        <v>358.3333333333</v>
      </c>
      <c r="V8" t="s">
        <v>423</v>
      </c>
      <c r="W8">
        <v>1344</v>
      </c>
      <c r="X8">
        <v>864</v>
      </c>
      <c r="Y8">
        <v>211.9722222222</v>
      </c>
      <c r="Z8">
        <v>225</v>
      </c>
      <c r="AA8">
        <v>321.63555555559998</v>
      </c>
      <c r="AB8">
        <v>189</v>
      </c>
      <c r="AC8">
        <v>129.26455026459999</v>
      </c>
      <c r="AD8">
        <v>198</v>
      </c>
      <c r="AE8">
        <v>383.7070707071</v>
      </c>
      <c r="AF8">
        <v>89</v>
      </c>
      <c r="AG8">
        <v>169.73033707869999</v>
      </c>
      <c r="AH8">
        <v>4</v>
      </c>
      <c r="AI8">
        <v>342.25</v>
      </c>
      <c r="AL8" t="s">
        <v>423</v>
      </c>
      <c r="AM8">
        <v>36</v>
      </c>
      <c r="AN8">
        <v>28</v>
      </c>
      <c r="AO8">
        <v>115.42857142859999</v>
      </c>
      <c r="AP8">
        <v>7</v>
      </c>
      <c r="AQ8">
        <v>247</v>
      </c>
      <c r="AR8">
        <v>7</v>
      </c>
      <c r="AS8">
        <v>225</v>
      </c>
      <c r="AT8">
        <v>1</v>
      </c>
      <c r="AU8">
        <v>66</v>
      </c>
    </row>
    <row r="9" spans="2:51" x14ac:dyDescent="0.2">
      <c r="B9" t="s">
        <v>243</v>
      </c>
      <c r="C9">
        <v>10931</v>
      </c>
      <c r="D9">
        <v>181.9195717815</v>
      </c>
      <c r="F9" t="s">
        <v>81</v>
      </c>
      <c r="G9">
        <v>1201</v>
      </c>
      <c r="H9">
        <v>808</v>
      </c>
      <c r="I9">
        <v>203.7871287129</v>
      </c>
      <c r="J9">
        <v>230</v>
      </c>
      <c r="K9">
        <v>326.60869565220003</v>
      </c>
      <c r="L9">
        <v>178</v>
      </c>
      <c r="M9">
        <v>108.47752808990001</v>
      </c>
      <c r="N9">
        <v>211</v>
      </c>
      <c r="O9">
        <v>382.13270142179999</v>
      </c>
      <c r="R9">
        <v>4</v>
      </c>
      <c r="S9">
        <v>342.25</v>
      </c>
      <c r="V9" t="s">
        <v>393</v>
      </c>
      <c r="W9">
        <v>8194</v>
      </c>
      <c r="X9">
        <v>6345</v>
      </c>
      <c r="Y9">
        <v>510.58565799839999</v>
      </c>
      <c r="Z9">
        <v>311</v>
      </c>
      <c r="AA9">
        <v>820.75241157560004</v>
      </c>
      <c r="AB9">
        <v>1290</v>
      </c>
      <c r="AC9">
        <v>982.94961240309999</v>
      </c>
      <c r="AD9">
        <v>413</v>
      </c>
      <c r="AE9">
        <v>714.47941888620005</v>
      </c>
      <c r="AF9">
        <v>144</v>
      </c>
      <c r="AG9">
        <v>173.2083333333</v>
      </c>
      <c r="AH9">
        <v>2</v>
      </c>
      <c r="AI9">
        <v>152.5</v>
      </c>
      <c r="AL9" t="s">
        <v>393</v>
      </c>
      <c r="AM9">
        <v>167</v>
      </c>
      <c r="AN9">
        <v>149</v>
      </c>
      <c r="AO9">
        <v>516.45637583890004</v>
      </c>
      <c r="AP9">
        <v>22</v>
      </c>
      <c r="AQ9">
        <v>783.5</v>
      </c>
      <c r="AR9">
        <v>16</v>
      </c>
      <c r="AS9">
        <v>261.25</v>
      </c>
      <c r="AT9">
        <v>2</v>
      </c>
      <c r="AU9">
        <v>208</v>
      </c>
    </row>
    <row r="10" spans="2:51" x14ac:dyDescent="0.2">
      <c r="B10" t="s">
        <v>949</v>
      </c>
      <c r="C10">
        <v>496</v>
      </c>
      <c r="D10">
        <v>460.30241935480001</v>
      </c>
      <c r="F10" t="s">
        <v>76</v>
      </c>
      <c r="G10">
        <v>1789</v>
      </c>
      <c r="H10">
        <v>744</v>
      </c>
      <c r="I10">
        <v>121.15456989250001</v>
      </c>
      <c r="J10">
        <v>571</v>
      </c>
      <c r="K10">
        <v>207.3467600701</v>
      </c>
      <c r="L10">
        <v>956</v>
      </c>
      <c r="M10">
        <v>280.83891213390001</v>
      </c>
      <c r="N10">
        <v>89</v>
      </c>
      <c r="O10">
        <v>170.51685393259999</v>
      </c>
      <c r="V10" t="s">
        <v>395</v>
      </c>
      <c r="W10">
        <v>8429</v>
      </c>
      <c r="X10">
        <v>6406</v>
      </c>
      <c r="Y10">
        <v>450.30393381210001</v>
      </c>
      <c r="Z10">
        <v>268</v>
      </c>
      <c r="AA10">
        <v>841.00373134330005</v>
      </c>
      <c r="AB10">
        <v>1200</v>
      </c>
      <c r="AC10">
        <v>617.86083333329998</v>
      </c>
      <c r="AD10">
        <v>553</v>
      </c>
      <c r="AE10">
        <v>610.80108499100004</v>
      </c>
      <c r="AF10">
        <v>254</v>
      </c>
      <c r="AG10">
        <v>183.56299212600001</v>
      </c>
      <c r="AH10">
        <v>16</v>
      </c>
      <c r="AI10">
        <v>785.8125</v>
      </c>
      <c r="AL10" t="s">
        <v>395</v>
      </c>
      <c r="AM10">
        <v>349</v>
      </c>
      <c r="AN10">
        <v>249</v>
      </c>
      <c r="AO10">
        <v>395.5381526104</v>
      </c>
      <c r="AP10">
        <v>22</v>
      </c>
      <c r="AQ10">
        <v>602.09090909090003</v>
      </c>
      <c r="AR10">
        <v>87</v>
      </c>
      <c r="AS10">
        <v>396.42528735629998</v>
      </c>
      <c r="AT10">
        <v>13</v>
      </c>
      <c r="AU10">
        <v>191.69230769230001</v>
      </c>
    </row>
    <row r="11" spans="2:51" x14ac:dyDescent="0.2">
      <c r="F11" t="s">
        <v>38</v>
      </c>
      <c r="G11">
        <v>13566</v>
      </c>
      <c r="H11">
        <v>10119</v>
      </c>
      <c r="I11">
        <v>647.1556477913</v>
      </c>
      <c r="J11">
        <v>549</v>
      </c>
      <c r="K11">
        <v>1209.1347905282</v>
      </c>
      <c r="L11">
        <v>2568</v>
      </c>
      <c r="M11">
        <v>1321.3426791277</v>
      </c>
      <c r="N11">
        <v>859</v>
      </c>
      <c r="O11">
        <v>905.70081490099994</v>
      </c>
      <c r="R11">
        <v>20</v>
      </c>
      <c r="S11">
        <v>838.35</v>
      </c>
      <c r="V11" t="s">
        <v>396</v>
      </c>
      <c r="W11">
        <v>5683</v>
      </c>
      <c r="X11">
        <v>3783</v>
      </c>
      <c r="Y11">
        <v>406.47607718739999</v>
      </c>
      <c r="Z11">
        <v>848</v>
      </c>
      <c r="AA11">
        <v>478.125</v>
      </c>
      <c r="AB11">
        <v>1029</v>
      </c>
      <c r="AC11">
        <v>631.24003887269998</v>
      </c>
      <c r="AD11">
        <v>587</v>
      </c>
      <c r="AE11">
        <v>429.4855195911</v>
      </c>
      <c r="AF11">
        <v>266</v>
      </c>
      <c r="AG11">
        <v>185.99248120300001</v>
      </c>
      <c r="AH11">
        <v>18</v>
      </c>
      <c r="AI11">
        <v>495.2222222222</v>
      </c>
      <c r="AL11" t="s">
        <v>396</v>
      </c>
      <c r="AM11">
        <v>257</v>
      </c>
      <c r="AN11">
        <v>204</v>
      </c>
      <c r="AO11">
        <v>393.6470588235</v>
      </c>
      <c r="AP11">
        <v>13</v>
      </c>
      <c r="AQ11">
        <v>616.38461538460001</v>
      </c>
      <c r="AR11">
        <v>45</v>
      </c>
      <c r="AS11">
        <v>366.75555555559998</v>
      </c>
      <c r="AT11">
        <v>8</v>
      </c>
      <c r="AU11">
        <v>423</v>
      </c>
    </row>
    <row r="12" spans="2:51" x14ac:dyDescent="0.2">
      <c r="F12" t="s">
        <v>56</v>
      </c>
      <c r="G12">
        <v>3252</v>
      </c>
      <c r="H12">
        <v>2740</v>
      </c>
      <c r="I12">
        <v>295.03467153280002</v>
      </c>
      <c r="J12">
        <v>378</v>
      </c>
      <c r="K12">
        <v>454.44179894180002</v>
      </c>
      <c r="L12">
        <v>468</v>
      </c>
      <c r="M12">
        <v>320.21367521370001</v>
      </c>
      <c r="N12">
        <v>44</v>
      </c>
      <c r="O12">
        <v>151.8409090909</v>
      </c>
      <c r="V12" t="s">
        <v>398</v>
      </c>
      <c r="W12">
        <v>6790</v>
      </c>
      <c r="X12">
        <v>5668</v>
      </c>
      <c r="Y12">
        <v>302.35409315459998</v>
      </c>
      <c r="Z12">
        <v>439</v>
      </c>
      <c r="AA12">
        <v>618.51025056950004</v>
      </c>
      <c r="AB12">
        <v>347</v>
      </c>
      <c r="AC12">
        <v>204.20461095100001</v>
      </c>
      <c r="AD12">
        <v>492</v>
      </c>
      <c r="AE12">
        <v>361.74186991869999</v>
      </c>
      <c r="AF12">
        <v>270</v>
      </c>
      <c r="AG12">
        <v>173.58888888889999</v>
      </c>
      <c r="AH12">
        <v>13</v>
      </c>
      <c r="AI12">
        <v>386.38461538460001</v>
      </c>
      <c r="AL12" t="s">
        <v>398</v>
      </c>
      <c r="AM12">
        <v>220</v>
      </c>
      <c r="AN12">
        <v>181</v>
      </c>
      <c r="AO12">
        <v>408.55248618780001</v>
      </c>
      <c r="AP12">
        <v>6</v>
      </c>
      <c r="AQ12">
        <v>416.8333333333</v>
      </c>
      <c r="AR12">
        <v>36</v>
      </c>
      <c r="AS12">
        <v>217.8888888889</v>
      </c>
      <c r="AT12">
        <v>3</v>
      </c>
      <c r="AU12">
        <v>465.6666666667</v>
      </c>
    </row>
    <row r="13" spans="2:51" x14ac:dyDescent="0.2">
      <c r="F13" t="s">
        <v>75</v>
      </c>
      <c r="G13">
        <v>6445</v>
      </c>
      <c r="H13">
        <v>5638</v>
      </c>
      <c r="I13">
        <v>297.21195459379999</v>
      </c>
      <c r="J13">
        <v>444</v>
      </c>
      <c r="K13">
        <v>616.47297297299997</v>
      </c>
      <c r="L13">
        <v>312</v>
      </c>
      <c r="M13">
        <v>167.2083333333</v>
      </c>
      <c r="N13">
        <v>483</v>
      </c>
      <c r="O13">
        <v>357.19461697719998</v>
      </c>
      <c r="R13">
        <v>12</v>
      </c>
      <c r="S13">
        <v>385</v>
      </c>
      <c r="V13" t="s">
        <v>401</v>
      </c>
      <c r="W13">
        <v>1209</v>
      </c>
      <c r="X13">
        <v>390</v>
      </c>
      <c r="Y13">
        <v>123.4641025641</v>
      </c>
      <c r="Z13">
        <v>330</v>
      </c>
      <c r="AA13">
        <v>220.36060606059999</v>
      </c>
      <c r="AB13">
        <v>497</v>
      </c>
      <c r="AC13">
        <v>226.18108651910001</v>
      </c>
      <c r="AD13">
        <v>205</v>
      </c>
      <c r="AE13">
        <v>208.47804878049999</v>
      </c>
      <c r="AF13">
        <v>115</v>
      </c>
      <c r="AG13">
        <v>196.9565217391</v>
      </c>
      <c r="AH13">
        <v>2</v>
      </c>
      <c r="AI13">
        <v>336</v>
      </c>
      <c r="AL13" t="s">
        <v>401</v>
      </c>
      <c r="AM13">
        <v>27</v>
      </c>
      <c r="AN13">
        <v>16</v>
      </c>
      <c r="AO13">
        <v>155.75</v>
      </c>
      <c r="AP13">
        <v>6</v>
      </c>
      <c r="AQ13">
        <v>252.3333333333</v>
      </c>
      <c r="AR13">
        <v>8</v>
      </c>
      <c r="AS13">
        <v>163.625</v>
      </c>
      <c r="AT13">
        <v>3</v>
      </c>
      <c r="AU13">
        <v>117.3333333333</v>
      </c>
    </row>
    <row r="14" spans="2:51" x14ac:dyDescent="0.2">
      <c r="F14" t="s">
        <v>41</v>
      </c>
      <c r="G14">
        <v>1265</v>
      </c>
      <c r="H14">
        <v>674</v>
      </c>
      <c r="I14">
        <v>154.7893175074</v>
      </c>
      <c r="J14">
        <v>181</v>
      </c>
      <c r="K14">
        <v>305.18784530390002</v>
      </c>
      <c r="L14">
        <v>469</v>
      </c>
      <c r="M14">
        <v>278.37526652449998</v>
      </c>
      <c r="N14">
        <v>120</v>
      </c>
      <c r="O14">
        <v>275.32499999999999</v>
      </c>
      <c r="R14">
        <v>2</v>
      </c>
      <c r="S14">
        <v>161.5</v>
      </c>
      <c r="V14" t="s">
        <v>402</v>
      </c>
      <c r="W14">
        <v>2185</v>
      </c>
      <c r="X14">
        <v>959</v>
      </c>
      <c r="Y14">
        <v>168.456725756</v>
      </c>
      <c r="Z14">
        <v>568</v>
      </c>
      <c r="AA14">
        <v>215.03169014080001</v>
      </c>
      <c r="AB14">
        <v>979</v>
      </c>
      <c r="AC14">
        <v>288.87231869250002</v>
      </c>
      <c r="AD14">
        <v>98</v>
      </c>
      <c r="AE14">
        <v>242.6734693878</v>
      </c>
      <c r="AF14">
        <v>149</v>
      </c>
      <c r="AG14">
        <v>192.22147651009999</v>
      </c>
      <c r="AL14" t="s">
        <v>402</v>
      </c>
      <c r="AM14">
        <v>40</v>
      </c>
      <c r="AN14">
        <v>29</v>
      </c>
      <c r="AO14">
        <v>82.172413793100006</v>
      </c>
      <c r="AP14">
        <v>15</v>
      </c>
      <c r="AQ14">
        <v>354.2</v>
      </c>
      <c r="AR14">
        <v>5</v>
      </c>
      <c r="AS14">
        <v>80</v>
      </c>
      <c r="AT14">
        <v>6</v>
      </c>
      <c r="AU14">
        <v>132</v>
      </c>
    </row>
    <row r="15" spans="2:51" x14ac:dyDescent="0.2">
      <c r="F15" t="s">
        <v>74</v>
      </c>
      <c r="G15">
        <v>213</v>
      </c>
      <c r="H15">
        <v>72</v>
      </c>
      <c r="I15">
        <v>122.30555555559999</v>
      </c>
      <c r="J15">
        <v>115</v>
      </c>
      <c r="K15">
        <v>183.68695652170001</v>
      </c>
      <c r="L15">
        <v>85</v>
      </c>
      <c r="M15">
        <v>206.89411764709999</v>
      </c>
      <c r="N15">
        <v>47</v>
      </c>
      <c r="O15">
        <v>214.57446808509999</v>
      </c>
      <c r="R15">
        <v>9</v>
      </c>
      <c r="S15">
        <v>244.7777777778</v>
      </c>
      <c r="V15" t="s">
        <v>397</v>
      </c>
      <c r="W15">
        <v>3345</v>
      </c>
      <c r="X15">
        <v>2712</v>
      </c>
      <c r="Y15">
        <v>302.5807522124</v>
      </c>
      <c r="Z15">
        <v>377</v>
      </c>
      <c r="AA15">
        <v>463.85676392570002</v>
      </c>
      <c r="AB15">
        <v>465</v>
      </c>
      <c r="AC15">
        <v>334.7462365591</v>
      </c>
      <c r="AD15">
        <v>63</v>
      </c>
      <c r="AE15">
        <v>254.68253968249999</v>
      </c>
      <c r="AF15">
        <v>104</v>
      </c>
      <c r="AG15">
        <v>157.9711538462</v>
      </c>
      <c r="AH15">
        <v>1</v>
      </c>
      <c r="AI15">
        <v>102</v>
      </c>
      <c r="AL15" t="s">
        <v>397</v>
      </c>
      <c r="AM15">
        <v>102</v>
      </c>
      <c r="AN15">
        <v>76</v>
      </c>
      <c r="AO15">
        <v>298.19736842110001</v>
      </c>
      <c r="AP15">
        <v>1</v>
      </c>
      <c r="AQ15">
        <v>376</v>
      </c>
      <c r="AR15">
        <v>22</v>
      </c>
      <c r="AS15">
        <v>378.77272727270002</v>
      </c>
      <c r="AT15">
        <v>3</v>
      </c>
      <c r="AU15">
        <v>207</v>
      </c>
      <c r="AV15">
        <v>1</v>
      </c>
      <c r="AW15">
        <v>848</v>
      </c>
    </row>
    <row r="16" spans="2:51" x14ac:dyDescent="0.2">
      <c r="F16" t="s">
        <v>48</v>
      </c>
      <c r="G16">
        <v>8311</v>
      </c>
      <c r="H16">
        <v>6577</v>
      </c>
      <c r="I16">
        <v>513.01930971570005</v>
      </c>
      <c r="J16">
        <v>320</v>
      </c>
      <c r="K16">
        <v>830.3125</v>
      </c>
      <c r="L16">
        <v>1322</v>
      </c>
      <c r="M16">
        <v>983.92586989409995</v>
      </c>
      <c r="N16">
        <v>410</v>
      </c>
      <c r="O16">
        <v>713.67560975610002</v>
      </c>
      <c r="R16">
        <v>2</v>
      </c>
      <c r="S16">
        <v>152.5</v>
      </c>
      <c r="V16" t="s">
        <v>420</v>
      </c>
      <c r="W16">
        <v>474</v>
      </c>
      <c r="X16">
        <v>374</v>
      </c>
      <c r="Y16">
        <v>260.07219251340001</v>
      </c>
      <c r="Z16">
        <v>21</v>
      </c>
      <c r="AA16">
        <v>610.23809523809996</v>
      </c>
      <c r="AB16">
        <v>66</v>
      </c>
      <c r="AC16">
        <v>320.15151515150001</v>
      </c>
      <c r="AD16">
        <v>15</v>
      </c>
      <c r="AE16">
        <v>266.86666666669998</v>
      </c>
      <c r="AF16">
        <v>18</v>
      </c>
      <c r="AG16">
        <v>145.6111111111</v>
      </c>
      <c r="AH16">
        <v>1</v>
      </c>
      <c r="AI16">
        <v>218</v>
      </c>
      <c r="AL16" t="s">
        <v>420</v>
      </c>
      <c r="AM16">
        <v>7</v>
      </c>
      <c r="AN16">
        <v>6</v>
      </c>
      <c r="AO16">
        <v>170.3333333333</v>
      </c>
      <c r="AP16">
        <v>4</v>
      </c>
      <c r="AQ16">
        <v>367.75</v>
      </c>
      <c r="AR16">
        <v>1</v>
      </c>
      <c r="AS16">
        <v>143</v>
      </c>
    </row>
    <row r="17" spans="6:51" x14ac:dyDescent="0.2">
      <c r="F17" t="s">
        <v>391</v>
      </c>
      <c r="G17">
        <v>51386</v>
      </c>
      <c r="H17">
        <v>38499</v>
      </c>
      <c r="I17">
        <v>452.02711758750002</v>
      </c>
      <c r="J17">
        <v>4274</v>
      </c>
      <c r="K17">
        <v>554.93776321949997</v>
      </c>
      <c r="L17">
        <v>9171</v>
      </c>
      <c r="M17">
        <v>745.66852033580005</v>
      </c>
      <c r="N17">
        <v>3629</v>
      </c>
      <c r="O17">
        <v>557.7175530449</v>
      </c>
      <c r="R17">
        <v>87</v>
      </c>
      <c r="S17">
        <v>555.94252873560004</v>
      </c>
      <c r="V17" t="s">
        <v>421</v>
      </c>
      <c r="W17">
        <v>203</v>
      </c>
      <c r="X17">
        <v>51</v>
      </c>
      <c r="Y17">
        <v>253.2745098039</v>
      </c>
      <c r="Z17">
        <v>25</v>
      </c>
      <c r="AA17">
        <v>296.32</v>
      </c>
      <c r="AB17">
        <v>49</v>
      </c>
      <c r="AC17">
        <v>263.79591836729998</v>
      </c>
      <c r="AD17">
        <v>50</v>
      </c>
      <c r="AE17">
        <v>238.98</v>
      </c>
      <c r="AF17">
        <v>44</v>
      </c>
      <c r="AG17">
        <v>253.25</v>
      </c>
      <c r="AH17">
        <v>9</v>
      </c>
      <c r="AI17">
        <v>244.7777777778</v>
      </c>
      <c r="AL17" t="s">
        <v>421</v>
      </c>
      <c r="AM17">
        <v>8</v>
      </c>
      <c r="AN17">
        <v>7</v>
      </c>
      <c r="AO17">
        <v>139.42857142860001</v>
      </c>
      <c r="AP17">
        <v>5</v>
      </c>
      <c r="AQ17">
        <v>204.6</v>
      </c>
      <c r="AR17">
        <v>1</v>
      </c>
      <c r="AS17">
        <v>353</v>
      </c>
    </row>
    <row r="18" spans="6:51" x14ac:dyDescent="0.2">
      <c r="F18" t="s">
        <v>68</v>
      </c>
      <c r="G18">
        <v>3075</v>
      </c>
      <c r="H18">
        <v>2431</v>
      </c>
      <c r="I18">
        <v>281.37885643769999</v>
      </c>
      <c r="J18">
        <v>254</v>
      </c>
      <c r="K18">
        <v>451.55905511809999</v>
      </c>
      <c r="L18">
        <v>403</v>
      </c>
      <c r="M18">
        <v>311.53349875930002</v>
      </c>
      <c r="N18">
        <v>231</v>
      </c>
      <c r="O18">
        <v>525.28138528140005</v>
      </c>
      <c r="R18">
        <v>10</v>
      </c>
      <c r="S18">
        <v>541.70000000000005</v>
      </c>
      <c r="V18" t="s">
        <v>391</v>
      </c>
      <c r="W18">
        <v>52787</v>
      </c>
      <c r="X18">
        <v>38223</v>
      </c>
      <c r="Y18">
        <v>450.22787326999998</v>
      </c>
      <c r="Z18">
        <v>4143</v>
      </c>
      <c r="AA18">
        <v>561.2172338885</v>
      </c>
      <c r="AB18">
        <v>9101</v>
      </c>
      <c r="AC18">
        <v>743.88715525769999</v>
      </c>
      <c r="AD18">
        <v>3668</v>
      </c>
      <c r="AE18">
        <v>558.56488549619996</v>
      </c>
      <c r="AF18">
        <v>1707</v>
      </c>
      <c r="AG18">
        <v>186.55887521970001</v>
      </c>
      <c r="AH18">
        <v>88</v>
      </c>
      <c r="AI18">
        <v>550.78409090909997</v>
      </c>
      <c r="AL18" t="s">
        <v>391</v>
      </c>
      <c r="AM18">
        <v>1597</v>
      </c>
      <c r="AN18">
        <v>1242</v>
      </c>
      <c r="AO18">
        <v>408.91143317230001</v>
      </c>
      <c r="AP18">
        <v>164</v>
      </c>
      <c r="AQ18">
        <v>628.48170731710002</v>
      </c>
      <c r="AR18">
        <v>311</v>
      </c>
      <c r="AS18">
        <v>361</v>
      </c>
      <c r="AT18">
        <v>43</v>
      </c>
      <c r="AU18">
        <v>237.3023255814</v>
      </c>
      <c r="AV18">
        <v>1</v>
      </c>
      <c r="AW18">
        <v>848</v>
      </c>
    </row>
    <row r="19" spans="6:51" x14ac:dyDescent="0.2">
      <c r="F19" t="s">
        <v>34</v>
      </c>
      <c r="G19">
        <v>939</v>
      </c>
      <c r="H19">
        <v>591</v>
      </c>
      <c r="I19">
        <v>251.02199661590001</v>
      </c>
      <c r="J19">
        <v>90</v>
      </c>
      <c r="K19">
        <v>524.08888888889999</v>
      </c>
      <c r="L19">
        <v>180</v>
      </c>
      <c r="M19">
        <v>220.51111111110001</v>
      </c>
      <c r="N19">
        <v>161</v>
      </c>
      <c r="O19">
        <v>581.44099378880003</v>
      </c>
      <c r="R19">
        <v>7</v>
      </c>
      <c r="S19">
        <v>241.71428571429999</v>
      </c>
      <c r="V19" t="s">
        <v>409</v>
      </c>
      <c r="W19">
        <v>1022</v>
      </c>
      <c r="X19">
        <v>607</v>
      </c>
      <c r="Y19">
        <v>264.42339373969997</v>
      </c>
      <c r="Z19">
        <v>99</v>
      </c>
      <c r="AA19">
        <v>531.51515151520005</v>
      </c>
      <c r="AB19">
        <v>186</v>
      </c>
      <c r="AC19">
        <v>239.8494623656</v>
      </c>
      <c r="AD19">
        <v>155</v>
      </c>
      <c r="AE19">
        <v>583.41935483869997</v>
      </c>
      <c r="AF19">
        <v>67</v>
      </c>
      <c r="AG19">
        <v>163.02985074630001</v>
      </c>
      <c r="AH19">
        <v>7</v>
      </c>
      <c r="AI19">
        <v>241.71428571429999</v>
      </c>
      <c r="AL19" t="s">
        <v>409</v>
      </c>
      <c r="AM19">
        <v>12</v>
      </c>
      <c r="AN19">
        <v>11</v>
      </c>
      <c r="AO19">
        <v>122.0909090909</v>
      </c>
      <c r="AP19">
        <v>7</v>
      </c>
      <c r="AQ19">
        <v>297.85714285709997</v>
      </c>
      <c r="AR19">
        <v>1</v>
      </c>
      <c r="AS19">
        <v>172</v>
      </c>
    </row>
    <row r="20" spans="6:51" x14ac:dyDescent="0.2">
      <c r="F20" t="s">
        <v>55</v>
      </c>
      <c r="G20">
        <v>958</v>
      </c>
      <c r="H20">
        <v>454</v>
      </c>
      <c r="I20">
        <v>202.16299559469999</v>
      </c>
      <c r="J20">
        <v>187</v>
      </c>
      <c r="K20">
        <v>341.88770053479999</v>
      </c>
      <c r="L20">
        <v>141</v>
      </c>
      <c r="M20">
        <v>331.89361702129997</v>
      </c>
      <c r="N20">
        <v>353</v>
      </c>
      <c r="O20">
        <v>600.93484419260005</v>
      </c>
      <c r="R20">
        <v>10</v>
      </c>
      <c r="S20">
        <v>323.8</v>
      </c>
      <c r="V20" t="s">
        <v>425</v>
      </c>
      <c r="W20">
        <v>293</v>
      </c>
      <c r="X20">
        <v>128</v>
      </c>
      <c r="Y20">
        <v>198.5390625</v>
      </c>
      <c r="Z20">
        <v>107</v>
      </c>
      <c r="AA20">
        <v>250.60747663550001</v>
      </c>
      <c r="AB20">
        <v>74</v>
      </c>
      <c r="AC20">
        <v>217.87837837839999</v>
      </c>
      <c r="AD20">
        <v>60</v>
      </c>
      <c r="AE20">
        <v>478.5</v>
      </c>
      <c r="AF20">
        <v>31</v>
      </c>
      <c r="AG20">
        <v>132.77419354840001</v>
      </c>
      <c r="AL20" t="s">
        <v>425</v>
      </c>
      <c r="AM20">
        <v>3</v>
      </c>
      <c r="AN20">
        <v>2</v>
      </c>
      <c r="AO20">
        <v>136</v>
      </c>
      <c r="AP20">
        <v>1</v>
      </c>
      <c r="AQ20">
        <v>107</v>
      </c>
      <c r="AR20">
        <v>1</v>
      </c>
      <c r="AS20">
        <v>45</v>
      </c>
    </row>
    <row r="21" spans="6:51" x14ac:dyDescent="0.2">
      <c r="F21" t="s">
        <v>62</v>
      </c>
      <c r="G21">
        <v>8643</v>
      </c>
      <c r="H21">
        <v>7104</v>
      </c>
      <c r="I21">
        <v>392.69228603599998</v>
      </c>
      <c r="J21">
        <v>699</v>
      </c>
      <c r="K21">
        <v>604.98426323319995</v>
      </c>
      <c r="L21">
        <v>1137</v>
      </c>
      <c r="M21">
        <v>611.89445910289999</v>
      </c>
      <c r="N21">
        <v>397</v>
      </c>
      <c r="O21">
        <v>599.47103274560004</v>
      </c>
      <c r="R21">
        <v>5</v>
      </c>
      <c r="S21">
        <v>529.20000000000005</v>
      </c>
      <c r="V21" t="s">
        <v>429</v>
      </c>
      <c r="W21">
        <v>1204</v>
      </c>
      <c r="X21">
        <v>906</v>
      </c>
      <c r="Y21">
        <v>302.793598234</v>
      </c>
      <c r="Z21">
        <v>63</v>
      </c>
      <c r="AA21">
        <v>570.65079365079998</v>
      </c>
      <c r="AB21">
        <v>179</v>
      </c>
      <c r="AC21">
        <v>400.78212290499999</v>
      </c>
      <c r="AD21">
        <v>61</v>
      </c>
      <c r="AE21">
        <v>505.86885245899998</v>
      </c>
      <c r="AF21">
        <v>57</v>
      </c>
      <c r="AG21">
        <v>162.07017543859999</v>
      </c>
      <c r="AH21">
        <v>1</v>
      </c>
      <c r="AI21">
        <v>361</v>
      </c>
      <c r="AL21" t="s">
        <v>429</v>
      </c>
      <c r="AM21">
        <v>10</v>
      </c>
      <c r="AN21">
        <v>8</v>
      </c>
      <c r="AO21">
        <v>175.625</v>
      </c>
      <c r="AP21">
        <v>6</v>
      </c>
      <c r="AQ21">
        <v>287.3333333333</v>
      </c>
      <c r="AR21">
        <v>2</v>
      </c>
      <c r="AS21">
        <v>157.5</v>
      </c>
    </row>
    <row r="22" spans="6:51" x14ac:dyDescent="0.2">
      <c r="F22" t="s">
        <v>64</v>
      </c>
      <c r="G22">
        <v>7202</v>
      </c>
      <c r="H22">
        <v>5390</v>
      </c>
      <c r="I22">
        <v>394.17050092760002</v>
      </c>
      <c r="J22">
        <v>359</v>
      </c>
      <c r="K22">
        <v>582.84679665739998</v>
      </c>
      <c r="L22">
        <v>1413</v>
      </c>
      <c r="M22">
        <v>755.93347487619997</v>
      </c>
      <c r="N22">
        <v>380</v>
      </c>
      <c r="O22">
        <v>606.61578947370003</v>
      </c>
      <c r="R22">
        <v>19</v>
      </c>
      <c r="S22">
        <v>398.7894736842</v>
      </c>
      <c r="V22" t="s">
        <v>414</v>
      </c>
      <c r="W22">
        <v>3159</v>
      </c>
      <c r="X22">
        <v>2413</v>
      </c>
      <c r="Y22">
        <v>289.94405304600002</v>
      </c>
      <c r="Z22">
        <v>248</v>
      </c>
      <c r="AA22">
        <v>455.99193548390002</v>
      </c>
      <c r="AB22">
        <v>402</v>
      </c>
      <c r="AC22">
        <v>330.56965174129999</v>
      </c>
      <c r="AD22">
        <v>237</v>
      </c>
      <c r="AE22">
        <v>514.49367088609995</v>
      </c>
      <c r="AF22">
        <v>97</v>
      </c>
      <c r="AG22">
        <v>250.06185567009999</v>
      </c>
      <c r="AH22">
        <v>10</v>
      </c>
      <c r="AI22">
        <v>541.70000000000005</v>
      </c>
      <c r="AL22" t="s">
        <v>414</v>
      </c>
      <c r="AM22">
        <v>47</v>
      </c>
      <c r="AN22">
        <v>30</v>
      </c>
      <c r="AO22">
        <v>145.5</v>
      </c>
      <c r="AP22">
        <v>17</v>
      </c>
      <c r="AQ22">
        <v>236.23529411760001</v>
      </c>
      <c r="AR22">
        <v>9</v>
      </c>
      <c r="AS22">
        <v>121.1111111111</v>
      </c>
      <c r="AT22">
        <v>8</v>
      </c>
      <c r="AU22">
        <v>268.5</v>
      </c>
    </row>
    <row r="23" spans="6:51" x14ac:dyDescent="0.2">
      <c r="F23" t="s">
        <v>73</v>
      </c>
      <c r="G23">
        <v>5189</v>
      </c>
      <c r="H23">
        <v>4156</v>
      </c>
      <c r="I23">
        <v>271.18743984600002</v>
      </c>
      <c r="J23">
        <v>507</v>
      </c>
      <c r="K23">
        <v>457.258382643</v>
      </c>
      <c r="L23">
        <v>742</v>
      </c>
      <c r="M23">
        <v>374.9784366577</v>
      </c>
      <c r="N23">
        <v>281</v>
      </c>
      <c r="O23">
        <v>456.50889679720001</v>
      </c>
      <c r="R23">
        <v>10</v>
      </c>
      <c r="S23">
        <v>311</v>
      </c>
      <c r="V23" t="s">
        <v>410</v>
      </c>
      <c r="W23">
        <v>5496</v>
      </c>
      <c r="X23">
        <v>3676</v>
      </c>
      <c r="Y23">
        <v>376.1221436344</v>
      </c>
      <c r="Z23">
        <v>352</v>
      </c>
      <c r="AA23">
        <v>573.53409090909997</v>
      </c>
      <c r="AB23">
        <v>1429</v>
      </c>
      <c r="AC23">
        <v>554.64380685790002</v>
      </c>
      <c r="AD23">
        <v>243</v>
      </c>
      <c r="AE23">
        <v>485.99176954730001</v>
      </c>
      <c r="AF23">
        <v>138</v>
      </c>
      <c r="AG23">
        <v>134.91304347830001</v>
      </c>
      <c r="AH23">
        <v>10</v>
      </c>
      <c r="AI23">
        <v>270.10000000000002</v>
      </c>
      <c r="AL23" t="s">
        <v>410</v>
      </c>
      <c r="AM23">
        <v>55</v>
      </c>
      <c r="AN23">
        <v>44</v>
      </c>
      <c r="AO23">
        <v>315.27272727270002</v>
      </c>
      <c r="AP23">
        <v>15</v>
      </c>
      <c r="AQ23">
        <v>362.26666666670002</v>
      </c>
      <c r="AR23">
        <v>11</v>
      </c>
      <c r="AS23">
        <v>181.9090909091</v>
      </c>
    </row>
    <row r="24" spans="6:51" x14ac:dyDescent="0.2">
      <c r="F24" t="s">
        <v>45</v>
      </c>
      <c r="G24">
        <v>1462</v>
      </c>
      <c r="H24">
        <v>1142</v>
      </c>
      <c r="I24">
        <v>299.96584938699999</v>
      </c>
      <c r="J24">
        <v>81</v>
      </c>
      <c r="K24">
        <v>591.32098765429998</v>
      </c>
      <c r="L24">
        <v>248</v>
      </c>
      <c r="M24">
        <v>452.18145161289999</v>
      </c>
      <c r="N24">
        <v>70</v>
      </c>
      <c r="O24">
        <v>514.6</v>
      </c>
      <c r="R24">
        <v>2</v>
      </c>
      <c r="S24">
        <v>291.5</v>
      </c>
      <c r="V24" t="s">
        <v>427</v>
      </c>
      <c r="W24">
        <v>7330</v>
      </c>
      <c r="X24">
        <v>5377</v>
      </c>
      <c r="Y24">
        <v>394.51924865170002</v>
      </c>
      <c r="Z24">
        <v>372</v>
      </c>
      <c r="AA24">
        <v>574.93279569890001</v>
      </c>
      <c r="AB24">
        <v>1380</v>
      </c>
      <c r="AC24">
        <v>733.76304347830001</v>
      </c>
      <c r="AD24">
        <v>396</v>
      </c>
      <c r="AE24">
        <v>606.58585858590004</v>
      </c>
      <c r="AF24">
        <v>157</v>
      </c>
      <c r="AG24">
        <v>208.50955414009999</v>
      </c>
      <c r="AH24">
        <v>20</v>
      </c>
      <c r="AI24">
        <v>418.5</v>
      </c>
      <c r="AL24" t="s">
        <v>427</v>
      </c>
      <c r="AM24">
        <v>121</v>
      </c>
      <c r="AN24">
        <v>80</v>
      </c>
      <c r="AO24">
        <v>225.05</v>
      </c>
      <c r="AP24">
        <v>44</v>
      </c>
      <c r="AQ24">
        <v>348.63636363640001</v>
      </c>
      <c r="AR24">
        <v>38</v>
      </c>
      <c r="AS24">
        <v>323.2105263158</v>
      </c>
      <c r="AT24">
        <v>3</v>
      </c>
      <c r="AU24">
        <v>188.6666666667</v>
      </c>
    </row>
    <row r="25" spans="6:51" x14ac:dyDescent="0.2">
      <c r="F25" t="s">
        <v>66</v>
      </c>
      <c r="G25">
        <v>5450</v>
      </c>
      <c r="H25">
        <v>3720</v>
      </c>
      <c r="I25">
        <v>378.43709677419997</v>
      </c>
      <c r="J25">
        <v>353</v>
      </c>
      <c r="K25">
        <v>577.10198300280001</v>
      </c>
      <c r="L25">
        <v>1479</v>
      </c>
      <c r="M25">
        <v>562.137254902</v>
      </c>
      <c r="N25">
        <v>240</v>
      </c>
      <c r="O25">
        <v>497.7</v>
      </c>
      <c r="R25">
        <v>11</v>
      </c>
      <c r="S25">
        <v>293.72727272729998</v>
      </c>
      <c r="V25" t="s">
        <v>408</v>
      </c>
      <c r="W25">
        <v>18674</v>
      </c>
      <c r="X25">
        <v>14835</v>
      </c>
      <c r="Y25">
        <v>332.0496798113</v>
      </c>
      <c r="Z25">
        <v>1856</v>
      </c>
      <c r="AA25">
        <v>505.66594827590001</v>
      </c>
      <c r="AB25">
        <v>2216</v>
      </c>
      <c r="AC25">
        <v>444.03113718409998</v>
      </c>
      <c r="AD25">
        <v>899</v>
      </c>
      <c r="AE25">
        <v>455.8409343715</v>
      </c>
      <c r="AF25">
        <v>710</v>
      </c>
      <c r="AG25">
        <v>164.13098591549999</v>
      </c>
      <c r="AH25">
        <v>14</v>
      </c>
      <c r="AI25">
        <v>331</v>
      </c>
      <c r="AL25" t="s">
        <v>408</v>
      </c>
      <c r="AM25">
        <v>439</v>
      </c>
      <c r="AN25">
        <v>327</v>
      </c>
      <c r="AO25">
        <v>258.18960244649998</v>
      </c>
      <c r="AP25">
        <v>153</v>
      </c>
      <c r="AQ25">
        <v>404.50326797389999</v>
      </c>
      <c r="AR25">
        <v>95</v>
      </c>
      <c r="AS25">
        <v>205.97894736839999</v>
      </c>
      <c r="AT25">
        <v>16</v>
      </c>
      <c r="AU25">
        <v>143.4375</v>
      </c>
      <c r="AV25">
        <v>1</v>
      </c>
      <c r="AW25">
        <v>3</v>
      </c>
    </row>
    <row r="26" spans="6:51" x14ac:dyDescent="0.2">
      <c r="F26" t="s">
        <v>32</v>
      </c>
      <c r="G26">
        <v>216</v>
      </c>
      <c r="H26">
        <v>90</v>
      </c>
      <c r="I26">
        <v>108.55555555559999</v>
      </c>
      <c r="J26">
        <v>106</v>
      </c>
      <c r="K26">
        <v>230.90566037740001</v>
      </c>
      <c r="L26">
        <v>66</v>
      </c>
      <c r="M26">
        <v>166.51515151519999</v>
      </c>
      <c r="N26">
        <v>60</v>
      </c>
      <c r="O26">
        <v>457.88333333330002</v>
      </c>
      <c r="V26" t="s">
        <v>406</v>
      </c>
      <c r="W26">
        <v>1904</v>
      </c>
      <c r="X26">
        <v>1382</v>
      </c>
      <c r="Y26">
        <v>302.46092619389998</v>
      </c>
      <c r="Z26">
        <v>222</v>
      </c>
      <c r="AA26">
        <v>457.6126126126</v>
      </c>
      <c r="AB26">
        <v>346</v>
      </c>
      <c r="AC26">
        <v>279.43063583819998</v>
      </c>
      <c r="AD26">
        <v>103</v>
      </c>
      <c r="AE26">
        <v>382.4951456311</v>
      </c>
      <c r="AF26">
        <v>73</v>
      </c>
      <c r="AG26">
        <v>191.71232876709999</v>
      </c>
      <c r="AL26" t="s">
        <v>406</v>
      </c>
      <c r="AM26">
        <v>29</v>
      </c>
      <c r="AN26">
        <v>21</v>
      </c>
      <c r="AO26">
        <v>326.80952380949998</v>
      </c>
      <c r="AP26">
        <v>15</v>
      </c>
      <c r="AQ26">
        <v>274.26666666670002</v>
      </c>
      <c r="AR26">
        <v>8</v>
      </c>
      <c r="AS26">
        <v>116.25</v>
      </c>
    </row>
    <row r="27" spans="6:51" x14ac:dyDescent="0.2">
      <c r="F27" t="s">
        <v>71</v>
      </c>
      <c r="G27">
        <v>4378</v>
      </c>
      <c r="H27">
        <v>3976</v>
      </c>
      <c r="I27">
        <v>227.23843058349999</v>
      </c>
      <c r="J27">
        <v>548</v>
      </c>
      <c r="K27">
        <v>425.05291970799999</v>
      </c>
      <c r="L27">
        <v>199</v>
      </c>
      <c r="M27">
        <v>149.7738693467</v>
      </c>
      <c r="N27">
        <v>196</v>
      </c>
      <c r="O27">
        <v>241.96428571429999</v>
      </c>
      <c r="R27">
        <v>7</v>
      </c>
      <c r="S27">
        <v>178.71428571429999</v>
      </c>
      <c r="V27" t="s">
        <v>80</v>
      </c>
      <c r="W27">
        <v>5387</v>
      </c>
      <c r="X27">
        <v>4168</v>
      </c>
      <c r="Y27">
        <v>278.81429942419999</v>
      </c>
      <c r="Z27">
        <v>513</v>
      </c>
      <c r="AA27">
        <v>462.55555555559999</v>
      </c>
      <c r="AB27">
        <v>766</v>
      </c>
      <c r="AC27">
        <v>401.77154046999999</v>
      </c>
      <c r="AD27">
        <v>288</v>
      </c>
      <c r="AE27">
        <v>469.86805555559999</v>
      </c>
      <c r="AF27">
        <v>156</v>
      </c>
      <c r="AG27">
        <v>149.7371794872</v>
      </c>
      <c r="AH27">
        <v>9</v>
      </c>
      <c r="AI27">
        <v>257.44444444440001</v>
      </c>
      <c r="AL27" t="s">
        <v>80</v>
      </c>
      <c r="AM27">
        <v>96</v>
      </c>
      <c r="AN27">
        <v>71</v>
      </c>
      <c r="AO27">
        <v>181.09859154930001</v>
      </c>
      <c r="AP27">
        <v>23</v>
      </c>
      <c r="AQ27">
        <v>346.47826086959998</v>
      </c>
      <c r="AR27">
        <v>23</v>
      </c>
      <c r="AS27">
        <v>108.13043478260001</v>
      </c>
      <c r="AT27">
        <v>2</v>
      </c>
      <c r="AU27">
        <v>139.5</v>
      </c>
    </row>
    <row r="28" spans="6:51" x14ac:dyDescent="0.2">
      <c r="F28" t="s">
        <v>31</v>
      </c>
      <c r="G28">
        <v>1727</v>
      </c>
      <c r="H28">
        <v>1289</v>
      </c>
      <c r="I28">
        <v>297.65321955000002</v>
      </c>
      <c r="J28">
        <v>214</v>
      </c>
      <c r="K28">
        <v>450.79439252340001</v>
      </c>
      <c r="L28">
        <v>340</v>
      </c>
      <c r="M28">
        <v>272.02647058820003</v>
      </c>
      <c r="N28">
        <v>98</v>
      </c>
      <c r="O28">
        <v>353.27551020409999</v>
      </c>
      <c r="V28" t="s">
        <v>405</v>
      </c>
      <c r="W28">
        <v>44469</v>
      </c>
      <c r="X28">
        <v>33492</v>
      </c>
      <c r="Y28">
        <v>333.50934551530003</v>
      </c>
      <c r="Z28">
        <v>3832</v>
      </c>
      <c r="AA28">
        <v>501.46868475989999</v>
      </c>
      <c r="AB28">
        <v>6978</v>
      </c>
      <c r="AC28">
        <v>495.69446832900002</v>
      </c>
      <c r="AD28">
        <v>2442</v>
      </c>
      <c r="AE28">
        <v>497.44348894349997</v>
      </c>
      <c r="AF28">
        <v>1486</v>
      </c>
      <c r="AG28">
        <v>170.77658142659999</v>
      </c>
      <c r="AH28">
        <v>71</v>
      </c>
      <c r="AI28">
        <v>359.04225352110001</v>
      </c>
      <c r="AL28" t="s">
        <v>405</v>
      </c>
      <c r="AM28">
        <v>812</v>
      </c>
      <c r="AN28">
        <v>594</v>
      </c>
      <c r="AO28">
        <v>241.430976431</v>
      </c>
      <c r="AP28">
        <v>281</v>
      </c>
      <c r="AQ28">
        <v>365.40213523130001</v>
      </c>
      <c r="AR28">
        <v>188</v>
      </c>
      <c r="AS28">
        <v>206.8617021277</v>
      </c>
      <c r="AT28">
        <v>29</v>
      </c>
      <c r="AU28">
        <v>182.34482758620001</v>
      </c>
      <c r="AV28">
        <v>1</v>
      </c>
      <c r="AW28">
        <v>3</v>
      </c>
    </row>
    <row r="29" spans="6:51" x14ac:dyDescent="0.2">
      <c r="F29" t="s">
        <v>52</v>
      </c>
      <c r="G29">
        <v>4883</v>
      </c>
      <c r="H29">
        <v>3771</v>
      </c>
      <c r="I29">
        <v>322.58552108190003</v>
      </c>
      <c r="J29">
        <v>629</v>
      </c>
      <c r="K29">
        <v>453.50238473770003</v>
      </c>
      <c r="L29">
        <v>851</v>
      </c>
      <c r="M29">
        <v>274.6357226792</v>
      </c>
      <c r="N29">
        <v>261</v>
      </c>
      <c r="O29">
        <v>344.54022988510002</v>
      </c>
      <c r="V29" t="s">
        <v>389</v>
      </c>
      <c r="W29">
        <v>10750</v>
      </c>
      <c r="X29">
        <v>5246</v>
      </c>
      <c r="Y29">
        <v>278.44202898549997</v>
      </c>
      <c r="Z29">
        <v>629</v>
      </c>
      <c r="AA29">
        <v>610.27344992049996</v>
      </c>
      <c r="AB29">
        <v>3700</v>
      </c>
      <c r="AC29">
        <v>756.52675675679995</v>
      </c>
      <c r="AD29">
        <v>1274</v>
      </c>
      <c r="AE29">
        <v>499.54909662220001</v>
      </c>
      <c r="AF29">
        <v>505</v>
      </c>
      <c r="AG29">
        <v>175.3881188119</v>
      </c>
      <c r="AH29">
        <v>25</v>
      </c>
      <c r="AI29">
        <v>504.68</v>
      </c>
      <c r="AL29" t="s">
        <v>389</v>
      </c>
      <c r="AM29">
        <v>281</v>
      </c>
      <c r="AN29">
        <v>201</v>
      </c>
      <c r="AO29">
        <v>371.96019900499999</v>
      </c>
      <c r="AP29">
        <v>18</v>
      </c>
      <c r="AQ29">
        <v>495.7222222222</v>
      </c>
      <c r="AR29">
        <v>71</v>
      </c>
      <c r="AS29">
        <v>455.54929577460001</v>
      </c>
      <c r="AT29">
        <v>9</v>
      </c>
      <c r="AU29">
        <v>115.55555555559999</v>
      </c>
    </row>
    <row r="30" spans="6:51" x14ac:dyDescent="0.2">
      <c r="F30" t="s">
        <v>405</v>
      </c>
      <c r="G30">
        <v>44122</v>
      </c>
      <c r="H30">
        <v>34114</v>
      </c>
      <c r="I30">
        <v>329.1683766196</v>
      </c>
      <c r="J30">
        <v>4027</v>
      </c>
      <c r="K30">
        <v>491.80407251060001</v>
      </c>
      <c r="L30">
        <v>7199</v>
      </c>
      <c r="M30">
        <v>495.1618280317</v>
      </c>
      <c r="N30">
        <v>2728</v>
      </c>
      <c r="O30">
        <v>505.41752199410001</v>
      </c>
      <c r="R30">
        <v>81</v>
      </c>
      <c r="S30">
        <v>354.87654320989998</v>
      </c>
      <c r="V30" t="s">
        <v>426</v>
      </c>
      <c r="W30">
        <v>31167</v>
      </c>
      <c r="X30">
        <v>26973</v>
      </c>
      <c r="Y30">
        <v>461.83426643429999</v>
      </c>
      <c r="Z30">
        <v>1429</v>
      </c>
      <c r="AA30">
        <v>731.81805458359997</v>
      </c>
      <c r="AB30">
        <v>1041</v>
      </c>
      <c r="AC30">
        <v>369.77905859750001</v>
      </c>
      <c r="AD30">
        <v>2173</v>
      </c>
      <c r="AE30">
        <v>343.05200184080002</v>
      </c>
      <c r="AF30">
        <v>965</v>
      </c>
      <c r="AG30">
        <v>181.13056994819999</v>
      </c>
      <c r="AH30">
        <v>15</v>
      </c>
      <c r="AI30">
        <v>338.8</v>
      </c>
      <c r="AL30" t="s">
        <v>426</v>
      </c>
      <c r="AM30">
        <v>586</v>
      </c>
      <c r="AN30">
        <v>492</v>
      </c>
      <c r="AO30">
        <v>316.11585365849999</v>
      </c>
      <c r="AP30">
        <v>121</v>
      </c>
      <c r="AQ30">
        <v>452.55371900829999</v>
      </c>
      <c r="AR30">
        <v>87</v>
      </c>
      <c r="AS30">
        <v>171.2068965517</v>
      </c>
      <c r="AT30">
        <v>7</v>
      </c>
      <c r="AU30">
        <v>338.85714285709997</v>
      </c>
    </row>
    <row r="31" spans="6:51" x14ac:dyDescent="0.2">
      <c r="F31" t="s">
        <v>25</v>
      </c>
      <c r="G31">
        <v>17662</v>
      </c>
      <c r="H31">
        <v>15341</v>
      </c>
      <c r="I31">
        <v>548.64997718229995</v>
      </c>
      <c r="J31">
        <v>1086</v>
      </c>
      <c r="K31">
        <v>817.894106814</v>
      </c>
      <c r="L31">
        <v>1329</v>
      </c>
      <c r="M31">
        <v>508.66290443939999</v>
      </c>
      <c r="N31">
        <v>970</v>
      </c>
      <c r="O31">
        <v>378.76938986559998</v>
      </c>
      <c r="R31">
        <v>22</v>
      </c>
      <c r="S31">
        <v>364.6818181818</v>
      </c>
      <c r="V31" t="s">
        <v>382</v>
      </c>
      <c r="W31">
        <v>18279</v>
      </c>
      <c r="X31">
        <v>15298</v>
      </c>
      <c r="Y31">
        <v>546.72450313809998</v>
      </c>
      <c r="Z31">
        <v>1113</v>
      </c>
      <c r="AA31">
        <v>804.58131176999996</v>
      </c>
      <c r="AB31">
        <v>1404</v>
      </c>
      <c r="AC31">
        <v>530.67948717950003</v>
      </c>
      <c r="AD31">
        <v>1018</v>
      </c>
      <c r="AE31">
        <v>377.09950738920003</v>
      </c>
      <c r="AF31">
        <v>537</v>
      </c>
      <c r="AG31">
        <v>176.3246268657</v>
      </c>
      <c r="AH31">
        <v>22</v>
      </c>
      <c r="AI31">
        <v>364.6818181818</v>
      </c>
      <c r="AL31" t="s">
        <v>382</v>
      </c>
      <c r="AM31">
        <v>362</v>
      </c>
      <c r="AN31">
        <v>265</v>
      </c>
      <c r="AO31">
        <v>333.51320754720001</v>
      </c>
      <c r="AP31">
        <v>74</v>
      </c>
      <c r="AQ31">
        <v>574.72972972970001</v>
      </c>
      <c r="AR31">
        <v>75</v>
      </c>
      <c r="AS31">
        <v>181.85333333329999</v>
      </c>
      <c r="AT31">
        <v>21</v>
      </c>
      <c r="AU31">
        <v>203.80952380950001</v>
      </c>
      <c r="AX31">
        <v>1</v>
      </c>
      <c r="AY31">
        <v>177</v>
      </c>
    </row>
    <row r="32" spans="6:51" x14ac:dyDescent="0.2">
      <c r="F32" t="s">
        <v>39</v>
      </c>
      <c r="G32">
        <v>13068</v>
      </c>
      <c r="H32">
        <v>10401</v>
      </c>
      <c r="I32">
        <v>372.45067307689999</v>
      </c>
      <c r="J32">
        <v>405</v>
      </c>
      <c r="K32">
        <v>672.67654320990005</v>
      </c>
      <c r="L32">
        <v>1733</v>
      </c>
      <c r="M32">
        <v>513.48817080209994</v>
      </c>
      <c r="N32">
        <v>904</v>
      </c>
      <c r="O32">
        <v>573.939159292</v>
      </c>
      <c r="R32">
        <v>30</v>
      </c>
      <c r="S32">
        <v>513.9</v>
      </c>
      <c r="V32" t="s">
        <v>394</v>
      </c>
      <c r="W32">
        <v>3382</v>
      </c>
      <c r="X32">
        <v>2179</v>
      </c>
      <c r="Y32">
        <v>468.43965121619999</v>
      </c>
      <c r="Z32">
        <v>365</v>
      </c>
      <c r="AA32">
        <v>432.3534246575</v>
      </c>
      <c r="AB32">
        <v>573</v>
      </c>
      <c r="AC32">
        <v>590.86561954620004</v>
      </c>
      <c r="AD32">
        <v>495</v>
      </c>
      <c r="AE32">
        <v>617.51111111110004</v>
      </c>
      <c r="AF32">
        <v>132</v>
      </c>
      <c r="AG32">
        <v>154.15151515150001</v>
      </c>
      <c r="AH32">
        <v>3</v>
      </c>
      <c r="AI32">
        <v>597.33333333329995</v>
      </c>
      <c r="AL32" t="s">
        <v>394</v>
      </c>
      <c r="AM32">
        <v>127</v>
      </c>
      <c r="AN32">
        <v>99</v>
      </c>
      <c r="AO32">
        <v>458.76767676769998</v>
      </c>
      <c r="AP32">
        <v>9</v>
      </c>
      <c r="AQ32">
        <v>625.2222222222</v>
      </c>
      <c r="AR32">
        <v>24</v>
      </c>
      <c r="AS32">
        <v>303.9166666667</v>
      </c>
      <c r="AT32">
        <v>3</v>
      </c>
      <c r="AU32">
        <v>367.3333333333</v>
      </c>
      <c r="AV32">
        <v>1</v>
      </c>
      <c r="AW32">
        <v>668</v>
      </c>
    </row>
    <row r="33" spans="6:51" x14ac:dyDescent="0.2">
      <c r="F33" t="s">
        <v>72</v>
      </c>
      <c r="G33">
        <v>5873</v>
      </c>
      <c r="H33">
        <v>2861</v>
      </c>
      <c r="I33">
        <v>366.19825174829998</v>
      </c>
      <c r="J33">
        <v>433</v>
      </c>
      <c r="K33">
        <v>623.6004618938</v>
      </c>
      <c r="L33">
        <v>1980</v>
      </c>
      <c r="M33">
        <v>705.77828282830001</v>
      </c>
      <c r="N33">
        <v>1026</v>
      </c>
      <c r="O33">
        <v>974.57894736840001</v>
      </c>
      <c r="R33">
        <v>6</v>
      </c>
      <c r="S33">
        <v>638.83333333329995</v>
      </c>
      <c r="V33" t="s">
        <v>385</v>
      </c>
      <c r="W33">
        <v>7129</v>
      </c>
      <c r="X33">
        <v>4462</v>
      </c>
      <c r="Y33">
        <v>284.52723604570002</v>
      </c>
      <c r="Z33">
        <v>459</v>
      </c>
      <c r="AA33">
        <v>635.00435729850005</v>
      </c>
      <c r="AB33">
        <v>1517</v>
      </c>
      <c r="AC33">
        <v>371.51746868819998</v>
      </c>
      <c r="AD33">
        <v>750</v>
      </c>
      <c r="AE33">
        <v>466.56400000000002</v>
      </c>
      <c r="AF33">
        <v>386</v>
      </c>
      <c r="AG33">
        <v>188.72020725390001</v>
      </c>
      <c r="AH33">
        <v>14</v>
      </c>
      <c r="AI33">
        <v>546.57142857140002</v>
      </c>
      <c r="AL33" t="s">
        <v>385</v>
      </c>
      <c r="AM33">
        <v>258</v>
      </c>
      <c r="AN33">
        <v>196</v>
      </c>
      <c r="AO33">
        <v>307.11224489799997</v>
      </c>
      <c r="AP33">
        <v>10</v>
      </c>
      <c r="AQ33">
        <v>467.9</v>
      </c>
      <c r="AR33">
        <v>54</v>
      </c>
      <c r="AS33">
        <v>275.537037037</v>
      </c>
      <c r="AT33">
        <v>8</v>
      </c>
      <c r="AU33">
        <v>304.5</v>
      </c>
    </row>
    <row r="34" spans="6:51" x14ac:dyDescent="0.2">
      <c r="F34" t="s">
        <v>58</v>
      </c>
      <c r="G34">
        <v>6544</v>
      </c>
      <c r="H34">
        <v>4329</v>
      </c>
      <c r="I34">
        <v>267.17490757860003</v>
      </c>
      <c r="J34">
        <v>451</v>
      </c>
      <c r="K34">
        <v>619.59866962310002</v>
      </c>
      <c r="L34">
        <v>1454</v>
      </c>
      <c r="M34">
        <v>337.91471801929998</v>
      </c>
      <c r="N34">
        <v>747</v>
      </c>
      <c r="O34">
        <v>456.5073627845</v>
      </c>
      <c r="R34">
        <v>14</v>
      </c>
      <c r="S34">
        <v>546.57142857140002</v>
      </c>
      <c r="V34" t="s">
        <v>428</v>
      </c>
      <c r="W34">
        <v>5988</v>
      </c>
      <c r="X34">
        <v>2778</v>
      </c>
      <c r="Y34">
        <v>365.42563917899997</v>
      </c>
      <c r="Z34">
        <v>414</v>
      </c>
      <c r="AA34">
        <v>620.90579710140003</v>
      </c>
      <c r="AB34">
        <v>1925</v>
      </c>
      <c r="AC34">
        <v>706.31064935059999</v>
      </c>
      <c r="AD34">
        <v>1001</v>
      </c>
      <c r="AE34">
        <v>971.7592407592</v>
      </c>
      <c r="AF34">
        <v>278</v>
      </c>
      <c r="AG34">
        <v>166.69784172659999</v>
      </c>
      <c r="AH34">
        <v>6</v>
      </c>
      <c r="AI34">
        <v>638.83333333329995</v>
      </c>
      <c r="AL34" t="s">
        <v>428</v>
      </c>
      <c r="AM34">
        <v>119</v>
      </c>
      <c r="AN34">
        <v>80</v>
      </c>
      <c r="AO34">
        <v>322.11250000000001</v>
      </c>
      <c r="AP34">
        <v>16</v>
      </c>
      <c r="AQ34">
        <v>351.9375</v>
      </c>
      <c r="AR34">
        <v>29</v>
      </c>
      <c r="AS34">
        <v>196.44827586209999</v>
      </c>
      <c r="AT34">
        <v>10</v>
      </c>
      <c r="AU34">
        <v>160.80000000000001</v>
      </c>
    </row>
    <row r="35" spans="6:51" x14ac:dyDescent="0.2">
      <c r="F35" t="s">
        <v>53</v>
      </c>
      <c r="G35">
        <v>4884</v>
      </c>
      <c r="H35">
        <v>3275</v>
      </c>
      <c r="I35">
        <v>504.44519083969999</v>
      </c>
      <c r="J35">
        <v>515</v>
      </c>
      <c r="K35">
        <v>457.17281553399999</v>
      </c>
      <c r="L35">
        <v>890</v>
      </c>
      <c r="M35">
        <v>579.84382022470004</v>
      </c>
      <c r="N35">
        <v>715</v>
      </c>
      <c r="O35">
        <v>624.18181818180005</v>
      </c>
      <c r="R35">
        <v>4</v>
      </c>
      <c r="S35">
        <v>783</v>
      </c>
      <c r="V35" t="s">
        <v>384</v>
      </c>
      <c r="W35">
        <v>13284</v>
      </c>
      <c r="X35">
        <v>10280</v>
      </c>
      <c r="Y35">
        <v>374.5636735091</v>
      </c>
      <c r="Z35">
        <v>416</v>
      </c>
      <c r="AA35">
        <v>664.35096153849997</v>
      </c>
      <c r="AB35">
        <v>1727</v>
      </c>
      <c r="AC35">
        <v>517.24667052689995</v>
      </c>
      <c r="AD35">
        <v>909</v>
      </c>
      <c r="AE35">
        <v>566.83388338830002</v>
      </c>
      <c r="AF35">
        <v>337</v>
      </c>
      <c r="AG35">
        <v>186.51190476190001</v>
      </c>
      <c r="AH35">
        <v>31</v>
      </c>
      <c r="AI35">
        <v>540.54838709679996</v>
      </c>
      <c r="AL35" t="s">
        <v>384</v>
      </c>
      <c r="AM35">
        <v>168</v>
      </c>
      <c r="AN35">
        <v>133</v>
      </c>
      <c r="AO35">
        <v>299.32330827070001</v>
      </c>
      <c r="AP35">
        <v>33</v>
      </c>
      <c r="AQ35">
        <v>343.48484848480001</v>
      </c>
      <c r="AR35">
        <v>28</v>
      </c>
      <c r="AS35">
        <v>219.78571428570001</v>
      </c>
      <c r="AT35">
        <v>6</v>
      </c>
      <c r="AU35">
        <v>300.3333333333</v>
      </c>
      <c r="AV35">
        <v>1</v>
      </c>
      <c r="AW35">
        <v>10</v>
      </c>
    </row>
    <row r="36" spans="6:51" x14ac:dyDescent="0.2">
      <c r="F36" t="s">
        <v>57</v>
      </c>
      <c r="G36">
        <v>10277</v>
      </c>
      <c r="H36">
        <v>5191</v>
      </c>
      <c r="I36">
        <v>269.70687993830001</v>
      </c>
      <c r="J36">
        <v>636</v>
      </c>
      <c r="K36">
        <v>607.45754716980002</v>
      </c>
      <c r="L36">
        <v>3777</v>
      </c>
      <c r="M36">
        <v>758.46041832139997</v>
      </c>
      <c r="N36">
        <v>1283</v>
      </c>
      <c r="O36">
        <v>494.9422776911</v>
      </c>
      <c r="R36">
        <v>26</v>
      </c>
      <c r="S36">
        <v>487.30769230769999</v>
      </c>
      <c r="V36" t="s">
        <v>381</v>
      </c>
      <c r="W36">
        <v>89979</v>
      </c>
      <c r="X36">
        <v>67216</v>
      </c>
      <c r="Y36">
        <v>437.95903700510001</v>
      </c>
      <c r="Z36">
        <v>4825</v>
      </c>
      <c r="AA36">
        <v>685.56062176169996</v>
      </c>
      <c r="AB36">
        <v>11887</v>
      </c>
      <c r="AC36">
        <v>595.9665180449</v>
      </c>
      <c r="AD36">
        <v>7620</v>
      </c>
      <c r="AE36">
        <v>513.09191176469994</v>
      </c>
      <c r="AF36">
        <v>3140</v>
      </c>
      <c r="AG36">
        <v>178.48183556410001</v>
      </c>
      <c r="AH36">
        <v>116</v>
      </c>
      <c r="AI36">
        <v>480.65517241380002</v>
      </c>
      <c r="AL36" t="s">
        <v>381</v>
      </c>
      <c r="AM36">
        <v>1901</v>
      </c>
      <c r="AN36">
        <v>1466</v>
      </c>
      <c r="AO36">
        <v>334.15075034109998</v>
      </c>
      <c r="AP36">
        <v>281</v>
      </c>
      <c r="AQ36">
        <v>475.03202846980003</v>
      </c>
      <c r="AR36">
        <v>368</v>
      </c>
      <c r="AS36">
        <v>257.88586956519998</v>
      </c>
      <c r="AT36">
        <v>64</v>
      </c>
      <c r="AU36">
        <v>228.75</v>
      </c>
      <c r="AV36">
        <v>2</v>
      </c>
      <c r="AW36">
        <v>339</v>
      </c>
      <c r="AX36">
        <v>1</v>
      </c>
      <c r="AY36">
        <v>177</v>
      </c>
    </row>
    <row r="37" spans="6:51" x14ac:dyDescent="0.2">
      <c r="F37" t="s">
        <v>77</v>
      </c>
      <c r="G37">
        <v>30330</v>
      </c>
      <c r="H37">
        <v>27374</v>
      </c>
      <c r="I37">
        <v>461.52652345460001</v>
      </c>
      <c r="J37">
        <v>1383</v>
      </c>
      <c r="K37">
        <v>731.3470715835</v>
      </c>
      <c r="L37">
        <v>839</v>
      </c>
      <c r="M37">
        <v>281.57210965439998</v>
      </c>
      <c r="N37">
        <v>2106</v>
      </c>
      <c r="O37">
        <v>326.85185185189999</v>
      </c>
      <c r="R37">
        <v>11</v>
      </c>
      <c r="S37">
        <v>332.27272727270002</v>
      </c>
      <c r="V37" t="s">
        <v>407</v>
      </c>
      <c r="W37">
        <v>497</v>
      </c>
      <c r="X37">
        <v>261</v>
      </c>
      <c r="Y37">
        <v>138.78544061299999</v>
      </c>
      <c r="Z37">
        <v>252</v>
      </c>
      <c r="AA37">
        <v>195.34523809519999</v>
      </c>
      <c r="AB37">
        <v>89</v>
      </c>
      <c r="AC37">
        <v>169.0561797753</v>
      </c>
      <c r="AD37">
        <v>95</v>
      </c>
      <c r="AE37">
        <v>227.8315789474</v>
      </c>
      <c r="AF37">
        <v>48</v>
      </c>
      <c r="AG37">
        <v>171.2083333333</v>
      </c>
      <c r="AH37">
        <v>4</v>
      </c>
      <c r="AI37">
        <v>379.5</v>
      </c>
      <c r="AL37" t="s">
        <v>407</v>
      </c>
      <c r="AM37">
        <v>20</v>
      </c>
      <c r="AN37">
        <v>12</v>
      </c>
      <c r="AO37">
        <v>89.583333333300004</v>
      </c>
      <c r="AP37">
        <v>11</v>
      </c>
      <c r="AQ37">
        <v>225.45454545449999</v>
      </c>
      <c r="AR37">
        <v>7</v>
      </c>
      <c r="AS37">
        <v>243.42857142860001</v>
      </c>
      <c r="AT37">
        <v>1</v>
      </c>
      <c r="AU37">
        <v>68</v>
      </c>
    </row>
    <row r="38" spans="6:51" x14ac:dyDescent="0.2">
      <c r="F38" t="s">
        <v>381</v>
      </c>
      <c r="G38">
        <v>88638</v>
      </c>
      <c r="H38">
        <v>68772</v>
      </c>
      <c r="I38">
        <v>438.86043366349998</v>
      </c>
      <c r="J38">
        <v>4909</v>
      </c>
      <c r="K38">
        <v>681.06844571199997</v>
      </c>
      <c r="L38">
        <v>12002</v>
      </c>
      <c r="M38">
        <v>589.20696550570005</v>
      </c>
      <c r="N38">
        <v>7751</v>
      </c>
      <c r="O38">
        <v>515.70879049949997</v>
      </c>
      <c r="R38">
        <v>113</v>
      </c>
      <c r="S38">
        <v>481.25663716809999</v>
      </c>
      <c r="V38" t="s">
        <v>411</v>
      </c>
      <c r="W38">
        <v>41446</v>
      </c>
      <c r="X38">
        <v>29601</v>
      </c>
      <c r="Y38">
        <v>458.75217053479997</v>
      </c>
      <c r="Z38">
        <v>2225</v>
      </c>
      <c r="AA38">
        <v>713.62561797750004</v>
      </c>
      <c r="AB38">
        <v>8434</v>
      </c>
      <c r="AC38">
        <v>733.37419966799996</v>
      </c>
      <c r="AD38">
        <v>2195</v>
      </c>
      <c r="AE38">
        <v>548.21705426359995</v>
      </c>
      <c r="AF38">
        <v>1164</v>
      </c>
      <c r="AG38">
        <v>180.61426116839999</v>
      </c>
      <c r="AH38">
        <v>52</v>
      </c>
      <c r="AI38">
        <v>550.44230769230001</v>
      </c>
      <c r="AL38" t="s">
        <v>411</v>
      </c>
      <c r="AM38">
        <v>602</v>
      </c>
      <c r="AN38">
        <v>428</v>
      </c>
      <c r="AO38">
        <v>332.20327102800002</v>
      </c>
      <c r="AP38">
        <v>212</v>
      </c>
      <c r="AQ38">
        <v>538.25943396230002</v>
      </c>
      <c r="AR38">
        <v>155</v>
      </c>
      <c r="AS38">
        <v>296.91612903229998</v>
      </c>
      <c r="AT38">
        <v>18</v>
      </c>
      <c r="AU38">
        <v>348.3888888889</v>
      </c>
      <c r="AV38">
        <v>1</v>
      </c>
      <c r="AW38">
        <v>3</v>
      </c>
    </row>
    <row r="39" spans="6:51" x14ac:dyDescent="0.2">
      <c r="F39" t="s">
        <v>79</v>
      </c>
      <c r="G39">
        <v>19443</v>
      </c>
      <c r="H39">
        <v>14765</v>
      </c>
      <c r="I39">
        <v>410.92976633929999</v>
      </c>
      <c r="J39">
        <v>1115</v>
      </c>
      <c r="K39">
        <v>685.29237668159999</v>
      </c>
      <c r="L39">
        <v>3723</v>
      </c>
      <c r="M39">
        <v>784.07467096430003</v>
      </c>
      <c r="N39">
        <v>927</v>
      </c>
      <c r="O39">
        <v>482.80474649410002</v>
      </c>
      <c r="R39">
        <v>28</v>
      </c>
      <c r="S39">
        <v>577.46428571429999</v>
      </c>
      <c r="V39" t="s">
        <v>419</v>
      </c>
      <c r="W39">
        <v>441</v>
      </c>
      <c r="X39">
        <v>223</v>
      </c>
      <c r="Y39">
        <v>172.17040358739999</v>
      </c>
      <c r="Z39">
        <v>81</v>
      </c>
      <c r="AA39">
        <v>250.39506172840001</v>
      </c>
      <c r="AB39">
        <v>131</v>
      </c>
      <c r="AC39">
        <v>328.08396946559998</v>
      </c>
      <c r="AD39">
        <v>63</v>
      </c>
      <c r="AE39">
        <v>438.85714285709997</v>
      </c>
      <c r="AF39">
        <v>22</v>
      </c>
      <c r="AG39">
        <v>296.40909090909997</v>
      </c>
      <c r="AH39">
        <v>2</v>
      </c>
      <c r="AI39">
        <v>555.5</v>
      </c>
      <c r="AL39" t="s">
        <v>419</v>
      </c>
      <c r="AM39">
        <v>7</v>
      </c>
      <c r="AN39">
        <v>6</v>
      </c>
      <c r="AO39">
        <v>219.1666666667</v>
      </c>
      <c r="AP39">
        <v>4</v>
      </c>
      <c r="AQ39">
        <v>206.5</v>
      </c>
      <c r="AR39">
        <v>1</v>
      </c>
      <c r="AS39">
        <v>173</v>
      </c>
    </row>
    <row r="40" spans="6:51" x14ac:dyDescent="0.2">
      <c r="F40" t="s">
        <v>40</v>
      </c>
      <c r="G40">
        <v>6392</v>
      </c>
      <c r="H40">
        <v>3629</v>
      </c>
      <c r="I40">
        <v>269.4276660237</v>
      </c>
      <c r="J40">
        <v>188</v>
      </c>
      <c r="K40">
        <v>531.28723404259995</v>
      </c>
      <c r="L40">
        <v>2390</v>
      </c>
      <c r="M40">
        <v>741.20669456070004</v>
      </c>
      <c r="N40">
        <v>356</v>
      </c>
      <c r="O40">
        <v>413.17134831459998</v>
      </c>
      <c r="R40">
        <v>17</v>
      </c>
      <c r="S40">
        <v>344.29411764709999</v>
      </c>
      <c r="V40" t="s">
        <v>422</v>
      </c>
      <c r="W40">
        <v>302</v>
      </c>
      <c r="X40">
        <v>202</v>
      </c>
      <c r="Y40">
        <v>273.2475247525</v>
      </c>
      <c r="Z40">
        <v>68</v>
      </c>
      <c r="AA40">
        <v>454.4117647059</v>
      </c>
      <c r="AB40">
        <v>47</v>
      </c>
      <c r="AC40">
        <v>441.6595744681</v>
      </c>
      <c r="AD40">
        <v>28</v>
      </c>
      <c r="AE40">
        <v>343.21428571429999</v>
      </c>
      <c r="AF40">
        <v>25</v>
      </c>
      <c r="AG40">
        <v>202.28</v>
      </c>
      <c r="AL40" t="s">
        <v>422</v>
      </c>
      <c r="AM40">
        <v>6</v>
      </c>
      <c r="AN40">
        <v>2</v>
      </c>
      <c r="AO40">
        <v>523.5</v>
      </c>
      <c r="AR40">
        <v>4</v>
      </c>
      <c r="AS40">
        <v>163</v>
      </c>
    </row>
    <row r="41" spans="6:51" x14ac:dyDescent="0.2">
      <c r="F41" t="s">
        <v>46</v>
      </c>
      <c r="G41">
        <v>20787</v>
      </c>
      <c r="H41">
        <v>14774</v>
      </c>
      <c r="I41">
        <v>514.24937385769999</v>
      </c>
      <c r="J41">
        <v>1116</v>
      </c>
      <c r="K41">
        <v>753.49551971330004</v>
      </c>
      <c r="L41">
        <v>4763</v>
      </c>
      <c r="M41">
        <v>700.46399328150005</v>
      </c>
      <c r="N41">
        <v>1226</v>
      </c>
      <c r="O41">
        <v>614.6968954248</v>
      </c>
      <c r="R41">
        <v>24</v>
      </c>
      <c r="S41">
        <v>504.5</v>
      </c>
      <c r="V41" t="s">
        <v>412</v>
      </c>
      <c r="W41">
        <v>5352</v>
      </c>
      <c r="X41">
        <v>4112</v>
      </c>
      <c r="Y41">
        <v>487.8190661479</v>
      </c>
      <c r="Z41">
        <v>240</v>
      </c>
      <c r="AA41">
        <v>874.60416666670005</v>
      </c>
      <c r="AB41">
        <v>572</v>
      </c>
      <c r="AC41">
        <v>281.3706293706</v>
      </c>
      <c r="AD41">
        <v>466</v>
      </c>
      <c r="AE41">
        <v>566.98497854079994</v>
      </c>
      <c r="AF41">
        <v>198</v>
      </c>
      <c r="AG41">
        <v>200.0757575758</v>
      </c>
      <c r="AH41">
        <v>4</v>
      </c>
      <c r="AI41">
        <v>211</v>
      </c>
      <c r="AL41" t="s">
        <v>412</v>
      </c>
      <c r="AM41">
        <v>172</v>
      </c>
      <c r="AN41">
        <v>133</v>
      </c>
      <c r="AO41">
        <v>401.3759398496</v>
      </c>
      <c r="AP41">
        <v>13</v>
      </c>
      <c r="AQ41">
        <v>839.92307692309998</v>
      </c>
      <c r="AR41">
        <v>36</v>
      </c>
      <c r="AS41">
        <v>325.19444444440001</v>
      </c>
      <c r="AT41">
        <v>3</v>
      </c>
      <c r="AU41">
        <v>661.66666666670005</v>
      </c>
    </row>
    <row r="42" spans="6:51" x14ac:dyDescent="0.2">
      <c r="F42" t="s">
        <v>49</v>
      </c>
      <c r="G42">
        <v>4644</v>
      </c>
      <c r="H42">
        <v>3079</v>
      </c>
      <c r="I42">
        <v>315.90613835660002</v>
      </c>
      <c r="J42">
        <v>308</v>
      </c>
      <c r="K42">
        <v>580.51298701300004</v>
      </c>
      <c r="L42">
        <v>1042</v>
      </c>
      <c r="M42">
        <v>391.62284069100002</v>
      </c>
      <c r="N42">
        <v>512</v>
      </c>
      <c r="O42">
        <v>588.546875</v>
      </c>
      <c r="R42">
        <v>11</v>
      </c>
      <c r="S42">
        <v>526.36363636359999</v>
      </c>
      <c r="V42" t="s">
        <v>404</v>
      </c>
      <c r="W42">
        <v>6502</v>
      </c>
      <c r="X42">
        <v>3615</v>
      </c>
      <c r="Y42">
        <v>277.04591977870001</v>
      </c>
      <c r="Z42">
        <v>197</v>
      </c>
      <c r="AA42">
        <v>540.94416243650005</v>
      </c>
      <c r="AB42">
        <v>2277</v>
      </c>
      <c r="AC42">
        <v>729.37900746599996</v>
      </c>
      <c r="AD42">
        <v>351</v>
      </c>
      <c r="AE42">
        <v>429.16524216520003</v>
      </c>
      <c r="AF42">
        <v>242</v>
      </c>
      <c r="AG42">
        <v>194.6983471074</v>
      </c>
      <c r="AH42">
        <v>17</v>
      </c>
      <c r="AI42">
        <v>344.29411764709999</v>
      </c>
      <c r="AL42" t="s">
        <v>404</v>
      </c>
      <c r="AM42">
        <v>91</v>
      </c>
      <c r="AN42">
        <v>59</v>
      </c>
      <c r="AO42">
        <v>253.8644067797</v>
      </c>
      <c r="AP42">
        <v>20</v>
      </c>
      <c r="AQ42">
        <v>265.60000000000002</v>
      </c>
      <c r="AR42">
        <v>28</v>
      </c>
      <c r="AS42">
        <v>554.78571428570001</v>
      </c>
      <c r="AT42">
        <v>4</v>
      </c>
      <c r="AU42">
        <v>157.25</v>
      </c>
    </row>
    <row r="43" spans="6:51" x14ac:dyDescent="0.2">
      <c r="F43" t="s">
        <v>36</v>
      </c>
      <c r="G43">
        <v>249</v>
      </c>
      <c r="H43">
        <v>183</v>
      </c>
      <c r="I43">
        <v>271.01092896170002</v>
      </c>
      <c r="J43">
        <v>74</v>
      </c>
      <c r="K43">
        <v>468.45945945950001</v>
      </c>
      <c r="L43">
        <v>37</v>
      </c>
      <c r="M43">
        <v>341.43243243239999</v>
      </c>
      <c r="N43">
        <v>29</v>
      </c>
      <c r="O43">
        <v>326.79310344829997</v>
      </c>
      <c r="V43" t="s">
        <v>413</v>
      </c>
      <c r="W43">
        <v>4759</v>
      </c>
      <c r="X43">
        <v>2994</v>
      </c>
      <c r="Y43">
        <v>203.86305945219999</v>
      </c>
      <c r="Z43">
        <v>423</v>
      </c>
      <c r="AA43">
        <v>365.14657210399997</v>
      </c>
      <c r="AB43">
        <v>968</v>
      </c>
      <c r="AC43">
        <v>256.68904958680002</v>
      </c>
      <c r="AD43">
        <v>489</v>
      </c>
      <c r="AE43">
        <v>322.84049079750002</v>
      </c>
      <c r="AF43">
        <v>303</v>
      </c>
      <c r="AG43">
        <v>174.2112211221</v>
      </c>
      <c r="AH43">
        <v>5</v>
      </c>
      <c r="AI43">
        <v>112.4</v>
      </c>
      <c r="AL43" t="s">
        <v>413</v>
      </c>
      <c r="AM43">
        <v>105</v>
      </c>
      <c r="AN43">
        <v>75</v>
      </c>
      <c r="AO43">
        <v>153.16</v>
      </c>
      <c r="AP43">
        <v>43</v>
      </c>
      <c r="AQ43">
        <v>233.27906976739999</v>
      </c>
      <c r="AR43">
        <v>24</v>
      </c>
      <c r="AS43">
        <v>160.7916666667</v>
      </c>
      <c r="AT43">
        <v>5</v>
      </c>
      <c r="AU43">
        <v>350.6</v>
      </c>
      <c r="AV43">
        <v>1</v>
      </c>
      <c r="AW43">
        <v>199</v>
      </c>
    </row>
    <row r="44" spans="6:51" x14ac:dyDescent="0.2">
      <c r="F44" t="s">
        <v>27</v>
      </c>
      <c r="G44">
        <v>4416</v>
      </c>
      <c r="H44">
        <v>2948</v>
      </c>
      <c r="I44">
        <v>195.3246268657</v>
      </c>
      <c r="J44">
        <v>417</v>
      </c>
      <c r="K44">
        <v>355.62589928059998</v>
      </c>
      <c r="L44">
        <v>961</v>
      </c>
      <c r="M44">
        <v>247.21748178979999</v>
      </c>
      <c r="N44">
        <v>501</v>
      </c>
      <c r="O44">
        <v>311.5568862275</v>
      </c>
      <c r="R44">
        <v>6</v>
      </c>
      <c r="S44">
        <v>144.5</v>
      </c>
      <c r="V44" t="s">
        <v>388</v>
      </c>
      <c r="W44">
        <v>5931</v>
      </c>
      <c r="X44">
        <v>4810</v>
      </c>
      <c r="Y44">
        <v>445.58170478170001</v>
      </c>
      <c r="Z44">
        <v>397</v>
      </c>
      <c r="AA44">
        <v>671.86901763219998</v>
      </c>
      <c r="AB44">
        <v>538</v>
      </c>
      <c r="AC44">
        <v>423.8085501859</v>
      </c>
      <c r="AD44">
        <v>385</v>
      </c>
      <c r="AE44">
        <v>453.0883116883</v>
      </c>
      <c r="AF44">
        <v>182</v>
      </c>
      <c r="AG44">
        <v>192.92307692310001</v>
      </c>
      <c r="AH44">
        <v>16</v>
      </c>
      <c r="AI44">
        <v>387.625</v>
      </c>
      <c r="AL44" t="s">
        <v>388</v>
      </c>
      <c r="AM44">
        <v>200</v>
      </c>
      <c r="AN44">
        <v>157</v>
      </c>
      <c r="AO44">
        <v>390.68789808920002</v>
      </c>
      <c r="AP44">
        <v>8</v>
      </c>
      <c r="AQ44">
        <v>829.375</v>
      </c>
      <c r="AR44">
        <v>42</v>
      </c>
      <c r="AS44">
        <v>249.90476190480001</v>
      </c>
      <c r="AT44">
        <v>1</v>
      </c>
      <c r="AU44">
        <v>173</v>
      </c>
    </row>
    <row r="45" spans="6:51" x14ac:dyDescent="0.2">
      <c r="F45" t="s">
        <v>51</v>
      </c>
      <c r="G45">
        <v>5298</v>
      </c>
      <c r="H45">
        <v>4246</v>
      </c>
      <c r="I45">
        <v>489.83042863870003</v>
      </c>
      <c r="J45">
        <v>243</v>
      </c>
      <c r="K45">
        <v>889</v>
      </c>
      <c r="L45">
        <v>573</v>
      </c>
      <c r="M45">
        <v>264.52356020939999</v>
      </c>
      <c r="N45">
        <v>474</v>
      </c>
      <c r="O45">
        <v>590.81856540080003</v>
      </c>
      <c r="R45">
        <v>5</v>
      </c>
      <c r="S45">
        <v>263.60000000000002</v>
      </c>
      <c r="V45" t="s">
        <v>390</v>
      </c>
      <c r="W45">
        <v>4873</v>
      </c>
      <c r="X45">
        <v>3132</v>
      </c>
      <c r="Y45">
        <v>324.19731800770001</v>
      </c>
      <c r="Z45">
        <v>318</v>
      </c>
      <c r="AA45">
        <v>589.05345911949996</v>
      </c>
      <c r="AB45">
        <v>1060</v>
      </c>
      <c r="AC45">
        <v>403.20943396230001</v>
      </c>
      <c r="AD45">
        <v>513</v>
      </c>
      <c r="AE45">
        <v>594.74074074069995</v>
      </c>
      <c r="AF45">
        <v>157</v>
      </c>
      <c r="AG45">
        <v>244.52229299359999</v>
      </c>
      <c r="AH45">
        <v>11</v>
      </c>
      <c r="AI45">
        <v>526.36363636359999</v>
      </c>
      <c r="AL45" t="s">
        <v>390</v>
      </c>
      <c r="AM45">
        <v>173</v>
      </c>
      <c r="AN45">
        <v>126</v>
      </c>
      <c r="AO45">
        <v>329.5</v>
      </c>
      <c r="AP45">
        <v>7</v>
      </c>
      <c r="AQ45">
        <v>391.85714285709997</v>
      </c>
      <c r="AR45">
        <v>45</v>
      </c>
      <c r="AS45">
        <v>414.91111111110001</v>
      </c>
      <c r="AT45">
        <v>2</v>
      </c>
      <c r="AU45">
        <v>450.5</v>
      </c>
    </row>
    <row r="46" spans="6:51" x14ac:dyDescent="0.2">
      <c r="F46" t="s">
        <v>59</v>
      </c>
      <c r="G46">
        <v>5768</v>
      </c>
      <c r="H46">
        <v>4830</v>
      </c>
      <c r="I46">
        <v>447.85817805379997</v>
      </c>
      <c r="J46">
        <v>395</v>
      </c>
      <c r="K46">
        <v>674.74683544300001</v>
      </c>
      <c r="L46">
        <v>535</v>
      </c>
      <c r="M46">
        <v>394.81869158879999</v>
      </c>
      <c r="N46">
        <v>388</v>
      </c>
      <c r="O46">
        <v>461.62886597940002</v>
      </c>
      <c r="R46">
        <v>15</v>
      </c>
      <c r="S46">
        <v>404.93333333330003</v>
      </c>
      <c r="V46" t="s">
        <v>386</v>
      </c>
      <c r="W46">
        <v>70103</v>
      </c>
      <c r="X46">
        <v>48950</v>
      </c>
      <c r="Y46">
        <v>418.5039632278</v>
      </c>
      <c r="Z46">
        <v>4201</v>
      </c>
      <c r="AA46">
        <v>622.04356105689999</v>
      </c>
      <c r="AB46">
        <v>14116</v>
      </c>
      <c r="AC46">
        <v>636.84379427600004</v>
      </c>
      <c r="AD46">
        <v>4585</v>
      </c>
      <c r="AE46">
        <v>504.77940213829999</v>
      </c>
      <c r="AF46">
        <v>2341</v>
      </c>
      <c r="AG46">
        <v>189.25715506189999</v>
      </c>
      <c r="AH46">
        <v>111</v>
      </c>
      <c r="AI46">
        <v>454.98198198199998</v>
      </c>
      <c r="AL46" t="s">
        <v>386</v>
      </c>
      <c r="AM46">
        <v>1376</v>
      </c>
      <c r="AN46">
        <v>998</v>
      </c>
      <c r="AO46">
        <v>328.98096192380001</v>
      </c>
      <c r="AP46">
        <v>318</v>
      </c>
      <c r="AQ46">
        <v>481.31132075469998</v>
      </c>
      <c r="AR46">
        <v>342</v>
      </c>
      <c r="AS46">
        <v>318.18128654970002</v>
      </c>
      <c r="AT46">
        <v>34</v>
      </c>
      <c r="AU46">
        <v>346.4705882353</v>
      </c>
      <c r="AV46">
        <v>2</v>
      </c>
      <c r="AW46">
        <v>101</v>
      </c>
    </row>
    <row r="47" spans="6:51" x14ac:dyDescent="0.2">
      <c r="F47" t="s">
        <v>181</v>
      </c>
      <c r="G47">
        <v>360</v>
      </c>
      <c r="H47">
        <v>179</v>
      </c>
      <c r="I47">
        <v>101.4022346369</v>
      </c>
      <c r="J47">
        <v>78</v>
      </c>
      <c r="K47">
        <v>244.3461538462</v>
      </c>
      <c r="L47">
        <v>118</v>
      </c>
      <c r="M47">
        <v>299.27118644069998</v>
      </c>
      <c r="N47">
        <v>61</v>
      </c>
      <c r="O47">
        <v>428.29508196720002</v>
      </c>
      <c r="R47">
        <v>2</v>
      </c>
      <c r="S47">
        <v>555.5</v>
      </c>
      <c r="V47" t="s">
        <v>417</v>
      </c>
      <c r="W47">
        <v>441</v>
      </c>
      <c r="X47">
        <v>305</v>
      </c>
      <c r="Y47">
        <v>266.02950819670002</v>
      </c>
      <c r="Z47">
        <v>41</v>
      </c>
      <c r="AA47">
        <v>407.80487804879999</v>
      </c>
      <c r="AB47">
        <v>38</v>
      </c>
      <c r="AC47">
        <v>416.39473684209997</v>
      </c>
      <c r="AD47">
        <v>73</v>
      </c>
      <c r="AE47">
        <v>264.73972602740002</v>
      </c>
      <c r="AF47">
        <v>22</v>
      </c>
      <c r="AG47">
        <v>214.36363636359999</v>
      </c>
      <c r="AH47">
        <v>3</v>
      </c>
      <c r="AI47">
        <v>187.6666666667</v>
      </c>
      <c r="AL47" t="s">
        <v>417</v>
      </c>
      <c r="AM47">
        <v>22</v>
      </c>
      <c r="AN47">
        <v>22</v>
      </c>
      <c r="AO47">
        <v>194.6818181818</v>
      </c>
      <c r="AP47">
        <v>5</v>
      </c>
      <c r="AQ47">
        <v>287.39999999999998</v>
      </c>
    </row>
    <row r="48" spans="6:51" x14ac:dyDescent="0.2">
      <c r="F48" t="s">
        <v>70</v>
      </c>
      <c r="G48">
        <v>752</v>
      </c>
      <c r="H48">
        <v>561</v>
      </c>
      <c r="I48">
        <v>183.16221033869999</v>
      </c>
      <c r="J48">
        <v>262</v>
      </c>
      <c r="K48">
        <v>193.55725190839999</v>
      </c>
      <c r="L48">
        <v>86</v>
      </c>
      <c r="M48">
        <v>129.73255813949999</v>
      </c>
      <c r="N48">
        <v>102</v>
      </c>
      <c r="O48">
        <v>201.8823529412</v>
      </c>
      <c r="R48">
        <v>3</v>
      </c>
      <c r="S48">
        <v>240.6666666667</v>
      </c>
      <c r="V48" t="s">
        <v>418</v>
      </c>
      <c r="W48">
        <v>116</v>
      </c>
      <c r="X48">
        <v>80</v>
      </c>
      <c r="Y48">
        <v>151.08750000000001</v>
      </c>
      <c r="Z48">
        <v>49</v>
      </c>
      <c r="AA48">
        <v>267.55102040819997</v>
      </c>
      <c r="AB48">
        <v>3</v>
      </c>
      <c r="AC48">
        <v>115</v>
      </c>
      <c r="AD48">
        <v>20</v>
      </c>
      <c r="AE48">
        <v>371.85</v>
      </c>
      <c r="AF48">
        <v>12</v>
      </c>
      <c r="AG48">
        <v>156.9166666667</v>
      </c>
      <c r="AH48">
        <v>1</v>
      </c>
      <c r="AI48">
        <v>185</v>
      </c>
      <c r="AL48" t="s">
        <v>418</v>
      </c>
      <c r="AM48">
        <v>9</v>
      </c>
      <c r="AN48">
        <v>8</v>
      </c>
      <c r="AO48">
        <v>184.5</v>
      </c>
      <c r="AP48">
        <v>4</v>
      </c>
      <c r="AQ48">
        <v>262.25</v>
      </c>
      <c r="AT48">
        <v>1</v>
      </c>
      <c r="AU48">
        <v>625</v>
      </c>
    </row>
    <row r="49" spans="6:51" x14ac:dyDescent="0.2">
      <c r="F49" t="s">
        <v>386</v>
      </c>
      <c r="G49">
        <v>68109</v>
      </c>
      <c r="H49">
        <v>49194</v>
      </c>
      <c r="I49">
        <v>418.84219299490002</v>
      </c>
      <c r="J49">
        <v>4196</v>
      </c>
      <c r="K49">
        <v>624.15800762629999</v>
      </c>
      <c r="L49">
        <v>14228</v>
      </c>
      <c r="M49">
        <v>639.19419454599995</v>
      </c>
      <c r="N49">
        <v>4576</v>
      </c>
      <c r="O49">
        <v>507.17512024489997</v>
      </c>
      <c r="R49">
        <v>111</v>
      </c>
      <c r="S49">
        <v>450.5585585586</v>
      </c>
      <c r="V49" t="s">
        <v>424</v>
      </c>
      <c r="W49">
        <v>607</v>
      </c>
      <c r="X49">
        <v>360</v>
      </c>
      <c r="Y49">
        <v>364.19166666669997</v>
      </c>
      <c r="Z49">
        <v>50</v>
      </c>
      <c r="AA49">
        <v>511.54</v>
      </c>
      <c r="AB49">
        <v>139</v>
      </c>
      <c r="AC49">
        <v>438.8561151079</v>
      </c>
      <c r="AD49">
        <v>79</v>
      </c>
      <c r="AE49">
        <v>577.68354430379998</v>
      </c>
      <c r="AF49">
        <v>29</v>
      </c>
      <c r="AG49">
        <v>146.5172413793</v>
      </c>
      <c r="AL49" t="s">
        <v>424</v>
      </c>
      <c r="AM49">
        <v>16</v>
      </c>
      <c r="AN49">
        <v>15</v>
      </c>
      <c r="AO49">
        <v>267.2</v>
      </c>
      <c r="AP49">
        <v>1</v>
      </c>
      <c r="AQ49">
        <v>491</v>
      </c>
      <c r="AV49">
        <v>1</v>
      </c>
      <c r="AW49">
        <v>484</v>
      </c>
    </row>
    <row r="50" spans="6:51" x14ac:dyDescent="0.2">
      <c r="F50" t="s">
        <v>212</v>
      </c>
      <c r="G50">
        <v>1792</v>
      </c>
      <c r="H50">
        <v>1283</v>
      </c>
      <c r="I50">
        <v>258.23616523769999</v>
      </c>
      <c r="J50">
        <v>616</v>
      </c>
      <c r="K50">
        <v>399.86363636359999</v>
      </c>
      <c r="L50">
        <v>440</v>
      </c>
      <c r="M50">
        <v>257.3068181818</v>
      </c>
      <c r="N50">
        <v>69</v>
      </c>
      <c r="O50">
        <v>228.9565217391</v>
      </c>
      <c r="V50" t="s">
        <v>377</v>
      </c>
      <c r="W50">
        <v>5686</v>
      </c>
      <c r="X50">
        <v>4506</v>
      </c>
      <c r="Y50">
        <v>562.76209498449998</v>
      </c>
      <c r="Z50">
        <v>226</v>
      </c>
      <c r="AA50">
        <v>864.49557522120006</v>
      </c>
      <c r="AB50">
        <v>811</v>
      </c>
      <c r="AC50">
        <v>799.40197287299998</v>
      </c>
      <c r="AD50">
        <v>281</v>
      </c>
      <c r="AE50">
        <v>627.29181494659997</v>
      </c>
      <c r="AF50">
        <v>85</v>
      </c>
      <c r="AG50">
        <v>144.1294117647</v>
      </c>
      <c r="AH50">
        <v>3</v>
      </c>
      <c r="AI50">
        <v>722</v>
      </c>
      <c r="AL50" t="s">
        <v>377</v>
      </c>
      <c r="AM50">
        <v>86</v>
      </c>
      <c r="AN50">
        <v>73</v>
      </c>
      <c r="AO50">
        <v>251.8219178082</v>
      </c>
      <c r="AP50">
        <v>15</v>
      </c>
      <c r="AQ50">
        <v>383.6666666667</v>
      </c>
      <c r="AR50">
        <v>11</v>
      </c>
      <c r="AS50">
        <v>292.90909090909997</v>
      </c>
      <c r="AT50">
        <v>2</v>
      </c>
      <c r="AU50">
        <v>526</v>
      </c>
    </row>
    <row r="51" spans="6:51" x14ac:dyDescent="0.2">
      <c r="F51" t="s">
        <v>209</v>
      </c>
      <c r="G51">
        <v>2669</v>
      </c>
      <c r="H51">
        <v>2058</v>
      </c>
      <c r="I51">
        <v>405.58454810500001</v>
      </c>
      <c r="J51">
        <v>177</v>
      </c>
      <c r="K51">
        <v>722.95480225990002</v>
      </c>
      <c r="L51">
        <v>555</v>
      </c>
      <c r="M51">
        <v>366.17657657659998</v>
      </c>
      <c r="N51">
        <v>56</v>
      </c>
      <c r="O51">
        <v>286.625</v>
      </c>
      <c r="V51" t="s">
        <v>60</v>
      </c>
      <c r="W51">
        <v>5347</v>
      </c>
      <c r="X51">
        <v>3555</v>
      </c>
      <c r="Y51">
        <v>252.43966244730001</v>
      </c>
      <c r="Z51">
        <v>761</v>
      </c>
      <c r="AA51">
        <v>410.41524310120002</v>
      </c>
      <c r="AB51">
        <v>897</v>
      </c>
      <c r="AC51">
        <v>296.82608695649998</v>
      </c>
      <c r="AD51">
        <v>637</v>
      </c>
      <c r="AE51">
        <v>614.86028257459998</v>
      </c>
      <c r="AF51">
        <v>240</v>
      </c>
      <c r="AG51">
        <v>179.1041666667</v>
      </c>
      <c r="AH51">
        <v>18</v>
      </c>
      <c r="AI51">
        <v>755.38888888890006</v>
      </c>
      <c r="AL51" t="s">
        <v>60</v>
      </c>
      <c r="AM51">
        <v>249</v>
      </c>
      <c r="AN51">
        <v>209</v>
      </c>
      <c r="AO51">
        <v>260.62200956940001</v>
      </c>
      <c r="AP51">
        <v>35</v>
      </c>
      <c r="AQ51">
        <v>382.94285714289998</v>
      </c>
      <c r="AR51">
        <v>32</v>
      </c>
      <c r="AS51">
        <v>241.59375</v>
      </c>
      <c r="AT51">
        <v>7</v>
      </c>
      <c r="AU51">
        <v>181.1428571429</v>
      </c>
      <c r="AV51">
        <v>1</v>
      </c>
      <c r="AW51">
        <v>1</v>
      </c>
    </row>
    <row r="52" spans="6:51" x14ac:dyDescent="0.2">
      <c r="F52" t="s">
        <v>210</v>
      </c>
      <c r="G52">
        <v>2690</v>
      </c>
      <c r="H52">
        <v>2168</v>
      </c>
      <c r="I52">
        <v>285.17435424349998</v>
      </c>
      <c r="J52">
        <v>497</v>
      </c>
      <c r="K52">
        <v>412.07243460759997</v>
      </c>
      <c r="L52">
        <v>419</v>
      </c>
      <c r="M52">
        <v>197.8186157518</v>
      </c>
      <c r="N52">
        <v>102</v>
      </c>
      <c r="O52">
        <v>259.5588235294</v>
      </c>
      <c r="R52">
        <v>1</v>
      </c>
      <c r="S52">
        <v>177</v>
      </c>
      <c r="V52" t="s">
        <v>379</v>
      </c>
      <c r="W52">
        <v>15187</v>
      </c>
      <c r="X52">
        <v>10419</v>
      </c>
      <c r="Y52">
        <v>372.99952006140001</v>
      </c>
      <c r="Z52">
        <v>651</v>
      </c>
      <c r="AA52">
        <v>791.74961597540005</v>
      </c>
      <c r="AB52">
        <v>3690</v>
      </c>
      <c r="AC52">
        <v>791.98157181570002</v>
      </c>
      <c r="AD52">
        <v>744</v>
      </c>
      <c r="AE52">
        <v>562.4838709677</v>
      </c>
      <c r="AF52">
        <v>331</v>
      </c>
      <c r="AG52">
        <v>164.35045317219999</v>
      </c>
      <c r="AH52">
        <v>3</v>
      </c>
      <c r="AI52">
        <v>390.6666666667</v>
      </c>
      <c r="AL52" t="s">
        <v>379</v>
      </c>
      <c r="AM52">
        <v>162</v>
      </c>
      <c r="AN52">
        <v>135</v>
      </c>
      <c r="AO52">
        <v>251.85185185189999</v>
      </c>
      <c r="AP52">
        <v>23</v>
      </c>
      <c r="AQ52">
        <v>294.91304347829998</v>
      </c>
      <c r="AR52">
        <v>17</v>
      </c>
      <c r="AS52">
        <v>193.23529411760001</v>
      </c>
      <c r="AT52">
        <v>10</v>
      </c>
      <c r="AU52">
        <v>249.6</v>
      </c>
    </row>
    <row r="53" spans="6:51" x14ac:dyDescent="0.2">
      <c r="F53" t="s">
        <v>463</v>
      </c>
      <c r="G53">
        <v>7151</v>
      </c>
      <c r="H53">
        <v>5509</v>
      </c>
      <c r="I53">
        <v>323.88237429660001</v>
      </c>
      <c r="J53">
        <v>1290</v>
      </c>
      <c r="K53">
        <v>448.89844961239999</v>
      </c>
      <c r="L53">
        <v>1414</v>
      </c>
      <c r="M53">
        <v>282.41089108910001</v>
      </c>
      <c r="N53">
        <v>227</v>
      </c>
      <c r="O53">
        <v>256.93392070480002</v>
      </c>
      <c r="R53">
        <v>1</v>
      </c>
      <c r="S53">
        <v>177</v>
      </c>
      <c r="V53" t="s">
        <v>375</v>
      </c>
      <c r="W53">
        <v>4107</v>
      </c>
      <c r="X53">
        <v>2820</v>
      </c>
      <c r="Y53">
        <v>326.97198581560002</v>
      </c>
      <c r="Z53">
        <v>430</v>
      </c>
      <c r="AA53">
        <v>502.6558139535</v>
      </c>
      <c r="AB53">
        <v>570</v>
      </c>
      <c r="AC53">
        <v>270.96842105259998</v>
      </c>
      <c r="AD53">
        <v>553</v>
      </c>
      <c r="AE53">
        <v>520.05424954789999</v>
      </c>
      <c r="AF53">
        <v>157</v>
      </c>
      <c r="AG53">
        <v>221.3949044586</v>
      </c>
      <c r="AH53">
        <v>7</v>
      </c>
      <c r="AI53">
        <v>668</v>
      </c>
      <c r="AL53" t="s">
        <v>375</v>
      </c>
      <c r="AM53">
        <v>167</v>
      </c>
      <c r="AN53">
        <v>130</v>
      </c>
      <c r="AO53">
        <v>249.61538461539999</v>
      </c>
      <c r="AP53">
        <v>27</v>
      </c>
      <c r="AQ53">
        <v>245.9259259259</v>
      </c>
      <c r="AR53">
        <v>30</v>
      </c>
      <c r="AS53">
        <v>207.96666666670001</v>
      </c>
      <c r="AT53">
        <v>6</v>
      </c>
      <c r="AU53">
        <v>309.5</v>
      </c>
      <c r="AV53">
        <v>1</v>
      </c>
      <c r="AW53">
        <v>353</v>
      </c>
    </row>
    <row r="54" spans="6:51" x14ac:dyDescent="0.2">
      <c r="F54" t="s">
        <v>78</v>
      </c>
      <c r="G54">
        <v>406</v>
      </c>
      <c r="H54">
        <v>303</v>
      </c>
      <c r="I54">
        <v>217.70297029700001</v>
      </c>
      <c r="J54">
        <v>49</v>
      </c>
      <c r="K54">
        <v>384</v>
      </c>
      <c r="L54">
        <v>30</v>
      </c>
      <c r="M54">
        <v>308.23333333329998</v>
      </c>
      <c r="N54">
        <v>70</v>
      </c>
      <c r="O54">
        <v>239.6</v>
      </c>
      <c r="R54">
        <v>3</v>
      </c>
      <c r="S54">
        <v>187.6666666667</v>
      </c>
      <c r="V54" t="s">
        <v>374</v>
      </c>
      <c r="W54">
        <v>1222</v>
      </c>
      <c r="X54">
        <v>780</v>
      </c>
      <c r="Y54">
        <v>205.76923076919999</v>
      </c>
      <c r="Z54">
        <v>117</v>
      </c>
      <c r="AA54">
        <v>331.31623931619998</v>
      </c>
      <c r="AB54">
        <v>199</v>
      </c>
      <c r="AC54">
        <v>224.06030150749999</v>
      </c>
      <c r="AD54">
        <v>159</v>
      </c>
      <c r="AE54">
        <v>329.13836477989997</v>
      </c>
      <c r="AF54">
        <v>77</v>
      </c>
      <c r="AG54">
        <v>171.7922077922</v>
      </c>
      <c r="AH54">
        <v>7</v>
      </c>
      <c r="AI54">
        <v>253</v>
      </c>
      <c r="AL54" t="s">
        <v>374</v>
      </c>
      <c r="AM54">
        <v>51</v>
      </c>
      <c r="AN54">
        <v>45</v>
      </c>
      <c r="AO54">
        <v>237.84444444440001</v>
      </c>
      <c r="AP54">
        <v>8</v>
      </c>
      <c r="AQ54">
        <v>308.125</v>
      </c>
      <c r="AR54">
        <v>6</v>
      </c>
      <c r="AS54">
        <v>178.5</v>
      </c>
    </row>
    <row r="55" spans="6:51" x14ac:dyDescent="0.2">
      <c r="F55" t="s">
        <v>35</v>
      </c>
      <c r="G55">
        <v>3276</v>
      </c>
      <c r="H55">
        <v>2097</v>
      </c>
      <c r="I55">
        <v>460.05152671759998</v>
      </c>
      <c r="J55">
        <v>289</v>
      </c>
      <c r="K55">
        <v>514.32525951560001</v>
      </c>
      <c r="L55">
        <v>850</v>
      </c>
      <c r="M55">
        <v>546.59764705880002</v>
      </c>
      <c r="N55">
        <v>318</v>
      </c>
      <c r="O55">
        <v>652.73270440249996</v>
      </c>
      <c r="R55">
        <v>11</v>
      </c>
      <c r="S55">
        <v>253.8181818182</v>
      </c>
      <c r="V55" t="s">
        <v>376</v>
      </c>
      <c r="W55">
        <v>7170</v>
      </c>
      <c r="X55">
        <v>4953</v>
      </c>
      <c r="Y55">
        <v>398.24470018170001</v>
      </c>
      <c r="Z55">
        <v>520</v>
      </c>
      <c r="AA55">
        <v>505.18461538460002</v>
      </c>
      <c r="AB55">
        <v>941</v>
      </c>
      <c r="AC55">
        <v>434.32943676939999</v>
      </c>
      <c r="AD55">
        <v>972</v>
      </c>
      <c r="AE55">
        <v>668.82613168720002</v>
      </c>
      <c r="AF55">
        <v>291</v>
      </c>
      <c r="AG55">
        <v>202.0859106529</v>
      </c>
      <c r="AH55">
        <v>13</v>
      </c>
      <c r="AI55">
        <v>519.07692307690002</v>
      </c>
      <c r="AL55" t="s">
        <v>376</v>
      </c>
      <c r="AM55">
        <v>241</v>
      </c>
      <c r="AN55">
        <v>191</v>
      </c>
      <c r="AO55">
        <v>293.48167539270003</v>
      </c>
      <c r="AP55">
        <v>41</v>
      </c>
      <c r="AQ55">
        <v>305.75609756099999</v>
      </c>
      <c r="AR55">
        <v>38</v>
      </c>
      <c r="AS55">
        <v>187.02631578949999</v>
      </c>
      <c r="AT55">
        <v>11</v>
      </c>
      <c r="AU55">
        <v>382.36363636359999</v>
      </c>
      <c r="AV55">
        <v>1</v>
      </c>
      <c r="AW55">
        <v>66</v>
      </c>
    </row>
    <row r="56" spans="6:51" x14ac:dyDescent="0.2">
      <c r="F56" t="s">
        <v>61</v>
      </c>
      <c r="G56">
        <v>2557</v>
      </c>
      <c r="H56">
        <v>1905</v>
      </c>
      <c r="I56">
        <v>334.47769028869999</v>
      </c>
      <c r="J56">
        <v>279</v>
      </c>
      <c r="K56">
        <v>598.39784946240002</v>
      </c>
      <c r="L56">
        <v>273</v>
      </c>
      <c r="M56">
        <v>81.263736263699997</v>
      </c>
      <c r="N56">
        <v>377</v>
      </c>
      <c r="O56">
        <v>461.56498673739998</v>
      </c>
      <c r="R56">
        <v>2</v>
      </c>
      <c r="S56">
        <v>510</v>
      </c>
      <c r="V56" t="s">
        <v>373</v>
      </c>
      <c r="W56">
        <v>281</v>
      </c>
      <c r="X56">
        <v>140</v>
      </c>
      <c r="Y56">
        <v>150.7642857143</v>
      </c>
      <c r="Z56">
        <v>102</v>
      </c>
      <c r="AA56">
        <v>172.1764705882</v>
      </c>
      <c r="AB56">
        <v>63</v>
      </c>
      <c r="AC56">
        <v>191.09523809519999</v>
      </c>
      <c r="AD56">
        <v>38</v>
      </c>
      <c r="AE56">
        <v>258.36842105260001</v>
      </c>
      <c r="AF56">
        <v>36</v>
      </c>
      <c r="AG56">
        <v>201.8611111111</v>
      </c>
      <c r="AH56">
        <v>4</v>
      </c>
      <c r="AI56">
        <v>164.5</v>
      </c>
      <c r="AL56" t="s">
        <v>373</v>
      </c>
      <c r="AM56">
        <v>18</v>
      </c>
      <c r="AN56">
        <v>13</v>
      </c>
      <c r="AO56">
        <v>282.38461538460001</v>
      </c>
      <c r="AP56">
        <v>7</v>
      </c>
      <c r="AQ56">
        <v>336.28571428570001</v>
      </c>
      <c r="AR56">
        <v>3</v>
      </c>
      <c r="AS56">
        <v>374.3333333333</v>
      </c>
      <c r="AT56">
        <v>2</v>
      </c>
      <c r="AU56">
        <v>167</v>
      </c>
    </row>
    <row r="57" spans="6:51" x14ac:dyDescent="0.2">
      <c r="F57" t="s">
        <v>24</v>
      </c>
      <c r="G57">
        <v>1886</v>
      </c>
      <c r="H57">
        <v>1139</v>
      </c>
      <c r="I57">
        <v>192.00263388939999</v>
      </c>
      <c r="J57">
        <v>349</v>
      </c>
      <c r="K57">
        <v>267.44126074500002</v>
      </c>
      <c r="L57">
        <v>528</v>
      </c>
      <c r="M57">
        <v>332.82765151519999</v>
      </c>
      <c r="N57">
        <v>206</v>
      </c>
      <c r="O57">
        <v>531.28640776700001</v>
      </c>
      <c r="R57">
        <v>13</v>
      </c>
      <c r="S57">
        <v>737.30769230769999</v>
      </c>
      <c r="V57" t="s">
        <v>372</v>
      </c>
      <c r="W57">
        <v>3390</v>
      </c>
      <c r="X57">
        <v>2012</v>
      </c>
      <c r="Y57">
        <v>446.447538538</v>
      </c>
      <c r="Z57">
        <v>356</v>
      </c>
      <c r="AA57">
        <v>442.47752808989998</v>
      </c>
      <c r="AB57">
        <v>869</v>
      </c>
      <c r="AC57">
        <v>513.15995397009999</v>
      </c>
      <c r="AD57">
        <v>348</v>
      </c>
      <c r="AE57">
        <v>608.14080459770003</v>
      </c>
      <c r="AF57">
        <v>148</v>
      </c>
      <c r="AG57">
        <v>160.5067567568</v>
      </c>
      <c r="AH57">
        <v>13</v>
      </c>
      <c r="AI57">
        <v>227.4615384615</v>
      </c>
      <c r="AL57" t="s">
        <v>372</v>
      </c>
      <c r="AM57">
        <v>104</v>
      </c>
      <c r="AN57">
        <v>86</v>
      </c>
      <c r="AO57">
        <v>260.01162790699999</v>
      </c>
      <c r="AP57">
        <v>20</v>
      </c>
      <c r="AQ57">
        <v>435.9</v>
      </c>
      <c r="AR57">
        <v>15</v>
      </c>
      <c r="AS57">
        <v>257.39999999999998</v>
      </c>
      <c r="AT57">
        <v>2</v>
      </c>
      <c r="AU57">
        <v>420.5</v>
      </c>
      <c r="AV57">
        <v>1</v>
      </c>
      <c r="AW57">
        <v>1</v>
      </c>
    </row>
    <row r="58" spans="6:51" x14ac:dyDescent="0.2">
      <c r="F58" t="s">
        <v>69</v>
      </c>
      <c r="G58">
        <v>15410</v>
      </c>
      <c r="H58">
        <v>10756</v>
      </c>
      <c r="I58">
        <v>364.15574151560003</v>
      </c>
      <c r="J58">
        <v>662</v>
      </c>
      <c r="K58">
        <v>788.48640483379995</v>
      </c>
      <c r="L58">
        <v>3904</v>
      </c>
      <c r="M58">
        <v>801.72566598360004</v>
      </c>
      <c r="N58">
        <v>747</v>
      </c>
      <c r="O58">
        <v>551.21285140559996</v>
      </c>
      <c r="R58">
        <v>3</v>
      </c>
      <c r="S58">
        <v>390.6666666667</v>
      </c>
      <c r="V58" t="s">
        <v>416</v>
      </c>
      <c r="W58">
        <v>619</v>
      </c>
      <c r="X58">
        <v>470</v>
      </c>
      <c r="Y58">
        <v>273.02340425530002</v>
      </c>
      <c r="Z58">
        <v>80</v>
      </c>
      <c r="AA58">
        <v>603.9375</v>
      </c>
      <c r="AB58">
        <v>74</v>
      </c>
      <c r="AC58">
        <v>236.45945945950001</v>
      </c>
      <c r="AD58">
        <v>43</v>
      </c>
      <c r="AE58">
        <v>354.79069767440001</v>
      </c>
      <c r="AF58">
        <v>32</v>
      </c>
      <c r="AG58">
        <v>241.90625</v>
      </c>
      <c r="AL58" t="s">
        <v>416</v>
      </c>
      <c r="AM58">
        <v>15</v>
      </c>
      <c r="AN58">
        <v>13</v>
      </c>
      <c r="AO58">
        <v>324.76923076920002</v>
      </c>
      <c r="AP58">
        <v>3</v>
      </c>
      <c r="AQ58">
        <v>255</v>
      </c>
      <c r="AR58">
        <v>2</v>
      </c>
      <c r="AS58">
        <v>276.5</v>
      </c>
    </row>
    <row r="59" spans="6:51" x14ac:dyDescent="0.2">
      <c r="F59" t="s">
        <v>44</v>
      </c>
      <c r="G59">
        <v>1096</v>
      </c>
      <c r="H59">
        <v>751</v>
      </c>
      <c r="I59">
        <v>190.42876165109999</v>
      </c>
      <c r="J59">
        <v>117</v>
      </c>
      <c r="K59">
        <v>316.27350427350001</v>
      </c>
      <c r="L59">
        <v>194</v>
      </c>
      <c r="M59">
        <v>184.57731958759999</v>
      </c>
      <c r="N59">
        <v>144</v>
      </c>
      <c r="O59">
        <v>295.0277777778</v>
      </c>
      <c r="R59">
        <v>7</v>
      </c>
      <c r="S59">
        <v>253</v>
      </c>
      <c r="V59" t="s">
        <v>380</v>
      </c>
      <c r="W59">
        <v>2303</v>
      </c>
      <c r="X59">
        <v>1494</v>
      </c>
      <c r="Y59">
        <v>372.09906291829998</v>
      </c>
      <c r="Z59">
        <v>304</v>
      </c>
      <c r="AA59">
        <v>409.67434210530001</v>
      </c>
      <c r="AB59">
        <v>128</v>
      </c>
      <c r="AC59">
        <v>346.9921875</v>
      </c>
      <c r="AD59">
        <v>532</v>
      </c>
      <c r="AE59">
        <v>501.39661654140002</v>
      </c>
      <c r="AF59">
        <v>143</v>
      </c>
      <c r="AG59">
        <v>178.0979020979</v>
      </c>
      <c r="AH59">
        <v>6</v>
      </c>
      <c r="AI59">
        <v>694.16666666670005</v>
      </c>
      <c r="AL59" t="s">
        <v>380</v>
      </c>
      <c r="AM59">
        <v>46</v>
      </c>
      <c r="AN59">
        <v>33</v>
      </c>
      <c r="AO59">
        <v>248.21212121209999</v>
      </c>
      <c r="AP59">
        <v>7</v>
      </c>
      <c r="AQ59">
        <v>397.85714285709997</v>
      </c>
      <c r="AR59">
        <v>13</v>
      </c>
      <c r="AS59">
        <v>191.4615384615</v>
      </c>
    </row>
    <row r="60" spans="6:51" x14ac:dyDescent="0.2">
      <c r="F60" t="s">
        <v>60</v>
      </c>
      <c r="G60">
        <v>3077</v>
      </c>
      <c r="H60">
        <v>2286</v>
      </c>
      <c r="I60">
        <v>260.00699912509998</v>
      </c>
      <c r="J60">
        <v>425</v>
      </c>
      <c r="K60">
        <v>522.95764705880003</v>
      </c>
      <c r="L60">
        <v>349</v>
      </c>
      <c r="M60">
        <v>213.20630372490001</v>
      </c>
      <c r="N60">
        <v>435</v>
      </c>
      <c r="O60">
        <v>662.98850574710002</v>
      </c>
      <c r="R60">
        <v>7</v>
      </c>
      <c r="S60">
        <v>725.85714285710003</v>
      </c>
      <c r="V60" t="s">
        <v>383</v>
      </c>
      <c r="W60">
        <v>10086</v>
      </c>
      <c r="X60">
        <v>7171</v>
      </c>
      <c r="Y60">
        <v>261.49058708690001</v>
      </c>
      <c r="Z60">
        <v>1111</v>
      </c>
      <c r="AA60">
        <v>497.51305130510002</v>
      </c>
      <c r="AB60">
        <v>1293</v>
      </c>
      <c r="AC60">
        <v>214.35034802780001</v>
      </c>
      <c r="AD60">
        <v>1020</v>
      </c>
      <c r="AE60">
        <v>376.681372549</v>
      </c>
      <c r="AF60">
        <v>581</v>
      </c>
      <c r="AG60">
        <v>176.7418244406</v>
      </c>
      <c r="AH60">
        <v>21</v>
      </c>
      <c r="AI60">
        <v>285.80952380949998</v>
      </c>
      <c r="AL60" t="s">
        <v>383</v>
      </c>
      <c r="AM60">
        <v>205</v>
      </c>
      <c r="AN60">
        <v>164</v>
      </c>
      <c r="AO60">
        <v>261.89634146340001</v>
      </c>
      <c r="AP60">
        <v>40</v>
      </c>
      <c r="AQ60">
        <v>429.45</v>
      </c>
      <c r="AR60">
        <v>25</v>
      </c>
      <c r="AS60">
        <v>195.76</v>
      </c>
      <c r="AT60">
        <v>14</v>
      </c>
      <c r="AU60">
        <v>251.1428571429</v>
      </c>
      <c r="AV60">
        <v>2</v>
      </c>
      <c r="AW60">
        <v>220</v>
      </c>
    </row>
    <row r="61" spans="6:51" x14ac:dyDescent="0.2">
      <c r="F61" t="s">
        <v>33</v>
      </c>
      <c r="G61">
        <v>5694</v>
      </c>
      <c r="H61">
        <v>4554</v>
      </c>
      <c r="I61">
        <v>585.13680281070003</v>
      </c>
      <c r="J61">
        <v>237</v>
      </c>
      <c r="K61">
        <v>920.94092826999997</v>
      </c>
      <c r="L61">
        <v>845</v>
      </c>
      <c r="M61">
        <v>802.36923076920004</v>
      </c>
      <c r="N61">
        <v>291</v>
      </c>
      <c r="O61">
        <v>648.45360824739998</v>
      </c>
      <c r="R61">
        <v>4</v>
      </c>
      <c r="S61">
        <v>784.75</v>
      </c>
      <c r="V61" t="s">
        <v>415</v>
      </c>
      <c r="W61">
        <v>584</v>
      </c>
      <c r="X61">
        <v>384</v>
      </c>
      <c r="Y61">
        <v>405.46875</v>
      </c>
      <c r="Z61">
        <v>26</v>
      </c>
      <c r="AA61">
        <v>797.96153846150003</v>
      </c>
      <c r="AB61">
        <v>148</v>
      </c>
      <c r="AC61">
        <v>833.32432432430005</v>
      </c>
      <c r="AD61">
        <v>41</v>
      </c>
      <c r="AE61">
        <v>525.68292682929996</v>
      </c>
      <c r="AF61">
        <v>11</v>
      </c>
      <c r="AG61">
        <v>132.63636363640001</v>
      </c>
      <c r="AL61" t="s">
        <v>415</v>
      </c>
      <c r="AM61">
        <v>15</v>
      </c>
      <c r="AN61">
        <v>13</v>
      </c>
      <c r="AO61">
        <v>280.23076923079998</v>
      </c>
      <c r="AP61">
        <v>3</v>
      </c>
      <c r="AQ61">
        <v>626.66666666670005</v>
      </c>
      <c r="AR61">
        <v>2</v>
      </c>
      <c r="AS61">
        <v>101</v>
      </c>
    </row>
    <row r="62" spans="6:51" x14ac:dyDescent="0.2">
      <c r="F62" t="s">
        <v>47</v>
      </c>
      <c r="G62">
        <v>1946</v>
      </c>
      <c r="H62">
        <v>1335</v>
      </c>
      <c r="I62">
        <v>341.34681647939999</v>
      </c>
      <c r="J62">
        <v>295</v>
      </c>
      <c r="K62">
        <v>387.8711864407</v>
      </c>
      <c r="L62">
        <v>97</v>
      </c>
      <c r="M62">
        <v>249.9587628866</v>
      </c>
      <c r="N62">
        <v>508</v>
      </c>
      <c r="O62">
        <v>474.23818897640001</v>
      </c>
      <c r="R62">
        <v>6</v>
      </c>
      <c r="S62">
        <v>694.16666666670005</v>
      </c>
      <c r="V62" t="s">
        <v>370</v>
      </c>
      <c r="W62">
        <v>57146</v>
      </c>
      <c r="X62">
        <v>39449</v>
      </c>
      <c r="Y62">
        <v>360.80155651889999</v>
      </c>
      <c r="Z62">
        <v>4824</v>
      </c>
      <c r="AA62">
        <v>521.88308457710002</v>
      </c>
      <c r="AB62">
        <v>9863</v>
      </c>
      <c r="AC62">
        <v>551.7862719254</v>
      </c>
      <c r="AD62">
        <v>5540</v>
      </c>
      <c r="AE62">
        <v>533.94638989170005</v>
      </c>
      <c r="AF62">
        <v>2195</v>
      </c>
      <c r="AG62">
        <v>180.2528473804</v>
      </c>
      <c r="AH62">
        <v>99</v>
      </c>
      <c r="AI62">
        <v>451.1111111111</v>
      </c>
      <c r="AL62" t="s">
        <v>370</v>
      </c>
      <c r="AM62">
        <v>1406</v>
      </c>
      <c r="AN62">
        <v>1150</v>
      </c>
      <c r="AO62">
        <v>261.62347826090001</v>
      </c>
      <c r="AP62">
        <v>239</v>
      </c>
      <c r="AQ62">
        <v>352.46443514639998</v>
      </c>
      <c r="AR62">
        <v>194</v>
      </c>
      <c r="AS62">
        <v>215.34536082470001</v>
      </c>
      <c r="AT62">
        <v>55</v>
      </c>
      <c r="AU62">
        <v>294.45454545450002</v>
      </c>
      <c r="AV62">
        <v>7</v>
      </c>
      <c r="AW62">
        <v>192.1428571429</v>
      </c>
    </row>
    <row r="63" spans="6:51" x14ac:dyDescent="0.2">
      <c r="F63" t="s">
        <v>54</v>
      </c>
      <c r="G63">
        <v>560</v>
      </c>
      <c r="H63">
        <v>451</v>
      </c>
      <c r="I63">
        <v>248.39911308200001</v>
      </c>
      <c r="J63">
        <v>73</v>
      </c>
      <c r="K63">
        <v>615.69863013700001</v>
      </c>
      <c r="L63">
        <v>66</v>
      </c>
      <c r="M63">
        <v>118.5</v>
      </c>
      <c r="N63">
        <v>43</v>
      </c>
      <c r="O63">
        <v>266.09302325580001</v>
      </c>
      <c r="V63" t="s">
        <v>699</v>
      </c>
      <c r="W63">
        <v>319559</v>
      </c>
      <c r="X63">
        <v>231094</v>
      </c>
      <c r="Y63">
        <v>407.82009416570003</v>
      </c>
      <c r="Z63">
        <v>22292</v>
      </c>
      <c r="AA63">
        <v>578.78673963749998</v>
      </c>
      <c r="AB63">
        <v>52465</v>
      </c>
      <c r="AC63">
        <v>610.44625941100003</v>
      </c>
      <c r="AD63">
        <v>24587</v>
      </c>
      <c r="AE63">
        <v>531.44648305600003</v>
      </c>
      <c r="AF63">
        <v>10918</v>
      </c>
      <c r="AG63">
        <v>181.8544338586</v>
      </c>
      <c r="AH63">
        <v>495</v>
      </c>
      <c r="AI63">
        <v>460.87474747469997</v>
      </c>
      <c r="AL63" t="s">
        <v>699</v>
      </c>
      <c r="AM63">
        <v>7164</v>
      </c>
      <c r="AN63">
        <v>5509</v>
      </c>
      <c r="AO63">
        <v>323.88237429660001</v>
      </c>
      <c r="AP63">
        <v>1290</v>
      </c>
      <c r="AQ63">
        <v>448.89844961239999</v>
      </c>
      <c r="AR63">
        <v>1414</v>
      </c>
      <c r="AS63">
        <v>282.41089108910001</v>
      </c>
      <c r="AT63">
        <v>227</v>
      </c>
      <c r="AU63">
        <v>256.93392070480002</v>
      </c>
      <c r="AV63">
        <v>13</v>
      </c>
      <c r="AW63">
        <v>236.61538461539999</v>
      </c>
      <c r="AX63">
        <v>1</v>
      </c>
      <c r="AY63">
        <v>177</v>
      </c>
    </row>
    <row r="64" spans="6:51" x14ac:dyDescent="0.2">
      <c r="F64" t="s">
        <v>65</v>
      </c>
      <c r="G64">
        <v>5073</v>
      </c>
      <c r="H64">
        <v>3951</v>
      </c>
      <c r="I64">
        <v>573.72690458110003</v>
      </c>
      <c r="J64">
        <v>169</v>
      </c>
      <c r="K64">
        <v>1111.1360946745999</v>
      </c>
      <c r="L64">
        <v>204</v>
      </c>
      <c r="M64">
        <v>656.95098039219999</v>
      </c>
      <c r="N64">
        <v>915</v>
      </c>
      <c r="O64">
        <v>892.42295081969996</v>
      </c>
      <c r="R64">
        <v>3</v>
      </c>
      <c r="S64">
        <v>723.66666666670005</v>
      </c>
    </row>
    <row r="65" spans="6:19" x14ac:dyDescent="0.2">
      <c r="F65" t="s">
        <v>67</v>
      </c>
      <c r="G65">
        <v>379</v>
      </c>
      <c r="H65">
        <v>190</v>
      </c>
      <c r="I65">
        <v>95.657894736800003</v>
      </c>
      <c r="J65">
        <v>176</v>
      </c>
      <c r="K65">
        <v>191.1306818182</v>
      </c>
      <c r="L65">
        <v>112</v>
      </c>
      <c r="M65">
        <v>151.6428571429</v>
      </c>
      <c r="N65">
        <v>71</v>
      </c>
      <c r="O65">
        <v>235.9718309859</v>
      </c>
      <c r="R65">
        <v>6</v>
      </c>
      <c r="S65">
        <v>137.1666666667</v>
      </c>
    </row>
    <row r="66" spans="6:19" x14ac:dyDescent="0.2">
      <c r="F66" t="s">
        <v>82</v>
      </c>
      <c r="G66">
        <v>182</v>
      </c>
      <c r="H66">
        <v>40</v>
      </c>
      <c r="I66">
        <v>1027.2750000000001</v>
      </c>
      <c r="J66">
        <v>5</v>
      </c>
      <c r="K66">
        <v>1728.8</v>
      </c>
      <c r="L66">
        <v>70</v>
      </c>
      <c r="M66">
        <v>651.20000000000005</v>
      </c>
      <c r="N66">
        <v>72</v>
      </c>
      <c r="O66">
        <v>616.68055555559999</v>
      </c>
    </row>
    <row r="67" spans="6:19" x14ac:dyDescent="0.2">
      <c r="F67" t="s">
        <v>63</v>
      </c>
      <c r="G67">
        <v>5620</v>
      </c>
      <c r="H67">
        <v>3798</v>
      </c>
      <c r="I67">
        <v>273.8791469194</v>
      </c>
      <c r="J67">
        <v>607</v>
      </c>
      <c r="K67">
        <v>351.9242174629</v>
      </c>
      <c r="L67">
        <v>1134</v>
      </c>
      <c r="M67">
        <v>384.06790123460001</v>
      </c>
      <c r="N67">
        <v>673</v>
      </c>
      <c r="O67">
        <v>594.49182763739998</v>
      </c>
      <c r="R67">
        <v>15</v>
      </c>
      <c r="S67">
        <v>517.53333333329999</v>
      </c>
    </row>
    <row r="68" spans="6:19" x14ac:dyDescent="0.2">
      <c r="F68" t="s">
        <v>431</v>
      </c>
      <c r="G68">
        <v>21</v>
      </c>
      <c r="H68">
        <v>7</v>
      </c>
      <c r="I68">
        <v>417</v>
      </c>
      <c r="L68">
        <v>4</v>
      </c>
      <c r="M68">
        <v>634</v>
      </c>
      <c r="N68">
        <v>9</v>
      </c>
      <c r="O68">
        <v>185.55555555559999</v>
      </c>
      <c r="R68">
        <v>1</v>
      </c>
      <c r="S68">
        <v>395</v>
      </c>
    </row>
    <row r="69" spans="6:19" x14ac:dyDescent="0.2">
      <c r="F69" t="s">
        <v>83</v>
      </c>
      <c r="G69">
        <v>9102</v>
      </c>
      <c r="H69">
        <v>6883</v>
      </c>
      <c r="I69">
        <v>243.65029783520001</v>
      </c>
      <c r="J69">
        <v>1106</v>
      </c>
      <c r="K69">
        <v>493.22694394209998</v>
      </c>
      <c r="L69">
        <v>1199</v>
      </c>
      <c r="M69">
        <v>165.92326939119999</v>
      </c>
      <c r="N69">
        <v>999</v>
      </c>
      <c r="O69">
        <v>362.60460460460001</v>
      </c>
      <c r="R69">
        <v>21</v>
      </c>
      <c r="S69">
        <v>285.80952380949998</v>
      </c>
    </row>
    <row r="70" spans="6:19" x14ac:dyDescent="0.2">
      <c r="F70" t="s">
        <v>135</v>
      </c>
      <c r="G70">
        <v>101</v>
      </c>
      <c r="H70">
        <v>69</v>
      </c>
      <c r="I70">
        <v>114.9855072464</v>
      </c>
      <c r="J70">
        <v>48</v>
      </c>
      <c r="K70">
        <v>247.3958333333</v>
      </c>
      <c r="L70">
        <v>6</v>
      </c>
      <c r="M70">
        <v>359.5</v>
      </c>
      <c r="N70">
        <v>25</v>
      </c>
      <c r="O70">
        <v>500.68</v>
      </c>
      <c r="R70">
        <v>1</v>
      </c>
      <c r="S70">
        <v>185</v>
      </c>
    </row>
    <row r="71" spans="6:19" x14ac:dyDescent="0.2">
      <c r="F71" t="s">
        <v>370</v>
      </c>
      <c r="G71">
        <v>56386</v>
      </c>
      <c r="H71">
        <v>40515</v>
      </c>
      <c r="I71">
        <v>365.97084886329998</v>
      </c>
      <c r="J71">
        <v>4886</v>
      </c>
      <c r="K71">
        <v>529.61174785100002</v>
      </c>
      <c r="L71">
        <v>9865</v>
      </c>
      <c r="M71">
        <v>553.24379118089996</v>
      </c>
      <c r="N71">
        <v>5903</v>
      </c>
      <c r="O71">
        <v>566.7855327799</v>
      </c>
      <c r="R71">
        <v>103</v>
      </c>
      <c r="S71">
        <v>452.68932038830002</v>
      </c>
    </row>
    <row r="72" spans="6:19" x14ac:dyDescent="0.2">
      <c r="F72" t="s">
        <v>699</v>
      </c>
      <c r="G72">
        <v>326723</v>
      </c>
      <c r="H72">
        <v>236603</v>
      </c>
      <c r="I72">
        <v>405.86561196330001</v>
      </c>
      <c r="J72">
        <v>23582</v>
      </c>
      <c r="K72">
        <v>571.68149436010003</v>
      </c>
      <c r="L72">
        <v>53879</v>
      </c>
      <c r="M72">
        <v>601.83730210290003</v>
      </c>
      <c r="N72">
        <v>24814</v>
      </c>
      <c r="O72">
        <v>528.93461786520004</v>
      </c>
      <c r="P72">
        <v>10931</v>
      </c>
      <c r="Q72">
        <v>181.9195717815</v>
      </c>
      <c r="R72">
        <v>496</v>
      </c>
      <c r="S72">
        <v>460.30241935480001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495</v>
      </c>
      <c r="B1" t="s">
        <v>367</v>
      </c>
      <c r="C1" t="s">
        <v>494</v>
      </c>
      <c r="D1" t="s">
        <v>496</v>
      </c>
      <c r="E1" t="s">
        <v>497</v>
      </c>
      <c r="F1" t="s">
        <v>498</v>
      </c>
      <c r="G1" t="s">
        <v>499</v>
      </c>
      <c r="H1" t="s">
        <v>500</v>
      </c>
      <c r="I1" t="s">
        <v>501</v>
      </c>
      <c r="J1" t="s">
        <v>502</v>
      </c>
      <c r="K1" t="s">
        <v>503</v>
      </c>
      <c r="L1" t="s">
        <v>368</v>
      </c>
      <c r="M1" t="s">
        <v>504</v>
      </c>
      <c r="N1" t="s">
        <v>505</v>
      </c>
      <c r="O1" t="s">
        <v>506</v>
      </c>
      <c r="P1" t="s">
        <v>507</v>
      </c>
      <c r="Q1" t="s">
        <v>508</v>
      </c>
      <c r="R1" t="s">
        <v>679</v>
      </c>
    </row>
    <row r="2" spans="1:18" x14ac:dyDescent="0.2">
      <c r="A2">
        <v>1</v>
      </c>
      <c r="B2">
        <v>-99</v>
      </c>
      <c r="C2" t="s">
        <v>438</v>
      </c>
      <c r="D2" t="s">
        <v>699</v>
      </c>
      <c r="E2" t="s">
        <v>438</v>
      </c>
      <c r="F2" t="s">
        <v>699</v>
      </c>
      <c r="G2" t="s">
        <v>438</v>
      </c>
      <c r="H2" t="s">
        <v>6</v>
      </c>
      <c r="I2">
        <v>-99</v>
      </c>
      <c r="J2">
        <v>1</v>
      </c>
      <c r="K2" t="s">
        <v>6</v>
      </c>
      <c r="L2">
        <v>-99</v>
      </c>
      <c r="M2" t="s">
        <v>655</v>
      </c>
      <c r="N2" t="s">
        <v>655</v>
      </c>
      <c r="O2">
        <v>-99</v>
      </c>
      <c r="P2">
        <v>-99</v>
      </c>
      <c r="Q2">
        <v>1</v>
      </c>
      <c r="R2" t="s">
        <v>655</v>
      </c>
    </row>
    <row r="3" spans="1:18" x14ac:dyDescent="0.2">
      <c r="A3">
        <v>2</v>
      </c>
      <c r="B3">
        <v>-99</v>
      </c>
      <c r="C3" t="s">
        <v>439</v>
      </c>
      <c r="D3" t="s">
        <v>6</v>
      </c>
      <c r="E3" t="s">
        <v>439</v>
      </c>
      <c r="F3" t="s">
        <v>1037</v>
      </c>
      <c r="G3" t="s">
        <v>438</v>
      </c>
      <c r="H3" t="s">
        <v>6</v>
      </c>
      <c r="I3">
        <v>-99</v>
      </c>
      <c r="J3">
        <v>1</v>
      </c>
      <c r="K3" t="s">
        <v>6</v>
      </c>
      <c r="L3">
        <v>-99</v>
      </c>
      <c r="M3" t="s">
        <v>655</v>
      </c>
      <c r="N3" t="s">
        <v>655</v>
      </c>
      <c r="O3">
        <v>-99</v>
      </c>
      <c r="P3">
        <v>-99</v>
      </c>
      <c r="Q3">
        <v>1</v>
      </c>
      <c r="R3" t="s">
        <v>655</v>
      </c>
    </row>
    <row r="4" spans="1:18" x14ac:dyDescent="0.2">
      <c r="A4">
        <v>3</v>
      </c>
      <c r="B4">
        <v>-99</v>
      </c>
      <c r="C4" t="s">
        <v>656</v>
      </c>
      <c r="D4" t="s">
        <v>6</v>
      </c>
      <c r="E4" t="s">
        <v>656</v>
      </c>
      <c r="F4" t="s">
        <v>1039</v>
      </c>
      <c r="G4" t="s">
        <v>438</v>
      </c>
      <c r="H4" t="s">
        <v>6</v>
      </c>
      <c r="I4">
        <v>-99</v>
      </c>
      <c r="J4">
        <v>1</v>
      </c>
      <c r="K4" t="s">
        <v>6</v>
      </c>
      <c r="L4">
        <v>-99</v>
      </c>
      <c r="M4" t="s">
        <v>655</v>
      </c>
      <c r="N4" t="s">
        <v>655</v>
      </c>
      <c r="O4">
        <v>-99</v>
      </c>
      <c r="P4">
        <v>-99</v>
      </c>
      <c r="Q4">
        <v>1</v>
      </c>
      <c r="R4" t="s">
        <v>208</v>
      </c>
    </row>
    <row r="5" spans="1:18" x14ac:dyDescent="0.2">
      <c r="A5">
        <v>4</v>
      </c>
      <c r="B5">
        <v>-99</v>
      </c>
      <c r="C5" t="s">
        <v>440</v>
      </c>
      <c r="D5" t="s">
        <v>6</v>
      </c>
      <c r="E5" t="s">
        <v>440</v>
      </c>
      <c r="F5" t="s">
        <v>1045</v>
      </c>
      <c r="G5" t="s">
        <v>438</v>
      </c>
      <c r="H5" t="s">
        <v>6</v>
      </c>
      <c r="I5">
        <v>-99</v>
      </c>
      <c r="J5">
        <v>1</v>
      </c>
      <c r="K5" t="s">
        <v>6</v>
      </c>
      <c r="L5">
        <v>-99</v>
      </c>
      <c r="M5" t="s">
        <v>655</v>
      </c>
      <c r="N5" t="s">
        <v>655</v>
      </c>
      <c r="O5">
        <v>-99</v>
      </c>
      <c r="P5">
        <v>-99</v>
      </c>
      <c r="Q5">
        <v>1</v>
      </c>
      <c r="R5" t="s">
        <v>684</v>
      </c>
    </row>
    <row r="6" spans="1:18" x14ac:dyDescent="0.2">
      <c r="A6">
        <v>5</v>
      </c>
      <c r="B6">
        <v>-99</v>
      </c>
      <c r="C6" t="s">
        <v>441</v>
      </c>
      <c r="D6" t="s">
        <v>6</v>
      </c>
      <c r="E6" t="s">
        <v>441</v>
      </c>
      <c r="F6" t="s">
        <v>696</v>
      </c>
      <c r="G6" t="s">
        <v>438</v>
      </c>
      <c r="H6" t="s">
        <v>6</v>
      </c>
      <c r="I6">
        <v>-99</v>
      </c>
      <c r="J6">
        <v>1</v>
      </c>
      <c r="K6" t="s">
        <v>6</v>
      </c>
      <c r="L6">
        <v>-99</v>
      </c>
      <c r="M6" t="s">
        <v>655</v>
      </c>
      <c r="N6" t="s">
        <v>655</v>
      </c>
      <c r="O6">
        <v>-99</v>
      </c>
      <c r="P6">
        <v>-99</v>
      </c>
      <c r="Q6">
        <v>1</v>
      </c>
      <c r="R6" t="s">
        <v>680</v>
      </c>
    </row>
    <row r="7" spans="1:18" x14ac:dyDescent="0.2">
      <c r="A7">
        <v>6</v>
      </c>
      <c r="B7">
        <v>-99</v>
      </c>
      <c r="C7" t="s">
        <v>442</v>
      </c>
      <c r="D7" t="s">
        <v>6</v>
      </c>
      <c r="E7" t="s">
        <v>442</v>
      </c>
      <c r="F7" t="s">
        <v>1040</v>
      </c>
      <c r="G7" t="s">
        <v>438</v>
      </c>
      <c r="H7" t="s">
        <v>6</v>
      </c>
      <c r="I7">
        <v>-99</v>
      </c>
      <c r="J7">
        <v>1</v>
      </c>
      <c r="K7" t="s">
        <v>6</v>
      </c>
      <c r="L7">
        <v>-99</v>
      </c>
      <c r="M7" t="s">
        <v>655</v>
      </c>
      <c r="N7" t="s">
        <v>655</v>
      </c>
      <c r="O7">
        <v>-99</v>
      </c>
      <c r="P7">
        <v>-99</v>
      </c>
      <c r="Q7">
        <v>1</v>
      </c>
      <c r="R7" t="s">
        <v>681</v>
      </c>
    </row>
    <row r="8" spans="1:18" x14ac:dyDescent="0.2">
      <c r="A8">
        <v>7</v>
      </c>
      <c r="B8">
        <v>-99</v>
      </c>
      <c r="C8" t="s">
        <v>443</v>
      </c>
      <c r="D8" t="s">
        <v>6</v>
      </c>
      <c r="E8" t="s">
        <v>443</v>
      </c>
      <c r="F8" t="s">
        <v>1046</v>
      </c>
      <c r="G8" t="s">
        <v>438</v>
      </c>
      <c r="H8" t="s">
        <v>6</v>
      </c>
      <c r="I8">
        <v>-99</v>
      </c>
      <c r="J8">
        <v>1</v>
      </c>
      <c r="K8" t="s">
        <v>6</v>
      </c>
      <c r="L8">
        <v>-99</v>
      </c>
      <c r="M8" t="s">
        <v>655</v>
      </c>
      <c r="N8" t="s">
        <v>655</v>
      </c>
      <c r="O8">
        <v>-99</v>
      </c>
      <c r="P8">
        <v>-99</v>
      </c>
      <c r="Q8">
        <v>1</v>
      </c>
      <c r="R8" t="s">
        <v>682</v>
      </c>
    </row>
    <row r="9" spans="1:18" x14ac:dyDescent="0.2">
      <c r="A9">
        <v>8</v>
      </c>
      <c r="B9">
        <v>-99</v>
      </c>
      <c r="C9" t="s">
        <v>444</v>
      </c>
      <c r="D9" t="s">
        <v>6</v>
      </c>
      <c r="E9" t="s">
        <v>444</v>
      </c>
      <c r="F9" t="s">
        <v>1047</v>
      </c>
      <c r="G9" t="s">
        <v>438</v>
      </c>
      <c r="H9" t="s">
        <v>6</v>
      </c>
      <c r="I9">
        <v>-99</v>
      </c>
      <c r="J9">
        <v>1</v>
      </c>
      <c r="K9" t="s">
        <v>6</v>
      </c>
      <c r="L9">
        <v>-99</v>
      </c>
      <c r="M9" t="s">
        <v>655</v>
      </c>
      <c r="N9" t="s">
        <v>655</v>
      </c>
      <c r="O9">
        <v>-99</v>
      </c>
      <c r="P9">
        <v>-99</v>
      </c>
      <c r="Q9">
        <v>1</v>
      </c>
      <c r="R9" t="s">
        <v>399</v>
      </c>
    </row>
    <row r="10" spans="1:18" x14ac:dyDescent="0.2">
      <c r="A10">
        <v>9</v>
      </c>
      <c r="B10">
        <v>-99</v>
      </c>
      <c r="C10" t="s">
        <v>445</v>
      </c>
      <c r="D10" t="s">
        <v>6</v>
      </c>
      <c r="E10" t="s">
        <v>445</v>
      </c>
      <c r="F10" t="s">
        <v>1048</v>
      </c>
      <c r="G10" t="s">
        <v>438</v>
      </c>
      <c r="H10" t="s">
        <v>6</v>
      </c>
      <c r="I10">
        <v>-99</v>
      </c>
      <c r="J10">
        <v>1</v>
      </c>
      <c r="K10" t="s">
        <v>6</v>
      </c>
      <c r="L10">
        <v>-99</v>
      </c>
      <c r="M10" t="s">
        <v>655</v>
      </c>
      <c r="N10" t="s">
        <v>655</v>
      </c>
      <c r="O10">
        <v>-99</v>
      </c>
      <c r="P10">
        <v>-99</v>
      </c>
      <c r="Q10">
        <v>1</v>
      </c>
      <c r="R10" t="s">
        <v>685</v>
      </c>
    </row>
    <row r="11" spans="1:18" x14ac:dyDescent="0.2">
      <c r="A11">
        <v>10</v>
      </c>
      <c r="B11">
        <v>-99</v>
      </c>
      <c r="C11" t="s">
        <v>446</v>
      </c>
      <c r="D11" t="s">
        <v>6</v>
      </c>
      <c r="E11" t="s">
        <v>446</v>
      </c>
      <c r="F11" t="s">
        <v>1049</v>
      </c>
      <c r="G11" t="s">
        <v>438</v>
      </c>
      <c r="H11" t="s">
        <v>6</v>
      </c>
      <c r="I11">
        <v>-99</v>
      </c>
      <c r="J11">
        <v>1</v>
      </c>
      <c r="K11" t="s">
        <v>6</v>
      </c>
      <c r="L11">
        <v>-99</v>
      </c>
      <c r="M11" t="s">
        <v>655</v>
      </c>
      <c r="N11" t="s">
        <v>655</v>
      </c>
      <c r="O11">
        <v>-99</v>
      </c>
      <c r="P11">
        <v>-99</v>
      </c>
      <c r="Q11">
        <v>1</v>
      </c>
      <c r="R11" t="s">
        <v>655</v>
      </c>
    </row>
    <row r="12" spans="1:18" x14ac:dyDescent="0.2">
      <c r="A12">
        <v>11</v>
      </c>
      <c r="B12">
        <v>-99</v>
      </c>
      <c r="C12" t="s">
        <v>448</v>
      </c>
      <c r="D12" t="s">
        <v>509</v>
      </c>
      <c r="E12" t="s">
        <v>657</v>
      </c>
      <c r="F12" t="s">
        <v>129</v>
      </c>
      <c r="G12" t="s">
        <v>657</v>
      </c>
      <c r="H12" t="s">
        <v>371</v>
      </c>
      <c r="I12">
        <v>-99</v>
      </c>
      <c r="J12">
        <v>-99</v>
      </c>
      <c r="K12" t="s">
        <v>655</v>
      </c>
      <c r="L12">
        <v>-99</v>
      </c>
      <c r="M12" t="s">
        <v>655</v>
      </c>
      <c r="N12" t="s">
        <v>655</v>
      </c>
      <c r="O12">
        <v>-99</v>
      </c>
      <c r="P12">
        <v>-99</v>
      </c>
      <c r="Q12">
        <v>2</v>
      </c>
      <c r="R12" t="s">
        <v>655</v>
      </c>
    </row>
    <row r="13" spans="1:18" x14ac:dyDescent="0.2">
      <c r="A13">
        <v>12</v>
      </c>
      <c r="B13">
        <v>-99</v>
      </c>
      <c r="C13" t="s">
        <v>450</v>
      </c>
      <c r="D13" t="s">
        <v>509</v>
      </c>
      <c r="E13" t="s">
        <v>658</v>
      </c>
      <c r="F13" t="s">
        <v>130</v>
      </c>
      <c r="G13" t="s">
        <v>658</v>
      </c>
      <c r="H13" t="s">
        <v>378</v>
      </c>
      <c r="I13">
        <v>-99</v>
      </c>
      <c r="J13">
        <v>-99</v>
      </c>
      <c r="K13" t="s">
        <v>655</v>
      </c>
      <c r="L13">
        <v>-99</v>
      </c>
      <c r="M13" t="s">
        <v>655</v>
      </c>
      <c r="N13" t="s">
        <v>655</v>
      </c>
      <c r="O13">
        <v>-99</v>
      </c>
      <c r="P13">
        <v>-99</v>
      </c>
      <c r="Q13">
        <v>2</v>
      </c>
      <c r="R13" t="s">
        <v>655</v>
      </c>
    </row>
    <row r="14" spans="1:18" x14ac:dyDescent="0.2">
      <c r="A14">
        <v>13</v>
      </c>
      <c r="B14">
        <v>-99</v>
      </c>
      <c r="C14" t="s">
        <v>453</v>
      </c>
      <c r="D14" t="s">
        <v>509</v>
      </c>
      <c r="E14" t="s">
        <v>659</v>
      </c>
      <c r="F14" t="s">
        <v>131</v>
      </c>
      <c r="G14" t="s">
        <v>659</v>
      </c>
      <c r="H14" t="s">
        <v>387</v>
      </c>
      <c r="I14">
        <v>-99</v>
      </c>
      <c r="J14">
        <v>-99</v>
      </c>
      <c r="K14" t="s">
        <v>655</v>
      </c>
      <c r="L14">
        <v>-99</v>
      </c>
      <c r="M14" t="s">
        <v>655</v>
      </c>
      <c r="N14" t="s">
        <v>655</v>
      </c>
      <c r="O14">
        <v>-99</v>
      </c>
      <c r="P14">
        <v>-99</v>
      </c>
      <c r="Q14">
        <v>2</v>
      </c>
      <c r="R14" t="s">
        <v>655</v>
      </c>
    </row>
    <row r="15" spans="1:18" x14ac:dyDescent="0.2">
      <c r="A15">
        <v>14</v>
      </c>
      <c r="B15">
        <v>-99</v>
      </c>
      <c r="C15" t="s">
        <v>660</v>
      </c>
      <c r="D15" t="s">
        <v>509</v>
      </c>
      <c r="E15" t="s">
        <v>661</v>
      </c>
      <c r="F15" t="s">
        <v>132</v>
      </c>
      <c r="G15" t="s">
        <v>661</v>
      </c>
      <c r="H15" t="s">
        <v>403</v>
      </c>
      <c r="I15">
        <v>-99</v>
      </c>
      <c r="J15">
        <v>-99</v>
      </c>
      <c r="K15" t="s">
        <v>655</v>
      </c>
      <c r="L15">
        <v>-99</v>
      </c>
      <c r="M15" t="s">
        <v>655</v>
      </c>
      <c r="N15" t="s">
        <v>655</v>
      </c>
      <c r="O15">
        <v>-99</v>
      </c>
      <c r="P15">
        <v>-99</v>
      </c>
      <c r="Q15">
        <v>2</v>
      </c>
      <c r="R15" t="s">
        <v>655</v>
      </c>
    </row>
    <row r="16" spans="1:18" x14ac:dyDescent="0.2">
      <c r="A16">
        <v>15</v>
      </c>
      <c r="B16">
        <v>-99</v>
      </c>
      <c r="C16" t="s">
        <v>663</v>
      </c>
      <c r="D16" t="s">
        <v>430</v>
      </c>
      <c r="E16" t="s">
        <v>663</v>
      </c>
      <c r="F16" t="s">
        <v>430</v>
      </c>
      <c r="G16" t="s">
        <v>655</v>
      </c>
      <c r="H16" t="s">
        <v>655</v>
      </c>
      <c r="I16">
        <v>-99</v>
      </c>
      <c r="J16">
        <v>30</v>
      </c>
      <c r="K16" t="s">
        <v>370</v>
      </c>
      <c r="L16">
        <v>-99</v>
      </c>
      <c r="M16" t="s">
        <v>655</v>
      </c>
      <c r="N16" t="s">
        <v>655</v>
      </c>
      <c r="O16">
        <v>-99</v>
      </c>
      <c r="P16">
        <v>-99</v>
      </c>
      <c r="Q16">
        <v>3</v>
      </c>
      <c r="R16" t="s">
        <v>655</v>
      </c>
    </row>
    <row r="17" spans="1:18" x14ac:dyDescent="0.2">
      <c r="A17">
        <v>16</v>
      </c>
      <c r="B17">
        <v>-99</v>
      </c>
      <c r="C17" t="s">
        <v>662</v>
      </c>
      <c r="D17" t="s">
        <v>436</v>
      </c>
      <c r="E17" t="s">
        <v>662</v>
      </c>
      <c r="F17" t="s">
        <v>436</v>
      </c>
      <c r="G17" t="s">
        <v>655</v>
      </c>
      <c r="H17" t="s">
        <v>655</v>
      </c>
      <c r="I17">
        <v>-99</v>
      </c>
      <c r="J17">
        <v>31</v>
      </c>
      <c r="K17" t="s">
        <v>381</v>
      </c>
      <c r="L17">
        <v>-99</v>
      </c>
      <c r="M17" t="s">
        <v>655</v>
      </c>
      <c r="N17" t="s">
        <v>655</v>
      </c>
      <c r="O17">
        <v>-99</v>
      </c>
      <c r="P17">
        <v>-99</v>
      </c>
      <c r="Q17">
        <v>3</v>
      </c>
      <c r="R17" t="s">
        <v>655</v>
      </c>
    </row>
    <row r="18" spans="1:18" x14ac:dyDescent="0.2">
      <c r="A18">
        <v>17</v>
      </c>
      <c r="B18">
        <v>-99</v>
      </c>
      <c r="C18" t="s">
        <v>664</v>
      </c>
      <c r="D18" t="s">
        <v>434</v>
      </c>
      <c r="E18" t="s">
        <v>664</v>
      </c>
      <c r="F18" t="s">
        <v>434</v>
      </c>
      <c r="G18" t="s">
        <v>655</v>
      </c>
      <c r="H18" t="s">
        <v>655</v>
      </c>
      <c r="I18">
        <v>-99</v>
      </c>
      <c r="J18">
        <v>32</v>
      </c>
      <c r="K18" t="s">
        <v>391</v>
      </c>
      <c r="L18">
        <v>-99</v>
      </c>
      <c r="M18" t="s">
        <v>655</v>
      </c>
      <c r="N18" t="s">
        <v>655</v>
      </c>
      <c r="O18">
        <v>-99</v>
      </c>
      <c r="P18">
        <v>-99</v>
      </c>
      <c r="Q18">
        <v>3</v>
      </c>
      <c r="R18" t="s">
        <v>655</v>
      </c>
    </row>
    <row r="19" spans="1:18" x14ac:dyDescent="0.2">
      <c r="A19">
        <v>18</v>
      </c>
      <c r="B19">
        <v>-99</v>
      </c>
      <c r="C19" t="s">
        <v>665</v>
      </c>
      <c r="D19" t="s">
        <v>433</v>
      </c>
      <c r="E19" t="s">
        <v>665</v>
      </c>
      <c r="F19" t="s">
        <v>433</v>
      </c>
      <c r="G19" t="s">
        <v>655</v>
      </c>
      <c r="H19" t="s">
        <v>655</v>
      </c>
      <c r="I19">
        <v>-99</v>
      </c>
      <c r="J19">
        <v>33</v>
      </c>
      <c r="K19" t="s">
        <v>386</v>
      </c>
      <c r="L19">
        <v>-99</v>
      </c>
      <c r="M19" t="s">
        <v>655</v>
      </c>
      <c r="N19" t="s">
        <v>655</v>
      </c>
      <c r="O19">
        <v>-99</v>
      </c>
      <c r="P19">
        <v>-99</v>
      </c>
      <c r="Q19">
        <v>3</v>
      </c>
      <c r="R19" t="s">
        <v>655</v>
      </c>
    </row>
    <row r="20" spans="1:18" x14ac:dyDescent="0.2">
      <c r="A20">
        <v>19</v>
      </c>
      <c r="B20">
        <v>-99</v>
      </c>
      <c r="C20" t="s">
        <v>666</v>
      </c>
      <c r="D20" t="s">
        <v>435</v>
      </c>
      <c r="E20" t="s">
        <v>666</v>
      </c>
      <c r="F20" t="s">
        <v>435</v>
      </c>
      <c r="G20" t="s">
        <v>655</v>
      </c>
      <c r="H20" t="s">
        <v>655</v>
      </c>
      <c r="I20">
        <v>-99</v>
      </c>
      <c r="J20">
        <v>34</v>
      </c>
      <c r="K20" t="s">
        <v>405</v>
      </c>
      <c r="L20">
        <v>-99</v>
      </c>
      <c r="M20" t="s">
        <v>655</v>
      </c>
      <c r="N20" t="s">
        <v>655</v>
      </c>
      <c r="O20">
        <v>-99</v>
      </c>
      <c r="P20">
        <v>-99</v>
      </c>
      <c r="Q20">
        <v>3</v>
      </c>
      <c r="R20" t="s">
        <v>655</v>
      </c>
    </row>
    <row r="21" spans="1:18" x14ac:dyDescent="0.2">
      <c r="A21">
        <v>20</v>
      </c>
      <c r="B21">
        <v>1</v>
      </c>
      <c r="C21" t="s">
        <v>668</v>
      </c>
      <c r="D21" t="s">
        <v>369</v>
      </c>
      <c r="E21" t="s">
        <v>668</v>
      </c>
      <c r="F21" t="s">
        <v>510</v>
      </c>
      <c r="G21" t="s">
        <v>669</v>
      </c>
      <c r="H21" t="s">
        <v>8</v>
      </c>
      <c r="I21">
        <v>-99</v>
      </c>
      <c r="J21">
        <v>35</v>
      </c>
      <c r="K21" t="s">
        <v>8</v>
      </c>
      <c r="L21">
        <v>8240</v>
      </c>
      <c r="M21" t="s">
        <v>511</v>
      </c>
      <c r="N21" t="s">
        <v>655</v>
      </c>
      <c r="O21">
        <v>1</v>
      </c>
      <c r="P21">
        <v>2</v>
      </c>
      <c r="Q21">
        <v>-99</v>
      </c>
      <c r="R21" t="s">
        <v>655</v>
      </c>
    </row>
    <row r="22" spans="1:18" x14ac:dyDescent="0.2">
      <c r="A22">
        <v>21</v>
      </c>
      <c r="B22">
        <v>8</v>
      </c>
      <c r="C22" t="s">
        <v>136</v>
      </c>
      <c r="D22" t="s">
        <v>35</v>
      </c>
      <c r="E22" t="s">
        <v>512</v>
      </c>
      <c r="F22" t="s">
        <v>513</v>
      </c>
      <c r="G22" t="s">
        <v>657</v>
      </c>
      <c r="H22" t="s">
        <v>371</v>
      </c>
      <c r="I22">
        <v>380</v>
      </c>
      <c r="J22">
        <v>30</v>
      </c>
      <c r="K22" t="s">
        <v>370</v>
      </c>
      <c r="L22">
        <v>8233</v>
      </c>
      <c r="M22" t="s">
        <v>326</v>
      </c>
      <c r="N22" t="s">
        <v>372</v>
      </c>
      <c r="O22">
        <v>1</v>
      </c>
      <c r="P22">
        <v>2</v>
      </c>
      <c r="Q22">
        <v>-99</v>
      </c>
      <c r="R22" t="s">
        <v>683</v>
      </c>
    </row>
    <row r="23" spans="1:18" x14ac:dyDescent="0.2">
      <c r="A23">
        <v>22</v>
      </c>
      <c r="B23">
        <v>9</v>
      </c>
      <c r="C23" t="s">
        <v>137</v>
      </c>
      <c r="D23" t="s">
        <v>67</v>
      </c>
      <c r="E23" t="s">
        <v>514</v>
      </c>
      <c r="F23" t="s">
        <v>515</v>
      </c>
      <c r="G23" t="s">
        <v>657</v>
      </c>
      <c r="H23" t="s">
        <v>371</v>
      </c>
      <c r="I23">
        <v>380</v>
      </c>
      <c r="J23">
        <v>30</v>
      </c>
      <c r="K23" t="s">
        <v>370</v>
      </c>
      <c r="L23">
        <v>8235</v>
      </c>
      <c r="M23" t="s">
        <v>361</v>
      </c>
      <c r="N23" t="s">
        <v>373</v>
      </c>
      <c r="O23">
        <v>1</v>
      </c>
      <c r="P23">
        <v>1</v>
      </c>
      <c r="Q23">
        <v>-99</v>
      </c>
      <c r="R23" t="s">
        <v>683</v>
      </c>
    </row>
    <row r="24" spans="1:18" x14ac:dyDescent="0.2">
      <c r="A24">
        <v>23</v>
      </c>
      <c r="B24">
        <v>-99</v>
      </c>
      <c r="C24" t="s">
        <v>137</v>
      </c>
      <c r="D24" t="s">
        <v>67</v>
      </c>
      <c r="E24" t="s">
        <v>516</v>
      </c>
      <c r="F24" t="s">
        <v>517</v>
      </c>
      <c r="G24" t="s">
        <v>657</v>
      </c>
      <c r="H24" t="s">
        <v>371</v>
      </c>
      <c r="I24">
        <v>380</v>
      </c>
      <c r="J24">
        <v>30</v>
      </c>
      <c r="K24" t="s">
        <v>370</v>
      </c>
      <c r="L24">
        <v>8235</v>
      </c>
      <c r="M24" t="s">
        <v>361</v>
      </c>
      <c r="N24" t="s">
        <v>373</v>
      </c>
      <c r="O24">
        <v>-99</v>
      </c>
      <c r="P24">
        <v>1</v>
      </c>
      <c r="Q24">
        <v>-99</v>
      </c>
      <c r="R24" t="s">
        <v>399</v>
      </c>
    </row>
    <row r="25" spans="1:18" x14ac:dyDescent="0.2">
      <c r="A25">
        <v>24</v>
      </c>
      <c r="B25">
        <v>10</v>
      </c>
      <c r="C25" t="s">
        <v>138</v>
      </c>
      <c r="D25" t="s">
        <v>60</v>
      </c>
      <c r="E25" t="s">
        <v>518</v>
      </c>
      <c r="F25" t="s">
        <v>519</v>
      </c>
      <c r="G25" t="s">
        <v>657</v>
      </c>
      <c r="H25" t="s">
        <v>371</v>
      </c>
      <c r="I25">
        <v>380</v>
      </c>
      <c r="J25">
        <v>30</v>
      </c>
      <c r="K25" t="s">
        <v>370</v>
      </c>
      <c r="L25">
        <v>8237</v>
      </c>
      <c r="M25" t="s">
        <v>336</v>
      </c>
      <c r="N25" t="s">
        <v>60</v>
      </c>
      <c r="O25">
        <v>1</v>
      </c>
      <c r="P25">
        <v>2</v>
      </c>
      <c r="Q25">
        <v>-99</v>
      </c>
      <c r="R25" t="s">
        <v>683</v>
      </c>
    </row>
    <row r="26" spans="1:18" x14ac:dyDescent="0.2">
      <c r="A26">
        <v>25</v>
      </c>
      <c r="B26">
        <v>11</v>
      </c>
      <c r="C26" t="s">
        <v>139</v>
      </c>
      <c r="D26" t="s">
        <v>24</v>
      </c>
      <c r="E26" t="s">
        <v>520</v>
      </c>
      <c r="F26" t="s">
        <v>521</v>
      </c>
      <c r="G26" t="s">
        <v>657</v>
      </c>
      <c r="H26" t="s">
        <v>371</v>
      </c>
      <c r="I26">
        <v>380</v>
      </c>
      <c r="J26">
        <v>30</v>
      </c>
      <c r="K26" t="s">
        <v>370</v>
      </c>
      <c r="L26">
        <v>8238</v>
      </c>
      <c r="M26" t="s">
        <v>336</v>
      </c>
      <c r="N26" t="s">
        <v>60</v>
      </c>
      <c r="O26">
        <v>1</v>
      </c>
      <c r="P26">
        <v>2</v>
      </c>
      <c r="Q26">
        <v>-99</v>
      </c>
      <c r="R26" t="s">
        <v>683</v>
      </c>
    </row>
    <row r="27" spans="1:18" x14ac:dyDescent="0.2">
      <c r="A27">
        <v>26</v>
      </c>
      <c r="B27">
        <v>12</v>
      </c>
      <c r="C27" t="s">
        <v>140</v>
      </c>
      <c r="D27" t="s">
        <v>44</v>
      </c>
      <c r="E27" t="s">
        <v>522</v>
      </c>
      <c r="F27" t="s">
        <v>523</v>
      </c>
      <c r="G27" t="s">
        <v>657</v>
      </c>
      <c r="H27" t="s">
        <v>371</v>
      </c>
      <c r="I27">
        <v>380</v>
      </c>
      <c r="J27">
        <v>30</v>
      </c>
      <c r="K27" t="s">
        <v>370</v>
      </c>
      <c r="L27">
        <v>8239</v>
      </c>
      <c r="M27" t="s">
        <v>354</v>
      </c>
      <c r="N27" t="s">
        <v>374</v>
      </c>
      <c r="O27">
        <v>1</v>
      </c>
      <c r="P27">
        <v>2</v>
      </c>
      <c r="Q27">
        <v>-99</v>
      </c>
      <c r="R27" t="s">
        <v>683</v>
      </c>
    </row>
    <row r="28" spans="1:18" x14ac:dyDescent="0.2">
      <c r="A28">
        <v>27</v>
      </c>
      <c r="B28">
        <v>13</v>
      </c>
      <c r="C28" t="s">
        <v>141</v>
      </c>
      <c r="D28" t="s">
        <v>61</v>
      </c>
      <c r="E28" t="s">
        <v>524</v>
      </c>
      <c r="F28" t="s">
        <v>525</v>
      </c>
      <c r="G28" t="s">
        <v>657</v>
      </c>
      <c r="H28" t="s">
        <v>371</v>
      </c>
      <c r="I28">
        <v>380</v>
      </c>
      <c r="J28">
        <v>30</v>
      </c>
      <c r="K28" t="s">
        <v>370</v>
      </c>
      <c r="L28">
        <v>8241</v>
      </c>
      <c r="M28" t="s">
        <v>358</v>
      </c>
      <c r="N28" t="s">
        <v>375</v>
      </c>
      <c r="O28">
        <v>1</v>
      </c>
      <c r="P28">
        <v>2</v>
      </c>
      <c r="Q28">
        <v>-99</v>
      </c>
      <c r="R28" t="s">
        <v>683</v>
      </c>
    </row>
    <row r="29" spans="1:18" x14ac:dyDescent="0.2">
      <c r="A29">
        <v>28</v>
      </c>
      <c r="B29">
        <v>14</v>
      </c>
      <c r="C29" t="s">
        <v>99</v>
      </c>
      <c r="D29" t="s">
        <v>63</v>
      </c>
      <c r="E29" t="s">
        <v>526</v>
      </c>
      <c r="F29" t="s">
        <v>527</v>
      </c>
      <c r="G29" t="s">
        <v>657</v>
      </c>
      <c r="H29" t="s">
        <v>371</v>
      </c>
      <c r="I29">
        <v>380</v>
      </c>
      <c r="J29">
        <v>30</v>
      </c>
      <c r="K29" t="s">
        <v>370</v>
      </c>
      <c r="L29">
        <v>8242</v>
      </c>
      <c r="M29" t="s">
        <v>348</v>
      </c>
      <c r="N29" t="s">
        <v>376</v>
      </c>
      <c r="O29">
        <v>1</v>
      </c>
      <c r="P29">
        <v>1</v>
      </c>
      <c r="Q29">
        <v>-99</v>
      </c>
      <c r="R29" t="s">
        <v>683</v>
      </c>
    </row>
    <row r="30" spans="1:18" x14ac:dyDescent="0.2">
      <c r="A30">
        <v>29</v>
      </c>
      <c r="B30">
        <v>-99</v>
      </c>
      <c r="C30" t="s">
        <v>99</v>
      </c>
      <c r="D30" t="s">
        <v>63</v>
      </c>
      <c r="E30" t="s">
        <v>528</v>
      </c>
      <c r="F30" t="s">
        <v>210</v>
      </c>
      <c r="G30" t="s">
        <v>657</v>
      </c>
      <c r="H30" t="s">
        <v>371</v>
      </c>
      <c r="I30">
        <v>380</v>
      </c>
      <c r="J30">
        <v>30</v>
      </c>
      <c r="K30" t="s">
        <v>370</v>
      </c>
      <c r="L30">
        <v>8242</v>
      </c>
      <c r="M30" t="s">
        <v>348</v>
      </c>
      <c r="N30" t="s">
        <v>376</v>
      </c>
      <c r="O30">
        <v>-99</v>
      </c>
      <c r="P30">
        <v>1</v>
      </c>
      <c r="Q30">
        <v>-99</v>
      </c>
      <c r="R30" t="s">
        <v>208</v>
      </c>
    </row>
    <row r="31" spans="1:18" x14ac:dyDescent="0.2">
      <c r="A31">
        <v>30</v>
      </c>
      <c r="B31">
        <v>15</v>
      </c>
      <c r="C31" t="s">
        <v>142</v>
      </c>
      <c r="D31" t="s">
        <v>65</v>
      </c>
      <c r="E31" t="s">
        <v>529</v>
      </c>
      <c r="F31" t="s">
        <v>530</v>
      </c>
      <c r="G31" t="s">
        <v>657</v>
      </c>
      <c r="H31" t="s">
        <v>371</v>
      </c>
      <c r="I31">
        <v>380</v>
      </c>
      <c r="J31">
        <v>30</v>
      </c>
      <c r="K31" t="s">
        <v>370</v>
      </c>
      <c r="L31">
        <v>8243</v>
      </c>
      <c r="M31" t="s">
        <v>348</v>
      </c>
      <c r="N31" t="s">
        <v>376</v>
      </c>
      <c r="O31">
        <v>1</v>
      </c>
      <c r="P31">
        <v>1</v>
      </c>
      <c r="Q31">
        <v>-99</v>
      </c>
      <c r="R31" t="s">
        <v>683</v>
      </c>
    </row>
    <row r="32" spans="1:18" x14ac:dyDescent="0.2">
      <c r="A32">
        <v>31</v>
      </c>
      <c r="B32">
        <v>-99</v>
      </c>
      <c r="C32" t="s">
        <v>142</v>
      </c>
      <c r="D32" t="s">
        <v>65</v>
      </c>
      <c r="E32" t="s">
        <v>531</v>
      </c>
      <c r="F32" t="s">
        <v>532</v>
      </c>
      <c r="G32" t="s">
        <v>657</v>
      </c>
      <c r="H32" t="s">
        <v>371</v>
      </c>
      <c r="I32">
        <v>380</v>
      </c>
      <c r="J32">
        <v>30</v>
      </c>
      <c r="K32" t="s">
        <v>370</v>
      </c>
      <c r="L32">
        <v>8243</v>
      </c>
      <c r="M32" t="s">
        <v>348</v>
      </c>
      <c r="N32" t="s">
        <v>376</v>
      </c>
      <c r="O32">
        <v>-99</v>
      </c>
      <c r="P32">
        <v>1</v>
      </c>
      <c r="Q32">
        <v>-99</v>
      </c>
      <c r="R32" t="s">
        <v>682</v>
      </c>
    </row>
    <row r="33" spans="1:18" x14ac:dyDescent="0.2">
      <c r="A33">
        <v>32</v>
      </c>
      <c r="B33">
        <v>16</v>
      </c>
      <c r="C33" t="s">
        <v>143</v>
      </c>
      <c r="D33" t="s">
        <v>33</v>
      </c>
      <c r="E33" t="s">
        <v>533</v>
      </c>
      <c r="F33" t="s">
        <v>534</v>
      </c>
      <c r="G33" t="s">
        <v>657</v>
      </c>
      <c r="H33" t="s">
        <v>371</v>
      </c>
      <c r="I33">
        <v>380</v>
      </c>
      <c r="J33">
        <v>30</v>
      </c>
      <c r="K33" t="s">
        <v>370</v>
      </c>
      <c r="L33">
        <v>8244</v>
      </c>
      <c r="M33" t="s">
        <v>343</v>
      </c>
      <c r="N33" t="s">
        <v>377</v>
      </c>
      <c r="O33">
        <v>1</v>
      </c>
      <c r="P33">
        <v>2</v>
      </c>
      <c r="Q33">
        <v>-99</v>
      </c>
      <c r="R33" t="s">
        <v>683</v>
      </c>
    </row>
    <row r="34" spans="1:18" x14ac:dyDescent="0.2">
      <c r="A34">
        <v>33</v>
      </c>
      <c r="B34">
        <v>23</v>
      </c>
      <c r="C34" t="s">
        <v>103</v>
      </c>
      <c r="D34" t="s">
        <v>69</v>
      </c>
      <c r="E34" t="s">
        <v>535</v>
      </c>
      <c r="F34" t="s">
        <v>536</v>
      </c>
      <c r="G34" t="s">
        <v>658</v>
      </c>
      <c r="H34" t="s">
        <v>378</v>
      </c>
      <c r="I34">
        <v>381</v>
      </c>
      <c r="J34">
        <v>30</v>
      </c>
      <c r="K34" t="s">
        <v>370</v>
      </c>
      <c r="L34">
        <v>8245</v>
      </c>
      <c r="M34" t="s">
        <v>322</v>
      </c>
      <c r="N34" t="s">
        <v>379</v>
      </c>
      <c r="O34">
        <v>1</v>
      </c>
      <c r="P34">
        <v>2</v>
      </c>
      <c r="Q34">
        <v>-99</v>
      </c>
      <c r="R34" t="s">
        <v>683</v>
      </c>
    </row>
    <row r="35" spans="1:18" x14ac:dyDescent="0.2">
      <c r="A35">
        <v>34</v>
      </c>
      <c r="B35">
        <v>24</v>
      </c>
      <c r="C35" t="s">
        <v>144</v>
      </c>
      <c r="D35" t="s">
        <v>47</v>
      </c>
      <c r="E35" t="s">
        <v>537</v>
      </c>
      <c r="F35" t="s">
        <v>538</v>
      </c>
      <c r="G35" t="s">
        <v>658</v>
      </c>
      <c r="H35" t="s">
        <v>378</v>
      </c>
      <c r="I35">
        <v>381</v>
      </c>
      <c r="J35">
        <v>30</v>
      </c>
      <c r="K35" t="s">
        <v>370</v>
      </c>
      <c r="L35">
        <v>8246</v>
      </c>
      <c r="M35" t="s">
        <v>338</v>
      </c>
      <c r="N35" t="s">
        <v>380</v>
      </c>
      <c r="O35">
        <v>1</v>
      </c>
      <c r="P35">
        <v>2</v>
      </c>
      <c r="Q35">
        <v>-99</v>
      </c>
      <c r="R35" t="s">
        <v>683</v>
      </c>
    </row>
    <row r="36" spans="1:18" x14ac:dyDescent="0.2">
      <c r="A36">
        <v>35</v>
      </c>
      <c r="B36">
        <v>30</v>
      </c>
      <c r="C36" t="s">
        <v>145</v>
      </c>
      <c r="D36" t="s">
        <v>25</v>
      </c>
      <c r="E36" t="s">
        <v>539</v>
      </c>
      <c r="F36" t="s">
        <v>540</v>
      </c>
      <c r="G36" t="s">
        <v>658</v>
      </c>
      <c r="H36" t="s">
        <v>378</v>
      </c>
      <c r="I36">
        <v>381</v>
      </c>
      <c r="J36">
        <v>31</v>
      </c>
      <c r="K36" t="s">
        <v>381</v>
      </c>
      <c r="L36">
        <v>8247</v>
      </c>
      <c r="M36" t="s">
        <v>363</v>
      </c>
      <c r="N36" t="s">
        <v>382</v>
      </c>
      <c r="O36">
        <v>1</v>
      </c>
      <c r="P36">
        <v>2</v>
      </c>
      <c r="Q36">
        <v>-99</v>
      </c>
      <c r="R36" t="s">
        <v>683</v>
      </c>
    </row>
    <row r="37" spans="1:18" x14ac:dyDescent="0.2">
      <c r="A37">
        <v>36</v>
      </c>
      <c r="B37">
        <v>194</v>
      </c>
      <c r="C37" t="s">
        <v>146</v>
      </c>
      <c r="D37" t="s">
        <v>77</v>
      </c>
      <c r="E37" t="s">
        <v>541</v>
      </c>
      <c r="F37" t="s">
        <v>542</v>
      </c>
      <c r="G37" t="s">
        <v>658</v>
      </c>
      <c r="H37" t="s">
        <v>378</v>
      </c>
      <c r="I37">
        <v>381</v>
      </c>
      <c r="J37">
        <v>31</v>
      </c>
      <c r="K37" t="s">
        <v>381</v>
      </c>
      <c r="L37">
        <v>8248</v>
      </c>
      <c r="M37" t="s">
        <v>318</v>
      </c>
      <c r="N37" t="s">
        <v>426</v>
      </c>
      <c r="O37">
        <v>1</v>
      </c>
      <c r="P37">
        <v>2</v>
      </c>
      <c r="Q37">
        <v>-99</v>
      </c>
      <c r="R37" t="s">
        <v>683</v>
      </c>
    </row>
    <row r="38" spans="1:18" x14ac:dyDescent="0.2">
      <c r="A38">
        <v>37</v>
      </c>
      <c r="B38">
        <v>34</v>
      </c>
      <c r="C38" t="s">
        <v>147</v>
      </c>
      <c r="D38" t="s">
        <v>83</v>
      </c>
      <c r="E38" t="s">
        <v>543</v>
      </c>
      <c r="F38" t="s">
        <v>544</v>
      </c>
      <c r="G38" t="s">
        <v>658</v>
      </c>
      <c r="H38" t="s">
        <v>378</v>
      </c>
      <c r="I38">
        <v>381</v>
      </c>
      <c r="J38">
        <v>30</v>
      </c>
      <c r="K38" t="s">
        <v>370</v>
      </c>
      <c r="L38">
        <v>8249</v>
      </c>
      <c r="M38" t="s">
        <v>349</v>
      </c>
      <c r="N38" t="s">
        <v>383</v>
      </c>
      <c r="O38">
        <v>1</v>
      </c>
      <c r="P38">
        <v>1</v>
      </c>
      <c r="Q38">
        <v>-99</v>
      </c>
      <c r="R38" t="s">
        <v>683</v>
      </c>
    </row>
    <row r="39" spans="1:18" x14ac:dyDescent="0.2">
      <c r="A39">
        <v>38</v>
      </c>
      <c r="B39">
        <v>-99</v>
      </c>
      <c r="C39" t="s">
        <v>147</v>
      </c>
      <c r="D39" t="s">
        <v>83</v>
      </c>
      <c r="E39" t="s">
        <v>545</v>
      </c>
      <c r="F39" t="s">
        <v>213</v>
      </c>
      <c r="G39" t="s">
        <v>658</v>
      </c>
      <c r="H39" t="s">
        <v>378</v>
      </c>
      <c r="I39">
        <v>381</v>
      </c>
      <c r="J39">
        <v>30</v>
      </c>
      <c r="K39" t="s">
        <v>370</v>
      </c>
      <c r="L39">
        <v>8249</v>
      </c>
      <c r="M39" t="s">
        <v>349</v>
      </c>
      <c r="N39" t="s">
        <v>383</v>
      </c>
      <c r="O39">
        <v>-99</v>
      </c>
      <c r="P39">
        <v>1</v>
      </c>
      <c r="Q39">
        <v>-99</v>
      </c>
      <c r="R39" t="s">
        <v>680</v>
      </c>
    </row>
    <row r="40" spans="1:18" x14ac:dyDescent="0.2">
      <c r="A40">
        <v>39</v>
      </c>
      <c r="B40">
        <v>-99</v>
      </c>
      <c r="C40" t="s">
        <v>147</v>
      </c>
      <c r="D40" t="s">
        <v>83</v>
      </c>
      <c r="E40" t="s">
        <v>546</v>
      </c>
      <c r="F40" t="s">
        <v>958</v>
      </c>
      <c r="G40" t="s">
        <v>658</v>
      </c>
      <c r="H40" t="s">
        <v>378</v>
      </c>
      <c r="I40">
        <v>381</v>
      </c>
      <c r="J40">
        <v>30</v>
      </c>
      <c r="K40" t="s">
        <v>370</v>
      </c>
      <c r="L40">
        <v>8249</v>
      </c>
      <c r="M40" t="s">
        <v>349</v>
      </c>
      <c r="N40" t="s">
        <v>383</v>
      </c>
      <c r="O40">
        <v>-99</v>
      </c>
      <c r="P40">
        <v>1</v>
      </c>
      <c r="Q40">
        <v>-99</v>
      </c>
      <c r="R40" t="s">
        <v>681</v>
      </c>
    </row>
    <row r="41" spans="1:18" x14ac:dyDescent="0.2">
      <c r="A41">
        <v>40</v>
      </c>
      <c r="B41">
        <v>35</v>
      </c>
      <c r="C41" t="s">
        <v>148</v>
      </c>
      <c r="D41" t="s">
        <v>39</v>
      </c>
      <c r="E41" t="s">
        <v>547</v>
      </c>
      <c r="F41" t="s">
        <v>548</v>
      </c>
      <c r="G41" t="s">
        <v>658</v>
      </c>
      <c r="H41" t="s">
        <v>378</v>
      </c>
      <c r="I41">
        <v>381</v>
      </c>
      <c r="J41">
        <v>31</v>
      </c>
      <c r="K41" t="s">
        <v>381</v>
      </c>
      <c r="L41">
        <v>8250</v>
      </c>
      <c r="M41" t="s">
        <v>341</v>
      </c>
      <c r="N41" t="s">
        <v>384</v>
      </c>
      <c r="O41">
        <v>1</v>
      </c>
      <c r="P41">
        <v>2</v>
      </c>
      <c r="Q41">
        <v>-99</v>
      </c>
      <c r="R41" t="s">
        <v>683</v>
      </c>
    </row>
    <row r="42" spans="1:18" x14ac:dyDescent="0.2">
      <c r="A42">
        <v>41</v>
      </c>
      <c r="B42">
        <v>36</v>
      </c>
      <c r="C42" t="s">
        <v>91</v>
      </c>
      <c r="D42" t="s">
        <v>58</v>
      </c>
      <c r="E42" t="s">
        <v>549</v>
      </c>
      <c r="F42" t="s">
        <v>550</v>
      </c>
      <c r="G42" t="s">
        <v>658</v>
      </c>
      <c r="H42" t="s">
        <v>378</v>
      </c>
      <c r="I42">
        <v>381</v>
      </c>
      <c r="J42">
        <v>31</v>
      </c>
      <c r="K42" t="s">
        <v>381</v>
      </c>
      <c r="L42">
        <v>8251</v>
      </c>
      <c r="M42" t="s">
        <v>344</v>
      </c>
      <c r="N42" t="s">
        <v>385</v>
      </c>
      <c r="O42">
        <v>1</v>
      </c>
      <c r="P42">
        <v>2</v>
      </c>
      <c r="Q42">
        <v>-99</v>
      </c>
      <c r="R42" t="s">
        <v>683</v>
      </c>
    </row>
    <row r="43" spans="1:18" x14ac:dyDescent="0.2">
      <c r="A43">
        <v>42</v>
      </c>
      <c r="B43">
        <v>37</v>
      </c>
      <c r="C43" t="s">
        <v>149</v>
      </c>
      <c r="D43" t="s">
        <v>59</v>
      </c>
      <c r="E43" t="s">
        <v>551</v>
      </c>
      <c r="F43" t="s">
        <v>552</v>
      </c>
      <c r="G43" t="s">
        <v>659</v>
      </c>
      <c r="H43" t="s">
        <v>387</v>
      </c>
      <c r="I43">
        <v>382</v>
      </c>
      <c r="J43">
        <v>33</v>
      </c>
      <c r="K43" t="s">
        <v>386</v>
      </c>
      <c r="L43">
        <v>8252</v>
      </c>
      <c r="M43" t="s">
        <v>321</v>
      </c>
      <c r="N43" t="s">
        <v>388</v>
      </c>
      <c r="O43">
        <v>1</v>
      </c>
      <c r="P43">
        <v>2</v>
      </c>
      <c r="Q43">
        <v>-99</v>
      </c>
      <c r="R43" t="s">
        <v>683</v>
      </c>
    </row>
    <row r="44" spans="1:18" x14ac:dyDescent="0.2">
      <c r="A44">
        <v>43</v>
      </c>
      <c r="B44">
        <v>38</v>
      </c>
      <c r="C44" t="s">
        <v>150</v>
      </c>
      <c r="D44" t="s">
        <v>57</v>
      </c>
      <c r="E44" t="s">
        <v>553</v>
      </c>
      <c r="F44" t="s">
        <v>554</v>
      </c>
      <c r="G44" t="s">
        <v>658</v>
      </c>
      <c r="H44" t="s">
        <v>378</v>
      </c>
      <c r="I44">
        <v>381</v>
      </c>
      <c r="J44">
        <v>31</v>
      </c>
      <c r="K44" t="s">
        <v>381</v>
      </c>
      <c r="L44">
        <v>8253</v>
      </c>
      <c r="M44" t="s">
        <v>355</v>
      </c>
      <c r="N44" t="s">
        <v>389</v>
      </c>
      <c r="O44">
        <v>1</v>
      </c>
      <c r="P44">
        <v>2</v>
      </c>
      <c r="Q44">
        <v>-99</v>
      </c>
      <c r="R44" t="s">
        <v>683</v>
      </c>
    </row>
    <row r="45" spans="1:18" x14ac:dyDescent="0.2">
      <c r="A45">
        <v>44</v>
      </c>
      <c r="B45">
        <v>39</v>
      </c>
      <c r="C45" t="s">
        <v>151</v>
      </c>
      <c r="D45" t="s">
        <v>49</v>
      </c>
      <c r="E45" t="s">
        <v>555</v>
      </c>
      <c r="F45" t="s">
        <v>556</v>
      </c>
      <c r="G45" t="s">
        <v>658</v>
      </c>
      <c r="H45" t="s">
        <v>378</v>
      </c>
      <c r="I45">
        <v>381</v>
      </c>
      <c r="J45">
        <v>33</v>
      </c>
      <c r="K45" t="s">
        <v>386</v>
      </c>
      <c r="L45">
        <v>8254</v>
      </c>
      <c r="M45" t="s">
        <v>356</v>
      </c>
      <c r="N45" t="s">
        <v>390</v>
      </c>
      <c r="O45">
        <v>1</v>
      </c>
      <c r="P45">
        <v>1</v>
      </c>
      <c r="Q45">
        <v>-99</v>
      </c>
      <c r="R45" t="s">
        <v>683</v>
      </c>
    </row>
    <row r="46" spans="1:18" x14ac:dyDescent="0.2">
      <c r="A46">
        <v>45</v>
      </c>
      <c r="B46">
        <v>-99</v>
      </c>
      <c r="C46" t="s">
        <v>151</v>
      </c>
      <c r="D46" t="s">
        <v>49</v>
      </c>
      <c r="E46" t="s">
        <v>557</v>
      </c>
      <c r="F46" t="s">
        <v>558</v>
      </c>
      <c r="G46" t="s">
        <v>658</v>
      </c>
      <c r="H46" t="s">
        <v>378</v>
      </c>
      <c r="I46">
        <v>381</v>
      </c>
      <c r="J46">
        <v>33</v>
      </c>
      <c r="K46" t="s">
        <v>386</v>
      </c>
      <c r="L46">
        <v>8254</v>
      </c>
      <c r="M46" t="s">
        <v>356</v>
      </c>
      <c r="N46" t="s">
        <v>390</v>
      </c>
      <c r="O46">
        <v>-99</v>
      </c>
      <c r="P46">
        <v>1</v>
      </c>
      <c r="Q46">
        <v>-99</v>
      </c>
      <c r="R46" t="s">
        <v>684</v>
      </c>
    </row>
    <row r="47" spans="1:18" x14ac:dyDescent="0.2">
      <c r="A47">
        <v>46</v>
      </c>
      <c r="B47">
        <v>52</v>
      </c>
      <c r="C47" t="s">
        <v>152</v>
      </c>
      <c r="D47" t="s">
        <v>38</v>
      </c>
      <c r="E47" t="s">
        <v>559</v>
      </c>
      <c r="F47" t="s">
        <v>560</v>
      </c>
      <c r="G47" t="s">
        <v>657</v>
      </c>
      <c r="H47" t="s">
        <v>371</v>
      </c>
      <c r="I47">
        <v>380</v>
      </c>
      <c r="J47">
        <v>32</v>
      </c>
      <c r="K47" t="s">
        <v>391</v>
      </c>
      <c r="L47">
        <v>8255</v>
      </c>
      <c r="M47" t="s">
        <v>357</v>
      </c>
      <c r="N47" t="s">
        <v>392</v>
      </c>
      <c r="O47">
        <v>1</v>
      </c>
      <c r="P47">
        <v>2</v>
      </c>
      <c r="Q47">
        <v>-99</v>
      </c>
      <c r="R47" t="s">
        <v>683</v>
      </c>
    </row>
    <row r="48" spans="1:18" x14ac:dyDescent="0.2">
      <c r="A48">
        <v>47</v>
      </c>
      <c r="B48">
        <v>53</v>
      </c>
      <c r="C48" t="s">
        <v>153</v>
      </c>
      <c r="D48" t="s">
        <v>48</v>
      </c>
      <c r="E48" t="s">
        <v>561</v>
      </c>
      <c r="F48" t="s">
        <v>562</v>
      </c>
      <c r="G48" t="s">
        <v>657</v>
      </c>
      <c r="H48" t="s">
        <v>371</v>
      </c>
      <c r="I48">
        <v>380</v>
      </c>
      <c r="J48">
        <v>32</v>
      </c>
      <c r="K48" t="s">
        <v>391</v>
      </c>
      <c r="L48">
        <v>8256</v>
      </c>
      <c r="M48" t="s">
        <v>331</v>
      </c>
      <c r="N48" t="s">
        <v>393</v>
      </c>
      <c r="O48">
        <v>1</v>
      </c>
      <c r="P48">
        <v>2</v>
      </c>
      <c r="Q48">
        <v>-99</v>
      </c>
      <c r="R48" t="s">
        <v>683</v>
      </c>
    </row>
    <row r="49" spans="1:18" x14ac:dyDescent="0.2">
      <c r="A49">
        <v>48</v>
      </c>
      <c r="B49">
        <v>54</v>
      </c>
      <c r="C49" t="s">
        <v>154</v>
      </c>
      <c r="D49" t="s">
        <v>53</v>
      </c>
      <c r="E49" t="s">
        <v>563</v>
      </c>
      <c r="F49" t="s">
        <v>564</v>
      </c>
      <c r="G49" t="s">
        <v>658</v>
      </c>
      <c r="H49" t="s">
        <v>378</v>
      </c>
      <c r="I49">
        <v>381</v>
      </c>
      <c r="J49">
        <v>31</v>
      </c>
      <c r="K49" t="s">
        <v>381</v>
      </c>
      <c r="L49">
        <v>8257</v>
      </c>
      <c r="M49" t="s">
        <v>337</v>
      </c>
      <c r="N49" t="s">
        <v>394</v>
      </c>
      <c r="O49">
        <v>1</v>
      </c>
      <c r="P49">
        <v>1</v>
      </c>
      <c r="Q49">
        <v>-99</v>
      </c>
      <c r="R49" t="s">
        <v>683</v>
      </c>
    </row>
    <row r="50" spans="1:18" x14ac:dyDescent="0.2">
      <c r="A50">
        <v>49</v>
      </c>
      <c r="B50">
        <v>-99</v>
      </c>
      <c r="C50" t="s">
        <v>154</v>
      </c>
      <c r="D50" t="s">
        <v>53</v>
      </c>
      <c r="E50" t="s">
        <v>565</v>
      </c>
      <c r="F50" t="s">
        <v>566</v>
      </c>
      <c r="G50" t="s">
        <v>658</v>
      </c>
      <c r="H50" t="s">
        <v>378</v>
      </c>
      <c r="I50">
        <v>381</v>
      </c>
      <c r="J50">
        <v>31</v>
      </c>
      <c r="K50" t="s">
        <v>381</v>
      </c>
      <c r="L50">
        <v>8257</v>
      </c>
      <c r="M50" t="s">
        <v>337</v>
      </c>
      <c r="N50" t="s">
        <v>394</v>
      </c>
      <c r="O50">
        <v>-99</v>
      </c>
      <c r="P50">
        <v>1</v>
      </c>
      <c r="Q50">
        <v>-99</v>
      </c>
      <c r="R50" t="s">
        <v>685</v>
      </c>
    </row>
    <row r="51" spans="1:18" x14ac:dyDescent="0.2">
      <c r="A51">
        <v>50</v>
      </c>
      <c r="B51">
        <v>55</v>
      </c>
      <c r="C51" t="s">
        <v>155</v>
      </c>
      <c r="D51" t="s">
        <v>37</v>
      </c>
      <c r="E51" t="s">
        <v>567</v>
      </c>
      <c r="F51" t="s">
        <v>568</v>
      </c>
      <c r="G51" t="s">
        <v>659</v>
      </c>
      <c r="H51" t="s">
        <v>387</v>
      </c>
      <c r="I51">
        <v>382</v>
      </c>
      <c r="J51">
        <v>32</v>
      </c>
      <c r="K51" t="s">
        <v>391</v>
      </c>
      <c r="L51">
        <v>8258</v>
      </c>
      <c r="M51" t="s">
        <v>350</v>
      </c>
      <c r="N51" t="s">
        <v>395</v>
      </c>
      <c r="O51">
        <v>1</v>
      </c>
      <c r="P51">
        <v>2</v>
      </c>
      <c r="Q51">
        <v>-99</v>
      </c>
      <c r="R51" t="s">
        <v>683</v>
      </c>
    </row>
    <row r="52" spans="1:18" x14ac:dyDescent="0.2">
      <c r="A52">
        <v>51</v>
      </c>
      <c r="B52">
        <v>56</v>
      </c>
      <c r="C52" t="s">
        <v>156</v>
      </c>
      <c r="D52" t="s">
        <v>42</v>
      </c>
      <c r="E52" t="s">
        <v>569</v>
      </c>
      <c r="F52" t="s">
        <v>570</v>
      </c>
      <c r="G52" t="s">
        <v>657</v>
      </c>
      <c r="H52" t="s">
        <v>371</v>
      </c>
      <c r="I52">
        <v>380</v>
      </c>
      <c r="J52">
        <v>32</v>
      </c>
      <c r="K52" t="s">
        <v>391</v>
      </c>
      <c r="L52">
        <v>8259</v>
      </c>
      <c r="M52" t="s">
        <v>327</v>
      </c>
      <c r="N52" t="s">
        <v>396</v>
      </c>
      <c r="O52">
        <v>1</v>
      </c>
      <c r="P52">
        <v>2</v>
      </c>
      <c r="Q52">
        <v>-99</v>
      </c>
      <c r="R52" t="s">
        <v>683</v>
      </c>
    </row>
    <row r="53" spans="1:18" x14ac:dyDescent="0.2">
      <c r="A53">
        <v>52</v>
      </c>
      <c r="B53">
        <v>57</v>
      </c>
      <c r="C53" t="s">
        <v>157</v>
      </c>
      <c r="D53" t="s">
        <v>56</v>
      </c>
      <c r="E53" t="s">
        <v>571</v>
      </c>
      <c r="F53" t="s">
        <v>572</v>
      </c>
      <c r="G53" t="s">
        <v>659</v>
      </c>
      <c r="H53" t="s">
        <v>387</v>
      </c>
      <c r="I53">
        <v>382</v>
      </c>
      <c r="J53">
        <v>32</v>
      </c>
      <c r="K53" t="s">
        <v>391</v>
      </c>
      <c r="L53">
        <v>8260</v>
      </c>
      <c r="M53" t="s">
        <v>317</v>
      </c>
      <c r="N53" t="s">
        <v>397</v>
      </c>
      <c r="O53">
        <v>1</v>
      </c>
      <c r="P53">
        <v>1</v>
      </c>
      <c r="Q53">
        <v>-99</v>
      </c>
      <c r="R53" t="s">
        <v>683</v>
      </c>
    </row>
    <row r="54" spans="1:18" x14ac:dyDescent="0.2">
      <c r="A54">
        <v>53</v>
      </c>
      <c r="B54">
        <v>-99</v>
      </c>
      <c r="C54" t="s">
        <v>157</v>
      </c>
      <c r="D54" t="s">
        <v>56</v>
      </c>
      <c r="E54" t="s">
        <v>573</v>
      </c>
      <c r="F54" t="s">
        <v>209</v>
      </c>
      <c r="G54" t="s">
        <v>659</v>
      </c>
      <c r="H54" t="s">
        <v>387</v>
      </c>
      <c r="I54">
        <v>382</v>
      </c>
      <c r="J54">
        <v>32</v>
      </c>
      <c r="K54" t="s">
        <v>391</v>
      </c>
      <c r="L54">
        <v>8260</v>
      </c>
      <c r="M54" t="s">
        <v>317</v>
      </c>
      <c r="N54" t="s">
        <v>397</v>
      </c>
      <c r="O54">
        <v>-99</v>
      </c>
      <c r="P54">
        <v>1</v>
      </c>
      <c r="Q54">
        <v>-99</v>
      </c>
      <c r="R54" t="s">
        <v>208</v>
      </c>
    </row>
    <row r="55" spans="1:18" x14ac:dyDescent="0.2">
      <c r="A55">
        <v>54</v>
      </c>
      <c r="B55">
        <v>58</v>
      </c>
      <c r="C55" t="s">
        <v>158</v>
      </c>
      <c r="D55" t="s">
        <v>75</v>
      </c>
      <c r="E55" t="s">
        <v>574</v>
      </c>
      <c r="F55" t="s">
        <v>575</v>
      </c>
      <c r="G55" t="s">
        <v>659</v>
      </c>
      <c r="H55" t="s">
        <v>387</v>
      </c>
      <c r="I55">
        <v>382</v>
      </c>
      <c r="J55">
        <v>32</v>
      </c>
      <c r="K55" t="s">
        <v>391</v>
      </c>
      <c r="L55">
        <v>8261</v>
      </c>
      <c r="M55" t="s">
        <v>340</v>
      </c>
      <c r="N55" t="s">
        <v>398</v>
      </c>
      <c r="O55">
        <v>1</v>
      </c>
      <c r="P55">
        <v>2</v>
      </c>
      <c r="Q55">
        <v>-99</v>
      </c>
      <c r="R55" t="s">
        <v>683</v>
      </c>
    </row>
    <row r="56" spans="1:18" x14ac:dyDescent="0.2">
      <c r="A56">
        <v>55</v>
      </c>
      <c r="B56">
        <v>59</v>
      </c>
      <c r="C56" t="s">
        <v>159</v>
      </c>
      <c r="D56" t="s">
        <v>41</v>
      </c>
      <c r="E56" t="s">
        <v>576</v>
      </c>
      <c r="F56" t="s">
        <v>577</v>
      </c>
      <c r="G56" t="s">
        <v>659</v>
      </c>
      <c r="H56" t="s">
        <v>387</v>
      </c>
      <c r="I56">
        <v>382</v>
      </c>
      <c r="J56">
        <v>32</v>
      </c>
      <c r="K56" t="s">
        <v>391</v>
      </c>
      <c r="L56">
        <v>8262</v>
      </c>
      <c r="M56" t="s">
        <v>364</v>
      </c>
      <c r="N56" t="s">
        <v>400</v>
      </c>
      <c r="O56">
        <v>1</v>
      </c>
      <c r="P56">
        <v>2</v>
      </c>
      <c r="Q56">
        <v>-99</v>
      </c>
      <c r="R56" t="s">
        <v>683</v>
      </c>
    </row>
    <row r="57" spans="1:18" x14ac:dyDescent="0.2">
      <c r="A57">
        <v>56</v>
      </c>
      <c r="B57">
        <v>60</v>
      </c>
      <c r="C57" t="s">
        <v>160</v>
      </c>
      <c r="D57" t="s">
        <v>50</v>
      </c>
      <c r="E57" t="s">
        <v>578</v>
      </c>
      <c r="F57" t="s">
        <v>579</v>
      </c>
      <c r="G57" t="s">
        <v>659</v>
      </c>
      <c r="H57" t="s">
        <v>387</v>
      </c>
      <c r="I57">
        <v>382</v>
      </c>
      <c r="J57">
        <v>32</v>
      </c>
      <c r="K57" t="s">
        <v>391</v>
      </c>
      <c r="L57">
        <v>8263</v>
      </c>
      <c r="M57" t="s">
        <v>323</v>
      </c>
      <c r="N57" t="s">
        <v>401</v>
      </c>
      <c r="O57">
        <v>1</v>
      </c>
      <c r="P57">
        <v>2</v>
      </c>
      <c r="Q57">
        <v>-99</v>
      </c>
      <c r="R57" t="s">
        <v>683</v>
      </c>
    </row>
    <row r="58" spans="1:18" x14ac:dyDescent="0.2">
      <c r="A58">
        <v>57</v>
      </c>
      <c r="B58">
        <v>84</v>
      </c>
      <c r="C58" t="s">
        <v>161</v>
      </c>
      <c r="D58" t="s">
        <v>76</v>
      </c>
      <c r="E58" t="s">
        <v>580</v>
      </c>
      <c r="F58" t="s">
        <v>581</v>
      </c>
      <c r="G58" t="s">
        <v>659</v>
      </c>
      <c r="H58" t="s">
        <v>387</v>
      </c>
      <c r="I58">
        <v>382</v>
      </c>
      <c r="J58">
        <v>32</v>
      </c>
      <c r="K58" t="s">
        <v>391</v>
      </c>
      <c r="L58">
        <v>8264</v>
      </c>
      <c r="M58" t="s">
        <v>334</v>
      </c>
      <c r="N58" t="s">
        <v>402</v>
      </c>
      <c r="O58">
        <v>1</v>
      </c>
      <c r="P58">
        <v>1</v>
      </c>
      <c r="Q58">
        <v>-99</v>
      </c>
      <c r="R58" t="s">
        <v>683</v>
      </c>
    </row>
    <row r="59" spans="1:18" x14ac:dyDescent="0.2">
      <c r="A59">
        <v>58</v>
      </c>
      <c r="B59">
        <v>-99</v>
      </c>
      <c r="C59" t="s">
        <v>161</v>
      </c>
      <c r="D59" t="s">
        <v>76</v>
      </c>
      <c r="E59" t="s">
        <v>582</v>
      </c>
      <c r="F59" t="s">
        <v>492</v>
      </c>
      <c r="G59" t="s">
        <v>659</v>
      </c>
      <c r="H59" t="s">
        <v>387</v>
      </c>
      <c r="I59">
        <v>382</v>
      </c>
      <c r="J59">
        <v>32</v>
      </c>
      <c r="K59" t="s">
        <v>391</v>
      </c>
      <c r="L59">
        <v>8264</v>
      </c>
      <c r="M59" t="s">
        <v>334</v>
      </c>
      <c r="N59" t="s">
        <v>402</v>
      </c>
      <c r="O59">
        <v>-99</v>
      </c>
      <c r="P59">
        <v>1</v>
      </c>
      <c r="Q59">
        <v>-99</v>
      </c>
      <c r="R59" t="s">
        <v>655</v>
      </c>
    </row>
    <row r="60" spans="1:18" x14ac:dyDescent="0.2">
      <c r="A60">
        <v>59</v>
      </c>
      <c r="B60">
        <v>-99</v>
      </c>
      <c r="C60" t="s">
        <v>161</v>
      </c>
      <c r="D60" t="s">
        <v>76</v>
      </c>
      <c r="E60" t="s">
        <v>583</v>
      </c>
      <c r="F60" t="s">
        <v>212</v>
      </c>
      <c r="G60" t="s">
        <v>659</v>
      </c>
      <c r="H60" t="s">
        <v>387</v>
      </c>
      <c r="I60">
        <v>382</v>
      </c>
      <c r="J60">
        <v>32</v>
      </c>
      <c r="K60" t="s">
        <v>391</v>
      </c>
      <c r="L60">
        <v>8264</v>
      </c>
      <c r="M60" t="s">
        <v>334</v>
      </c>
      <c r="N60" t="s">
        <v>402</v>
      </c>
      <c r="O60">
        <v>-99</v>
      </c>
      <c r="P60">
        <v>1</v>
      </c>
      <c r="Q60">
        <v>-99</v>
      </c>
      <c r="R60" t="s">
        <v>208</v>
      </c>
    </row>
    <row r="61" spans="1:18" x14ac:dyDescent="0.2">
      <c r="A61">
        <v>60</v>
      </c>
      <c r="B61">
        <v>100</v>
      </c>
      <c r="C61" t="s">
        <v>162</v>
      </c>
      <c r="D61" t="s">
        <v>40</v>
      </c>
      <c r="E61" t="s">
        <v>584</v>
      </c>
      <c r="F61" t="s">
        <v>585</v>
      </c>
      <c r="G61" t="s">
        <v>661</v>
      </c>
      <c r="H61" t="s">
        <v>403</v>
      </c>
      <c r="I61">
        <v>383</v>
      </c>
      <c r="J61">
        <v>33</v>
      </c>
      <c r="K61" t="s">
        <v>386</v>
      </c>
      <c r="L61">
        <v>8268</v>
      </c>
      <c r="M61" t="s">
        <v>351</v>
      </c>
      <c r="N61" t="s">
        <v>404</v>
      </c>
      <c r="O61">
        <v>1</v>
      </c>
      <c r="P61">
        <v>2</v>
      </c>
      <c r="Q61">
        <v>-99</v>
      </c>
      <c r="R61" t="s">
        <v>683</v>
      </c>
    </row>
    <row r="62" spans="1:18" x14ac:dyDescent="0.2">
      <c r="A62">
        <v>61</v>
      </c>
      <c r="B62">
        <v>101</v>
      </c>
      <c r="C62" t="s">
        <v>163</v>
      </c>
      <c r="D62" t="s">
        <v>31</v>
      </c>
      <c r="E62" t="s">
        <v>586</v>
      </c>
      <c r="F62" t="s">
        <v>587</v>
      </c>
      <c r="G62" t="s">
        <v>661</v>
      </c>
      <c r="H62" t="s">
        <v>403</v>
      </c>
      <c r="I62">
        <v>383</v>
      </c>
      <c r="J62">
        <v>34</v>
      </c>
      <c r="K62" t="s">
        <v>405</v>
      </c>
      <c r="L62">
        <v>8269</v>
      </c>
      <c r="M62" t="s">
        <v>319</v>
      </c>
      <c r="N62" t="s">
        <v>406</v>
      </c>
      <c r="O62">
        <v>1</v>
      </c>
      <c r="P62">
        <v>2</v>
      </c>
      <c r="Q62">
        <v>-99</v>
      </c>
      <c r="R62" t="s">
        <v>683</v>
      </c>
    </row>
    <row r="63" spans="1:18" x14ac:dyDescent="0.2">
      <c r="A63">
        <v>62</v>
      </c>
      <c r="B63">
        <v>102</v>
      </c>
      <c r="C63" t="s">
        <v>164</v>
      </c>
      <c r="D63" t="s">
        <v>70</v>
      </c>
      <c r="E63" t="s">
        <v>588</v>
      </c>
      <c r="F63" t="s">
        <v>589</v>
      </c>
      <c r="G63" t="s">
        <v>661</v>
      </c>
      <c r="H63" t="s">
        <v>403</v>
      </c>
      <c r="I63">
        <v>383</v>
      </c>
      <c r="J63">
        <v>33</v>
      </c>
      <c r="K63" t="s">
        <v>386</v>
      </c>
      <c r="L63">
        <v>8270</v>
      </c>
      <c r="M63" t="s">
        <v>345</v>
      </c>
      <c r="N63" t="s">
        <v>407</v>
      </c>
      <c r="O63">
        <v>1</v>
      </c>
      <c r="P63">
        <v>1</v>
      </c>
      <c r="Q63">
        <v>-99</v>
      </c>
      <c r="R63" t="s">
        <v>683</v>
      </c>
    </row>
    <row r="64" spans="1:18" x14ac:dyDescent="0.2">
      <c r="A64">
        <v>63</v>
      </c>
      <c r="B64">
        <v>-99</v>
      </c>
      <c r="C64" t="s">
        <v>164</v>
      </c>
      <c r="D64" t="s">
        <v>70</v>
      </c>
      <c r="E64" t="s">
        <v>590</v>
      </c>
      <c r="F64" t="s">
        <v>211</v>
      </c>
      <c r="G64" t="s">
        <v>661</v>
      </c>
      <c r="H64" t="s">
        <v>403</v>
      </c>
      <c r="I64">
        <v>383</v>
      </c>
      <c r="J64">
        <v>33</v>
      </c>
      <c r="K64" t="s">
        <v>386</v>
      </c>
      <c r="L64">
        <v>8270</v>
      </c>
      <c r="M64" t="s">
        <v>345</v>
      </c>
      <c r="N64" t="s">
        <v>407</v>
      </c>
      <c r="O64">
        <v>-99</v>
      </c>
      <c r="P64">
        <v>1</v>
      </c>
      <c r="Q64">
        <v>-99</v>
      </c>
      <c r="R64" t="s">
        <v>680</v>
      </c>
    </row>
    <row r="65" spans="1:18" x14ac:dyDescent="0.2">
      <c r="A65">
        <v>64</v>
      </c>
      <c r="B65">
        <v>103</v>
      </c>
      <c r="C65" t="s">
        <v>165</v>
      </c>
      <c r="D65" t="s">
        <v>62</v>
      </c>
      <c r="E65" t="s">
        <v>591</v>
      </c>
      <c r="F65" t="s">
        <v>592</v>
      </c>
      <c r="G65" t="s">
        <v>661</v>
      </c>
      <c r="H65" t="s">
        <v>403</v>
      </c>
      <c r="I65">
        <v>383</v>
      </c>
      <c r="J65">
        <v>34</v>
      </c>
      <c r="K65" t="s">
        <v>405</v>
      </c>
      <c r="L65">
        <v>8272</v>
      </c>
      <c r="M65" t="s">
        <v>333</v>
      </c>
      <c r="N65" t="s">
        <v>408</v>
      </c>
      <c r="O65">
        <v>1</v>
      </c>
      <c r="P65">
        <v>2</v>
      </c>
      <c r="Q65">
        <v>-99</v>
      </c>
      <c r="R65" t="s">
        <v>683</v>
      </c>
    </row>
    <row r="66" spans="1:18" x14ac:dyDescent="0.2">
      <c r="A66">
        <v>65</v>
      </c>
      <c r="B66">
        <v>104</v>
      </c>
      <c r="C66" t="s">
        <v>166</v>
      </c>
      <c r="D66" t="s">
        <v>52</v>
      </c>
      <c r="E66" t="s">
        <v>593</v>
      </c>
      <c r="F66" t="s">
        <v>594</v>
      </c>
      <c r="G66" t="s">
        <v>661</v>
      </c>
      <c r="H66" t="s">
        <v>403</v>
      </c>
      <c r="I66">
        <v>383</v>
      </c>
      <c r="J66">
        <v>34</v>
      </c>
      <c r="K66" t="s">
        <v>405</v>
      </c>
      <c r="L66">
        <v>8221</v>
      </c>
      <c r="M66" t="s">
        <v>333</v>
      </c>
      <c r="N66" t="s">
        <v>408</v>
      </c>
      <c r="O66">
        <v>1</v>
      </c>
      <c r="P66">
        <v>2</v>
      </c>
      <c r="Q66">
        <v>-99</v>
      </c>
      <c r="R66" t="s">
        <v>683</v>
      </c>
    </row>
    <row r="67" spans="1:18" x14ac:dyDescent="0.2">
      <c r="A67">
        <v>66</v>
      </c>
      <c r="B67">
        <v>196</v>
      </c>
      <c r="C67" t="s">
        <v>167</v>
      </c>
      <c r="D67" t="s">
        <v>64</v>
      </c>
      <c r="E67" t="s">
        <v>595</v>
      </c>
      <c r="F67" t="s">
        <v>596</v>
      </c>
      <c r="G67" t="s">
        <v>661</v>
      </c>
      <c r="H67" t="s">
        <v>403</v>
      </c>
      <c r="I67">
        <v>383</v>
      </c>
      <c r="J67">
        <v>34</v>
      </c>
      <c r="K67" t="s">
        <v>405</v>
      </c>
      <c r="L67">
        <v>8202</v>
      </c>
      <c r="M67" t="s">
        <v>346</v>
      </c>
      <c r="N67" t="s">
        <v>427</v>
      </c>
      <c r="O67">
        <v>1</v>
      </c>
      <c r="P67">
        <v>2</v>
      </c>
      <c r="Q67">
        <v>-99</v>
      </c>
      <c r="R67" t="s">
        <v>683</v>
      </c>
    </row>
    <row r="68" spans="1:18" x14ac:dyDescent="0.2">
      <c r="A68">
        <v>67</v>
      </c>
      <c r="B68">
        <v>110</v>
      </c>
      <c r="C68" t="s">
        <v>168</v>
      </c>
      <c r="D68" t="s">
        <v>73</v>
      </c>
      <c r="E68" t="s">
        <v>597</v>
      </c>
      <c r="F68" t="s">
        <v>598</v>
      </c>
      <c r="G68" t="s">
        <v>661</v>
      </c>
      <c r="H68" t="s">
        <v>403</v>
      </c>
      <c r="I68">
        <v>383</v>
      </c>
      <c r="J68">
        <v>34</v>
      </c>
      <c r="K68" t="s">
        <v>405</v>
      </c>
      <c r="L68">
        <v>8203</v>
      </c>
      <c r="M68" t="s">
        <v>330</v>
      </c>
      <c r="N68" t="s">
        <v>80</v>
      </c>
      <c r="O68">
        <v>1</v>
      </c>
      <c r="P68">
        <v>1</v>
      </c>
      <c r="Q68">
        <v>-99</v>
      </c>
      <c r="R68" t="s">
        <v>683</v>
      </c>
    </row>
    <row r="69" spans="1:18" x14ac:dyDescent="0.2">
      <c r="A69">
        <v>68</v>
      </c>
      <c r="B69">
        <v>-99</v>
      </c>
      <c r="C69" t="s">
        <v>168</v>
      </c>
      <c r="D69" t="s">
        <v>73</v>
      </c>
      <c r="E69" t="s">
        <v>599</v>
      </c>
      <c r="F69" t="s">
        <v>600</v>
      </c>
      <c r="G69" t="s">
        <v>661</v>
      </c>
      <c r="H69" t="s">
        <v>403</v>
      </c>
      <c r="I69">
        <v>383</v>
      </c>
      <c r="J69">
        <v>34</v>
      </c>
      <c r="K69" t="s">
        <v>405</v>
      </c>
      <c r="L69">
        <v>8203</v>
      </c>
      <c r="M69" t="s">
        <v>330</v>
      </c>
      <c r="N69" t="s">
        <v>80</v>
      </c>
      <c r="O69">
        <v>-99</v>
      </c>
      <c r="P69">
        <v>1</v>
      </c>
      <c r="Q69">
        <v>-99</v>
      </c>
      <c r="R69" t="s">
        <v>399</v>
      </c>
    </row>
    <row r="70" spans="1:18" x14ac:dyDescent="0.2">
      <c r="A70">
        <v>69</v>
      </c>
      <c r="B70">
        <v>111</v>
      </c>
      <c r="C70" t="s">
        <v>169</v>
      </c>
      <c r="D70" t="s">
        <v>34</v>
      </c>
      <c r="E70" t="s">
        <v>601</v>
      </c>
      <c r="F70" t="s">
        <v>602</v>
      </c>
      <c r="G70" t="s">
        <v>661</v>
      </c>
      <c r="H70" t="s">
        <v>403</v>
      </c>
      <c r="I70">
        <v>383</v>
      </c>
      <c r="J70">
        <v>34</v>
      </c>
      <c r="K70" t="s">
        <v>405</v>
      </c>
      <c r="L70">
        <v>8204</v>
      </c>
      <c r="M70" t="s">
        <v>335</v>
      </c>
      <c r="N70" t="s">
        <v>409</v>
      </c>
      <c r="O70">
        <v>1</v>
      </c>
      <c r="P70">
        <v>2</v>
      </c>
      <c r="Q70">
        <v>-99</v>
      </c>
      <c r="R70" t="s">
        <v>683</v>
      </c>
    </row>
    <row r="71" spans="1:18" x14ac:dyDescent="0.2">
      <c r="A71">
        <v>70</v>
      </c>
      <c r="B71">
        <v>112</v>
      </c>
      <c r="C71" t="s">
        <v>170</v>
      </c>
      <c r="D71" t="s">
        <v>66</v>
      </c>
      <c r="E71" t="s">
        <v>603</v>
      </c>
      <c r="F71" t="s">
        <v>604</v>
      </c>
      <c r="G71" t="s">
        <v>661</v>
      </c>
      <c r="H71" t="s">
        <v>403</v>
      </c>
      <c r="I71">
        <v>383</v>
      </c>
      <c r="J71">
        <v>34</v>
      </c>
      <c r="K71" t="s">
        <v>405</v>
      </c>
      <c r="L71">
        <v>8205</v>
      </c>
      <c r="M71" t="s">
        <v>352</v>
      </c>
      <c r="N71" t="s">
        <v>410</v>
      </c>
      <c r="O71">
        <v>1</v>
      </c>
      <c r="P71">
        <v>2</v>
      </c>
      <c r="Q71">
        <v>-99</v>
      </c>
      <c r="R71" t="s">
        <v>683</v>
      </c>
    </row>
    <row r="72" spans="1:18" x14ac:dyDescent="0.2">
      <c r="A72">
        <v>71</v>
      </c>
      <c r="B72">
        <v>113</v>
      </c>
      <c r="C72" t="s">
        <v>171</v>
      </c>
      <c r="D72" t="s">
        <v>79</v>
      </c>
      <c r="E72" t="s">
        <v>605</v>
      </c>
      <c r="F72" t="s">
        <v>606</v>
      </c>
      <c r="G72" t="s">
        <v>659</v>
      </c>
      <c r="H72" t="s">
        <v>387</v>
      </c>
      <c r="I72">
        <v>382</v>
      </c>
      <c r="J72">
        <v>33</v>
      </c>
      <c r="K72" t="s">
        <v>386</v>
      </c>
      <c r="L72">
        <v>8206</v>
      </c>
      <c r="M72" t="s">
        <v>328</v>
      </c>
      <c r="N72" t="s">
        <v>411</v>
      </c>
      <c r="O72">
        <v>1</v>
      </c>
      <c r="P72">
        <v>2</v>
      </c>
      <c r="Q72">
        <v>-99</v>
      </c>
      <c r="R72" t="s">
        <v>683</v>
      </c>
    </row>
    <row r="73" spans="1:18" x14ac:dyDescent="0.2">
      <c r="A73">
        <v>72</v>
      </c>
      <c r="B73">
        <v>114</v>
      </c>
      <c r="C73" t="s">
        <v>172</v>
      </c>
      <c r="D73" t="s">
        <v>51</v>
      </c>
      <c r="E73" t="s">
        <v>607</v>
      </c>
      <c r="F73" t="s">
        <v>608</v>
      </c>
      <c r="G73" t="s">
        <v>659</v>
      </c>
      <c r="H73" t="s">
        <v>387</v>
      </c>
      <c r="I73">
        <v>382</v>
      </c>
      <c r="J73">
        <v>33</v>
      </c>
      <c r="K73" t="s">
        <v>386</v>
      </c>
      <c r="L73">
        <v>8207</v>
      </c>
      <c r="M73" t="s">
        <v>316</v>
      </c>
      <c r="N73" t="s">
        <v>412</v>
      </c>
      <c r="O73">
        <v>1</v>
      </c>
      <c r="P73">
        <v>2</v>
      </c>
      <c r="Q73">
        <v>-99</v>
      </c>
      <c r="R73" t="s">
        <v>683</v>
      </c>
    </row>
    <row r="74" spans="1:18" x14ac:dyDescent="0.2">
      <c r="A74">
        <v>73</v>
      </c>
      <c r="B74">
        <v>115</v>
      </c>
      <c r="C74" t="s">
        <v>173</v>
      </c>
      <c r="D74" t="s">
        <v>27</v>
      </c>
      <c r="E74" t="s">
        <v>609</v>
      </c>
      <c r="F74" t="s">
        <v>610</v>
      </c>
      <c r="G74" t="s">
        <v>659</v>
      </c>
      <c r="H74" t="s">
        <v>387</v>
      </c>
      <c r="I74">
        <v>382</v>
      </c>
      <c r="J74">
        <v>33</v>
      </c>
      <c r="K74" t="s">
        <v>386</v>
      </c>
      <c r="L74">
        <v>8208</v>
      </c>
      <c r="M74" t="s">
        <v>339</v>
      </c>
      <c r="N74" t="s">
        <v>413</v>
      </c>
      <c r="O74">
        <v>1</v>
      </c>
      <c r="P74">
        <v>2</v>
      </c>
      <c r="Q74">
        <v>-99</v>
      </c>
      <c r="R74" t="s">
        <v>683</v>
      </c>
    </row>
    <row r="75" spans="1:18" x14ac:dyDescent="0.2">
      <c r="A75">
        <v>74</v>
      </c>
      <c r="B75">
        <v>116</v>
      </c>
      <c r="C75" t="s">
        <v>174</v>
      </c>
      <c r="D75" t="s">
        <v>68</v>
      </c>
      <c r="E75" t="s">
        <v>611</v>
      </c>
      <c r="F75" t="s">
        <v>612</v>
      </c>
      <c r="G75" t="s">
        <v>661</v>
      </c>
      <c r="H75" t="s">
        <v>403</v>
      </c>
      <c r="I75">
        <v>383</v>
      </c>
      <c r="J75">
        <v>34</v>
      </c>
      <c r="K75" t="s">
        <v>405</v>
      </c>
      <c r="L75">
        <v>8210</v>
      </c>
      <c r="M75" t="s">
        <v>329</v>
      </c>
      <c r="N75" t="s">
        <v>414</v>
      </c>
      <c r="O75">
        <v>1</v>
      </c>
      <c r="P75">
        <v>2</v>
      </c>
      <c r="Q75">
        <v>-99</v>
      </c>
      <c r="R75" t="s">
        <v>683</v>
      </c>
    </row>
    <row r="76" spans="1:18" x14ac:dyDescent="0.2">
      <c r="A76">
        <v>75</v>
      </c>
      <c r="B76">
        <v>197</v>
      </c>
      <c r="C76" t="s">
        <v>175</v>
      </c>
      <c r="D76" t="s">
        <v>72</v>
      </c>
      <c r="E76" t="s">
        <v>613</v>
      </c>
      <c r="F76" t="s">
        <v>614</v>
      </c>
      <c r="G76" t="s">
        <v>658</v>
      </c>
      <c r="H76" t="s">
        <v>378</v>
      </c>
      <c r="I76">
        <v>381</v>
      </c>
      <c r="J76">
        <v>31</v>
      </c>
      <c r="K76" t="s">
        <v>381</v>
      </c>
      <c r="L76">
        <v>8211</v>
      </c>
      <c r="M76" t="s">
        <v>332</v>
      </c>
      <c r="N76" t="s">
        <v>428</v>
      </c>
      <c r="O76">
        <v>1</v>
      </c>
      <c r="P76">
        <v>2</v>
      </c>
      <c r="Q76">
        <v>-99</v>
      </c>
      <c r="R76" t="s">
        <v>683</v>
      </c>
    </row>
    <row r="77" spans="1:18" x14ac:dyDescent="0.2">
      <c r="A77">
        <v>76</v>
      </c>
      <c r="B77">
        <v>119</v>
      </c>
      <c r="C77" t="s">
        <v>176</v>
      </c>
      <c r="D77" t="s">
        <v>55</v>
      </c>
      <c r="E77" t="s">
        <v>615</v>
      </c>
      <c r="F77" t="s">
        <v>616</v>
      </c>
      <c r="G77" t="s">
        <v>661</v>
      </c>
      <c r="H77" t="s">
        <v>403</v>
      </c>
      <c r="I77">
        <v>383</v>
      </c>
      <c r="J77">
        <v>34</v>
      </c>
      <c r="K77" t="s">
        <v>405</v>
      </c>
      <c r="L77">
        <v>8223</v>
      </c>
      <c r="M77" t="s">
        <v>617</v>
      </c>
      <c r="N77" t="s">
        <v>618</v>
      </c>
      <c r="O77">
        <v>1</v>
      </c>
      <c r="P77">
        <v>2</v>
      </c>
      <c r="Q77">
        <v>-99</v>
      </c>
      <c r="R77" t="s">
        <v>683</v>
      </c>
    </row>
    <row r="78" spans="1:18" x14ac:dyDescent="0.2">
      <c r="A78">
        <v>77</v>
      </c>
      <c r="B78">
        <v>131</v>
      </c>
      <c r="C78" t="s">
        <v>177</v>
      </c>
      <c r="D78" t="s">
        <v>46</v>
      </c>
      <c r="E78" t="s">
        <v>619</v>
      </c>
      <c r="F78" t="s">
        <v>620</v>
      </c>
      <c r="G78" t="s">
        <v>659</v>
      </c>
      <c r="H78" t="s">
        <v>387</v>
      </c>
      <c r="I78">
        <v>382</v>
      </c>
      <c r="J78">
        <v>33</v>
      </c>
      <c r="K78" t="s">
        <v>386</v>
      </c>
      <c r="L78">
        <v>8226</v>
      </c>
      <c r="M78" t="s">
        <v>328</v>
      </c>
      <c r="N78" t="s">
        <v>411</v>
      </c>
      <c r="O78">
        <v>1</v>
      </c>
      <c r="P78">
        <v>2</v>
      </c>
      <c r="Q78">
        <v>-99</v>
      </c>
      <c r="R78" t="s">
        <v>683</v>
      </c>
    </row>
    <row r="79" spans="1:18" x14ac:dyDescent="0.2">
      <c r="A79">
        <v>78</v>
      </c>
      <c r="B79">
        <v>132</v>
      </c>
      <c r="C79" t="s">
        <v>670</v>
      </c>
      <c r="D79" t="s">
        <v>431</v>
      </c>
      <c r="E79" t="s">
        <v>621</v>
      </c>
      <c r="F79" t="s">
        <v>671</v>
      </c>
      <c r="G79" t="s">
        <v>658</v>
      </c>
      <c r="H79" t="s">
        <v>378</v>
      </c>
      <c r="I79">
        <v>381</v>
      </c>
      <c r="J79">
        <v>30</v>
      </c>
      <c r="K79" t="s">
        <v>370</v>
      </c>
      <c r="L79">
        <v>8229</v>
      </c>
      <c r="M79" t="s">
        <v>347</v>
      </c>
      <c r="N79" t="s">
        <v>415</v>
      </c>
      <c r="O79">
        <v>1</v>
      </c>
      <c r="P79">
        <v>2</v>
      </c>
      <c r="Q79">
        <v>-99</v>
      </c>
      <c r="R79" t="s">
        <v>683</v>
      </c>
    </row>
    <row r="80" spans="1:18" x14ac:dyDescent="0.2">
      <c r="A80">
        <v>79</v>
      </c>
      <c r="B80">
        <v>143</v>
      </c>
      <c r="C80" t="s">
        <v>178</v>
      </c>
      <c r="D80" t="s">
        <v>54</v>
      </c>
      <c r="E80" t="s">
        <v>622</v>
      </c>
      <c r="F80" t="s">
        <v>623</v>
      </c>
      <c r="G80" t="s">
        <v>657</v>
      </c>
      <c r="H80" t="s">
        <v>371</v>
      </c>
      <c r="I80">
        <v>380</v>
      </c>
      <c r="J80">
        <v>30</v>
      </c>
      <c r="K80" t="s">
        <v>370</v>
      </c>
      <c r="L80">
        <v>8230</v>
      </c>
      <c r="M80" t="s">
        <v>360</v>
      </c>
      <c r="N80" t="s">
        <v>416</v>
      </c>
      <c r="O80">
        <v>1</v>
      </c>
      <c r="P80">
        <v>2</v>
      </c>
      <c r="Q80">
        <v>-99</v>
      </c>
      <c r="R80" t="s">
        <v>683</v>
      </c>
    </row>
    <row r="81" spans="1:18" x14ac:dyDescent="0.2">
      <c r="A81">
        <v>80</v>
      </c>
      <c r="B81">
        <v>144</v>
      </c>
      <c r="C81" t="s">
        <v>672</v>
      </c>
      <c r="D81" t="s">
        <v>490</v>
      </c>
      <c r="E81" t="s">
        <v>672</v>
      </c>
      <c r="F81" t="s">
        <v>490</v>
      </c>
      <c r="G81" t="s">
        <v>669</v>
      </c>
      <c r="H81" t="s">
        <v>8</v>
      </c>
      <c r="I81">
        <v>-99</v>
      </c>
      <c r="J81">
        <v>35</v>
      </c>
      <c r="K81" t="s">
        <v>8</v>
      </c>
      <c r="L81">
        <v>8215</v>
      </c>
      <c r="M81" t="s">
        <v>340</v>
      </c>
      <c r="N81" t="s">
        <v>398</v>
      </c>
      <c r="O81">
        <v>1</v>
      </c>
      <c r="P81">
        <v>2</v>
      </c>
      <c r="Q81">
        <v>-99</v>
      </c>
      <c r="R81" t="s">
        <v>655</v>
      </c>
    </row>
    <row r="82" spans="1:18" x14ac:dyDescent="0.2">
      <c r="A82">
        <v>81</v>
      </c>
      <c r="B82">
        <v>145</v>
      </c>
      <c r="C82" t="s">
        <v>179</v>
      </c>
      <c r="D82" t="s">
        <v>71</v>
      </c>
      <c r="E82" t="s">
        <v>624</v>
      </c>
      <c r="F82" t="s">
        <v>625</v>
      </c>
      <c r="G82" t="s">
        <v>661</v>
      </c>
      <c r="H82" t="s">
        <v>403</v>
      </c>
      <c r="I82">
        <v>383</v>
      </c>
      <c r="J82">
        <v>34</v>
      </c>
      <c r="K82" t="s">
        <v>405</v>
      </c>
      <c r="L82">
        <v>8231</v>
      </c>
      <c r="M82" t="s">
        <v>333</v>
      </c>
      <c r="N82" t="s">
        <v>408</v>
      </c>
      <c r="O82">
        <v>1</v>
      </c>
      <c r="P82">
        <v>1</v>
      </c>
      <c r="Q82">
        <v>-99</v>
      </c>
      <c r="R82" t="s">
        <v>683</v>
      </c>
    </row>
    <row r="83" spans="1:18" x14ac:dyDescent="0.2">
      <c r="A83">
        <v>82</v>
      </c>
      <c r="B83">
        <v>-99</v>
      </c>
      <c r="C83" t="s">
        <v>179</v>
      </c>
      <c r="D83" t="s">
        <v>71</v>
      </c>
      <c r="E83" t="s">
        <v>626</v>
      </c>
      <c r="F83" t="s">
        <v>957</v>
      </c>
      <c r="G83" t="s">
        <v>661</v>
      </c>
      <c r="H83" t="s">
        <v>403</v>
      </c>
      <c r="I83">
        <v>383</v>
      </c>
      <c r="J83">
        <v>34</v>
      </c>
      <c r="K83" t="s">
        <v>405</v>
      </c>
      <c r="L83">
        <v>8231</v>
      </c>
      <c r="M83" t="s">
        <v>333</v>
      </c>
      <c r="N83" t="s">
        <v>408</v>
      </c>
      <c r="O83">
        <v>-99</v>
      </c>
      <c r="P83">
        <v>1</v>
      </c>
      <c r="Q83">
        <v>-99</v>
      </c>
      <c r="R83" t="s">
        <v>681</v>
      </c>
    </row>
    <row r="84" spans="1:18" x14ac:dyDescent="0.2">
      <c r="A84">
        <v>83</v>
      </c>
      <c r="B84">
        <v>151</v>
      </c>
      <c r="C84" t="s">
        <v>673</v>
      </c>
      <c r="D84" t="s">
        <v>1058</v>
      </c>
      <c r="E84" t="s">
        <v>673</v>
      </c>
      <c r="F84" t="s">
        <v>491</v>
      </c>
      <c r="G84" t="s">
        <v>669</v>
      </c>
      <c r="H84" t="s">
        <v>8</v>
      </c>
      <c r="I84">
        <v>380</v>
      </c>
      <c r="J84">
        <v>35</v>
      </c>
      <c r="K84" t="s">
        <v>8</v>
      </c>
      <c r="L84">
        <v>3180155</v>
      </c>
      <c r="M84" t="s">
        <v>347</v>
      </c>
      <c r="N84" t="s">
        <v>415</v>
      </c>
      <c r="O84">
        <v>1</v>
      </c>
      <c r="P84">
        <v>2</v>
      </c>
      <c r="Q84">
        <v>-99</v>
      </c>
      <c r="R84" t="s">
        <v>655</v>
      </c>
    </row>
    <row r="85" spans="1:18" x14ac:dyDescent="0.2">
      <c r="A85">
        <v>84</v>
      </c>
      <c r="B85">
        <v>152</v>
      </c>
      <c r="C85" t="s">
        <v>180</v>
      </c>
      <c r="D85" t="s">
        <v>78</v>
      </c>
      <c r="E85" t="s">
        <v>627</v>
      </c>
      <c r="F85" t="s">
        <v>628</v>
      </c>
      <c r="G85" t="s">
        <v>657</v>
      </c>
      <c r="H85" t="s">
        <v>371</v>
      </c>
      <c r="I85">
        <v>380</v>
      </c>
      <c r="J85">
        <v>30</v>
      </c>
      <c r="K85" t="s">
        <v>370</v>
      </c>
      <c r="L85">
        <v>8234</v>
      </c>
      <c r="M85" t="s">
        <v>353</v>
      </c>
      <c r="N85" t="s">
        <v>417</v>
      </c>
      <c r="O85">
        <v>1</v>
      </c>
      <c r="P85">
        <v>2</v>
      </c>
      <c r="Q85">
        <v>-99</v>
      </c>
      <c r="R85" t="s">
        <v>683</v>
      </c>
    </row>
    <row r="86" spans="1:18" x14ac:dyDescent="0.2">
      <c r="A86">
        <v>85</v>
      </c>
      <c r="B86">
        <v>153</v>
      </c>
      <c r="C86" t="s">
        <v>89</v>
      </c>
      <c r="D86" t="s">
        <v>135</v>
      </c>
      <c r="E86" t="s">
        <v>629</v>
      </c>
      <c r="F86" t="s">
        <v>630</v>
      </c>
      <c r="G86" t="s">
        <v>657</v>
      </c>
      <c r="H86" t="s">
        <v>371</v>
      </c>
      <c r="I86">
        <v>380</v>
      </c>
      <c r="J86">
        <v>30</v>
      </c>
      <c r="K86" t="s">
        <v>370</v>
      </c>
      <c r="L86">
        <v>8236</v>
      </c>
      <c r="M86" t="s">
        <v>366</v>
      </c>
      <c r="N86" t="s">
        <v>418</v>
      </c>
      <c r="O86">
        <v>1</v>
      </c>
      <c r="P86">
        <v>2</v>
      </c>
      <c r="Q86">
        <v>-99</v>
      </c>
      <c r="R86" t="s">
        <v>683</v>
      </c>
    </row>
    <row r="87" spans="1:18" x14ac:dyDescent="0.2">
      <c r="A87">
        <v>86</v>
      </c>
      <c r="B87">
        <v>154</v>
      </c>
      <c r="C87" t="s">
        <v>182</v>
      </c>
      <c r="D87" t="s">
        <v>181</v>
      </c>
      <c r="E87" t="s">
        <v>631</v>
      </c>
      <c r="F87" t="s">
        <v>632</v>
      </c>
      <c r="G87" t="s">
        <v>661</v>
      </c>
      <c r="H87" t="s">
        <v>403</v>
      </c>
      <c r="I87">
        <v>383</v>
      </c>
      <c r="J87">
        <v>33</v>
      </c>
      <c r="K87" t="s">
        <v>386</v>
      </c>
      <c r="L87">
        <v>8265</v>
      </c>
      <c r="M87" t="s">
        <v>359</v>
      </c>
      <c r="N87" t="s">
        <v>419</v>
      </c>
      <c r="O87">
        <v>1</v>
      </c>
      <c r="P87">
        <v>2</v>
      </c>
      <c r="Q87">
        <v>-99</v>
      </c>
      <c r="R87" t="s">
        <v>683</v>
      </c>
    </row>
    <row r="88" spans="1:18" x14ac:dyDescent="0.2">
      <c r="A88">
        <v>87</v>
      </c>
      <c r="B88">
        <v>155</v>
      </c>
      <c r="C88" t="s">
        <v>183</v>
      </c>
      <c r="D88" t="s">
        <v>43</v>
      </c>
      <c r="E88" t="s">
        <v>633</v>
      </c>
      <c r="F88" t="s">
        <v>634</v>
      </c>
      <c r="G88" t="s">
        <v>659</v>
      </c>
      <c r="H88" t="s">
        <v>387</v>
      </c>
      <c r="I88">
        <v>382</v>
      </c>
      <c r="J88">
        <v>32</v>
      </c>
      <c r="K88" t="s">
        <v>391</v>
      </c>
      <c r="L88">
        <v>8266</v>
      </c>
      <c r="M88" t="s">
        <v>324</v>
      </c>
      <c r="N88" t="s">
        <v>420</v>
      </c>
      <c r="O88">
        <v>1</v>
      </c>
      <c r="P88">
        <v>2</v>
      </c>
      <c r="Q88">
        <v>-99</v>
      </c>
      <c r="R88" t="s">
        <v>683</v>
      </c>
    </row>
    <row r="89" spans="1:18" x14ac:dyDescent="0.2">
      <c r="A89">
        <v>88</v>
      </c>
      <c r="B89">
        <v>156</v>
      </c>
      <c r="C89" t="s">
        <v>184</v>
      </c>
      <c r="D89" t="s">
        <v>74</v>
      </c>
      <c r="E89" t="s">
        <v>635</v>
      </c>
      <c r="F89" t="s">
        <v>636</v>
      </c>
      <c r="G89" t="s">
        <v>659</v>
      </c>
      <c r="H89" t="s">
        <v>387</v>
      </c>
      <c r="I89">
        <v>382</v>
      </c>
      <c r="J89">
        <v>32</v>
      </c>
      <c r="K89" t="s">
        <v>391</v>
      </c>
      <c r="L89">
        <v>8267</v>
      </c>
      <c r="M89" t="s">
        <v>342</v>
      </c>
      <c r="N89" t="s">
        <v>421</v>
      </c>
      <c r="O89">
        <v>1</v>
      </c>
      <c r="P89">
        <v>2</v>
      </c>
      <c r="Q89">
        <v>-99</v>
      </c>
      <c r="R89" t="s">
        <v>683</v>
      </c>
    </row>
    <row r="90" spans="1:18" x14ac:dyDescent="0.2">
      <c r="A90">
        <v>89</v>
      </c>
      <c r="B90">
        <v>157</v>
      </c>
      <c r="C90" t="s">
        <v>674</v>
      </c>
      <c r="D90" t="s">
        <v>36</v>
      </c>
      <c r="E90" t="s">
        <v>637</v>
      </c>
      <c r="F90" t="s">
        <v>638</v>
      </c>
      <c r="G90" t="s">
        <v>661</v>
      </c>
      <c r="H90" t="s">
        <v>403</v>
      </c>
      <c r="I90">
        <v>383</v>
      </c>
      <c r="J90">
        <v>33</v>
      </c>
      <c r="K90" t="s">
        <v>386</v>
      </c>
      <c r="L90">
        <v>8271</v>
      </c>
      <c r="M90" t="s">
        <v>320</v>
      </c>
      <c r="N90" t="s">
        <v>422</v>
      </c>
      <c r="O90">
        <v>1</v>
      </c>
      <c r="P90">
        <v>2</v>
      </c>
      <c r="Q90">
        <v>-99</v>
      </c>
      <c r="R90" t="s">
        <v>683</v>
      </c>
    </row>
    <row r="91" spans="1:18" x14ac:dyDescent="0.2">
      <c r="A91">
        <v>90</v>
      </c>
      <c r="B91">
        <v>158</v>
      </c>
      <c r="C91" t="s">
        <v>185</v>
      </c>
      <c r="D91" t="s">
        <v>81</v>
      </c>
      <c r="E91" t="s">
        <v>639</v>
      </c>
      <c r="F91" t="s">
        <v>640</v>
      </c>
      <c r="G91" t="s">
        <v>659</v>
      </c>
      <c r="H91" t="s">
        <v>387</v>
      </c>
      <c r="I91">
        <v>382</v>
      </c>
      <c r="J91">
        <v>32</v>
      </c>
      <c r="K91" t="s">
        <v>391</v>
      </c>
      <c r="L91">
        <v>8209</v>
      </c>
      <c r="M91" t="s">
        <v>365</v>
      </c>
      <c r="N91" t="s">
        <v>423</v>
      </c>
      <c r="O91">
        <v>1</v>
      </c>
      <c r="P91">
        <v>2</v>
      </c>
      <c r="Q91">
        <v>-99</v>
      </c>
      <c r="R91" t="s">
        <v>683</v>
      </c>
    </row>
    <row r="92" spans="1:18" x14ac:dyDescent="0.2">
      <c r="A92">
        <v>91</v>
      </c>
      <c r="B92">
        <v>198</v>
      </c>
      <c r="C92" t="s">
        <v>186</v>
      </c>
      <c r="D92" t="s">
        <v>45</v>
      </c>
      <c r="E92" t="s">
        <v>641</v>
      </c>
      <c r="F92" t="s">
        <v>642</v>
      </c>
      <c r="G92" t="s">
        <v>661</v>
      </c>
      <c r="H92" t="s">
        <v>403</v>
      </c>
      <c r="I92">
        <v>383</v>
      </c>
      <c r="J92">
        <v>34</v>
      </c>
      <c r="K92" t="s">
        <v>405</v>
      </c>
      <c r="L92">
        <v>8224</v>
      </c>
      <c r="M92" t="s">
        <v>362</v>
      </c>
      <c r="N92" t="s">
        <v>429</v>
      </c>
      <c r="O92">
        <v>1</v>
      </c>
      <c r="P92">
        <v>2</v>
      </c>
      <c r="Q92">
        <v>-99</v>
      </c>
      <c r="R92" t="s">
        <v>683</v>
      </c>
    </row>
    <row r="93" spans="1:18" x14ac:dyDescent="0.2">
      <c r="A93">
        <v>92</v>
      </c>
      <c r="B93">
        <v>161</v>
      </c>
      <c r="C93" t="s">
        <v>187</v>
      </c>
      <c r="D93" t="s">
        <v>82</v>
      </c>
      <c r="E93" t="s">
        <v>643</v>
      </c>
      <c r="F93" t="s">
        <v>644</v>
      </c>
      <c r="G93" t="s">
        <v>657</v>
      </c>
      <c r="H93" t="s">
        <v>371</v>
      </c>
      <c r="I93">
        <v>380</v>
      </c>
      <c r="J93">
        <v>30</v>
      </c>
      <c r="K93" t="s">
        <v>370</v>
      </c>
      <c r="L93">
        <v>8225</v>
      </c>
      <c r="M93" t="s">
        <v>325</v>
      </c>
      <c r="N93" t="s">
        <v>424</v>
      </c>
      <c r="O93">
        <v>1</v>
      </c>
      <c r="P93">
        <v>2</v>
      </c>
      <c r="Q93">
        <v>-99</v>
      </c>
      <c r="R93" t="s">
        <v>683</v>
      </c>
    </row>
    <row r="94" spans="1:18" x14ac:dyDescent="0.2">
      <c r="A94">
        <v>93</v>
      </c>
      <c r="B94">
        <v>162</v>
      </c>
      <c r="C94" t="s">
        <v>188</v>
      </c>
      <c r="D94" t="s">
        <v>32</v>
      </c>
      <c r="E94" t="s">
        <v>645</v>
      </c>
      <c r="F94" t="s">
        <v>646</v>
      </c>
      <c r="G94" t="s">
        <v>661</v>
      </c>
      <c r="H94" t="s">
        <v>403</v>
      </c>
      <c r="I94">
        <v>383</v>
      </c>
      <c r="J94">
        <v>34</v>
      </c>
      <c r="K94" t="s">
        <v>405</v>
      </c>
      <c r="L94">
        <v>8227</v>
      </c>
      <c r="M94" t="s">
        <v>478</v>
      </c>
      <c r="N94" t="s">
        <v>425</v>
      </c>
      <c r="O94">
        <v>1</v>
      </c>
      <c r="P94">
        <v>2</v>
      </c>
      <c r="Q94">
        <v>-99</v>
      </c>
      <c r="R94" t="s">
        <v>683</v>
      </c>
    </row>
    <row r="95" spans="1:18" x14ac:dyDescent="0.2">
      <c r="A95">
        <v>94</v>
      </c>
      <c r="B95">
        <v>-99</v>
      </c>
      <c r="C95" t="s">
        <v>675</v>
      </c>
      <c r="D95" t="s">
        <v>8</v>
      </c>
      <c r="E95" t="s">
        <v>676</v>
      </c>
      <c r="F95" t="s">
        <v>224</v>
      </c>
      <c r="G95" t="s">
        <v>655</v>
      </c>
      <c r="H95" t="s">
        <v>8</v>
      </c>
      <c r="I95">
        <v>-99</v>
      </c>
      <c r="J95">
        <v>-99</v>
      </c>
      <c r="K95" t="s">
        <v>8</v>
      </c>
      <c r="L95">
        <v>-99</v>
      </c>
      <c r="M95" t="s">
        <v>655</v>
      </c>
      <c r="N95" t="s">
        <v>655</v>
      </c>
      <c r="O95">
        <v>-99</v>
      </c>
      <c r="P95">
        <v>-99</v>
      </c>
      <c r="Q95">
        <v>-99</v>
      </c>
      <c r="R95" t="s">
        <v>208</v>
      </c>
    </row>
    <row r="96" spans="1:18" x14ac:dyDescent="0.2">
      <c r="A96">
        <v>95</v>
      </c>
      <c r="B96">
        <v>-99</v>
      </c>
      <c r="C96" t="s">
        <v>675</v>
      </c>
      <c r="D96" t="s">
        <v>8</v>
      </c>
      <c r="E96" t="s">
        <v>677</v>
      </c>
      <c r="F96" t="s">
        <v>308</v>
      </c>
      <c r="G96" t="s">
        <v>655</v>
      </c>
      <c r="H96" t="s">
        <v>8</v>
      </c>
      <c r="I96">
        <v>-99</v>
      </c>
      <c r="J96">
        <v>-99</v>
      </c>
      <c r="K96" t="s">
        <v>8</v>
      </c>
      <c r="L96">
        <v>-99</v>
      </c>
      <c r="M96" t="s">
        <v>655</v>
      </c>
      <c r="N96" t="s">
        <v>655</v>
      </c>
      <c r="O96">
        <v>-99</v>
      </c>
      <c r="P96">
        <v>-99</v>
      </c>
      <c r="Q96">
        <v>-99</v>
      </c>
      <c r="R96" t="s">
        <v>680</v>
      </c>
    </row>
    <row r="97" spans="1:18" x14ac:dyDescent="0.2">
      <c r="A97">
        <v>96</v>
      </c>
      <c r="B97">
        <v>-99</v>
      </c>
      <c r="C97" t="s">
        <v>675</v>
      </c>
      <c r="D97" t="s">
        <v>8</v>
      </c>
      <c r="E97" t="s">
        <v>678</v>
      </c>
      <c r="F97" t="s">
        <v>307</v>
      </c>
      <c r="G97" t="s">
        <v>655</v>
      </c>
      <c r="H97" t="s">
        <v>8</v>
      </c>
      <c r="I97">
        <v>-99</v>
      </c>
      <c r="J97">
        <v>-99</v>
      </c>
      <c r="K97" t="s">
        <v>8</v>
      </c>
      <c r="L97">
        <v>-99</v>
      </c>
      <c r="M97" t="s">
        <v>655</v>
      </c>
      <c r="N97" t="s">
        <v>655</v>
      </c>
      <c r="O97">
        <v>-99</v>
      </c>
      <c r="P97">
        <v>-99</v>
      </c>
      <c r="Q97">
        <v>-99</v>
      </c>
      <c r="R97" t="s">
        <v>681</v>
      </c>
    </row>
    <row r="98" spans="1:18" x14ac:dyDescent="0.2">
      <c r="A98">
        <v>97</v>
      </c>
      <c r="B98">
        <v>-99</v>
      </c>
      <c r="C98" t="s">
        <v>667</v>
      </c>
      <c r="D98" t="s">
        <v>1057</v>
      </c>
      <c r="E98" t="s">
        <v>667</v>
      </c>
      <c r="F98" t="s">
        <v>1057</v>
      </c>
      <c r="G98" t="s">
        <v>655</v>
      </c>
      <c r="H98" t="s">
        <v>655</v>
      </c>
      <c r="I98">
        <v>-99</v>
      </c>
      <c r="J98">
        <v>35</v>
      </c>
      <c r="K98" t="s">
        <v>8</v>
      </c>
      <c r="L98">
        <v>-99</v>
      </c>
      <c r="M98" t="s">
        <v>655</v>
      </c>
      <c r="N98" t="s">
        <v>655</v>
      </c>
      <c r="O98">
        <v>-99</v>
      </c>
      <c r="P98">
        <v>-99</v>
      </c>
      <c r="Q98">
        <v>3</v>
      </c>
      <c r="R98" t="s">
        <v>655</v>
      </c>
    </row>
    <row r="99" spans="1:18" x14ac:dyDescent="0.2">
      <c r="A99">
        <v>98</v>
      </c>
      <c r="B99">
        <v>-99</v>
      </c>
      <c r="C99" t="s">
        <v>675</v>
      </c>
      <c r="D99" t="s">
        <v>8</v>
      </c>
      <c r="E99" t="s">
        <v>686</v>
      </c>
      <c r="F99" t="s">
        <v>687</v>
      </c>
      <c r="G99" t="s">
        <v>655</v>
      </c>
      <c r="H99" t="s">
        <v>8</v>
      </c>
      <c r="I99">
        <v>-99</v>
      </c>
      <c r="J99">
        <v>-99</v>
      </c>
      <c r="K99" t="s">
        <v>8</v>
      </c>
      <c r="L99">
        <v>-99</v>
      </c>
      <c r="M99" t="s">
        <v>655</v>
      </c>
      <c r="N99" t="s">
        <v>655</v>
      </c>
      <c r="O99">
        <v>-99</v>
      </c>
      <c r="P99">
        <v>-99</v>
      </c>
      <c r="Q99">
        <v>-99</v>
      </c>
      <c r="R99" t="s">
        <v>683</v>
      </c>
    </row>
    <row r="100" spans="1:18" x14ac:dyDescent="0.2">
      <c r="A100">
        <v>99</v>
      </c>
      <c r="B100">
        <v>250</v>
      </c>
      <c r="C100" t="s">
        <v>655</v>
      </c>
      <c r="D100" t="s">
        <v>32</v>
      </c>
      <c r="E100" t="s">
        <v>722</v>
      </c>
      <c r="F100" t="s">
        <v>688</v>
      </c>
      <c r="G100" t="s">
        <v>655</v>
      </c>
      <c r="H100" t="s">
        <v>403</v>
      </c>
      <c r="I100">
        <v>-99</v>
      </c>
      <c r="J100">
        <v>-99</v>
      </c>
      <c r="K100" t="s">
        <v>405</v>
      </c>
      <c r="L100">
        <v>-99</v>
      </c>
      <c r="M100" t="s">
        <v>655</v>
      </c>
      <c r="N100" t="s">
        <v>655</v>
      </c>
      <c r="O100">
        <v>-99</v>
      </c>
      <c r="P100">
        <v>-99</v>
      </c>
      <c r="Q100">
        <v>-99</v>
      </c>
      <c r="R100" t="s">
        <v>689</v>
      </c>
    </row>
    <row r="101" spans="1:18" x14ac:dyDescent="0.2">
      <c r="A101">
        <v>100</v>
      </c>
      <c r="B101">
        <v>256</v>
      </c>
      <c r="C101" t="s">
        <v>655</v>
      </c>
      <c r="D101" t="s">
        <v>212</v>
      </c>
      <c r="E101" t="s">
        <v>723</v>
      </c>
      <c r="F101" t="s">
        <v>690</v>
      </c>
      <c r="G101" t="s">
        <v>655</v>
      </c>
      <c r="H101" t="s">
        <v>387</v>
      </c>
      <c r="I101">
        <v>-99</v>
      </c>
      <c r="J101">
        <v>-99</v>
      </c>
      <c r="K101" t="s">
        <v>391</v>
      </c>
      <c r="L101">
        <v>-99</v>
      </c>
      <c r="M101" t="s">
        <v>655</v>
      </c>
      <c r="N101" t="s">
        <v>655</v>
      </c>
      <c r="O101">
        <v>-99</v>
      </c>
      <c r="P101">
        <v>-99</v>
      </c>
      <c r="Q101">
        <v>-99</v>
      </c>
      <c r="R101" t="s">
        <v>689</v>
      </c>
    </row>
    <row r="102" spans="1:18" x14ac:dyDescent="0.2">
      <c r="A102">
        <v>101</v>
      </c>
      <c r="B102">
        <v>257</v>
      </c>
      <c r="C102" t="s">
        <v>655</v>
      </c>
      <c r="D102" t="s">
        <v>209</v>
      </c>
      <c r="E102" t="s">
        <v>724</v>
      </c>
      <c r="F102" t="s">
        <v>691</v>
      </c>
      <c r="G102" t="s">
        <v>655</v>
      </c>
      <c r="H102" t="s">
        <v>387</v>
      </c>
      <c r="I102">
        <v>-99</v>
      </c>
      <c r="J102">
        <v>-99</v>
      </c>
      <c r="K102" t="s">
        <v>391</v>
      </c>
      <c r="L102">
        <v>-99</v>
      </c>
      <c r="M102" t="s">
        <v>655</v>
      </c>
      <c r="N102" t="s">
        <v>655</v>
      </c>
      <c r="O102">
        <v>-99</v>
      </c>
      <c r="P102">
        <v>-99</v>
      </c>
      <c r="Q102">
        <v>-99</v>
      </c>
      <c r="R102" t="s">
        <v>689</v>
      </c>
    </row>
    <row r="103" spans="1:18" x14ac:dyDescent="0.2">
      <c r="A103">
        <v>102</v>
      </c>
      <c r="B103">
        <v>258</v>
      </c>
      <c r="C103" t="s">
        <v>655</v>
      </c>
      <c r="D103" t="s">
        <v>210</v>
      </c>
      <c r="E103" t="s">
        <v>725</v>
      </c>
      <c r="F103" t="s">
        <v>692</v>
      </c>
      <c r="G103" t="s">
        <v>655</v>
      </c>
      <c r="H103" t="s">
        <v>371</v>
      </c>
      <c r="I103">
        <v>-99</v>
      </c>
      <c r="J103">
        <v>-99</v>
      </c>
      <c r="K103" t="s">
        <v>370</v>
      </c>
      <c r="L103">
        <v>-99</v>
      </c>
      <c r="M103" t="s">
        <v>655</v>
      </c>
      <c r="N103" t="s">
        <v>655</v>
      </c>
      <c r="O103">
        <v>-99</v>
      </c>
      <c r="P103">
        <v>-99</v>
      </c>
      <c r="Q103">
        <v>-99</v>
      </c>
      <c r="R103" t="s">
        <v>689</v>
      </c>
    </row>
    <row r="104" spans="1:18" x14ac:dyDescent="0.2">
      <c r="A104">
        <v>103</v>
      </c>
      <c r="B104">
        <v>259</v>
      </c>
      <c r="C104" t="s">
        <v>655</v>
      </c>
      <c r="D104" t="s">
        <v>135</v>
      </c>
      <c r="E104" t="s">
        <v>726</v>
      </c>
      <c r="F104" t="s">
        <v>693</v>
      </c>
      <c r="G104" t="s">
        <v>655</v>
      </c>
      <c r="H104" t="s">
        <v>371</v>
      </c>
      <c r="I104">
        <v>-99</v>
      </c>
      <c r="J104">
        <v>-99</v>
      </c>
      <c r="K104" t="s">
        <v>370</v>
      </c>
      <c r="L104">
        <v>-99</v>
      </c>
      <c r="M104" t="s">
        <v>655</v>
      </c>
      <c r="N104" t="s">
        <v>655</v>
      </c>
      <c r="O104">
        <v>-99</v>
      </c>
      <c r="P104">
        <v>-99</v>
      </c>
      <c r="Q104">
        <v>-99</v>
      </c>
      <c r="R104" t="s">
        <v>689</v>
      </c>
    </row>
    <row r="105" spans="1:18" x14ac:dyDescent="0.2">
      <c r="A105">
        <v>104</v>
      </c>
      <c r="B105">
        <v>260</v>
      </c>
      <c r="C105" t="s">
        <v>655</v>
      </c>
      <c r="D105" t="s">
        <v>46</v>
      </c>
      <c r="E105" t="s">
        <v>727</v>
      </c>
      <c r="F105" t="s">
        <v>694</v>
      </c>
      <c r="G105" t="s">
        <v>655</v>
      </c>
      <c r="H105" t="s">
        <v>387</v>
      </c>
      <c r="I105">
        <v>-99</v>
      </c>
      <c r="J105">
        <v>-99</v>
      </c>
      <c r="K105" t="s">
        <v>386</v>
      </c>
      <c r="L105">
        <v>-99</v>
      </c>
      <c r="M105" t="s">
        <v>655</v>
      </c>
      <c r="N105" t="s">
        <v>655</v>
      </c>
      <c r="O105">
        <v>-99</v>
      </c>
      <c r="P105">
        <v>-99</v>
      </c>
      <c r="Q105">
        <v>-99</v>
      </c>
      <c r="R105" t="s">
        <v>689</v>
      </c>
    </row>
    <row r="106" spans="1:18" x14ac:dyDescent="0.2">
      <c r="A106">
        <v>105</v>
      </c>
      <c r="B106">
        <v>261</v>
      </c>
      <c r="C106" t="s">
        <v>655</v>
      </c>
      <c r="D106" t="s">
        <v>65</v>
      </c>
      <c r="E106" t="s">
        <v>728</v>
      </c>
      <c r="F106" t="s">
        <v>695</v>
      </c>
      <c r="G106" t="s">
        <v>655</v>
      </c>
      <c r="H106" t="s">
        <v>371</v>
      </c>
      <c r="I106">
        <v>-99</v>
      </c>
      <c r="J106">
        <v>-99</v>
      </c>
      <c r="K106" t="s">
        <v>370</v>
      </c>
      <c r="L106">
        <v>-99</v>
      </c>
      <c r="M106" t="s">
        <v>655</v>
      </c>
      <c r="N106" t="s">
        <v>655</v>
      </c>
      <c r="O106">
        <v>-99</v>
      </c>
      <c r="P106">
        <v>-99</v>
      </c>
      <c r="Q106">
        <v>-99</v>
      </c>
      <c r="R106" t="s">
        <v>689</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464</v>
      </c>
      <c r="B1" t="s">
        <v>458</v>
      </c>
      <c r="C1" t="s">
        <v>465</v>
      </c>
      <c r="D1" t="s">
        <v>466</v>
      </c>
      <c r="E1" t="s">
        <v>493</v>
      </c>
    </row>
    <row r="2" spans="1:5" x14ac:dyDescent="0.2">
      <c r="A2" t="s">
        <v>326</v>
      </c>
      <c r="B2" t="s">
        <v>372</v>
      </c>
      <c r="C2" t="s">
        <v>372</v>
      </c>
      <c r="D2" t="s">
        <v>467</v>
      </c>
      <c r="E2" t="s">
        <v>370</v>
      </c>
    </row>
    <row r="3" spans="1:5" x14ac:dyDescent="0.2">
      <c r="A3" t="s">
        <v>358</v>
      </c>
      <c r="B3" t="s">
        <v>375</v>
      </c>
      <c r="C3" t="s">
        <v>375</v>
      </c>
      <c r="D3" t="s">
        <v>467</v>
      </c>
      <c r="E3" t="s">
        <v>370</v>
      </c>
    </row>
    <row r="4" spans="1:5" x14ac:dyDescent="0.2">
      <c r="A4" t="s">
        <v>353</v>
      </c>
      <c r="B4" t="s">
        <v>417</v>
      </c>
      <c r="C4" t="s">
        <v>417</v>
      </c>
      <c r="D4" t="s">
        <v>467</v>
      </c>
      <c r="E4" t="s">
        <v>370</v>
      </c>
    </row>
    <row r="5" spans="1:5" x14ac:dyDescent="0.2">
      <c r="A5" t="s">
        <v>332</v>
      </c>
      <c r="B5" t="s">
        <v>428</v>
      </c>
      <c r="C5" t="s">
        <v>428</v>
      </c>
      <c r="D5" t="s">
        <v>468</v>
      </c>
      <c r="E5" t="s">
        <v>381</v>
      </c>
    </row>
    <row r="6" spans="1:5" x14ac:dyDescent="0.2">
      <c r="A6" t="s">
        <v>356</v>
      </c>
      <c r="B6" t="s">
        <v>390</v>
      </c>
      <c r="C6" t="s">
        <v>390</v>
      </c>
      <c r="D6" t="s">
        <v>468</v>
      </c>
      <c r="E6" t="s">
        <v>386</v>
      </c>
    </row>
    <row r="7" spans="1:5" x14ac:dyDescent="0.2">
      <c r="A7" t="s">
        <v>359</v>
      </c>
      <c r="B7" t="s">
        <v>419</v>
      </c>
      <c r="C7" t="s">
        <v>419</v>
      </c>
      <c r="D7" t="s">
        <v>470</v>
      </c>
      <c r="E7" t="s">
        <v>386</v>
      </c>
    </row>
    <row r="8" spans="1:5" x14ac:dyDescent="0.2">
      <c r="A8" t="s">
        <v>334</v>
      </c>
      <c r="B8" t="s">
        <v>402</v>
      </c>
      <c r="C8" t="s">
        <v>402</v>
      </c>
      <c r="D8" t="s">
        <v>471</v>
      </c>
      <c r="E8" t="s">
        <v>391</v>
      </c>
    </row>
    <row r="9" spans="1:5" x14ac:dyDescent="0.2">
      <c r="A9" t="s">
        <v>351</v>
      </c>
      <c r="B9" t="s">
        <v>404</v>
      </c>
      <c r="C9" t="s">
        <v>404</v>
      </c>
      <c r="D9" t="s">
        <v>470</v>
      </c>
      <c r="E9" t="s">
        <v>386</v>
      </c>
    </row>
    <row r="10" spans="1:5" x14ac:dyDescent="0.2">
      <c r="A10" t="s">
        <v>479</v>
      </c>
      <c r="B10" t="s">
        <v>480</v>
      </c>
      <c r="C10" t="s">
        <v>309</v>
      </c>
      <c r="D10" t="s">
        <v>455</v>
      </c>
      <c r="E10" t="s">
        <v>8</v>
      </c>
    </row>
    <row r="11" spans="1:5" x14ac:dyDescent="0.2">
      <c r="A11" t="s">
        <v>360</v>
      </c>
      <c r="B11" t="s">
        <v>416</v>
      </c>
      <c r="C11" t="s">
        <v>416</v>
      </c>
      <c r="D11" t="s">
        <v>467</v>
      </c>
      <c r="E11" t="s">
        <v>370</v>
      </c>
    </row>
    <row r="12" spans="1:5" x14ac:dyDescent="0.2">
      <c r="A12" t="s">
        <v>338</v>
      </c>
      <c r="B12" t="s">
        <v>380</v>
      </c>
      <c r="C12" t="s">
        <v>380</v>
      </c>
      <c r="D12" t="s">
        <v>468</v>
      </c>
      <c r="E12" t="s">
        <v>370</v>
      </c>
    </row>
    <row r="13" spans="1:5" x14ac:dyDescent="0.2">
      <c r="A13" t="s">
        <v>343</v>
      </c>
      <c r="B13" t="s">
        <v>377</v>
      </c>
      <c r="C13" t="s">
        <v>377</v>
      </c>
      <c r="D13" t="s">
        <v>467</v>
      </c>
      <c r="E13" t="s">
        <v>370</v>
      </c>
    </row>
    <row r="14" spans="1:5" x14ac:dyDescent="0.2">
      <c r="A14" t="s">
        <v>341</v>
      </c>
      <c r="B14" t="s">
        <v>384</v>
      </c>
      <c r="C14" t="s">
        <v>384</v>
      </c>
      <c r="D14" t="s">
        <v>468</v>
      </c>
      <c r="E14" t="s">
        <v>381</v>
      </c>
    </row>
    <row r="15" spans="1:5" x14ac:dyDescent="0.2">
      <c r="A15" t="s">
        <v>331</v>
      </c>
      <c r="B15" t="s">
        <v>393</v>
      </c>
      <c r="C15" t="s">
        <v>393</v>
      </c>
      <c r="D15" t="s">
        <v>467</v>
      </c>
      <c r="E15" t="s">
        <v>391</v>
      </c>
    </row>
    <row r="16" spans="1:5" x14ac:dyDescent="0.2">
      <c r="A16" t="s">
        <v>345</v>
      </c>
      <c r="B16" t="s">
        <v>407</v>
      </c>
      <c r="C16" t="s">
        <v>407</v>
      </c>
      <c r="D16" t="s">
        <v>470</v>
      </c>
      <c r="E16" t="s">
        <v>386</v>
      </c>
    </row>
    <row r="17" spans="1:5" x14ac:dyDescent="0.2">
      <c r="A17" t="s">
        <v>481</v>
      </c>
      <c r="B17" t="s">
        <v>482</v>
      </c>
      <c r="C17" t="s">
        <v>309</v>
      </c>
      <c r="D17" t="s">
        <v>455</v>
      </c>
      <c r="E17" t="s">
        <v>8</v>
      </c>
    </row>
    <row r="18" spans="1:5" x14ac:dyDescent="0.2">
      <c r="A18" t="s">
        <v>357</v>
      </c>
      <c r="B18" t="s">
        <v>392</v>
      </c>
      <c r="C18" t="s">
        <v>392</v>
      </c>
      <c r="D18" t="s">
        <v>467</v>
      </c>
      <c r="E18" t="s">
        <v>391</v>
      </c>
    </row>
    <row r="19" spans="1:5" x14ac:dyDescent="0.2">
      <c r="A19" t="s">
        <v>350</v>
      </c>
      <c r="B19" t="s">
        <v>395</v>
      </c>
      <c r="C19" t="s">
        <v>395</v>
      </c>
      <c r="D19" t="s">
        <v>471</v>
      </c>
      <c r="E19" t="s">
        <v>391</v>
      </c>
    </row>
    <row r="20" spans="1:5" x14ac:dyDescent="0.2">
      <c r="A20" t="s">
        <v>340</v>
      </c>
      <c r="B20" t="s">
        <v>398</v>
      </c>
      <c r="C20" t="s">
        <v>398</v>
      </c>
      <c r="D20" t="s">
        <v>471</v>
      </c>
      <c r="E20" t="s">
        <v>391</v>
      </c>
    </row>
    <row r="21" spans="1:5" x14ac:dyDescent="0.2">
      <c r="A21" t="s">
        <v>365</v>
      </c>
      <c r="B21" t="s">
        <v>423</v>
      </c>
      <c r="C21" t="s">
        <v>423</v>
      </c>
      <c r="D21" t="s">
        <v>471</v>
      </c>
      <c r="E21" t="s">
        <v>391</v>
      </c>
    </row>
    <row r="22" spans="1:5" x14ac:dyDescent="0.2">
      <c r="A22" t="s">
        <v>336</v>
      </c>
      <c r="B22" t="s">
        <v>60</v>
      </c>
      <c r="C22" t="s">
        <v>60</v>
      </c>
      <c r="D22" t="s">
        <v>467</v>
      </c>
      <c r="E22" t="s">
        <v>370</v>
      </c>
    </row>
    <row r="23" spans="1:5" x14ac:dyDescent="0.2">
      <c r="A23" t="s">
        <v>349</v>
      </c>
      <c r="B23" t="s">
        <v>383</v>
      </c>
      <c r="C23" t="s">
        <v>383</v>
      </c>
      <c r="D23" t="s">
        <v>309</v>
      </c>
      <c r="E23" t="s">
        <v>370</v>
      </c>
    </row>
    <row r="24" spans="1:5" x14ac:dyDescent="0.2">
      <c r="A24" t="s">
        <v>344</v>
      </c>
      <c r="B24" t="s">
        <v>385</v>
      </c>
      <c r="C24" t="s">
        <v>385</v>
      </c>
      <c r="D24" t="s">
        <v>468</v>
      </c>
      <c r="E24" t="s">
        <v>381</v>
      </c>
    </row>
    <row r="25" spans="1:5" x14ac:dyDescent="0.2">
      <c r="A25" t="s">
        <v>342</v>
      </c>
      <c r="B25" t="s">
        <v>421</v>
      </c>
      <c r="C25" t="s">
        <v>421</v>
      </c>
      <c r="D25" t="s">
        <v>471</v>
      </c>
      <c r="E25" t="s">
        <v>391</v>
      </c>
    </row>
    <row r="26" spans="1:5" x14ac:dyDescent="0.2">
      <c r="A26" t="s">
        <v>319</v>
      </c>
      <c r="B26" t="s">
        <v>406</v>
      </c>
      <c r="C26" t="s">
        <v>406</v>
      </c>
      <c r="D26" t="s">
        <v>470</v>
      </c>
      <c r="E26" t="s">
        <v>405</v>
      </c>
    </row>
    <row r="27" spans="1:5" x14ac:dyDescent="0.2">
      <c r="A27" t="s">
        <v>320</v>
      </c>
      <c r="B27" t="s">
        <v>422</v>
      </c>
      <c r="C27" t="s">
        <v>422</v>
      </c>
      <c r="D27" t="s">
        <v>470</v>
      </c>
      <c r="E27" t="s">
        <v>386</v>
      </c>
    </row>
    <row r="28" spans="1:5" x14ac:dyDescent="0.2">
      <c r="A28" t="s">
        <v>354</v>
      </c>
      <c r="B28" t="s">
        <v>374</v>
      </c>
      <c r="C28" t="s">
        <v>374</v>
      </c>
      <c r="D28" t="s">
        <v>467</v>
      </c>
      <c r="E28" t="s">
        <v>370</v>
      </c>
    </row>
    <row r="29" spans="1:5" x14ac:dyDescent="0.2">
      <c r="A29" t="s">
        <v>469</v>
      </c>
      <c r="B29" t="s">
        <v>455</v>
      </c>
      <c r="C29" t="s">
        <v>309</v>
      </c>
      <c r="D29" t="s">
        <v>455</v>
      </c>
      <c r="E29" t="s">
        <v>8</v>
      </c>
    </row>
    <row r="30" spans="1:5" x14ac:dyDescent="0.2">
      <c r="A30" t="s">
        <v>366</v>
      </c>
      <c r="B30" t="s">
        <v>418</v>
      </c>
      <c r="C30" t="s">
        <v>418</v>
      </c>
      <c r="D30" t="s">
        <v>467</v>
      </c>
      <c r="E30" t="s">
        <v>370</v>
      </c>
    </row>
    <row r="31" spans="1:5" x14ac:dyDescent="0.2">
      <c r="A31" t="s">
        <v>347</v>
      </c>
      <c r="B31" t="s">
        <v>415</v>
      </c>
      <c r="C31" t="s">
        <v>415</v>
      </c>
      <c r="D31" t="s">
        <v>309</v>
      </c>
      <c r="E31" t="s">
        <v>370</v>
      </c>
    </row>
    <row r="32" spans="1:5" x14ac:dyDescent="0.2">
      <c r="A32" t="s">
        <v>327</v>
      </c>
      <c r="B32" t="s">
        <v>396</v>
      </c>
      <c r="C32" t="s">
        <v>396</v>
      </c>
      <c r="D32" t="s">
        <v>467</v>
      </c>
      <c r="E32" t="s">
        <v>391</v>
      </c>
    </row>
    <row r="33" spans="1:5" x14ac:dyDescent="0.2">
      <c r="A33" t="s">
        <v>324</v>
      </c>
      <c r="B33" t="s">
        <v>420</v>
      </c>
      <c r="C33" t="s">
        <v>420</v>
      </c>
      <c r="D33" t="s">
        <v>471</v>
      </c>
      <c r="E33" t="s">
        <v>391</v>
      </c>
    </row>
    <row r="34" spans="1:5" x14ac:dyDescent="0.2">
      <c r="A34" t="s">
        <v>346</v>
      </c>
      <c r="B34" t="s">
        <v>427</v>
      </c>
      <c r="C34" t="s">
        <v>427</v>
      </c>
      <c r="D34" t="s">
        <v>470</v>
      </c>
      <c r="E34" t="s">
        <v>405</v>
      </c>
    </row>
    <row r="35" spans="1:5" x14ac:dyDescent="0.2">
      <c r="A35" t="s">
        <v>335</v>
      </c>
      <c r="B35" t="s">
        <v>409</v>
      </c>
      <c r="C35" t="s">
        <v>409</v>
      </c>
      <c r="D35" t="s">
        <v>470</v>
      </c>
      <c r="E35" t="s">
        <v>405</v>
      </c>
    </row>
    <row r="36" spans="1:5" x14ac:dyDescent="0.2">
      <c r="A36" t="s">
        <v>362</v>
      </c>
      <c r="B36" t="s">
        <v>429</v>
      </c>
      <c r="C36" t="s">
        <v>429</v>
      </c>
      <c r="D36" t="s">
        <v>470</v>
      </c>
      <c r="E36" t="s">
        <v>405</v>
      </c>
    </row>
    <row r="37" spans="1:5" x14ac:dyDescent="0.2">
      <c r="A37" t="s">
        <v>478</v>
      </c>
      <c r="B37" t="s">
        <v>425</v>
      </c>
      <c r="C37" t="s">
        <v>425</v>
      </c>
      <c r="D37" t="s">
        <v>470</v>
      </c>
      <c r="E37" t="s">
        <v>405</v>
      </c>
    </row>
    <row r="38" spans="1:5" x14ac:dyDescent="0.2">
      <c r="A38" t="s">
        <v>476</v>
      </c>
      <c r="B38" t="s">
        <v>477</v>
      </c>
      <c r="C38" t="s">
        <v>309</v>
      </c>
      <c r="D38" t="s">
        <v>455</v>
      </c>
      <c r="E38" t="s">
        <v>8</v>
      </c>
    </row>
    <row r="39" spans="1:5" x14ac:dyDescent="0.2">
      <c r="A39" t="s">
        <v>352</v>
      </c>
      <c r="B39" t="s">
        <v>410</v>
      </c>
      <c r="C39" t="s">
        <v>410</v>
      </c>
      <c r="D39" t="s">
        <v>470</v>
      </c>
      <c r="E39" t="s">
        <v>405</v>
      </c>
    </row>
    <row r="40" spans="1:5" x14ac:dyDescent="0.2">
      <c r="A40" t="s">
        <v>485</v>
      </c>
      <c r="B40" t="s">
        <v>486</v>
      </c>
      <c r="C40" t="s">
        <v>309</v>
      </c>
      <c r="D40" t="s">
        <v>455</v>
      </c>
      <c r="E40" t="s">
        <v>8</v>
      </c>
    </row>
    <row r="41" spans="1:5" x14ac:dyDescent="0.2">
      <c r="A41" t="s">
        <v>472</v>
      </c>
      <c r="B41" t="s">
        <v>473</v>
      </c>
      <c r="C41" t="s">
        <v>309</v>
      </c>
      <c r="D41" t="s">
        <v>455</v>
      </c>
      <c r="E41" t="s">
        <v>8</v>
      </c>
    </row>
    <row r="42" spans="1:5" x14ac:dyDescent="0.2">
      <c r="A42" t="s">
        <v>361</v>
      </c>
      <c r="B42" t="s">
        <v>373</v>
      </c>
      <c r="C42" t="s">
        <v>373</v>
      </c>
      <c r="D42" t="s">
        <v>467</v>
      </c>
      <c r="E42" t="s">
        <v>370</v>
      </c>
    </row>
    <row r="43" spans="1:5" x14ac:dyDescent="0.2">
      <c r="A43" t="s">
        <v>322</v>
      </c>
      <c r="B43" t="s">
        <v>379</v>
      </c>
      <c r="C43" t="s">
        <v>379</v>
      </c>
      <c r="D43" t="s">
        <v>468</v>
      </c>
      <c r="E43" t="s">
        <v>370</v>
      </c>
    </row>
    <row r="44" spans="1:5" x14ac:dyDescent="0.2">
      <c r="A44" t="s">
        <v>325</v>
      </c>
      <c r="B44" t="s">
        <v>424</v>
      </c>
      <c r="C44" t="s">
        <v>424</v>
      </c>
      <c r="D44" t="s">
        <v>467</v>
      </c>
      <c r="E44" t="s">
        <v>370</v>
      </c>
    </row>
    <row r="45" spans="1:5" x14ac:dyDescent="0.2">
      <c r="A45" t="s">
        <v>355</v>
      </c>
      <c r="B45" t="s">
        <v>389</v>
      </c>
      <c r="C45" t="s">
        <v>389</v>
      </c>
      <c r="D45" t="s">
        <v>468</v>
      </c>
      <c r="E45" t="s">
        <v>381</v>
      </c>
    </row>
    <row r="46" spans="1:5" x14ac:dyDescent="0.2">
      <c r="A46" t="s">
        <v>337</v>
      </c>
      <c r="B46" t="s">
        <v>394</v>
      </c>
      <c r="C46" t="s">
        <v>394</v>
      </c>
      <c r="D46" t="s">
        <v>468</v>
      </c>
      <c r="E46" t="s">
        <v>381</v>
      </c>
    </row>
    <row r="47" spans="1:5" x14ac:dyDescent="0.2">
      <c r="A47" t="s">
        <v>364</v>
      </c>
      <c r="B47" t="s">
        <v>400</v>
      </c>
      <c r="C47" t="s">
        <v>400</v>
      </c>
      <c r="D47" t="s">
        <v>471</v>
      </c>
      <c r="E47" t="s">
        <v>391</v>
      </c>
    </row>
    <row r="48" spans="1:5" x14ac:dyDescent="0.2">
      <c r="A48" t="s">
        <v>339</v>
      </c>
      <c r="B48" t="s">
        <v>413</v>
      </c>
      <c r="C48" t="s">
        <v>413</v>
      </c>
      <c r="D48" t="s">
        <v>471</v>
      </c>
      <c r="E48" t="s">
        <v>386</v>
      </c>
    </row>
    <row r="49" spans="1:5" x14ac:dyDescent="0.2">
      <c r="A49" t="s">
        <v>328</v>
      </c>
      <c r="B49" t="s">
        <v>411</v>
      </c>
      <c r="C49" t="s">
        <v>411</v>
      </c>
      <c r="D49" t="s">
        <v>471</v>
      </c>
      <c r="E49" t="s">
        <v>386</v>
      </c>
    </row>
    <row r="50" spans="1:5" x14ac:dyDescent="0.2">
      <c r="A50" t="s">
        <v>333</v>
      </c>
      <c r="B50" t="s">
        <v>408</v>
      </c>
      <c r="C50" t="s">
        <v>408</v>
      </c>
      <c r="D50" t="s">
        <v>470</v>
      </c>
      <c r="E50" t="s">
        <v>405</v>
      </c>
    </row>
    <row r="51" spans="1:5" x14ac:dyDescent="0.2">
      <c r="A51" t="s">
        <v>321</v>
      </c>
      <c r="B51" t="s">
        <v>388</v>
      </c>
      <c r="C51" t="s">
        <v>388</v>
      </c>
      <c r="D51" t="s">
        <v>471</v>
      </c>
      <c r="E51" t="s">
        <v>386</v>
      </c>
    </row>
    <row r="52" spans="1:5" x14ac:dyDescent="0.2">
      <c r="A52" t="s">
        <v>474</v>
      </c>
      <c r="B52" t="s">
        <v>475</v>
      </c>
      <c r="C52" t="s">
        <v>309</v>
      </c>
      <c r="D52" t="s">
        <v>455</v>
      </c>
      <c r="E52" t="s">
        <v>8</v>
      </c>
    </row>
    <row r="53" spans="1:5" x14ac:dyDescent="0.2">
      <c r="A53" t="s">
        <v>483</v>
      </c>
      <c r="B53" t="s">
        <v>484</v>
      </c>
      <c r="C53" t="s">
        <v>309</v>
      </c>
      <c r="D53" t="s">
        <v>455</v>
      </c>
      <c r="E53" t="s">
        <v>8</v>
      </c>
    </row>
    <row r="54" spans="1:5" x14ac:dyDescent="0.2">
      <c r="A54" t="s">
        <v>348</v>
      </c>
      <c r="B54" t="s">
        <v>376</v>
      </c>
      <c r="C54" t="s">
        <v>376</v>
      </c>
      <c r="D54" t="s">
        <v>467</v>
      </c>
      <c r="E54" t="s">
        <v>370</v>
      </c>
    </row>
    <row r="55" spans="1:5" x14ac:dyDescent="0.2">
      <c r="A55" t="s">
        <v>363</v>
      </c>
      <c r="B55" t="s">
        <v>382</v>
      </c>
      <c r="C55" t="s">
        <v>382</v>
      </c>
      <c r="D55" t="s">
        <v>468</v>
      </c>
      <c r="E55" t="s">
        <v>381</v>
      </c>
    </row>
    <row r="56" spans="1:5" x14ac:dyDescent="0.2">
      <c r="A56" t="s">
        <v>318</v>
      </c>
      <c r="B56" t="s">
        <v>426</v>
      </c>
      <c r="C56" t="s">
        <v>426</v>
      </c>
      <c r="D56" t="s">
        <v>468</v>
      </c>
      <c r="E56" t="s">
        <v>381</v>
      </c>
    </row>
    <row r="57" spans="1:5" x14ac:dyDescent="0.2">
      <c r="A57" t="s">
        <v>317</v>
      </c>
      <c r="B57" t="s">
        <v>397</v>
      </c>
      <c r="C57" t="s">
        <v>397</v>
      </c>
      <c r="D57" t="s">
        <v>471</v>
      </c>
      <c r="E57" t="s">
        <v>391</v>
      </c>
    </row>
    <row r="58" spans="1:5" x14ac:dyDescent="0.2">
      <c r="A58" t="s">
        <v>323</v>
      </c>
      <c r="B58" t="s">
        <v>401</v>
      </c>
      <c r="C58" t="s">
        <v>401</v>
      </c>
      <c r="D58" t="s">
        <v>471</v>
      </c>
      <c r="E58" t="s">
        <v>391</v>
      </c>
    </row>
    <row r="59" spans="1:5" x14ac:dyDescent="0.2">
      <c r="A59" t="s">
        <v>329</v>
      </c>
      <c r="B59" t="s">
        <v>414</v>
      </c>
      <c r="C59" t="s">
        <v>414</v>
      </c>
      <c r="D59" t="s">
        <v>470</v>
      </c>
      <c r="E59" t="s">
        <v>405</v>
      </c>
    </row>
    <row r="60" spans="1:5" x14ac:dyDescent="0.2">
      <c r="A60" t="s">
        <v>316</v>
      </c>
      <c r="B60" t="s">
        <v>412</v>
      </c>
      <c r="C60" t="s">
        <v>412</v>
      </c>
      <c r="D60" t="s">
        <v>471</v>
      </c>
      <c r="E60" t="s">
        <v>386</v>
      </c>
    </row>
    <row r="61" spans="1:5" x14ac:dyDescent="0.2">
      <c r="A61" t="s">
        <v>330</v>
      </c>
      <c r="B61" t="s">
        <v>80</v>
      </c>
      <c r="C61" t="s">
        <v>80</v>
      </c>
      <c r="D61" t="s">
        <v>470</v>
      </c>
      <c r="E61" t="s">
        <v>405</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1036</v>
      </c>
      <c r="C2" t="s">
        <v>438</v>
      </c>
      <c r="D2" t="s">
        <v>439</v>
      </c>
      <c r="E2" t="s">
        <v>440</v>
      </c>
      <c r="F2" t="s">
        <v>441</v>
      </c>
      <c r="G2" t="s">
        <v>442</v>
      </c>
      <c r="H2" t="s">
        <v>443</v>
      </c>
      <c r="I2" t="s">
        <v>444</v>
      </c>
      <c r="J2" t="s">
        <v>445</v>
      </c>
      <c r="K2" t="s">
        <v>446</v>
      </c>
      <c r="L2" t="s">
        <v>447</v>
      </c>
      <c r="M2" t="s">
        <v>448</v>
      </c>
      <c r="N2" t="s">
        <v>449</v>
      </c>
      <c r="O2" t="s">
        <v>450</v>
      </c>
      <c r="P2" t="s">
        <v>451</v>
      </c>
      <c r="Q2" t="s">
        <v>453</v>
      </c>
    </row>
    <row r="3" spans="2:33" x14ac:dyDescent="0.2">
      <c r="B3" t="s">
        <v>386</v>
      </c>
      <c r="C3" t="s">
        <v>412</v>
      </c>
      <c r="D3" t="s">
        <v>404</v>
      </c>
      <c r="E3" t="s">
        <v>388</v>
      </c>
      <c r="F3" t="s">
        <v>390</v>
      </c>
      <c r="G3" t="s">
        <v>419</v>
      </c>
      <c r="H3" t="s">
        <v>413</v>
      </c>
      <c r="I3" t="s">
        <v>411</v>
      </c>
      <c r="J3" t="s">
        <v>407</v>
      </c>
      <c r="K3" t="s">
        <v>422</v>
      </c>
      <c r="L3" t="s">
        <v>452</v>
      </c>
      <c r="M3" t="s">
        <v>452</v>
      </c>
      <c r="N3" t="s">
        <v>452</v>
      </c>
      <c r="O3" t="s">
        <v>452</v>
      </c>
      <c r="P3" t="s">
        <v>452</v>
      </c>
      <c r="Q3" t="s">
        <v>452</v>
      </c>
      <c r="S3" s="14" t="s">
        <v>412</v>
      </c>
      <c r="T3" s="14" t="s">
        <v>404</v>
      </c>
      <c r="U3" s="14" t="s">
        <v>388</v>
      </c>
      <c r="V3" s="14" t="s">
        <v>390</v>
      </c>
      <c r="W3" s="14" t="s">
        <v>419</v>
      </c>
      <c r="X3" s="14" t="s">
        <v>413</v>
      </c>
      <c r="Y3" s="14" t="s">
        <v>411</v>
      </c>
      <c r="Z3" s="14" t="s">
        <v>407</v>
      </c>
      <c r="AA3" s="14" t="s">
        <v>422</v>
      </c>
      <c r="AB3" s="14"/>
      <c r="AC3" s="14"/>
      <c r="AD3" s="14"/>
      <c r="AE3" s="14"/>
      <c r="AF3" s="15"/>
      <c r="AG3" s="15"/>
    </row>
    <row r="4" spans="2:33" x14ac:dyDescent="0.2">
      <c r="B4" t="s">
        <v>391</v>
      </c>
      <c r="C4" t="s">
        <v>395</v>
      </c>
      <c r="D4" t="s">
        <v>393</v>
      </c>
      <c r="E4" t="s">
        <v>400</v>
      </c>
      <c r="F4" t="s">
        <v>423</v>
      </c>
      <c r="G4" t="s">
        <v>396</v>
      </c>
      <c r="H4" t="s">
        <v>402</v>
      </c>
      <c r="I4" t="s">
        <v>398</v>
      </c>
      <c r="J4" t="s">
        <v>401</v>
      </c>
      <c r="K4" t="s">
        <v>420</v>
      </c>
      <c r="L4" t="s">
        <v>392</v>
      </c>
      <c r="M4" t="s">
        <v>421</v>
      </c>
      <c r="N4" t="s">
        <v>397</v>
      </c>
      <c r="O4" t="s">
        <v>452</v>
      </c>
      <c r="P4" t="s">
        <v>452</v>
      </c>
      <c r="Q4" t="s">
        <v>452</v>
      </c>
      <c r="S4" s="14" t="s">
        <v>395</v>
      </c>
      <c r="T4" s="14" t="s">
        <v>393</v>
      </c>
      <c r="U4" s="14" t="s">
        <v>400</v>
      </c>
      <c r="V4" s="14" t="s">
        <v>423</v>
      </c>
      <c r="W4" s="14" t="s">
        <v>396</v>
      </c>
      <c r="X4" s="14" t="s">
        <v>402</v>
      </c>
      <c r="Y4" s="14" t="s">
        <v>398</v>
      </c>
      <c r="Z4" s="14" t="s">
        <v>401</v>
      </c>
      <c r="AA4" s="14" t="s">
        <v>420</v>
      </c>
      <c r="AB4" s="14" t="s">
        <v>392</v>
      </c>
      <c r="AC4" s="14" t="s">
        <v>421</v>
      </c>
      <c r="AD4" s="14" t="s">
        <v>397</v>
      </c>
      <c r="AE4" s="14"/>
      <c r="AF4" s="15"/>
      <c r="AG4" s="15"/>
    </row>
    <row r="5" spans="2:33" x14ac:dyDescent="0.2">
      <c r="B5" t="s">
        <v>370</v>
      </c>
      <c r="C5" t="s">
        <v>374</v>
      </c>
      <c r="D5" t="s">
        <v>424</v>
      </c>
      <c r="E5" t="s">
        <v>415</v>
      </c>
      <c r="F5" t="s">
        <v>417</v>
      </c>
      <c r="G5" t="s">
        <v>377</v>
      </c>
      <c r="H5" t="s">
        <v>372</v>
      </c>
      <c r="I5" t="s">
        <v>416</v>
      </c>
      <c r="J5" t="s">
        <v>375</v>
      </c>
      <c r="K5" t="s">
        <v>60</v>
      </c>
      <c r="L5" t="s">
        <v>383</v>
      </c>
      <c r="M5" t="s">
        <v>376</v>
      </c>
      <c r="N5" t="s">
        <v>373</v>
      </c>
      <c r="O5" t="s">
        <v>418</v>
      </c>
      <c r="P5" t="s">
        <v>379</v>
      </c>
      <c r="Q5" t="s">
        <v>380</v>
      </c>
      <c r="S5" s="14" t="s">
        <v>374</v>
      </c>
      <c r="T5" s="14" t="s">
        <v>424</v>
      </c>
      <c r="U5" s="14" t="s">
        <v>415</v>
      </c>
      <c r="V5" s="14" t="s">
        <v>417</v>
      </c>
      <c r="W5" s="14" t="s">
        <v>377</v>
      </c>
      <c r="X5" s="14" t="s">
        <v>372</v>
      </c>
      <c r="Y5" s="14" t="s">
        <v>416</v>
      </c>
      <c r="Z5" s="14" t="s">
        <v>375</v>
      </c>
      <c r="AA5" s="14" t="s">
        <v>60</v>
      </c>
      <c r="AB5" s="14" t="s">
        <v>383</v>
      </c>
      <c r="AC5" s="14" t="s">
        <v>376</v>
      </c>
      <c r="AD5" s="14" t="s">
        <v>373</v>
      </c>
      <c r="AE5" s="14" t="s">
        <v>418</v>
      </c>
      <c r="AF5" s="15" t="s">
        <v>379</v>
      </c>
      <c r="AG5" s="15" t="s">
        <v>380</v>
      </c>
    </row>
    <row r="6" spans="2:33" x14ac:dyDescent="0.2">
      <c r="B6" t="s">
        <v>405</v>
      </c>
      <c r="C6" t="s">
        <v>425</v>
      </c>
      <c r="D6" t="s">
        <v>427</v>
      </c>
      <c r="E6" t="s">
        <v>408</v>
      </c>
      <c r="F6" t="s">
        <v>429</v>
      </c>
      <c r="G6" t="s">
        <v>409</v>
      </c>
      <c r="H6" t="s">
        <v>414</v>
      </c>
      <c r="I6" t="s">
        <v>406</v>
      </c>
      <c r="J6" t="s">
        <v>410</v>
      </c>
      <c r="K6" t="s">
        <v>80</v>
      </c>
      <c r="L6" t="s">
        <v>452</v>
      </c>
      <c r="M6" t="s">
        <v>452</v>
      </c>
      <c r="N6" t="s">
        <v>452</v>
      </c>
      <c r="O6" t="s">
        <v>452</v>
      </c>
      <c r="P6" t="s">
        <v>452</v>
      </c>
      <c r="Q6" t="s">
        <v>452</v>
      </c>
      <c r="S6" s="14" t="s">
        <v>425</v>
      </c>
      <c r="T6" s="14" t="s">
        <v>427</v>
      </c>
      <c r="U6" s="14" t="s">
        <v>408</v>
      </c>
      <c r="V6" s="14" t="s">
        <v>429</v>
      </c>
      <c r="W6" s="14" t="s">
        <v>409</v>
      </c>
      <c r="X6" s="14" t="s">
        <v>414</v>
      </c>
      <c r="Y6" s="14" t="s">
        <v>406</v>
      </c>
      <c r="Z6" s="14" t="s">
        <v>410</v>
      </c>
      <c r="AA6" s="14" t="s">
        <v>80</v>
      </c>
      <c r="AB6" s="14"/>
      <c r="AC6" s="14"/>
      <c r="AD6" s="14"/>
      <c r="AE6" s="14"/>
      <c r="AF6" s="15"/>
      <c r="AG6" s="15"/>
    </row>
    <row r="7" spans="2:33" x14ac:dyDescent="0.2">
      <c r="B7" t="s">
        <v>381</v>
      </c>
      <c r="C7" t="s">
        <v>389</v>
      </c>
      <c r="D7" t="s">
        <v>426</v>
      </c>
      <c r="E7" t="s">
        <v>382</v>
      </c>
      <c r="F7" t="s">
        <v>394</v>
      </c>
      <c r="G7" t="s">
        <v>428</v>
      </c>
      <c r="H7" t="s">
        <v>384</v>
      </c>
      <c r="I7" t="s">
        <v>385</v>
      </c>
      <c r="J7" t="s">
        <v>452</v>
      </c>
      <c r="K7" t="s">
        <v>452</v>
      </c>
      <c r="L7" t="s">
        <v>452</v>
      </c>
      <c r="M7" t="s">
        <v>452</v>
      </c>
      <c r="N7" t="s">
        <v>452</v>
      </c>
      <c r="O7" t="s">
        <v>452</v>
      </c>
      <c r="P7" t="s">
        <v>452</v>
      </c>
      <c r="Q7" t="s">
        <v>452</v>
      </c>
      <c r="S7" s="14" t="s">
        <v>389</v>
      </c>
      <c r="T7" s="14" t="s">
        <v>426</v>
      </c>
      <c r="U7" s="14" t="s">
        <v>382</v>
      </c>
      <c r="V7" s="14" t="s">
        <v>394</v>
      </c>
      <c r="W7" s="14" t="s">
        <v>428</v>
      </c>
      <c r="X7" s="14" t="s">
        <v>384</v>
      </c>
      <c r="Y7" s="14" t="s">
        <v>385</v>
      </c>
      <c r="Z7" s="14"/>
      <c r="AA7" s="14"/>
      <c r="AB7" s="14"/>
      <c r="AC7" s="14"/>
      <c r="AD7" s="14"/>
      <c r="AE7" s="14"/>
      <c r="AF7" s="15"/>
      <c r="AG7" s="15"/>
    </row>
    <row r="8" spans="2:33" x14ac:dyDescent="0.2">
      <c r="B8" t="s">
        <v>8</v>
      </c>
      <c r="C8" t="s">
        <v>8</v>
      </c>
      <c r="D8" t="s">
        <v>452</v>
      </c>
      <c r="E8" t="s">
        <v>452</v>
      </c>
      <c r="F8" t="s">
        <v>452</v>
      </c>
      <c r="G8" t="s">
        <v>452</v>
      </c>
      <c r="H8" t="s">
        <v>452</v>
      </c>
      <c r="I8" t="s">
        <v>452</v>
      </c>
      <c r="J8" t="s">
        <v>452</v>
      </c>
      <c r="K8" t="s">
        <v>452</v>
      </c>
      <c r="L8" t="s">
        <v>452</v>
      </c>
      <c r="M8" t="s">
        <v>452</v>
      </c>
      <c r="N8" t="s">
        <v>452</v>
      </c>
      <c r="O8" t="s">
        <v>452</v>
      </c>
      <c r="P8" t="s">
        <v>452</v>
      </c>
      <c r="Q8" t="s">
        <v>452</v>
      </c>
      <c r="S8" s="16" t="s">
        <v>8</v>
      </c>
      <c r="T8" s="16"/>
      <c r="U8" s="16"/>
      <c r="V8" s="16"/>
      <c r="W8" s="16"/>
      <c r="X8" s="16"/>
      <c r="Y8" s="16"/>
      <c r="Z8" s="16"/>
      <c r="AA8" s="16"/>
      <c r="AB8" s="16"/>
      <c r="AC8" s="16"/>
      <c r="AD8" s="16"/>
      <c r="AE8" s="16"/>
      <c r="AF8" s="17"/>
      <c r="AG8" s="17"/>
    </row>
    <row r="10" spans="2:33" x14ac:dyDescent="0.2">
      <c r="B10" t="s">
        <v>437</v>
      </c>
      <c r="C10" t="s">
        <v>438</v>
      </c>
      <c r="D10" t="s">
        <v>439</v>
      </c>
      <c r="E10" t="s">
        <v>440</v>
      </c>
      <c r="F10" t="s">
        <v>441</v>
      </c>
      <c r="G10" t="s">
        <v>442</v>
      </c>
      <c r="H10" t="s">
        <v>443</v>
      </c>
      <c r="I10" t="s">
        <v>444</v>
      </c>
      <c r="J10" t="s">
        <v>445</v>
      </c>
      <c r="K10" t="s">
        <v>446</v>
      </c>
      <c r="L10" t="s">
        <v>447</v>
      </c>
      <c r="M10" t="s">
        <v>448</v>
      </c>
      <c r="N10" t="s">
        <v>449</v>
      </c>
      <c r="O10" t="s">
        <v>450</v>
      </c>
      <c r="P10" t="s">
        <v>451</v>
      </c>
      <c r="Q10" t="s">
        <v>453</v>
      </c>
      <c r="R10" t="s">
        <v>454</v>
      </c>
    </row>
    <row r="11" spans="2:33" x14ac:dyDescent="0.2">
      <c r="B11" t="s">
        <v>386</v>
      </c>
      <c r="C11" t="s">
        <v>638</v>
      </c>
      <c r="D11" t="s">
        <v>585</v>
      </c>
      <c r="E11" t="s">
        <v>632</v>
      </c>
      <c r="F11" t="s">
        <v>620</v>
      </c>
      <c r="G11" t="s">
        <v>556</v>
      </c>
      <c r="H11" t="s">
        <v>608</v>
      </c>
      <c r="I11" t="s">
        <v>610</v>
      </c>
      <c r="J11" t="s">
        <v>552</v>
      </c>
      <c r="K11" t="s">
        <v>589</v>
      </c>
      <c r="L11" t="s">
        <v>606</v>
      </c>
      <c r="M11" t="s">
        <v>452</v>
      </c>
      <c r="N11" t="s">
        <v>452</v>
      </c>
      <c r="O11" t="s">
        <v>452</v>
      </c>
      <c r="P11" t="s">
        <v>452</v>
      </c>
      <c r="Q11" t="s">
        <v>452</v>
      </c>
      <c r="R11" t="s">
        <v>452</v>
      </c>
    </row>
    <row r="12" spans="2:33" x14ac:dyDescent="0.2">
      <c r="B12" t="s">
        <v>391</v>
      </c>
      <c r="C12" t="s">
        <v>568</v>
      </c>
      <c r="D12" t="s">
        <v>560</v>
      </c>
      <c r="E12" t="s">
        <v>577</v>
      </c>
      <c r="F12" t="s">
        <v>570</v>
      </c>
      <c r="G12" t="s">
        <v>634</v>
      </c>
      <c r="H12" t="s">
        <v>562</v>
      </c>
      <c r="I12" t="s">
        <v>579</v>
      </c>
      <c r="J12" t="s">
        <v>572</v>
      </c>
      <c r="K12" t="s">
        <v>636</v>
      </c>
      <c r="L12" t="s">
        <v>575</v>
      </c>
      <c r="M12" t="s">
        <v>581</v>
      </c>
      <c r="N12" t="s">
        <v>640</v>
      </c>
      <c r="O12" t="s">
        <v>452</v>
      </c>
      <c r="P12" t="s">
        <v>452</v>
      </c>
      <c r="Q12" t="s">
        <v>452</v>
      </c>
      <c r="R12" t="s">
        <v>452</v>
      </c>
    </row>
    <row r="13" spans="2:33" x14ac:dyDescent="0.2">
      <c r="B13" t="s">
        <v>370</v>
      </c>
      <c r="C13" t="s">
        <v>534</v>
      </c>
      <c r="D13" t="s">
        <v>513</v>
      </c>
      <c r="E13" t="s">
        <v>521</v>
      </c>
      <c r="F13" t="s">
        <v>523</v>
      </c>
      <c r="G13" t="s">
        <v>538</v>
      </c>
      <c r="H13" t="s">
        <v>623</v>
      </c>
      <c r="I13" t="s">
        <v>519</v>
      </c>
      <c r="J13" t="s">
        <v>525</v>
      </c>
      <c r="K13" t="s">
        <v>527</v>
      </c>
      <c r="L13" t="s">
        <v>530</v>
      </c>
      <c r="M13" t="s">
        <v>515</v>
      </c>
      <c r="N13" t="s">
        <v>536</v>
      </c>
      <c r="O13" t="s">
        <v>628</v>
      </c>
      <c r="P13" t="s">
        <v>630</v>
      </c>
      <c r="Q13" t="s">
        <v>644</v>
      </c>
      <c r="R13" t="s">
        <v>544</v>
      </c>
    </row>
    <row r="14" spans="2:33" x14ac:dyDescent="0.2">
      <c r="B14" t="s">
        <v>405</v>
      </c>
      <c r="C14" t="s">
        <v>587</v>
      </c>
      <c r="D14" t="s">
        <v>646</v>
      </c>
      <c r="E14" t="s">
        <v>602</v>
      </c>
      <c r="F14" t="s">
        <v>642</v>
      </c>
      <c r="G14" t="s">
        <v>594</v>
      </c>
      <c r="H14" t="s">
        <v>616</v>
      </c>
      <c r="I14" t="s">
        <v>592</v>
      </c>
      <c r="J14" t="s">
        <v>596</v>
      </c>
      <c r="K14" t="s">
        <v>604</v>
      </c>
      <c r="L14" t="s">
        <v>612</v>
      </c>
      <c r="M14" t="s">
        <v>625</v>
      </c>
      <c r="N14" t="s">
        <v>598</v>
      </c>
      <c r="O14" t="s">
        <v>452</v>
      </c>
      <c r="P14" t="s">
        <v>452</v>
      </c>
      <c r="Q14" t="s">
        <v>452</v>
      </c>
      <c r="R14" t="s">
        <v>452</v>
      </c>
    </row>
    <row r="15" spans="2:33" x14ac:dyDescent="0.2">
      <c r="B15" t="s">
        <v>381</v>
      </c>
      <c r="C15" t="s">
        <v>540</v>
      </c>
      <c r="D15" t="s">
        <v>548</v>
      </c>
      <c r="E15" t="s">
        <v>564</v>
      </c>
      <c r="F15" t="s">
        <v>554</v>
      </c>
      <c r="G15" t="s">
        <v>550</v>
      </c>
      <c r="H15" t="s">
        <v>614</v>
      </c>
      <c r="I15" t="s">
        <v>542</v>
      </c>
      <c r="J15" t="s">
        <v>452</v>
      </c>
      <c r="K15" t="s">
        <v>452</v>
      </c>
      <c r="L15" t="s">
        <v>452</v>
      </c>
      <c r="M15" t="s">
        <v>452</v>
      </c>
      <c r="N15" t="s">
        <v>452</v>
      </c>
      <c r="O15" t="s">
        <v>452</v>
      </c>
      <c r="P15" t="s">
        <v>452</v>
      </c>
      <c r="Q15" t="s">
        <v>452</v>
      </c>
      <c r="R15" t="s">
        <v>452</v>
      </c>
    </row>
    <row r="16" spans="2:33" x14ac:dyDescent="0.2">
      <c r="B16" t="s">
        <v>8</v>
      </c>
      <c r="C16" t="s">
        <v>452</v>
      </c>
      <c r="D16" t="s">
        <v>452</v>
      </c>
      <c r="E16" t="s">
        <v>452</v>
      </c>
      <c r="F16" t="s">
        <v>452</v>
      </c>
      <c r="G16" t="s">
        <v>452</v>
      </c>
      <c r="H16" t="s">
        <v>452</v>
      </c>
      <c r="I16" t="s">
        <v>452</v>
      </c>
      <c r="J16" t="s">
        <v>452</v>
      </c>
      <c r="K16" t="s">
        <v>452</v>
      </c>
      <c r="L16" t="s">
        <v>452</v>
      </c>
      <c r="M16" t="s">
        <v>452</v>
      </c>
      <c r="N16" t="s">
        <v>452</v>
      </c>
      <c r="O16" t="s">
        <v>452</v>
      </c>
      <c r="P16" t="s">
        <v>452</v>
      </c>
      <c r="Q16" t="s">
        <v>452</v>
      </c>
      <c r="R16" t="s">
        <v>452</v>
      </c>
    </row>
    <row r="19" spans="2:4" x14ac:dyDescent="0.2">
      <c r="B19" t="s">
        <v>974</v>
      </c>
      <c r="C19" t="s">
        <v>975</v>
      </c>
      <c r="D19" t="s">
        <v>976</v>
      </c>
    </row>
    <row r="20" spans="2:4" x14ac:dyDescent="0.2">
      <c r="B20" s="151">
        <v>42420</v>
      </c>
      <c r="C20">
        <v>24157</v>
      </c>
      <c r="D20">
        <v>2</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90" zoomScaleNormal="9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980</v>
      </c>
      <c r="C2" s="311"/>
      <c r="D2" s="311"/>
      <c r="E2" s="311"/>
      <c r="F2" s="311"/>
      <c r="G2" s="312"/>
      <c r="H2" s="135" t="s">
        <v>5</v>
      </c>
      <c r="I2" s="136" t="s">
        <v>2</v>
      </c>
      <c r="J2" s="136" t="s">
        <v>228</v>
      </c>
      <c r="K2" s="134"/>
    </row>
    <row r="3" spans="1:11" ht="59.25" customHeight="1" x14ac:dyDescent="0.2">
      <c r="A3" s="130"/>
      <c r="B3" s="313"/>
      <c r="C3" s="314"/>
      <c r="D3" s="314"/>
      <c r="E3" s="314"/>
      <c r="F3" s="314"/>
      <c r="G3" s="314"/>
      <c r="H3" s="306">
        <f>SUM(H5,H10)</f>
        <v>353838</v>
      </c>
      <c r="I3" s="306">
        <f>SUM(I5,I10)</f>
        <v>82444</v>
      </c>
      <c r="J3" s="308">
        <f>ROUND(I3/H3,5)</f>
        <v>0.23300000000000001</v>
      </c>
      <c r="K3" s="134"/>
    </row>
    <row r="4" spans="1:11" ht="33" customHeight="1" thickBot="1" x14ac:dyDescent="0.25">
      <c r="A4" s="130"/>
      <c r="B4" s="317" t="str">
        <f>"As of: "&amp;TEXT(INDEX(MMWR_DATES[],1,1),"MMMM DD, YYYY")</f>
        <v>As of: February 20, 2016</v>
      </c>
      <c r="C4" s="318"/>
      <c r="D4" s="318"/>
      <c r="E4" s="318"/>
      <c r="F4" s="318"/>
      <c r="G4" s="319"/>
      <c r="H4" s="307"/>
      <c r="I4" s="307"/>
      <c r="J4" s="309"/>
      <c r="K4" s="137"/>
    </row>
    <row r="5" spans="1:11" ht="16.5" customHeight="1" thickBot="1" x14ac:dyDescent="0.25">
      <c r="A5" s="130"/>
      <c r="B5" s="315" t="s">
        <v>233</v>
      </c>
      <c r="C5" s="316"/>
      <c r="D5" s="316"/>
      <c r="E5" s="316"/>
      <c r="F5" s="316"/>
      <c r="G5" s="138" t="s">
        <v>244</v>
      </c>
      <c r="H5" s="158">
        <f>SUM(H6:H9)</f>
        <v>134325</v>
      </c>
      <c r="I5" s="158">
        <f>SUM(I6:I9)</f>
        <v>37105</v>
      </c>
      <c r="J5" s="159">
        <f t="shared" ref="J5:J15" si="0">IF(H5=0, 0,I5/H5)</f>
        <v>0.27623301693653451</v>
      </c>
      <c r="K5" s="134"/>
    </row>
    <row r="6" spans="1:11" ht="16.5" customHeight="1" x14ac:dyDescent="0.2">
      <c r="A6" s="130"/>
      <c r="B6" s="320" t="s">
        <v>16</v>
      </c>
      <c r="C6" s="321"/>
      <c r="D6" s="321"/>
      <c r="E6" s="321"/>
      <c r="F6" s="321"/>
      <c r="G6" s="139" t="s">
        <v>190</v>
      </c>
      <c r="H6" s="160">
        <f>IFERROR(VLOOKUP(MID($G6,4,3),MMWR_TRAD_AGG_NATIONAL[],2,0),0)</f>
        <v>39782</v>
      </c>
      <c r="I6" s="160">
        <f>IFERROR(VLOOKUP(MID($G6,4,3),MMWR_TRAD_AGG_NATIONAL[],3,0),0)</f>
        <v>13884</v>
      </c>
      <c r="J6" s="161">
        <f t="shared" si="0"/>
        <v>0.34900206123372379</v>
      </c>
      <c r="K6" s="134"/>
    </row>
    <row r="7" spans="1:11" ht="16.5" customHeight="1" x14ac:dyDescent="0.2">
      <c r="A7" s="130"/>
      <c r="B7" s="322" t="s">
        <v>0</v>
      </c>
      <c r="C7" s="323"/>
      <c r="D7" s="323"/>
      <c r="E7" s="323"/>
      <c r="F7" s="323"/>
      <c r="G7" s="140" t="s">
        <v>191</v>
      </c>
      <c r="H7" s="160">
        <f>IFERROR(VLOOKUP(MID($G7,4,3),MMWR_TRAD_AGG_NATIONAL[],2,0),0)</f>
        <v>77901</v>
      </c>
      <c r="I7" s="160">
        <f>IFERROR(VLOOKUP(MID($G7,4,3),MMWR_TRAD_AGG_NATIONAL[],3,0),0)</f>
        <v>20920</v>
      </c>
      <c r="J7" s="161">
        <f t="shared" si="0"/>
        <v>0.26854597501957611</v>
      </c>
      <c r="K7" s="134"/>
    </row>
    <row r="8" spans="1:11" ht="16.5" customHeight="1" x14ac:dyDescent="0.2">
      <c r="A8" s="130"/>
      <c r="B8" s="324" t="s">
        <v>234</v>
      </c>
      <c r="C8" s="325"/>
      <c r="D8" s="325"/>
      <c r="E8" s="325"/>
      <c r="F8" s="325"/>
      <c r="G8" s="141" t="s">
        <v>193</v>
      </c>
      <c r="H8" s="160">
        <f>IFERROR(VLOOKUP(MID($G8,4,3),MMWR_TRAD_AGG_NATIONAL[],2,0),0)</f>
        <v>8189</v>
      </c>
      <c r="I8" s="160">
        <f>IFERROR(VLOOKUP(MID($G8,4,3),MMWR_TRAD_AGG_NATIONAL[],3,0),0)</f>
        <v>694</v>
      </c>
      <c r="J8" s="161">
        <f t="shared" si="0"/>
        <v>8.4747832458175604E-2</v>
      </c>
      <c r="K8" s="134"/>
    </row>
    <row r="9" spans="1:11" ht="16.5" customHeight="1" thickBot="1" x14ac:dyDescent="0.25">
      <c r="A9" s="130"/>
      <c r="B9" s="326" t="s">
        <v>17</v>
      </c>
      <c r="C9" s="327"/>
      <c r="D9" s="327"/>
      <c r="E9" s="327"/>
      <c r="F9" s="327"/>
      <c r="G9" s="140" t="s">
        <v>195</v>
      </c>
      <c r="H9" s="160">
        <f>IFERROR(VLOOKUP(MID($G9,4,3),MMWR_TRAD_AGG_NATIONAL[],2,0),0)</f>
        <v>8453</v>
      </c>
      <c r="I9" s="160">
        <f>IFERROR(VLOOKUP(MID($G9,4,3),MMWR_TRAD_AGG_NATIONAL[],3,0),0)</f>
        <v>1607</v>
      </c>
      <c r="J9" s="161">
        <f t="shared" si="0"/>
        <v>0.19011002011120312</v>
      </c>
      <c r="K9" s="134"/>
    </row>
    <row r="10" spans="1:11" ht="17.25" thickBot="1" x14ac:dyDescent="0.25">
      <c r="A10" s="130"/>
      <c r="B10" s="315" t="s">
        <v>1</v>
      </c>
      <c r="C10" s="316"/>
      <c r="D10" s="316"/>
      <c r="E10" s="316"/>
      <c r="F10" s="316"/>
      <c r="G10" s="138" t="s">
        <v>244</v>
      </c>
      <c r="H10" s="158">
        <f>SUM(H11:H18)</f>
        <v>219513</v>
      </c>
      <c r="I10" s="158">
        <f>SUM(I11:I18)</f>
        <v>45339</v>
      </c>
      <c r="J10" s="159">
        <f t="shared" si="0"/>
        <v>0.20654357600688797</v>
      </c>
      <c r="K10" s="134"/>
    </row>
    <row r="11" spans="1:11" ht="16.5" customHeight="1" x14ac:dyDescent="0.2">
      <c r="A11" s="130"/>
      <c r="B11" s="320" t="s">
        <v>199</v>
      </c>
      <c r="C11" s="321"/>
      <c r="D11" s="321"/>
      <c r="E11" s="321"/>
      <c r="F11" s="321"/>
      <c r="G11" s="142" t="s">
        <v>194</v>
      </c>
      <c r="H11" s="162">
        <f>IFERROR(VLOOKUP(MID($G11,4,3),MMWR_TRAD_AGG_NATIONAL[],2,0),0)</f>
        <v>7994</v>
      </c>
      <c r="I11" s="160">
        <f>IFERROR(VLOOKUP(MID($G11,4,3),MMWR_TRAD_AGG_NATIONAL[],3,0),0)</f>
        <v>498</v>
      </c>
      <c r="J11" s="161">
        <f t="shared" si="0"/>
        <v>6.2296722541906428E-2</v>
      </c>
      <c r="K11" s="134"/>
    </row>
    <row r="12" spans="1:11" ht="16.5" customHeight="1" x14ac:dyDescent="0.2">
      <c r="A12" s="130"/>
      <c r="B12" s="322" t="s">
        <v>18</v>
      </c>
      <c r="C12" s="323"/>
      <c r="D12" s="323"/>
      <c r="E12" s="323"/>
      <c r="F12" s="323"/>
      <c r="G12" s="143" t="s">
        <v>192</v>
      </c>
      <c r="H12" s="163">
        <f>IFERROR(VLOOKUP(MID($G12,4,3),MMWR_TRAD_AGG_NATIONAL[],2,0),0)</f>
        <v>194344</v>
      </c>
      <c r="I12" s="160">
        <f>IFERROR(VLOOKUP(MID($G12,4,3),MMWR_TRAD_AGG_NATIONAL[],3,0),0)</f>
        <v>41767</v>
      </c>
      <c r="J12" s="161">
        <f t="shared" si="0"/>
        <v>0.21491273206273412</v>
      </c>
      <c r="K12" s="134"/>
    </row>
    <row r="13" spans="1:11" ht="16.5" customHeight="1" x14ac:dyDescent="0.2">
      <c r="A13" s="130"/>
      <c r="B13" s="322" t="s">
        <v>14</v>
      </c>
      <c r="C13" s="323"/>
      <c r="D13" s="323"/>
      <c r="E13" s="323"/>
      <c r="F13" s="323"/>
      <c r="G13" s="143" t="s">
        <v>196</v>
      </c>
      <c r="H13" s="163">
        <f>IFERROR(VLOOKUP(MID($G13,4,3),MMWR_TRAD_AGG_NATIONAL[],2,0),0)</f>
        <v>16162</v>
      </c>
      <c r="I13" s="160">
        <f>IFERROR(VLOOKUP(MID($G13,4,3),MMWR_TRAD_AGG_NATIONAL[],3,0),0)</f>
        <v>2756</v>
      </c>
      <c r="J13" s="161">
        <f t="shared" si="0"/>
        <v>0.17052345006806088</v>
      </c>
      <c r="K13" s="134"/>
    </row>
    <row r="14" spans="1:11" ht="16.5" customHeight="1" x14ac:dyDescent="0.2">
      <c r="A14" s="130"/>
      <c r="B14" s="324" t="s">
        <v>19</v>
      </c>
      <c r="C14" s="325"/>
      <c r="D14" s="325"/>
      <c r="E14" s="325"/>
      <c r="F14" s="325"/>
      <c r="G14" s="142" t="s">
        <v>197</v>
      </c>
      <c r="H14" s="163">
        <f>IFERROR(VLOOKUP(MID($G14,4,3),MMWR_TRAD_AGG_NATIONAL[],2,0),0)</f>
        <v>1000</v>
      </c>
      <c r="I14" s="160">
        <f>IFERROR(VLOOKUP(MID($G14,4,3),MMWR_TRAD_AGG_NATIONAL[],3,0),0)</f>
        <v>316</v>
      </c>
      <c r="J14" s="161">
        <f t="shared" si="0"/>
        <v>0.316</v>
      </c>
      <c r="K14" s="134"/>
    </row>
    <row r="15" spans="1:11" ht="16.5" customHeight="1" x14ac:dyDescent="0.2">
      <c r="A15" s="130"/>
      <c r="B15" s="324" t="s">
        <v>84</v>
      </c>
      <c r="C15" s="325"/>
      <c r="D15" s="325"/>
      <c r="E15" s="325"/>
      <c r="F15" s="325"/>
      <c r="G15" s="142" t="s">
        <v>200</v>
      </c>
      <c r="H15" s="163">
        <f>IFERROR(VLOOKUP(MID($G15,4,3),MMWR_TRAD_AGG_NATIONAL[],2,0),0)</f>
        <v>8</v>
      </c>
      <c r="I15" s="160">
        <f>IFERROR(VLOOKUP(MID($G15,4,3),MMWR_TRAD_AGG_NATIONAL[],3,0),0)</f>
        <v>1</v>
      </c>
      <c r="J15" s="161">
        <f t="shared" si="0"/>
        <v>0.125</v>
      </c>
      <c r="K15" s="134"/>
    </row>
    <row r="16" spans="1:11" ht="15" x14ac:dyDescent="0.2">
      <c r="A16" s="130"/>
      <c r="B16" s="324" t="s">
        <v>85</v>
      </c>
      <c r="C16" s="325"/>
      <c r="D16" s="325"/>
      <c r="E16" s="325"/>
      <c r="F16" s="325"/>
      <c r="G16" s="142" t="s">
        <v>201</v>
      </c>
      <c r="H16" s="163">
        <f>IFERROR(VLOOKUP(MID($G16,4,3),MMWR_TRAD_AGG_NATIONAL[],2,0),0)</f>
        <v>2</v>
      </c>
      <c r="I16" s="160">
        <f>IFERROR(VLOOKUP(MID($G16,4,3),MMWR_TRAD_AGG_NATIONAL[],3,0),0)</f>
        <v>1</v>
      </c>
      <c r="J16" s="161">
        <f>IF(H16=0, 0,I16/H16)</f>
        <v>0.5</v>
      </c>
      <c r="K16" s="134"/>
    </row>
    <row r="17" spans="1:11" ht="16.5" customHeight="1" x14ac:dyDescent="0.2">
      <c r="A17" s="130"/>
      <c r="B17" s="324" t="s">
        <v>87</v>
      </c>
      <c r="C17" s="325"/>
      <c r="D17" s="325"/>
      <c r="E17" s="325"/>
      <c r="F17" s="325"/>
      <c r="G17" s="142" t="s">
        <v>202</v>
      </c>
      <c r="H17" s="163">
        <f>IFERROR(VLOOKUP(MID($G17,4,3),MMWR_TRAD_AGG_NATIONAL[],2,0),0)</f>
        <v>2</v>
      </c>
      <c r="I17" s="160">
        <f>IFERROR(VLOOKUP(MID($G17,4,3),MMWR_TRAD_AGG_NATIONAL[],3,0),0)</f>
        <v>0</v>
      </c>
      <c r="J17" s="161">
        <f>IF(H17=0, 0,I17/H17)</f>
        <v>0</v>
      </c>
      <c r="K17" s="134"/>
    </row>
    <row r="18" spans="1:11" ht="16.5" customHeight="1" thickBot="1" x14ac:dyDescent="0.25">
      <c r="A18" s="130"/>
      <c r="B18" s="326" t="s">
        <v>86</v>
      </c>
      <c r="C18" s="327"/>
      <c r="D18" s="327"/>
      <c r="E18" s="327"/>
      <c r="F18" s="327"/>
      <c r="G18" s="142" t="s">
        <v>203</v>
      </c>
      <c r="H18" s="164">
        <f>IFERROR(VLOOKUP(MID($G18,4,3),MMWR_TRAD_AGG_NATIONAL[],2,0),0)</f>
        <v>1</v>
      </c>
      <c r="I18" s="160">
        <f>IFERROR(VLOOKUP(MID($G18,4,3),MMWR_TRAD_AGG_NATIONAL[],3,0),0)</f>
        <v>0</v>
      </c>
      <c r="J18" s="165">
        <f>IF(H18=0, 0,I18/H18)</f>
        <v>0</v>
      </c>
      <c r="K18" s="134"/>
    </row>
    <row r="19" spans="1:11" ht="16.5" customHeight="1" x14ac:dyDescent="0.2">
      <c r="A19" s="130"/>
      <c r="B19" s="331" t="s">
        <v>970</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961</v>
      </c>
      <c r="C21" s="284"/>
      <c r="D21" s="285"/>
      <c r="E21" s="283" t="s">
        <v>962</v>
      </c>
      <c r="F21" s="284"/>
      <c r="G21" s="285"/>
      <c r="H21" s="283" t="s">
        <v>963</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955</v>
      </c>
      <c r="C23" s="284"/>
      <c r="D23" s="285"/>
      <c r="E23" s="283" t="s">
        <v>956</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25.5" x14ac:dyDescent="0.2">
      <c r="A26" s="130"/>
      <c r="B26" s="148" t="s">
        <v>23</v>
      </c>
      <c r="C26" s="304"/>
      <c r="D26" s="304"/>
      <c r="E26" s="304"/>
      <c r="F26" s="305"/>
      <c r="G26" s="263" t="s">
        <v>1063</v>
      </c>
      <c r="H26" s="263" t="s">
        <v>1064</v>
      </c>
      <c r="I26" s="263" t="s">
        <v>1062</v>
      </c>
      <c r="J26" s="264" t="s">
        <v>28</v>
      </c>
      <c r="K26" s="134"/>
    </row>
    <row r="27" spans="1:11" ht="16.5" customHeight="1" x14ac:dyDescent="0.2">
      <c r="A27" s="130"/>
      <c r="B27" s="301" t="s">
        <v>964</v>
      </c>
      <c r="C27" s="302"/>
      <c r="D27" s="302"/>
      <c r="E27" s="302"/>
      <c r="F27" s="303"/>
      <c r="G27" s="256">
        <v>7625</v>
      </c>
      <c r="H27" s="256">
        <v>7812</v>
      </c>
      <c r="I27" s="256">
        <v>-187</v>
      </c>
      <c r="J27" s="260">
        <v>-2.4E-2</v>
      </c>
      <c r="K27" s="134"/>
    </row>
    <row r="28" spans="1:11" ht="15" x14ac:dyDescent="0.2">
      <c r="A28" s="130"/>
      <c r="B28" s="289" t="s">
        <v>24</v>
      </c>
      <c r="C28" s="290"/>
      <c r="D28" s="290"/>
      <c r="E28" s="290"/>
      <c r="F28" s="291"/>
      <c r="G28" s="257">
        <v>1712</v>
      </c>
      <c r="H28" s="257">
        <v>1768</v>
      </c>
      <c r="I28" s="257">
        <v>-56</v>
      </c>
      <c r="J28" s="253">
        <v>-3.2000000000000001E-2</v>
      </c>
      <c r="K28" s="134"/>
    </row>
    <row r="29" spans="1:11" ht="15" x14ac:dyDescent="0.2">
      <c r="A29" s="130"/>
      <c r="B29" s="292" t="s">
        <v>25</v>
      </c>
      <c r="C29" s="293"/>
      <c r="D29" s="293"/>
      <c r="E29" s="293"/>
      <c r="F29" s="294"/>
      <c r="G29" s="258">
        <v>758</v>
      </c>
      <c r="H29" s="258">
        <v>801</v>
      </c>
      <c r="I29" s="258">
        <v>-43</v>
      </c>
      <c r="J29" s="254">
        <v>-5.3999999999999999E-2</v>
      </c>
      <c r="K29" s="134"/>
    </row>
    <row r="30" spans="1:11" ht="15" x14ac:dyDescent="0.2">
      <c r="A30" s="130"/>
      <c r="B30" s="295" t="s">
        <v>26</v>
      </c>
      <c r="C30" s="296"/>
      <c r="D30" s="296"/>
      <c r="E30" s="296"/>
      <c r="F30" s="297"/>
      <c r="G30" s="258">
        <v>2131</v>
      </c>
      <c r="H30" s="258">
        <v>1937</v>
      </c>
      <c r="I30" s="258">
        <v>194</v>
      </c>
      <c r="J30" s="254">
        <v>0.1</v>
      </c>
      <c r="K30" s="134"/>
    </row>
    <row r="31" spans="1:11" ht="15" x14ac:dyDescent="0.2">
      <c r="A31" s="130"/>
      <c r="B31" s="298" t="s">
        <v>27</v>
      </c>
      <c r="C31" s="299"/>
      <c r="D31" s="299"/>
      <c r="E31" s="299"/>
      <c r="F31" s="300"/>
      <c r="G31" s="259">
        <v>3024</v>
      </c>
      <c r="H31" s="259">
        <v>3306</v>
      </c>
      <c r="I31" s="259">
        <v>-282</v>
      </c>
      <c r="J31" s="255">
        <v>-8.5000000000000006E-2</v>
      </c>
      <c r="K31" s="134"/>
    </row>
    <row r="32" spans="1:11" ht="16.5" customHeight="1" x14ac:dyDescent="0.2">
      <c r="A32" s="130"/>
      <c r="B32" s="301" t="s">
        <v>235</v>
      </c>
      <c r="C32" s="302"/>
      <c r="D32" s="302"/>
      <c r="E32" s="302"/>
      <c r="F32" s="303"/>
      <c r="G32" s="256">
        <v>74988</v>
      </c>
      <c r="H32" s="256">
        <v>87043</v>
      </c>
      <c r="I32" s="256">
        <v>-12055</v>
      </c>
      <c r="J32" s="260">
        <v>-0.13800000000000001</v>
      </c>
      <c r="K32" s="134"/>
    </row>
    <row r="33" spans="1:11" ht="15" x14ac:dyDescent="0.2">
      <c r="A33" s="130"/>
      <c r="B33" s="289" t="s">
        <v>24</v>
      </c>
      <c r="C33" s="290"/>
      <c r="D33" s="290"/>
      <c r="E33" s="290"/>
      <c r="F33" s="291"/>
      <c r="G33" s="257">
        <v>19165</v>
      </c>
      <c r="H33" s="257">
        <v>21556</v>
      </c>
      <c r="I33" s="257">
        <v>-2391</v>
      </c>
      <c r="J33" s="253">
        <v>-0.111</v>
      </c>
      <c r="K33" s="134"/>
    </row>
    <row r="34" spans="1:11" ht="15" x14ac:dyDescent="0.2">
      <c r="A34" s="130"/>
      <c r="B34" s="292" t="s">
        <v>25</v>
      </c>
      <c r="C34" s="293"/>
      <c r="D34" s="293"/>
      <c r="E34" s="293"/>
      <c r="F34" s="294"/>
      <c r="G34" s="258">
        <v>4762</v>
      </c>
      <c r="H34" s="258">
        <v>6159</v>
      </c>
      <c r="I34" s="258">
        <v>-1397</v>
      </c>
      <c r="J34" s="254">
        <v>-0.22700000000000001</v>
      </c>
      <c r="K34" s="134"/>
    </row>
    <row r="35" spans="1:11" ht="15" x14ac:dyDescent="0.2">
      <c r="A35" s="130"/>
      <c r="B35" s="295" t="s">
        <v>26</v>
      </c>
      <c r="C35" s="296"/>
      <c r="D35" s="296"/>
      <c r="E35" s="296"/>
      <c r="F35" s="297"/>
      <c r="G35" s="258">
        <v>26231</v>
      </c>
      <c r="H35" s="258">
        <v>29838</v>
      </c>
      <c r="I35" s="258">
        <v>-3607</v>
      </c>
      <c r="J35" s="254">
        <v>-0.121</v>
      </c>
      <c r="K35" s="134"/>
    </row>
    <row r="36" spans="1:11" ht="15.75" thickBot="1" x14ac:dyDescent="0.25">
      <c r="A36" s="130"/>
      <c r="B36" s="337" t="s">
        <v>27</v>
      </c>
      <c r="C36" s="338"/>
      <c r="D36" s="338"/>
      <c r="E36" s="338"/>
      <c r="F36" s="339"/>
      <c r="G36" s="258">
        <v>24830</v>
      </c>
      <c r="H36" s="258">
        <v>29490</v>
      </c>
      <c r="I36" s="258">
        <v>-4660</v>
      </c>
      <c r="J36" s="254">
        <v>-0.158</v>
      </c>
      <c r="K36" s="134"/>
    </row>
    <row r="37" spans="1:11" ht="15.75" customHeight="1" thickBot="1" x14ac:dyDescent="0.25">
      <c r="A37" s="130"/>
      <c r="B37" s="328" t="s">
        <v>969</v>
      </c>
      <c r="C37" s="329"/>
      <c r="D37" s="329"/>
      <c r="E37" s="329"/>
      <c r="F37" s="329"/>
      <c r="G37" s="329"/>
      <c r="H37" s="329"/>
      <c r="I37" s="329"/>
      <c r="J37" s="330"/>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295</v>
      </c>
      <c r="D2" s="356"/>
      <c r="E2" s="356"/>
      <c r="F2" s="356"/>
      <c r="G2" s="356"/>
      <c r="H2" s="356"/>
      <c r="I2" s="356"/>
      <c r="J2" s="356"/>
      <c r="K2" s="357"/>
      <c r="L2" s="355" t="s">
        <v>300</v>
      </c>
      <c r="M2" s="356"/>
      <c r="N2" s="356"/>
      <c r="O2" s="357"/>
      <c r="P2" s="28"/>
    </row>
    <row r="3" spans="1:16" ht="24" customHeight="1" thickBot="1" x14ac:dyDescent="0.4">
      <c r="A3" s="25"/>
      <c r="B3" s="29"/>
      <c r="C3" s="358"/>
      <c r="D3" s="359"/>
      <c r="E3" s="359"/>
      <c r="F3" s="359"/>
      <c r="G3" s="359"/>
      <c r="H3" s="359"/>
      <c r="I3" s="359"/>
      <c r="J3" s="359"/>
      <c r="K3" s="360"/>
      <c r="L3" s="358" t="str">
        <f>Transformation!B4</f>
        <v>As of: February 20, 2016</v>
      </c>
      <c r="M3" s="359"/>
      <c r="N3" s="359"/>
      <c r="O3" s="360"/>
      <c r="P3" s="28"/>
    </row>
    <row r="4" spans="1:16" ht="51.75" customHeight="1" thickBot="1" x14ac:dyDescent="0.35">
      <c r="A4" s="30"/>
      <c r="B4" s="246" t="s">
        <v>456</v>
      </c>
      <c r="C4" s="361" t="s">
        <v>304</v>
      </c>
      <c r="D4" s="362"/>
      <c r="E4" s="362"/>
      <c r="F4" s="362"/>
      <c r="G4" s="362"/>
      <c r="H4" s="362"/>
      <c r="I4" s="362"/>
      <c r="J4" s="362"/>
      <c r="K4" s="362"/>
      <c r="L4" s="362"/>
      <c r="M4" s="362"/>
      <c r="N4" s="362"/>
      <c r="O4" s="363"/>
      <c r="P4" s="28"/>
    </row>
    <row r="5" spans="1:16" ht="27" customHeight="1" thickBot="1" x14ac:dyDescent="0.25">
      <c r="A5" s="30"/>
      <c r="B5" s="26"/>
      <c r="C5" s="364" t="s">
        <v>1043</v>
      </c>
      <c r="D5" s="365"/>
      <c r="E5" s="365"/>
      <c r="F5" s="365"/>
      <c r="G5" s="365"/>
      <c r="H5" s="365"/>
      <c r="I5" s="365"/>
      <c r="J5" s="365"/>
      <c r="K5" s="365"/>
      <c r="L5" s="365"/>
      <c r="M5" s="365"/>
      <c r="N5" s="365"/>
      <c r="O5" s="366"/>
      <c r="P5" s="28"/>
    </row>
    <row r="6" spans="1:16" ht="55.5" customHeight="1" x14ac:dyDescent="0.2">
      <c r="A6" s="30"/>
      <c r="B6" s="31"/>
      <c r="C6" s="32" t="s">
        <v>190</v>
      </c>
      <c r="D6" s="367" t="s">
        <v>16</v>
      </c>
      <c r="E6" s="368"/>
      <c r="F6" s="33" t="s">
        <v>193</v>
      </c>
      <c r="G6" s="367" t="s">
        <v>198</v>
      </c>
      <c r="H6" s="369"/>
      <c r="I6" s="33" t="s">
        <v>196</v>
      </c>
      <c r="J6" s="373" t="s">
        <v>14</v>
      </c>
      <c r="K6" s="374"/>
      <c r="L6" s="33" t="s">
        <v>201</v>
      </c>
      <c r="M6" s="370" t="s">
        <v>85</v>
      </c>
      <c r="N6" s="371"/>
      <c r="O6" s="372"/>
      <c r="P6" s="28"/>
    </row>
    <row r="7" spans="1:16" ht="51.75" customHeight="1" x14ac:dyDescent="0.2">
      <c r="A7" s="30"/>
      <c r="B7" s="34"/>
      <c r="C7" s="35" t="s">
        <v>191</v>
      </c>
      <c r="D7" s="343" t="s">
        <v>0</v>
      </c>
      <c r="E7" s="344"/>
      <c r="F7" s="36" t="s">
        <v>194</v>
      </c>
      <c r="G7" s="345" t="s">
        <v>199</v>
      </c>
      <c r="H7" s="345"/>
      <c r="I7" s="36" t="s">
        <v>197</v>
      </c>
      <c r="J7" s="375" t="s">
        <v>19</v>
      </c>
      <c r="K7" s="376"/>
      <c r="L7" s="36" t="s">
        <v>202</v>
      </c>
      <c r="M7" s="379" t="s">
        <v>87</v>
      </c>
      <c r="N7" s="380"/>
      <c r="O7" s="381"/>
      <c r="P7" s="28"/>
    </row>
    <row r="8" spans="1:16" ht="51.75" customHeight="1" thickBot="1" x14ac:dyDescent="0.25">
      <c r="A8" s="25"/>
      <c r="B8" s="28"/>
      <c r="C8" s="37" t="s">
        <v>192</v>
      </c>
      <c r="D8" s="346" t="s">
        <v>18</v>
      </c>
      <c r="E8" s="347"/>
      <c r="F8" s="38" t="s">
        <v>195</v>
      </c>
      <c r="G8" s="348" t="s">
        <v>17</v>
      </c>
      <c r="H8" s="348"/>
      <c r="I8" s="38" t="s">
        <v>200</v>
      </c>
      <c r="J8" s="377" t="s">
        <v>84</v>
      </c>
      <c r="K8" s="378"/>
      <c r="L8" s="38" t="s">
        <v>203</v>
      </c>
      <c r="M8" s="352" t="s">
        <v>86</v>
      </c>
      <c r="N8" s="353"/>
      <c r="O8" s="354"/>
      <c r="P8" s="28"/>
    </row>
    <row r="9" spans="1:16" x14ac:dyDescent="0.2">
      <c r="A9" s="28"/>
      <c r="B9" s="28"/>
      <c r="C9" s="39" t="s">
        <v>705</v>
      </c>
      <c r="D9" s="39" t="s">
        <v>707</v>
      </c>
      <c r="E9" s="39" t="s">
        <v>706</v>
      </c>
      <c r="F9" s="39" t="s">
        <v>709</v>
      </c>
      <c r="G9" s="39" t="s">
        <v>708</v>
      </c>
      <c r="H9" s="39" t="s">
        <v>711</v>
      </c>
      <c r="I9" s="39" t="s">
        <v>710</v>
      </c>
      <c r="J9" s="39" t="s">
        <v>921</v>
      </c>
      <c r="K9" s="39" t="s">
        <v>922</v>
      </c>
      <c r="L9" s="39" t="s">
        <v>924</v>
      </c>
      <c r="M9" s="39" t="s">
        <v>1044</v>
      </c>
      <c r="N9" s="39" t="s">
        <v>925</v>
      </c>
      <c r="O9" s="39" t="s">
        <v>926</v>
      </c>
      <c r="P9" s="28"/>
    </row>
    <row r="10" spans="1:16" ht="15.75" customHeight="1" x14ac:dyDescent="0.2">
      <c r="A10" s="25"/>
      <c r="B10" s="26"/>
      <c r="C10" s="349" t="s">
        <v>293</v>
      </c>
      <c r="D10" s="349"/>
      <c r="E10" s="349"/>
      <c r="F10" s="349"/>
      <c r="G10" s="349"/>
      <c r="H10" s="349"/>
      <c r="I10" s="349"/>
      <c r="J10" s="349"/>
      <c r="K10" s="349"/>
      <c r="L10" s="349"/>
      <c r="M10" s="349"/>
      <c r="N10" s="349"/>
      <c r="O10" s="349"/>
      <c r="P10" s="28"/>
    </row>
    <row r="11" spans="1:16" ht="32.25" customHeight="1" x14ac:dyDescent="0.2">
      <c r="A11" s="25"/>
      <c r="B11" s="26"/>
      <c r="C11" s="350" t="s">
        <v>226</v>
      </c>
      <c r="D11" s="350" t="s">
        <v>134</v>
      </c>
      <c r="E11" s="350" t="s">
        <v>227</v>
      </c>
      <c r="F11" s="350" t="s">
        <v>189</v>
      </c>
      <c r="G11" s="350" t="s">
        <v>204</v>
      </c>
      <c r="H11" s="350" t="s">
        <v>206</v>
      </c>
      <c r="I11" s="350" t="s">
        <v>207</v>
      </c>
      <c r="J11" s="384" t="s">
        <v>1055</v>
      </c>
      <c r="K11" s="384" t="s">
        <v>1056</v>
      </c>
      <c r="L11" s="382" t="s">
        <v>1053</v>
      </c>
      <c r="M11" s="383"/>
      <c r="N11" s="382" t="s">
        <v>1054</v>
      </c>
      <c r="O11" s="383"/>
      <c r="P11" s="28"/>
    </row>
    <row r="12" spans="1:16" ht="32.25" customHeight="1" x14ac:dyDescent="0.2">
      <c r="A12" s="25"/>
      <c r="B12" s="26"/>
      <c r="C12" s="351"/>
      <c r="D12" s="351"/>
      <c r="E12" s="351"/>
      <c r="F12" s="351"/>
      <c r="G12" s="351"/>
      <c r="H12" s="351"/>
      <c r="I12" s="351"/>
      <c r="J12" s="385"/>
      <c r="K12" s="385"/>
      <c r="L12" s="40" t="s">
        <v>927</v>
      </c>
      <c r="M12" s="40" t="s">
        <v>932</v>
      </c>
      <c r="N12" s="40" t="s">
        <v>927</v>
      </c>
      <c r="O12" s="40" t="s">
        <v>932</v>
      </c>
      <c r="P12" s="28"/>
    </row>
    <row r="13" spans="1:16" x14ac:dyDescent="0.2">
      <c r="A13" s="25"/>
      <c r="B13" s="41" t="s">
        <v>1051</v>
      </c>
      <c r="C13" s="154">
        <f>IF($B13=" ","",IFERROR(INDEX(MMWR_RATING_RO_ROLLUP[],MATCH($B13,MMWR_RATING_RO_ROLLUP[MMWR_RATING_RO_ROLLUP],0),MATCH(C$9,MMWR_RATING_RO_ROLLUP[#Headers],0)),"ERROR"))</f>
        <v>353838</v>
      </c>
      <c r="D13" s="155">
        <f>IF($B13=" ","",IFERROR(INDEX(MMWR_RATING_RO_ROLLUP[],MATCH($B13,MMWR_RATING_RO_ROLLUP[MMWR_RATING_RO_ROLLUP],0),MATCH(D$9,MMWR_RATING_RO_ROLLUP[#Headers],0)),"ERROR"))</f>
        <v>92.506112967000007</v>
      </c>
      <c r="E13" s="156">
        <f>IF($B13=" ","",IFERROR(INDEX(MMWR_RATING_RO_ROLLUP[],MATCH($B13,MMWR_RATING_RO_ROLLUP[MMWR_RATING_RO_ROLLUP],0),MATCH(E$9,MMWR_RATING_RO_ROLLUP[#Headers],0))/$C13,"ERROR"))</f>
        <v>0.23299928215737145</v>
      </c>
      <c r="F13" s="154">
        <f>IF($B13=" ","",IFERROR(INDEX(MMWR_RATING_RO_ROLLUP[],MATCH($B13,MMWR_RATING_RO_ROLLUP[MMWR_RATING_RO_ROLLUP],0),MATCH(F$9,MMWR_RATING_RO_ROLLUP[#Headers],0)),"ERROR"))</f>
        <v>69206</v>
      </c>
      <c r="G13" s="154">
        <f>IF($B13=" ","",IFERROR(INDEX(MMWR_RATING_RO_ROLLUP[],MATCH($B13,MMWR_RATING_RO_ROLLUP[MMWR_RATING_RO_ROLLUP],0),MATCH(G$9,MMWR_RATING_RO_ROLLUP[#Headers],0)),"ERROR"))</f>
        <v>478709</v>
      </c>
      <c r="H13" s="155">
        <f>IF($B13=" ","",IFERROR(INDEX(MMWR_RATING_RO_ROLLUP[],MATCH($B13,MMWR_RATING_RO_ROLLUP[MMWR_RATING_RO_ROLLUP],0),MATCH(H$9,MMWR_RATING_RO_ROLLUP[#Headers],0)),"ERROR"))</f>
        <v>126.2427824177</v>
      </c>
      <c r="I13" s="155">
        <f>IF($B13=" ","",IFERROR(INDEX(MMWR_RATING_RO_ROLLUP[],MATCH($B13,MMWR_RATING_RO_ROLLUP[MMWR_RATING_RO_ROLLUP],0),MATCH(I$9,MMWR_RATING_RO_ROLLUP[#Headers],0)),"ERROR"))</f>
        <v>127.8952683154</v>
      </c>
      <c r="J13" s="42"/>
      <c r="K13" s="42"/>
      <c r="L13" s="42"/>
      <c r="M13" s="42"/>
      <c r="N13" s="42"/>
      <c r="O13" s="42"/>
      <c r="P13" s="28"/>
    </row>
    <row r="14" spans="1:16" x14ac:dyDescent="0.2">
      <c r="A14" s="25"/>
      <c r="B14" s="341" t="s">
        <v>733</v>
      </c>
      <c r="C14" s="342"/>
      <c r="D14" s="342"/>
      <c r="E14" s="342"/>
      <c r="F14" s="342"/>
      <c r="G14" s="342"/>
      <c r="H14" s="342"/>
      <c r="I14" s="342"/>
      <c r="J14" s="342"/>
      <c r="K14" s="342"/>
      <c r="L14" s="342"/>
      <c r="M14" s="342"/>
      <c r="N14" s="342"/>
      <c r="O14" s="342"/>
      <c r="P14" s="28"/>
    </row>
    <row r="15" spans="1:16" x14ac:dyDescent="0.2">
      <c r="A15" s="25"/>
      <c r="B15" s="41" t="s">
        <v>729</v>
      </c>
      <c r="C15" s="154">
        <f>IF($B15=" ","",IFERROR(INDEX(MMWR_RATING_RO_ROLLUP[],MATCH($B15,MMWR_RATING_RO_ROLLUP[MMWR_RATING_RO_ROLLUP],0),MATCH(C$9,MMWR_RATING_RO_ROLLUP[#Headers],0)),"ERROR"))</f>
        <v>305793</v>
      </c>
      <c r="D15" s="155">
        <f>IF($B15=" ","",IFERROR(INDEX(MMWR_RATING_RO_ROLLUP[],MATCH($B15,MMWR_RATING_RO_ROLLUP[MMWR_RATING_RO_ROLLUP],0),MATCH(D$9,MMWR_RATING_RO_ROLLUP[#Headers],0)),"ERROR"))</f>
        <v>94.568037855699998</v>
      </c>
      <c r="E15" s="156">
        <f>IF($B15=" ","",IFERROR(INDEX(MMWR_RATING_RO_ROLLUP[],MATCH($B15,MMWR_RATING_RO_ROLLUP[MMWR_RATING_RO_ROLLUP],0),MATCH(E$9,MMWR_RATING_RO_ROLLUP[#Headers],0))/$C15,"ERROR"))</f>
        <v>0.23996625168005808</v>
      </c>
      <c r="F15" s="154">
        <f>IF($B15=" ","",IFERROR(INDEX(MMWR_RATING_RO_ROLLUP[],MATCH($B15,MMWR_RATING_RO_ROLLUP[MMWR_RATING_RO_ROLLUP],0),MATCH(F$9,MMWR_RATING_RO_ROLLUP[#Headers],0)),"ERROR"))</f>
        <v>58496</v>
      </c>
      <c r="G15" s="154">
        <f>IF($B15=" ","",IFERROR(INDEX(MMWR_RATING_RO_ROLLUP[],MATCH($B15,MMWR_RATING_RO_ROLLUP[MMWR_RATING_RO_ROLLUP],0),MATCH(G$9,MMWR_RATING_RO_ROLLUP[#Headers],0)),"ERROR"))</f>
        <v>405664</v>
      </c>
      <c r="H15" s="155">
        <f>IF($B15=" ","",IFERROR(INDEX(MMWR_RATING_RO_ROLLUP[],MATCH($B15,MMWR_RATING_RO_ROLLUP[MMWR_RATING_RO_ROLLUP],0),MATCH(H$9,MMWR_RATING_RO_ROLLUP[#Headers],0)),"ERROR"))</f>
        <v>130.73505880740001</v>
      </c>
      <c r="I15" s="155">
        <f>IF($B15=" ","",IFERROR(INDEX(MMWR_RATING_RO_ROLLUP[],MATCH($B15,MMWR_RATING_RO_ROLLUP[MMWR_RATING_RO_ROLLUP],0),MATCH(I$9,MMWR_RATING_RO_ROLLUP[#Headers],0)),"ERROR"))</f>
        <v>134.51686370990001</v>
      </c>
      <c r="J15" s="157">
        <f>VLOOKUP($B$13,MMWR_ACCURACY_RO[],MATCH(J$9,MMWR_ACCURACY_RO[#Headers],0),0)</f>
        <v>0.95422851559641386</v>
      </c>
      <c r="K15" s="157">
        <f>VLOOKUP($B$13,MMWR_ACCURACY_RO[],MATCH(K$9,MMWR_ACCURACY_RO[#Headers],0),0)</f>
        <v>0.89217828476173011</v>
      </c>
      <c r="L15" s="157">
        <f>VLOOKUP($B$13,MMWR_ACCURACY_RO[],MATCH(L$9,MMWR_ACCURACY_RO[#Headers],0),0)</f>
        <v>0.90031803464973736</v>
      </c>
      <c r="M15" s="157">
        <f>VLOOKUP($B$13,MMWR_ACCURACY_RO[],MATCH(M$9,MMWR_ACCURACY_RO[#Headers],0),0)</f>
        <v>7.7183743553186444E-3</v>
      </c>
      <c r="N15" s="157">
        <f>VLOOKUP($B$13,MMWR_ACCURACY_RO[],MATCH(N$9,MMWR_ACCURACY_RO[#Headers],0),0)</f>
        <v>0.90575421880437812</v>
      </c>
      <c r="O15" s="157">
        <f>VLOOKUP($B$13,MMWR_ACCURACY_RO[],MATCH(O$9,MMWR_ACCURACY_RO[#Headers],0),0)</f>
        <v>8.8378441050331706E-3</v>
      </c>
      <c r="P15" s="28"/>
    </row>
    <row r="16" spans="1:16" x14ac:dyDescent="0.2">
      <c r="A16" s="25"/>
      <c r="B16" s="247" t="s">
        <v>370</v>
      </c>
      <c r="C16" s="154">
        <f>IF($B16=" ","",IFERROR(INDEX(MMWR_RATING_RO_ROLLUP[],MATCH($B16,MMWR_RATING_RO_ROLLUP[MMWR_RATING_RO_ROLLUP],0),MATCH(C$9,MMWR_RATING_RO_ROLLUP[#Headers],0)),"ERROR"))</f>
        <v>67743</v>
      </c>
      <c r="D16" s="155">
        <f>IF($B16=" ","",IFERROR(INDEX(MMWR_RATING_RO_ROLLUP[],MATCH($B16,MMWR_RATING_RO_ROLLUP[MMWR_RATING_RO_ROLLUP],0),MATCH(D$9,MMWR_RATING_RO_ROLLUP[#Headers],0)),"ERROR"))</f>
        <v>95.548248527499993</v>
      </c>
      <c r="E16" s="156">
        <f>IF($B16=" ","",IFERROR(INDEX(MMWR_RATING_RO_ROLLUP[],MATCH($B16,MMWR_RATING_RO_ROLLUP[MMWR_RATING_RO_ROLLUP],0),MATCH(E$9,MMWR_RATING_RO_ROLLUP[#Headers],0))/$C16,"ERROR"))</f>
        <v>0.24849799979333659</v>
      </c>
      <c r="F16" s="154">
        <f>IF($B16=" ","",IFERROR(INDEX(MMWR_RATING_RO_ROLLUP[],MATCH($B16,MMWR_RATING_RO_ROLLUP[MMWR_RATING_RO_ROLLUP],0),MATCH(F$9,MMWR_RATING_RO_ROLLUP[#Headers],0)),"ERROR"))</f>
        <v>12606</v>
      </c>
      <c r="G16" s="154">
        <f>IF($B16=" ","",IFERROR(INDEX(MMWR_RATING_RO_ROLLUP[],MATCH($B16,MMWR_RATING_RO_ROLLUP[MMWR_RATING_RO_ROLLUP],0),MATCH(G$9,MMWR_RATING_RO_ROLLUP[#Headers],0)),"ERROR"))</f>
        <v>87294</v>
      </c>
      <c r="H16" s="155">
        <f>IF($B16=" ","",IFERROR(INDEX(MMWR_RATING_RO_ROLLUP[],MATCH($B16,MMWR_RATING_RO_ROLLUP[MMWR_RATING_RO_ROLLUP],0),MATCH(H$9,MMWR_RATING_RO_ROLLUP[#Headers],0)),"ERROR"))</f>
        <v>130.7057750278</v>
      </c>
      <c r="I16" s="155">
        <f>IF($B16=" ","",IFERROR(INDEX(MMWR_RATING_RO_ROLLUP[],MATCH($B16,MMWR_RATING_RO_ROLLUP[MMWR_RATING_RO_ROLLUP],0),MATCH(I$9,MMWR_RATING_RO_ROLLUP[#Headers],0)),"ERROR"))</f>
        <v>133.99318395309999</v>
      </c>
      <c r="J16" s="157">
        <f>IF($B16=" ","",IFERROR(VLOOKUP($B16,MMWR_ACCURACY_RO[],MATCH(J$9,MMWR_ACCURACY_RO[#Headers],0),0),"ERROR"))</f>
        <v>0.95757339174388845</v>
      </c>
      <c r="K16" s="157">
        <f>IF($B16=" ","",IFERROR(VLOOKUP($B16,MMWR_ACCURACY_RO[],MATCH(K$9,MMWR_ACCURACY_RO[#Headers],0),0),"ERROR"))</f>
        <v>0.88451958322366298</v>
      </c>
      <c r="L16" s="157">
        <f>IF($B16=" ","",IFERROR(VLOOKUP($B16,MMWR_ACCURACY_RO[],MATCH(L$9,MMWR_ACCURACY_RO[#Headers],0),0),"ERROR"))</f>
        <v>0.87102005553659012</v>
      </c>
      <c r="M16" s="157">
        <f>IF($B16=" ","",IFERROR(VLOOKUP($B16,MMWR_ACCURACY_RO[],MATCH(M$9,MMWR_ACCURACY_RO[#Headers],0),0),"ERROR"))</f>
        <v>1.6779937109791945E-2</v>
      </c>
      <c r="N16" s="157">
        <f>IF($B16=" ","",IFERROR(VLOOKUP($B16,MMWR_ACCURACY_RO[],MATCH(N$9,MMWR_ACCURACY_RO[#Headers],0),0),"ERROR"))</f>
        <v>0.88779000950336173</v>
      </c>
      <c r="O16" s="157">
        <f>IF($B16=" ","",IFERROR(VLOOKUP($B16,MMWR_ACCURACY_RO[],MATCH(O$9,MMWR_ACCURACY_RO[#Headers],0),0),"ERROR"))</f>
        <v>1.6398674127541639E-2</v>
      </c>
      <c r="P16" s="28"/>
    </row>
    <row r="17" spans="1:16" x14ac:dyDescent="0.2">
      <c r="A17" s="25"/>
      <c r="B17" s="8" t="str">
        <f>VLOOKUP($B$16,DISTRICT_RO[],2,0)</f>
        <v>Baltimore VSC</v>
      </c>
      <c r="C17" s="154">
        <f>IF($B17=" ","",IFERROR(INDEX(MMWR_RATING_RO_ROLLUP[],MATCH($B17,MMWR_RATING_RO_ROLLUP[MMWR_RATING_RO_ROLLUP],0),MATCH(C$9,MMWR_RATING_RO_ROLLUP[#Headers],0)),"ERROR"))</f>
        <v>2273</v>
      </c>
      <c r="D17" s="155">
        <f>IF($B17=" ","",IFERROR(INDEX(MMWR_RATING_RO_ROLLUP[],MATCH($B17,MMWR_RATING_RO_ROLLUP[MMWR_RATING_RO_ROLLUP],0),MATCH(D$9,MMWR_RATING_RO_ROLLUP[#Headers],0)),"ERROR"))</f>
        <v>96.629124505099995</v>
      </c>
      <c r="E17" s="156">
        <f>IF($B17=" ","",IFERROR(INDEX(MMWR_RATING_RO_ROLLUP[],MATCH($B17,MMWR_RATING_RO_ROLLUP[MMWR_RATING_RO_ROLLUP],0),MATCH(E$9,MMWR_RATING_RO_ROLLUP[#Headers],0))/$C17,"ERROR"))</f>
        <v>0.30268367795864498</v>
      </c>
      <c r="F17" s="154">
        <f>IF($B17=" ","",IFERROR(INDEX(MMWR_RATING_RO_ROLLUP[],MATCH($B17,MMWR_RATING_RO_ROLLUP[MMWR_RATING_RO_ROLLUP],0),MATCH(F$9,MMWR_RATING_RO_ROLLUP[#Headers],0)),"ERROR"))</f>
        <v>499</v>
      </c>
      <c r="G17" s="154">
        <f>IF($B17=" ","",IFERROR(INDEX(MMWR_RATING_RO_ROLLUP[],MATCH($B17,MMWR_RATING_RO_ROLLUP[MMWR_RATING_RO_ROLLUP],0),MATCH(G$9,MMWR_RATING_RO_ROLLUP[#Headers],0)),"ERROR"))</f>
        <v>3616</v>
      </c>
      <c r="H17" s="155">
        <f>IF($B17=" ","",IFERROR(INDEX(MMWR_RATING_RO_ROLLUP[],MATCH($B17,MMWR_RATING_RO_ROLLUP[MMWR_RATING_RO_ROLLUP],0),MATCH(H$9,MMWR_RATING_RO_ROLLUP[#Headers],0)),"ERROR"))</f>
        <v>141.2384769539</v>
      </c>
      <c r="I17" s="155">
        <f>IF($B17=" ","",IFERROR(INDEX(MMWR_RATING_RO_ROLLUP[],MATCH($B17,MMWR_RATING_RO_ROLLUP[MMWR_RATING_RO_ROLLUP],0),MATCH(I$9,MMWR_RATING_RO_ROLLUP[#Headers],0)),"ERROR"))</f>
        <v>133.67339601769999</v>
      </c>
      <c r="J17" s="157">
        <f>IF($B17=" ","",IFERROR(VLOOKUP($B17,MMWR_ACCURACY_RO[],MATCH(J$9,MMWR_ACCURACY_RO[#Headers],0),0),"ERROR"))</f>
        <v>0.9522162611490943</v>
      </c>
      <c r="K17" s="157">
        <f>IF($B17=" ","",IFERROR(VLOOKUP($B17,MMWR_ACCURACY_RO[],MATCH(K$9,MMWR_ACCURACY_RO[#Headers],0),0),"ERROR"))</f>
        <v>0.82786855283839611</v>
      </c>
      <c r="L17" s="157">
        <f>IF($B17=" ","",IFERROR(VLOOKUP($B17,MMWR_ACCURACY_RO[],MATCH(L$9,MMWR_ACCURACY_RO[#Headers],0),0),"ERROR"))</f>
        <v>0.842203026026212</v>
      </c>
      <c r="M17" s="157">
        <f>IF($B17=" ","",IFERROR(VLOOKUP($B17,MMWR_ACCURACY_RO[],MATCH(M$9,MMWR_ACCURACY_RO[#Headers],0),0),"ERROR"))</f>
        <v>4.38819383870198E-2</v>
      </c>
      <c r="N17" s="157">
        <f>IF($B17=" ","",IFERROR(VLOOKUP($B17,MMWR_ACCURACY_RO[],MATCH(N$9,MMWR_ACCURACY_RO[#Headers],0),0),"ERROR"))</f>
        <v>0.89718885478540555</v>
      </c>
      <c r="O17" s="157">
        <f>IF($B17=" ","",IFERROR(VLOOKUP($B17,MMWR_ACCURACY_RO[],MATCH(O$9,MMWR_ACCURACY_RO[#Headers],0),0),"ERROR"))</f>
        <v>4.6466325855455043E-2</v>
      </c>
      <c r="P17" s="28"/>
    </row>
    <row r="18" spans="1:16" x14ac:dyDescent="0.2">
      <c r="A18" s="25"/>
      <c r="B18" s="8" t="str">
        <f>VLOOKUP($B$16,DISTRICT_RO[],3,0)</f>
        <v>Boston VSC</v>
      </c>
      <c r="C18" s="154">
        <f>IF($B18=" ","",IFERROR(INDEX(MMWR_RATING_RO_ROLLUP[],MATCH($B18,MMWR_RATING_RO_ROLLUP[MMWR_RATING_RO_ROLLUP],0),MATCH(C$9,MMWR_RATING_RO_ROLLUP[#Headers],0)),"ERROR"))</f>
        <v>3306</v>
      </c>
      <c r="D18" s="155">
        <f>IF($B18=" ","",IFERROR(INDEX(MMWR_RATING_RO_ROLLUP[],MATCH($B18,MMWR_RATING_RO_ROLLUP[MMWR_RATING_RO_ROLLUP],0),MATCH(D$9,MMWR_RATING_RO_ROLLUP[#Headers],0)),"ERROR"))</f>
        <v>94.869328493599994</v>
      </c>
      <c r="E18" s="156">
        <f>IF($B18=" ","",IFERROR(INDEX(MMWR_RATING_RO_ROLLUP[],MATCH($B18,MMWR_RATING_RO_ROLLUP[MMWR_RATING_RO_ROLLUP],0),MATCH(E$9,MMWR_RATING_RO_ROLLUP[#Headers],0))/$C18,"ERROR"))</f>
        <v>0.24833635813672111</v>
      </c>
      <c r="F18" s="154">
        <f>IF($B18=" ","",IFERROR(INDEX(MMWR_RATING_RO_ROLLUP[],MATCH($B18,MMWR_RATING_RO_ROLLUP[MMWR_RATING_RO_ROLLUP],0),MATCH(F$9,MMWR_RATING_RO_ROLLUP[#Headers],0)),"ERROR"))</f>
        <v>447</v>
      </c>
      <c r="G18" s="154">
        <f>IF($B18=" ","",IFERROR(INDEX(MMWR_RATING_RO_ROLLUP[],MATCH($B18,MMWR_RATING_RO_ROLLUP[MMWR_RATING_RO_ROLLUP],0),MATCH(G$9,MMWR_RATING_RO_ROLLUP[#Headers],0)),"ERROR"))</f>
        <v>3769</v>
      </c>
      <c r="H18" s="155">
        <f>IF($B18=" ","",IFERROR(INDEX(MMWR_RATING_RO_ROLLUP[],MATCH($B18,MMWR_RATING_RO_ROLLUP[MMWR_RATING_RO_ROLLUP],0),MATCH(H$9,MMWR_RATING_RO_ROLLUP[#Headers],0)),"ERROR"))</f>
        <v>136.17225950779999</v>
      </c>
      <c r="I18" s="155">
        <f>IF($B18=" ","",IFERROR(INDEX(MMWR_RATING_RO_ROLLUP[],MATCH($B18,MMWR_RATING_RO_ROLLUP[MMWR_RATING_RO_ROLLUP],0),MATCH(I$9,MMWR_RATING_RO_ROLLUP[#Headers],0)),"ERROR"))</f>
        <v>122.9673653489</v>
      </c>
      <c r="J18" s="157">
        <f>IF($B18=" ","",IFERROR(VLOOKUP($B18,MMWR_ACCURACY_RO[],MATCH(J$9,MMWR_ACCURACY_RO[#Headers],0),0),"ERROR"))</f>
        <v>0.92003092401083031</v>
      </c>
      <c r="K18" s="157">
        <f>IF($B18=" ","",IFERROR(VLOOKUP($B18,MMWR_ACCURACY_RO[],MATCH(K$9,MMWR_ACCURACY_RO[#Headers],0),0),"ERROR"))</f>
        <v>0.82912793271359009</v>
      </c>
      <c r="L18" s="157">
        <f>IF($B18=" ","",IFERROR(VLOOKUP($B18,MMWR_ACCURACY_RO[],MATCH(L$9,MMWR_ACCURACY_RO[#Headers],0),0),"ERROR"))</f>
        <v>0.8224097713256715</v>
      </c>
      <c r="M18" s="157">
        <f>IF($B18=" ","",IFERROR(VLOOKUP($B18,MMWR_ACCURACY_RO[],MATCH(M$9,MMWR_ACCURACY_RO[#Headers],0),0),"ERROR"))</f>
        <v>5.8539885663012187E-2</v>
      </c>
      <c r="N18" s="157">
        <f>IF($B18=" ","",IFERROR(VLOOKUP($B18,MMWR_ACCURACY_RO[],MATCH(N$9,MMWR_ACCURACY_RO[#Headers],0),0),"ERROR"))</f>
        <v>0.91285424560278361</v>
      </c>
      <c r="O18" s="157">
        <f>IF($B18=" ","",IFERROR(VLOOKUP($B18,MMWR_ACCURACY_RO[],MATCH(O$9,MMWR_ACCURACY_RO[#Headers],0),0),"ERROR"))</f>
        <v>5.6891988498294598E-2</v>
      </c>
      <c r="P18" s="28"/>
    </row>
    <row r="19" spans="1:16" x14ac:dyDescent="0.2">
      <c r="A19" s="25"/>
      <c r="B19" s="8" t="str">
        <f>VLOOKUP($B$16,DISTRICT_RO[],4,0)</f>
        <v>Buffalo VSC</v>
      </c>
      <c r="C19" s="154">
        <f>IF($B19=" ","",IFERROR(INDEX(MMWR_RATING_RO_ROLLUP[],MATCH($B19,MMWR_RATING_RO_ROLLUP[MMWR_RATING_RO_ROLLUP],0),MATCH(C$9,MMWR_RATING_RO_ROLLUP[#Headers],0)),"ERROR"))</f>
        <v>3332</v>
      </c>
      <c r="D19" s="155">
        <f>IF($B19=" ","",IFERROR(INDEX(MMWR_RATING_RO_ROLLUP[],MATCH($B19,MMWR_RATING_RO_ROLLUP[MMWR_RATING_RO_ROLLUP],0),MATCH(D$9,MMWR_RATING_RO_ROLLUP[#Headers],0)),"ERROR"))</f>
        <v>77.335834333700006</v>
      </c>
      <c r="E19" s="156">
        <f>IF($B19=" ","",IFERROR(INDEX(MMWR_RATING_RO_ROLLUP[],MATCH($B19,MMWR_RATING_RO_ROLLUP[MMWR_RATING_RO_ROLLUP],0),MATCH(E$9,MMWR_RATING_RO_ROLLUP[#Headers],0))/$C19,"ERROR"))</f>
        <v>0.12394957983193278</v>
      </c>
      <c r="F19" s="154">
        <f>IF($B19=" ","",IFERROR(INDEX(MMWR_RATING_RO_ROLLUP[],MATCH($B19,MMWR_RATING_RO_ROLLUP[MMWR_RATING_RO_ROLLUP],0),MATCH(F$9,MMWR_RATING_RO_ROLLUP[#Headers],0)),"ERROR"))</f>
        <v>505</v>
      </c>
      <c r="G19" s="154">
        <f>IF($B19=" ","",IFERROR(INDEX(MMWR_RATING_RO_ROLLUP[],MATCH($B19,MMWR_RATING_RO_ROLLUP[MMWR_RATING_RO_ROLLUP],0),MATCH(G$9,MMWR_RATING_RO_ROLLUP[#Headers],0)),"ERROR"))</f>
        <v>3764</v>
      </c>
      <c r="H19" s="155">
        <f>IF($B19=" ","",IFERROR(INDEX(MMWR_RATING_RO_ROLLUP[],MATCH($B19,MMWR_RATING_RO_ROLLUP[MMWR_RATING_RO_ROLLUP],0),MATCH(H$9,MMWR_RATING_RO_ROLLUP[#Headers],0)),"ERROR"))</f>
        <v>127.66534653470001</v>
      </c>
      <c r="I19" s="155">
        <f>IF($B19=" ","",IFERROR(INDEX(MMWR_RATING_RO_ROLLUP[],MATCH($B19,MMWR_RATING_RO_ROLLUP[MMWR_RATING_RO_ROLLUP],0),MATCH(I$9,MMWR_RATING_RO_ROLLUP[#Headers],0)),"ERROR"))</f>
        <v>142.11663124340001</v>
      </c>
      <c r="J19" s="157">
        <f>IF($B19=" ","",IFERROR(VLOOKUP($B19,MMWR_ACCURACY_RO[],MATCH(J$9,MMWR_ACCURACY_RO[#Headers],0),0),"ERROR"))</f>
        <v>0.94734487088812225</v>
      </c>
      <c r="K19" s="157">
        <f>IF($B19=" ","",IFERROR(VLOOKUP($B19,MMWR_ACCURACY_RO[],MATCH(K$9,MMWR_ACCURACY_RO[#Headers],0),0),"ERROR"))</f>
        <v>0.91250149826201588</v>
      </c>
      <c r="L19" s="157">
        <f>IF($B19=" ","",IFERROR(VLOOKUP($B19,MMWR_ACCURACY_RO[],MATCH(L$9,MMWR_ACCURACY_RO[#Headers],0),0),"ERROR"))</f>
        <v>0.88085529288821096</v>
      </c>
      <c r="M19" s="157">
        <f>IF($B19=" ","",IFERROR(VLOOKUP($B19,MMWR_ACCURACY_RO[],MATCH(M$9,MMWR_ACCURACY_RO[#Headers],0),0),"ERROR"))</f>
        <v>5.1265236134882243E-2</v>
      </c>
      <c r="N19" s="157">
        <f>IF($B19=" ","",IFERROR(VLOOKUP($B19,MMWR_ACCURACY_RO[],MATCH(N$9,MMWR_ACCURACY_RO[#Headers],0),0),"ERROR"))</f>
        <v>0.87298312137742362</v>
      </c>
      <c r="O19" s="157">
        <f>IF($B19=" ","",IFERROR(VLOOKUP($B19,MMWR_ACCURACY_RO[],MATCH(O$9,MMWR_ACCURACY_RO[#Headers],0),0),"ERROR"))</f>
        <v>4.8714812917729021E-2</v>
      </c>
      <c r="P19" s="28"/>
    </row>
    <row r="20" spans="1:16" x14ac:dyDescent="0.2">
      <c r="A20" s="25"/>
      <c r="B20" s="8" t="str">
        <f>VLOOKUP($B$16,DISTRICT_RO[],5,0)</f>
        <v>Hartford VSC</v>
      </c>
      <c r="C20" s="154">
        <f>IF($B20=" ","",IFERROR(INDEX(MMWR_RATING_RO_ROLLUP[],MATCH($B20,MMWR_RATING_RO_ROLLUP[MMWR_RATING_RO_ROLLUP],0),MATCH(C$9,MMWR_RATING_RO_ROLLUP[#Headers],0)),"ERROR"))</f>
        <v>2667</v>
      </c>
      <c r="D20" s="155">
        <f>IF($B20=" ","",IFERROR(INDEX(MMWR_RATING_RO_ROLLUP[],MATCH($B20,MMWR_RATING_RO_ROLLUP[MMWR_RATING_RO_ROLLUP],0),MATCH(D$9,MMWR_RATING_RO_ROLLUP[#Headers],0)),"ERROR"))</f>
        <v>101.3097112861</v>
      </c>
      <c r="E20" s="156">
        <f>IF($B20=" ","",IFERROR(INDEX(MMWR_RATING_RO_ROLLUP[],MATCH($B20,MMWR_RATING_RO_ROLLUP[MMWR_RATING_RO_ROLLUP],0),MATCH(E$9,MMWR_RATING_RO_ROLLUP[#Headers],0))/$C20,"ERROR"))</f>
        <v>0.27934008248968878</v>
      </c>
      <c r="F20" s="154">
        <f>IF($B20=" ","",IFERROR(INDEX(MMWR_RATING_RO_ROLLUP[],MATCH($B20,MMWR_RATING_RO_ROLLUP[MMWR_RATING_RO_ROLLUP],0),MATCH(F$9,MMWR_RATING_RO_ROLLUP[#Headers],0)),"ERROR"))</f>
        <v>457</v>
      </c>
      <c r="G20" s="154">
        <f>IF($B20=" ","",IFERROR(INDEX(MMWR_RATING_RO_ROLLUP[],MATCH($B20,MMWR_RATING_RO_ROLLUP[MMWR_RATING_RO_ROLLUP],0),MATCH(G$9,MMWR_RATING_RO_ROLLUP[#Headers],0)),"ERROR"))</f>
        <v>3465</v>
      </c>
      <c r="H20" s="155">
        <f>IF($B20=" ","",IFERROR(INDEX(MMWR_RATING_RO_ROLLUP[],MATCH($B20,MMWR_RATING_RO_ROLLUP[MMWR_RATING_RO_ROLLUP],0),MATCH(H$9,MMWR_RATING_RO_ROLLUP[#Headers],0)),"ERROR"))</f>
        <v>133.24726477019999</v>
      </c>
      <c r="I20" s="155">
        <f>IF($B20=" ","",IFERROR(INDEX(MMWR_RATING_RO_ROLLUP[],MATCH($B20,MMWR_RATING_RO_ROLLUP[MMWR_RATING_RO_ROLLUP],0),MATCH(I$9,MMWR_RATING_RO_ROLLUP[#Headers],0)),"ERROR"))</f>
        <v>138.7108225108</v>
      </c>
      <c r="J20" s="157">
        <f>IF($B20=" ","",IFERROR(VLOOKUP($B20,MMWR_ACCURACY_RO[],MATCH(J$9,MMWR_ACCURACY_RO[#Headers],0),0),"ERROR"))</f>
        <v>0.98993004258277562</v>
      </c>
      <c r="K20" s="157">
        <f>IF($B20=" ","",IFERROR(VLOOKUP($B20,MMWR_ACCURACY_RO[],MATCH(K$9,MMWR_ACCURACY_RO[#Headers],0),0),"ERROR"))</f>
        <v>0.98201187565490722</v>
      </c>
      <c r="L20" s="157">
        <f>IF($B20=" ","",IFERROR(VLOOKUP($B20,MMWR_ACCURACY_RO[],MATCH(L$9,MMWR_ACCURACY_RO[#Headers],0),0),"ERROR"))</f>
        <v>0.91856880779742667</v>
      </c>
      <c r="M20" s="157">
        <f>IF($B20=" ","",IFERROR(VLOOKUP($B20,MMWR_ACCURACY_RO[],MATCH(M$9,MMWR_ACCURACY_RO[#Headers],0),0),"ERROR"))</f>
        <v>4.4166390999585019E-2</v>
      </c>
      <c r="N20" s="157">
        <f>IF($B20=" ","",IFERROR(VLOOKUP($B20,MMWR_ACCURACY_RO[],MATCH(N$9,MMWR_ACCURACY_RO[#Headers],0),0),"ERROR"))</f>
        <v>0.97189620044649627</v>
      </c>
      <c r="O20" s="157">
        <f>IF($B20=" ","",IFERROR(VLOOKUP($B20,MMWR_ACCURACY_RO[],MATCH(O$9,MMWR_ACCURACY_RO[#Headers],0),0),"ERROR"))</f>
        <v>2.8646577881709233E-2</v>
      </c>
      <c r="P20" s="28"/>
    </row>
    <row r="21" spans="1:16" x14ac:dyDescent="0.2">
      <c r="A21" s="25"/>
      <c r="B21" s="8" t="str">
        <f>VLOOKUP($B$16,DISTRICT_RO[],6,0)</f>
        <v>Huntington VSC</v>
      </c>
      <c r="C21" s="154">
        <f>IF($B21=" ","",IFERROR(INDEX(MMWR_RATING_RO_ROLLUP[],MATCH($B21,MMWR_RATING_RO_ROLLUP[MMWR_RATING_RO_ROLLUP],0),MATCH(C$9,MMWR_RATING_RO_ROLLUP[#Headers],0)),"ERROR"))</f>
        <v>4904</v>
      </c>
      <c r="D21" s="155">
        <f>IF($B21=" ","",IFERROR(INDEX(MMWR_RATING_RO_ROLLUP[],MATCH($B21,MMWR_RATING_RO_ROLLUP[MMWR_RATING_RO_ROLLUP],0),MATCH(D$9,MMWR_RATING_RO_ROLLUP[#Headers],0)),"ERROR"))</f>
        <v>103.8433931485</v>
      </c>
      <c r="E21" s="156">
        <f>IF($B21=" ","",IFERROR(INDEX(MMWR_RATING_RO_ROLLUP[],MATCH($B21,MMWR_RATING_RO_ROLLUP[MMWR_RATING_RO_ROLLUP],0),MATCH(E$9,MMWR_RATING_RO_ROLLUP[#Headers],0))/$C21,"ERROR"))</f>
        <v>0.29547308319738991</v>
      </c>
      <c r="F21" s="154">
        <f>IF($B21=" ","",IFERROR(INDEX(MMWR_RATING_RO_ROLLUP[],MATCH($B21,MMWR_RATING_RO_ROLLUP[MMWR_RATING_RO_ROLLUP],0),MATCH(F$9,MMWR_RATING_RO_ROLLUP[#Headers],0)),"ERROR"))</f>
        <v>988</v>
      </c>
      <c r="G21" s="154">
        <f>IF($B21=" ","",IFERROR(INDEX(MMWR_RATING_RO_ROLLUP[],MATCH($B21,MMWR_RATING_RO_ROLLUP[MMWR_RATING_RO_ROLLUP],0),MATCH(G$9,MMWR_RATING_RO_ROLLUP[#Headers],0)),"ERROR"))</f>
        <v>6886</v>
      </c>
      <c r="H21" s="155">
        <f>IF($B21=" ","",IFERROR(INDEX(MMWR_RATING_RO_ROLLUP[],MATCH($B21,MMWR_RATING_RO_ROLLUP[MMWR_RATING_RO_ROLLUP],0),MATCH(H$9,MMWR_RATING_RO_ROLLUP[#Headers],0)),"ERROR"))</f>
        <v>145.22064777329999</v>
      </c>
      <c r="I21" s="155">
        <f>IF($B21=" ","",IFERROR(INDEX(MMWR_RATING_RO_ROLLUP[],MATCH($B21,MMWR_RATING_RO_ROLLUP[MMWR_RATING_RO_ROLLUP],0),MATCH(I$9,MMWR_RATING_RO_ROLLUP[#Headers],0)),"ERROR"))</f>
        <v>137.3925355794</v>
      </c>
      <c r="J21" s="157">
        <f>IF($B21=" ","",IFERROR(VLOOKUP($B21,MMWR_ACCURACY_RO[],MATCH(J$9,MMWR_ACCURACY_RO[#Headers],0),0),"ERROR"))</f>
        <v>0.95520986394348695</v>
      </c>
      <c r="K21" s="157">
        <f>IF($B21=" ","",IFERROR(VLOOKUP($B21,MMWR_ACCURACY_RO[],MATCH(K$9,MMWR_ACCURACY_RO[#Headers],0),0),"ERROR"))</f>
        <v>0.8990246406570841</v>
      </c>
      <c r="L21" s="157">
        <f>IF($B21=" ","",IFERROR(VLOOKUP($B21,MMWR_ACCURACY_RO[],MATCH(L$9,MMWR_ACCURACY_RO[#Headers],0),0),"ERROR"))</f>
        <v>0.89846693280810053</v>
      </c>
      <c r="M21" s="157">
        <f>IF($B21=" ","",IFERROR(VLOOKUP($B21,MMWR_ACCURACY_RO[],MATCH(M$9,MMWR_ACCURACY_RO[#Headers],0),0),"ERROR"))</f>
        <v>4.4677437236061268E-2</v>
      </c>
      <c r="N21" s="157">
        <f>IF($B21=" ","",IFERROR(VLOOKUP($B21,MMWR_ACCURACY_RO[],MATCH(N$9,MMWR_ACCURACY_RO[#Headers],0),0),"ERROR"))</f>
        <v>0.8798455168020386</v>
      </c>
      <c r="O21" s="157">
        <f>IF($B21=" ","",IFERROR(VLOOKUP($B21,MMWR_ACCURACY_RO[],MATCH(O$9,MMWR_ACCURACY_RO[#Headers],0),0),"ERROR"))</f>
        <v>5.406313262750892E-2</v>
      </c>
      <c r="P21" s="28"/>
    </row>
    <row r="22" spans="1:16" x14ac:dyDescent="0.2">
      <c r="A22" s="25"/>
      <c r="B22" s="8" t="str">
        <f>VLOOKUP($B$16,DISTRICT_RO[],7,0)</f>
        <v>Manchester VSC</v>
      </c>
      <c r="C22" s="154">
        <f>IF($B22=" ","",IFERROR(INDEX(MMWR_RATING_RO_ROLLUP[],MATCH($B22,MMWR_RATING_RO_ROLLUP[MMWR_RATING_RO_ROLLUP],0),MATCH(C$9,MMWR_RATING_RO_ROLLUP[#Headers],0)),"ERROR"))</f>
        <v>1194</v>
      </c>
      <c r="D22" s="155">
        <f>IF($B22=" ","",IFERROR(INDEX(MMWR_RATING_RO_ROLLUP[],MATCH($B22,MMWR_RATING_RO_ROLLUP[MMWR_RATING_RO_ROLLUP],0),MATCH(D$9,MMWR_RATING_RO_ROLLUP[#Headers],0)),"ERROR"))</f>
        <v>90.722780569500003</v>
      </c>
      <c r="E22" s="156">
        <f>IF($B22=" ","",IFERROR(INDEX(MMWR_RATING_RO_ROLLUP[],MATCH($B22,MMWR_RATING_RO_ROLLUP[MMWR_RATING_RO_ROLLUP],0),MATCH(E$9,MMWR_RATING_RO_ROLLUP[#Headers],0))/$C22,"ERROR"))</f>
        <v>0.18927973199329984</v>
      </c>
      <c r="F22" s="154">
        <f>IF($B22=" ","",IFERROR(INDEX(MMWR_RATING_RO_ROLLUP[],MATCH($B22,MMWR_RATING_RO_ROLLUP[MMWR_RATING_RO_ROLLUP],0),MATCH(F$9,MMWR_RATING_RO_ROLLUP[#Headers],0)),"ERROR"))</f>
        <v>211</v>
      </c>
      <c r="G22" s="154">
        <f>IF($B22=" ","",IFERROR(INDEX(MMWR_RATING_RO_ROLLUP[],MATCH($B22,MMWR_RATING_RO_ROLLUP[MMWR_RATING_RO_ROLLUP],0),MATCH(G$9,MMWR_RATING_RO_ROLLUP[#Headers],0)),"ERROR"))</f>
        <v>1513</v>
      </c>
      <c r="H22" s="155">
        <f>IF($B22=" ","",IFERROR(INDEX(MMWR_RATING_RO_ROLLUP[],MATCH($B22,MMWR_RATING_RO_ROLLUP[MMWR_RATING_RO_ROLLUP],0),MATCH(H$9,MMWR_RATING_RO_ROLLUP[#Headers],0)),"ERROR"))</f>
        <v>153.17535545019999</v>
      </c>
      <c r="I22" s="155">
        <f>IF($B22=" ","",IFERROR(INDEX(MMWR_RATING_RO_ROLLUP[],MATCH($B22,MMWR_RATING_RO_ROLLUP[MMWR_RATING_RO_ROLLUP],0),MATCH(I$9,MMWR_RATING_RO_ROLLUP[#Headers],0)),"ERROR"))</f>
        <v>142.9993390615</v>
      </c>
      <c r="J22" s="157">
        <f>IF($B22=" ","",IFERROR(VLOOKUP($B22,MMWR_ACCURACY_RO[],MATCH(J$9,MMWR_ACCURACY_RO[#Headers],0),0),"ERROR"))</f>
        <v>0.9225344833944219</v>
      </c>
      <c r="K22" s="157">
        <f>IF($B22=" ","",IFERROR(VLOOKUP($B22,MMWR_ACCURACY_RO[],MATCH(K$9,MMWR_ACCURACY_RO[#Headers],0),0),"ERROR"))</f>
        <v>0.87495107632093938</v>
      </c>
      <c r="L22" s="157">
        <f>IF($B22=" ","",IFERROR(VLOOKUP($B22,MMWR_ACCURACY_RO[],MATCH(L$9,MMWR_ACCURACY_RO[#Headers],0),0),"ERROR"))</f>
        <v>0.91155899939943086</v>
      </c>
      <c r="M22" s="157">
        <f>IF($B22=" ","",IFERROR(VLOOKUP($B22,MMWR_ACCURACY_RO[],MATCH(M$9,MMWR_ACCURACY_RO[#Headers],0),0),"ERROR"))</f>
        <v>4.248226071937445E-2</v>
      </c>
      <c r="N22" s="157">
        <f>IF($B22=" ","",IFERROR(VLOOKUP($B22,MMWR_ACCURACY_RO[],MATCH(N$9,MMWR_ACCURACY_RO[#Headers],0),0),"ERROR"))</f>
        <v>0.90746375865221363</v>
      </c>
      <c r="O22" s="157">
        <f>IF($B22=" ","",IFERROR(VLOOKUP($B22,MMWR_ACCURACY_RO[],MATCH(O$9,MMWR_ACCURACY_RO[#Headers],0),0),"ERROR"))</f>
        <v>4.8376078880169475E-2</v>
      </c>
      <c r="P22" s="28"/>
    </row>
    <row r="23" spans="1:16" x14ac:dyDescent="0.2">
      <c r="A23" s="25"/>
      <c r="B23" s="8" t="str">
        <f>VLOOKUP($B$16,DISTRICT_RO[],8,0)</f>
        <v>New York VSC</v>
      </c>
      <c r="C23" s="154">
        <f>IF($B23=" ","",IFERROR(INDEX(MMWR_RATING_RO_ROLLUP[],MATCH($B23,MMWR_RATING_RO_ROLLUP[MMWR_RATING_RO_ROLLUP],0),MATCH(C$9,MMWR_RATING_RO_ROLLUP[#Headers],0)),"ERROR"))</f>
        <v>3854</v>
      </c>
      <c r="D23" s="155">
        <f>IF($B23=" ","",IFERROR(INDEX(MMWR_RATING_RO_ROLLUP[],MATCH($B23,MMWR_RATING_RO_ROLLUP[MMWR_RATING_RO_ROLLUP],0),MATCH(D$9,MMWR_RATING_RO_ROLLUP[#Headers],0)),"ERROR"))</f>
        <v>95.744161909699997</v>
      </c>
      <c r="E23" s="156">
        <f>IF($B23=" ","",IFERROR(INDEX(MMWR_RATING_RO_ROLLUP[],MATCH($B23,MMWR_RATING_RO_ROLLUP[MMWR_RATING_RO_ROLLUP],0),MATCH(E$9,MMWR_RATING_RO_ROLLUP[#Headers],0))/$C23,"ERROR"))</f>
        <v>0.26959003632589518</v>
      </c>
      <c r="F23" s="154">
        <f>IF($B23=" ","",IFERROR(INDEX(MMWR_RATING_RO_ROLLUP[],MATCH($B23,MMWR_RATING_RO_ROLLUP[MMWR_RATING_RO_ROLLUP],0),MATCH(F$9,MMWR_RATING_RO_ROLLUP[#Headers],0)),"ERROR"))</f>
        <v>644</v>
      </c>
      <c r="G23" s="154">
        <f>IF($B23=" ","",IFERROR(INDEX(MMWR_RATING_RO_ROLLUP[],MATCH($B23,MMWR_RATING_RO_ROLLUP[MMWR_RATING_RO_ROLLUP],0),MATCH(G$9,MMWR_RATING_RO_ROLLUP[#Headers],0)),"ERROR"))</f>
        <v>4422</v>
      </c>
      <c r="H23" s="155">
        <f>IF($B23=" ","",IFERROR(INDEX(MMWR_RATING_RO_ROLLUP[],MATCH($B23,MMWR_RATING_RO_ROLLUP[MMWR_RATING_RO_ROLLUP],0),MATCH(H$9,MMWR_RATING_RO_ROLLUP[#Headers],0)),"ERROR"))</f>
        <v>125.47826086960001</v>
      </c>
      <c r="I23" s="155">
        <f>IF($B23=" ","",IFERROR(INDEX(MMWR_RATING_RO_ROLLUP[],MATCH($B23,MMWR_RATING_RO_ROLLUP[MMWR_RATING_RO_ROLLUP],0),MATCH(I$9,MMWR_RATING_RO_ROLLUP[#Headers],0)),"ERROR"))</f>
        <v>131.81501582990001</v>
      </c>
      <c r="J23" s="157">
        <f>IF($B23=" ","",IFERROR(VLOOKUP($B23,MMWR_ACCURACY_RO[],MATCH(J$9,MMWR_ACCURACY_RO[#Headers],0),0),"ERROR"))</f>
        <v>0.88952171488590737</v>
      </c>
      <c r="K23" s="157">
        <f>IF($B23=" ","",IFERROR(VLOOKUP($B23,MMWR_ACCURACY_RO[],MATCH(K$9,MMWR_ACCURACY_RO[#Headers],0),0),"ERROR"))</f>
        <v>0.83282529113340265</v>
      </c>
      <c r="L23" s="157">
        <f>IF($B23=" ","",IFERROR(VLOOKUP($B23,MMWR_ACCURACY_RO[],MATCH(L$9,MMWR_ACCURACY_RO[#Headers],0),0),"ERROR"))</f>
        <v>0.88424799257486897</v>
      </c>
      <c r="M23" s="157">
        <f>IF($B23=" ","",IFERROR(VLOOKUP($B23,MMWR_ACCURACY_RO[],MATCH(M$9,MMWR_ACCURACY_RO[#Headers],0),0),"ERROR"))</f>
        <v>5.0536325462534393E-2</v>
      </c>
      <c r="N23" s="157">
        <f>IF($B23=" ","",IFERROR(VLOOKUP($B23,MMWR_ACCURACY_RO[],MATCH(N$9,MMWR_ACCURACY_RO[#Headers],0),0),"ERROR"))</f>
        <v>0.92408633871721113</v>
      </c>
      <c r="O23" s="157">
        <f>IF($B23=" ","",IFERROR(VLOOKUP($B23,MMWR_ACCURACY_RO[],MATCH(O$9,MMWR_ACCURACY_RO[#Headers],0),0),"ERROR"))</f>
        <v>4.2544668366328295E-2</v>
      </c>
      <c r="P23" s="28"/>
    </row>
    <row r="24" spans="1:16" x14ac:dyDescent="0.2">
      <c r="A24" s="25"/>
      <c r="B24" s="8" t="str">
        <f>VLOOKUP($B$16,DISTRICT_RO[],9,0)</f>
        <v>Newark VSC</v>
      </c>
      <c r="C24" s="154">
        <f>IF($B24=" ","",IFERROR(INDEX(MMWR_RATING_RO_ROLLUP[],MATCH($B24,MMWR_RATING_RO_ROLLUP[MMWR_RATING_RO_ROLLUP],0),MATCH(C$9,MMWR_RATING_RO_ROLLUP[#Headers],0)),"ERROR"))</f>
        <v>2249</v>
      </c>
      <c r="D24" s="155">
        <f>IF($B24=" ","",IFERROR(INDEX(MMWR_RATING_RO_ROLLUP[],MATCH($B24,MMWR_RATING_RO_ROLLUP[MMWR_RATING_RO_ROLLUP],0),MATCH(D$9,MMWR_RATING_RO_ROLLUP[#Headers],0)),"ERROR"))</f>
        <v>77.1791907514</v>
      </c>
      <c r="E24" s="156">
        <f>IF($B24=" ","",IFERROR(INDEX(MMWR_RATING_RO_ROLLUP[],MATCH($B24,MMWR_RATING_RO_ROLLUP[MMWR_RATING_RO_ROLLUP],0),MATCH(E$9,MMWR_RATING_RO_ROLLUP[#Headers],0))/$C24,"ERROR"))</f>
        <v>0.15429079590929301</v>
      </c>
      <c r="F24" s="154">
        <f>IF($B24=" ","",IFERROR(INDEX(MMWR_RATING_RO_ROLLUP[],MATCH($B24,MMWR_RATING_RO_ROLLUP[MMWR_RATING_RO_ROLLUP],0),MATCH(F$9,MMWR_RATING_RO_ROLLUP[#Headers],0)),"ERROR"))</f>
        <v>325</v>
      </c>
      <c r="G24" s="154">
        <f>IF($B24=" ","",IFERROR(INDEX(MMWR_RATING_RO_ROLLUP[],MATCH($B24,MMWR_RATING_RO_ROLLUP[MMWR_RATING_RO_ROLLUP],0),MATCH(G$9,MMWR_RATING_RO_ROLLUP[#Headers],0)),"ERROR"))</f>
        <v>2421</v>
      </c>
      <c r="H24" s="155">
        <f>IF($B24=" ","",IFERROR(INDEX(MMWR_RATING_RO_ROLLUP[],MATCH($B24,MMWR_RATING_RO_ROLLUP[MMWR_RATING_RO_ROLLUP],0),MATCH(H$9,MMWR_RATING_RO_ROLLUP[#Headers],0)),"ERROR"))</f>
        <v>132.16307692309999</v>
      </c>
      <c r="I24" s="155">
        <f>IF($B24=" ","",IFERROR(INDEX(MMWR_RATING_RO_ROLLUP[],MATCH($B24,MMWR_RATING_RO_ROLLUP[MMWR_RATING_RO_ROLLUP],0),MATCH(I$9,MMWR_RATING_RO_ROLLUP[#Headers],0)),"ERROR"))</f>
        <v>136.7678645188</v>
      </c>
      <c r="J24" s="157">
        <f>IF($B24=" ","",IFERROR(VLOOKUP($B24,MMWR_ACCURACY_RO[],MATCH(J$9,MMWR_ACCURACY_RO[#Headers],0),0),"ERROR"))</f>
        <v>0.95354711421527771</v>
      </c>
      <c r="K24" s="157">
        <f>IF($B24=" ","",IFERROR(VLOOKUP($B24,MMWR_ACCURACY_RO[],MATCH(K$9,MMWR_ACCURACY_RO[#Headers],0),0),"ERROR"))</f>
        <v>0.91015948021264037</v>
      </c>
      <c r="L24" s="157">
        <f>IF($B24=" ","",IFERROR(VLOOKUP($B24,MMWR_ACCURACY_RO[],MATCH(L$9,MMWR_ACCURACY_RO[#Headers],0),0),"ERROR"))</f>
        <v>0.88299603417964745</v>
      </c>
      <c r="M24" s="157">
        <f>IF($B24=" ","",IFERROR(VLOOKUP($B24,MMWR_ACCURACY_RO[],MATCH(M$9,MMWR_ACCURACY_RO[#Headers],0),0),"ERROR"))</f>
        <v>4.4161345626278742E-2</v>
      </c>
      <c r="N24" s="157">
        <f>IF($B24=" ","",IFERROR(VLOOKUP($B24,MMWR_ACCURACY_RO[],MATCH(N$9,MMWR_ACCURACY_RO[#Headers],0),0),"ERROR"))</f>
        <v>0.86248768091456884</v>
      </c>
      <c r="O24" s="157">
        <f>IF($B24=" ","",IFERROR(VLOOKUP($B24,MMWR_ACCURACY_RO[],MATCH(O$9,MMWR_ACCURACY_RO[#Headers],0),0),"ERROR"))</f>
        <v>4.8970754203361368E-2</v>
      </c>
      <c r="P24" s="28"/>
    </row>
    <row r="25" spans="1:16" x14ac:dyDescent="0.2">
      <c r="A25" s="25"/>
      <c r="B25" s="8" t="str">
        <f>VLOOKUP($B$16,DISTRICT_RO[],10,0)</f>
        <v>Philadelphia VSC</v>
      </c>
      <c r="C25" s="154">
        <f>IF($B25=" ","",IFERROR(INDEX(MMWR_RATING_RO_ROLLUP[],MATCH($B25,MMWR_RATING_RO_ROLLUP[MMWR_RATING_RO_ROLLUP],0),MATCH(C$9,MMWR_RATING_RO_ROLLUP[#Headers],0)),"ERROR"))</f>
        <v>7124</v>
      </c>
      <c r="D25" s="155">
        <f>IF($B25=" ","",IFERROR(INDEX(MMWR_RATING_RO_ROLLUP[],MATCH($B25,MMWR_RATING_RO_ROLLUP[MMWR_RATING_RO_ROLLUP],0),MATCH(D$9,MMWR_RATING_RO_ROLLUP[#Headers],0)),"ERROR"))</f>
        <v>117.1819202695</v>
      </c>
      <c r="E25" s="156">
        <f>IF($B25=" ","",IFERROR(INDEX(MMWR_RATING_RO_ROLLUP[],MATCH($B25,MMWR_RATING_RO_ROLLUP[MMWR_RATING_RO_ROLLUP],0),MATCH(E$9,MMWR_RATING_RO_ROLLUP[#Headers],0))/$C25,"ERROR"))</f>
        <v>0.33492419988770356</v>
      </c>
      <c r="F25" s="154">
        <f>IF($B25=" ","",IFERROR(INDEX(MMWR_RATING_RO_ROLLUP[],MATCH($B25,MMWR_RATING_RO_ROLLUP[MMWR_RATING_RO_ROLLUP],0),MATCH(F$9,MMWR_RATING_RO_ROLLUP[#Headers],0)),"ERROR"))</f>
        <v>1380</v>
      </c>
      <c r="G25" s="154">
        <f>IF($B25=" ","",IFERROR(INDEX(MMWR_RATING_RO_ROLLUP[],MATCH($B25,MMWR_RATING_RO_ROLLUP[MMWR_RATING_RO_ROLLUP],0),MATCH(G$9,MMWR_RATING_RO_ROLLUP[#Headers],0)),"ERROR"))</f>
        <v>10049</v>
      </c>
      <c r="H25" s="155">
        <f>IF($B25=" ","",IFERROR(INDEX(MMWR_RATING_RO_ROLLUP[],MATCH($B25,MMWR_RATING_RO_ROLLUP[MMWR_RATING_RO_ROLLUP],0),MATCH(H$9,MMWR_RATING_RO_ROLLUP[#Headers],0)),"ERROR"))</f>
        <v>137.77391304349999</v>
      </c>
      <c r="I25" s="155">
        <f>IF($B25=" ","",IFERROR(INDEX(MMWR_RATING_RO_ROLLUP[],MATCH($B25,MMWR_RATING_RO_ROLLUP[MMWR_RATING_RO_ROLLUP],0),MATCH(I$9,MMWR_RATING_RO_ROLLUP[#Headers],0)),"ERROR"))</f>
        <v>149.75470196040001</v>
      </c>
      <c r="J25" s="157">
        <f>IF($B25=" ","",IFERROR(VLOOKUP($B25,MMWR_ACCURACY_RO[],MATCH(J$9,MMWR_ACCURACY_RO[#Headers],0),0),"ERROR"))</f>
        <v>0.96983043474868014</v>
      </c>
      <c r="K25" s="157">
        <f>IF($B25=" ","",IFERROR(VLOOKUP($B25,MMWR_ACCURACY_RO[],MATCH(K$9,MMWR_ACCURACY_RO[#Headers],0),0),"ERROR"))</f>
        <v>0.95262104841936779</v>
      </c>
      <c r="L25" s="157">
        <f>IF($B25=" ","",IFERROR(VLOOKUP($B25,MMWR_ACCURACY_RO[],MATCH(L$9,MMWR_ACCURACY_RO[#Headers],0),0),"ERROR"))</f>
        <v>0.87100740304885416</v>
      </c>
      <c r="M25" s="157">
        <f>IF($B25=" ","",IFERROR(VLOOKUP($B25,MMWR_ACCURACY_RO[],MATCH(M$9,MMWR_ACCURACY_RO[#Headers],0),0),"ERROR"))</f>
        <v>5.0069275114879373E-2</v>
      </c>
      <c r="N25" s="157">
        <f>IF($B25=" ","",IFERROR(VLOOKUP($B25,MMWR_ACCURACY_RO[],MATCH(N$9,MMWR_ACCURACY_RO[#Headers],0),0),"ERROR"))</f>
        <v>0.88783491475028098</v>
      </c>
      <c r="O25" s="157">
        <f>IF($B25=" ","",IFERROR(VLOOKUP($B25,MMWR_ACCURACY_RO[],MATCH(O$9,MMWR_ACCURACY_RO[#Headers],0),0),"ERROR"))</f>
        <v>5.2746539175090777E-2</v>
      </c>
      <c r="P25" s="28"/>
    </row>
    <row r="26" spans="1:16" x14ac:dyDescent="0.2">
      <c r="A26" s="25"/>
      <c r="B26" s="8" t="str">
        <f>VLOOKUP($B$16,DISTRICT_RO[],11,0)</f>
        <v>Pittsburgh VSC</v>
      </c>
      <c r="C26" s="154">
        <f>IF($B26=" ","",IFERROR(INDEX(MMWR_RATING_RO_ROLLUP[],MATCH($B26,MMWR_RATING_RO_ROLLUP[MMWR_RATING_RO_ROLLUP],0),MATCH(C$9,MMWR_RATING_RO_ROLLUP[#Headers],0)),"ERROR"))</f>
        <v>3988</v>
      </c>
      <c r="D26" s="155">
        <f>IF($B26=" ","",IFERROR(INDEX(MMWR_RATING_RO_ROLLUP[],MATCH($B26,MMWR_RATING_RO_ROLLUP[MMWR_RATING_RO_ROLLUP],0),MATCH(D$9,MMWR_RATING_RO_ROLLUP[#Headers],0)),"ERROR"))</f>
        <v>124.7259277834</v>
      </c>
      <c r="E26" s="156">
        <f>IF($B26=" ","",IFERROR(INDEX(MMWR_RATING_RO_ROLLUP[],MATCH($B26,MMWR_RATING_RO_ROLLUP[MMWR_RATING_RO_ROLLUP],0),MATCH(E$9,MMWR_RATING_RO_ROLLUP[#Headers],0))/$C26,"ERROR"))</f>
        <v>0.37512537612838515</v>
      </c>
      <c r="F26" s="154">
        <f>IF($B26=" ","",IFERROR(INDEX(MMWR_RATING_RO_ROLLUP[],MATCH($B26,MMWR_RATING_RO_ROLLUP[MMWR_RATING_RO_ROLLUP],0),MATCH(F$9,MMWR_RATING_RO_ROLLUP[#Headers],0)),"ERROR"))</f>
        <v>558</v>
      </c>
      <c r="G26" s="154">
        <f>IF($B26=" ","",IFERROR(INDEX(MMWR_RATING_RO_ROLLUP[],MATCH($B26,MMWR_RATING_RO_ROLLUP[MMWR_RATING_RO_ROLLUP],0),MATCH(G$9,MMWR_RATING_RO_ROLLUP[#Headers],0)),"ERROR"))</f>
        <v>4125</v>
      </c>
      <c r="H26" s="155">
        <f>IF($B26=" ","",IFERROR(INDEX(MMWR_RATING_RO_ROLLUP[],MATCH($B26,MMWR_RATING_RO_ROLLUP[MMWR_RATING_RO_ROLLUP],0),MATCH(H$9,MMWR_RATING_RO_ROLLUP[#Headers],0)),"ERROR"))</f>
        <v>171.8189964158</v>
      </c>
      <c r="I26" s="155">
        <f>IF($B26=" ","",IFERROR(INDEX(MMWR_RATING_RO_ROLLUP[],MATCH($B26,MMWR_RATING_RO_ROLLUP[MMWR_RATING_RO_ROLLUP],0),MATCH(I$9,MMWR_RATING_RO_ROLLUP[#Headers],0)),"ERROR"))</f>
        <v>177.6935757576</v>
      </c>
      <c r="J26" s="157">
        <f>IF($B26=" ","",IFERROR(VLOOKUP($B26,MMWR_ACCURACY_RO[],MATCH(J$9,MMWR_ACCURACY_RO[#Headers],0),0),"ERROR"))</f>
        <v>0.93799862424031832</v>
      </c>
      <c r="K26" s="157">
        <f>IF($B26=" ","",IFERROR(VLOOKUP($B26,MMWR_ACCURACY_RO[],MATCH(K$9,MMWR_ACCURACY_RO[#Headers],0),0),"ERROR"))</f>
        <v>0.89850958126330749</v>
      </c>
      <c r="L26" s="157">
        <f>IF($B26=" ","",IFERROR(VLOOKUP($B26,MMWR_ACCURACY_RO[],MATCH(L$9,MMWR_ACCURACY_RO[#Headers],0),0),"ERROR"))</f>
        <v>0.90169103094867309</v>
      </c>
      <c r="M26" s="157">
        <f>IF($B26=" ","",IFERROR(VLOOKUP($B26,MMWR_ACCURACY_RO[],MATCH(M$9,MMWR_ACCURACY_RO[#Headers],0),0),"ERROR"))</f>
        <v>4.7082646149322185E-2</v>
      </c>
      <c r="N26" s="157">
        <f>IF($B26=" ","",IFERROR(VLOOKUP($B26,MMWR_ACCURACY_RO[],MATCH(N$9,MMWR_ACCURACY_RO[#Headers],0),0),"ERROR"))</f>
        <v>0.86885072585735335</v>
      </c>
      <c r="O26" s="157">
        <f>IF($B26=" ","",IFERROR(VLOOKUP($B26,MMWR_ACCURACY_RO[],MATCH(O$9,MMWR_ACCURACY_RO[#Headers],0),0),"ERROR"))</f>
        <v>6.4142498818594407E-2</v>
      </c>
      <c r="P26" s="28"/>
    </row>
    <row r="27" spans="1:16" x14ac:dyDescent="0.2">
      <c r="A27" s="25"/>
      <c r="B27" s="8" t="str">
        <f>VLOOKUP($B$16,DISTRICT_RO[],12,0)</f>
        <v>Providence VSC</v>
      </c>
      <c r="C27" s="154">
        <f>IF($B27=" ","",IFERROR(INDEX(MMWR_RATING_RO_ROLLUP[],MATCH($B27,MMWR_RATING_RO_ROLLUP[MMWR_RATING_RO_ROLLUP],0),MATCH(C$9,MMWR_RATING_RO_ROLLUP[#Headers],0)),"ERROR"))</f>
        <v>3587</v>
      </c>
      <c r="D27" s="155">
        <f>IF($B27=" ","",IFERROR(INDEX(MMWR_RATING_RO_ROLLUP[],MATCH($B27,MMWR_RATING_RO_ROLLUP[MMWR_RATING_RO_ROLLUP],0),MATCH(D$9,MMWR_RATING_RO_ROLLUP[#Headers],0)),"ERROR"))</f>
        <v>95.388068023399995</v>
      </c>
      <c r="E27" s="156">
        <f>IF($B27=" ","",IFERROR(INDEX(MMWR_RATING_RO_ROLLUP[],MATCH($B27,MMWR_RATING_RO_ROLLUP[MMWR_RATING_RO_ROLLUP],0),MATCH(E$9,MMWR_RATING_RO_ROLLUP[#Headers],0))/$C27,"ERROR"))</f>
        <v>0.24923334262614999</v>
      </c>
      <c r="F27" s="154">
        <f>IF($B27=" ","",IFERROR(INDEX(MMWR_RATING_RO_ROLLUP[],MATCH($B27,MMWR_RATING_RO_ROLLUP[MMWR_RATING_RO_ROLLUP],0),MATCH(F$9,MMWR_RATING_RO_ROLLUP[#Headers],0)),"ERROR"))</f>
        <v>1564</v>
      </c>
      <c r="G27" s="154">
        <f>IF($B27=" ","",IFERROR(INDEX(MMWR_RATING_RO_ROLLUP[],MATCH($B27,MMWR_RATING_RO_ROLLUP[MMWR_RATING_RO_ROLLUP],0),MATCH(G$9,MMWR_RATING_RO_ROLLUP[#Headers],0)),"ERROR"))</f>
        <v>9739</v>
      </c>
      <c r="H27" s="155">
        <f>IF($B27=" ","",IFERROR(INDEX(MMWR_RATING_RO_ROLLUP[],MATCH($B27,MMWR_RATING_RO_ROLLUP[MMWR_RATING_RO_ROLLUP],0),MATCH(H$9,MMWR_RATING_RO_ROLLUP[#Headers],0)),"ERROR"))</f>
        <v>79.326086956500006</v>
      </c>
      <c r="I27" s="155">
        <f>IF($B27=" ","",IFERROR(INDEX(MMWR_RATING_RO_ROLLUP[],MATCH($B27,MMWR_RATING_RO_ROLLUP[MMWR_RATING_RO_ROLLUP],0),MATCH(I$9,MMWR_RATING_RO_ROLLUP[#Headers],0)),"ERROR"))</f>
        <v>81.761885203800006</v>
      </c>
      <c r="J27" s="157">
        <f>IF($B27=" ","",IFERROR(VLOOKUP($B27,MMWR_ACCURACY_RO[],MATCH(J$9,MMWR_ACCURACY_RO[#Headers],0),0),"ERROR"))</f>
        <v>0.95403590393920756</v>
      </c>
      <c r="K27" s="157">
        <f>IF($B27=" ","",IFERROR(VLOOKUP($B27,MMWR_ACCURACY_RO[],MATCH(K$9,MMWR_ACCURACY_RO[#Headers],0),0),"ERROR"))</f>
        <v>0.91120550016198121</v>
      </c>
      <c r="L27" s="157">
        <f>IF($B27=" ","",IFERROR(VLOOKUP($B27,MMWR_ACCURACY_RO[],MATCH(L$9,MMWR_ACCURACY_RO[#Headers],0),0),"ERROR"))</f>
        <v>0.85700166900714037</v>
      </c>
      <c r="M27" s="157">
        <f>IF($B27=" ","",IFERROR(VLOOKUP($B27,MMWR_ACCURACY_RO[],MATCH(M$9,MMWR_ACCURACY_RO[#Headers],0),0),"ERROR"))</f>
        <v>6.239579409000285E-2</v>
      </c>
      <c r="N27" s="157">
        <f>IF($B27=" ","",IFERROR(VLOOKUP($B27,MMWR_ACCURACY_RO[],MATCH(N$9,MMWR_ACCURACY_RO[#Headers],0),0),"ERROR"))</f>
        <v>0.94730565810244738</v>
      </c>
      <c r="O27" s="157">
        <f>IF($B27=" ","",IFERROR(VLOOKUP($B27,MMWR_ACCURACY_RO[],MATCH(O$9,MMWR_ACCURACY_RO[#Headers],0),0),"ERROR"))</f>
        <v>3.9028748484039609E-2</v>
      </c>
      <c r="P27" s="28"/>
    </row>
    <row r="28" spans="1:16" x14ac:dyDescent="0.2">
      <c r="A28" s="25"/>
      <c r="B28" s="8" t="str">
        <f>VLOOKUP($B$16,DISTRICT_RO[],13,0)</f>
        <v>Roanoke VSC</v>
      </c>
      <c r="C28" s="154">
        <f>IF($B28=" ","",IFERROR(INDEX(MMWR_RATING_RO_ROLLUP[],MATCH($B28,MMWR_RATING_RO_ROLLUP[MMWR_RATING_RO_ROLLUP],0),MATCH(C$9,MMWR_RATING_RO_ROLLUP[#Headers],0)),"ERROR"))</f>
        <v>10007</v>
      </c>
      <c r="D28" s="155">
        <f>IF($B28=" ","",IFERROR(INDEX(MMWR_RATING_RO_ROLLUP[],MATCH($B28,MMWR_RATING_RO_ROLLUP[MMWR_RATING_RO_ROLLUP],0),MATCH(D$9,MMWR_RATING_RO_ROLLUP[#Headers],0)),"ERROR"))</f>
        <v>91.644748675900004</v>
      </c>
      <c r="E28" s="156">
        <f>IF($B28=" ","",IFERROR(INDEX(MMWR_RATING_RO_ROLLUP[],MATCH($B28,MMWR_RATING_RO_ROLLUP[MMWR_RATING_RO_ROLLUP],0),MATCH(E$9,MMWR_RATING_RO_ROLLUP[#Headers],0))/$C28,"ERROR"))</f>
        <v>0.26041770760467675</v>
      </c>
      <c r="F28" s="154">
        <f>IF($B28=" ","",IFERROR(INDEX(MMWR_RATING_RO_ROLLUP[],MATCH($B28,MMWR_RATING_RO_ROLLUP[MMWR_RATING_RO_ROLLUP],0),MATCH(F$9,MMWR_RATING_RO_ROLLUP[#Headers],0)),"ERROR"))</f>
        <v>1993</v>
      </c>
      <c r="G28" s="154">
        <f>IF($B28=" ","",IFERROR(INDEX(MMWR_RATING_RO_ROLLUP[],MATCH($B28,MMWR_RATING_RO_ROLLUP[MMWR_RATING_RO_ROLLUP],0),MATCH(G$9,MMWR_RATING_RO_ROLLUP[#Headers],0)),"ERROR"))</f>
        <v>12702</v>
      </c>
      <c r="H28" s="155">
        <f>IF($B28=" ","",IFERROR(INDEX(MMWR_RATING_RO_ROLLUP[],MATCH($B28,MMWR_RATING_RO_ROLLUP[MMWR_RATING_RO_ROLLUP],0),MATCH(H$9,MMWR_RATING_RO_ROLLUP[#Headers],0)),"ERROR"))</f>
        <v>130.5293527346</v>
      </c>
      <c r="I28" s="155">
        <f>IF($B28=" ","",IFERROR(INDEX(MMWR_RATING_RO_ROLLUP[],MATCH($B28,MMWR_RATING_RO_ROLLUP[MMWR_RATING_RO_ROLLUP],0),MATCH(I$9,MMWR_RATING_RO_ROLLUP[#Headers],0)),"ERROR"))</f>
        <v>135.78609667769999</v>
      </c>
      <c r="J28" s="157">
        <f>IF($B28=" ","",IFERROR(VLOOKUP($B28,MMWR_ACCURACY_RO[],MATCH(J$9,MMWR_ACCURACY_RO[#Headers],0),0),"ERROR"))</f>
        <v>0.96462301783285598</v>
      </c>
      <c r="K28" s="157">
        <f>IF($B28=" ","",IFERROR(VLOOKUP($B28,MMWR_ACCURACY_RO[],MATCH(K$9,MMWR_ACCURACY_RO[#Headers],0),0),"ERROR"))</f>
        <v>0.84775253745770907</v>
      </c>
      <c r="L28" s="157">
        <f>IF($B28=" ","",IFERROR(VLOOKUP($B28,MMWR_ACCURACY_RO[],MATCH(L$9,MMWR_ACCURACY_RO[#Headers],0),0),"ERROR"))</f>
        <v>0.90270774976657331</v>
      </c>
      <c r="M28" s="157">
        <f>IF($B28=" ","",IFERROR(VLOOKUP($B28,MMWR_ACCURACY_RO[],MATCH(M$9,MMWR_ACCURACY_RO[#Headers],0),0),"ERROR"))</f>
        <v>4.9104041771363856E-2</v>
      </c>
      <c r="N28" s="157">
        <f>IF($B28=" ","",IFERROR(VLOOKUP($B28,MMWR_ACCURACY_RO[],MATCH(N$9,MMWR_ACCURACY_RO[#Headers],0),0),"ERROR"))</f>
        <v>0.90813818095777743</v>
      </c>
      <c r="O28" s="157">
        <f>IF($B28=" ","",IFERROR(VLOOKUP($B28,MMWR_ACCURACY_RO[],MATCH(O$9,MMWR_ACCURACY_RO[#Headers],0),0),"ERROR"))</f>
        <v>4.5930490841287079E-2</v>
      </c>
      <c r="P28" s="28"/>
    </row>
    <row r="29" spans="1:16" x14ac:dyDescent="0.2">
      <c r="A29" s="25"/>
      <c r="B29" s="8" t="str">
        <f>VLOOKUP($B$16,DISTRICT_RO[],14,0)</f>
        <v>Togus VSC</v>
      </c>
      <c r="C29" s="154">
        <f>IF($B29=" ","",IFERROR(INDEX(MMWR_RATING_RO_ROLLUP[],MATCH($B29,MMWR_RATING_RO_ROLLUP[MMWR_RATING_RO_ROLLUP],0),MATCH(C$9,MMWR_RATING_RO_ROLLUP[#Headers],0)),"ERROR"))</f>
        <v>4645</v>
      </c>
      <c r="D29" s="155">
        <f>IF($B29=" ","",IFERROR(INDEX(MMWR_RATING_RO_ROLLUP[],MATCH($B29,MMWR_RATING_RO_ROLLUP[MMWR_RATING_RO_ROLLUP],0),MATCH(D$9,MMWR_RATING_RO_ROLLUP[#Headers],0)),"ERROR"))</f>
        <v>109.1407965554</v>
      </c>
      <c r="E29" s="156">
        <f>IF($B29=" ","",IFERROR(INDEX(MMWR_RATING_RO_ROLLUP[],MATCH($B29,MMWR_RATING_RO_ROLLUP[MMWR_RATING_RO_ROLLUP],0),MATCH(E$9,MMWR_RATING_RO_ROLLUP[#Headers],0))/$C29,"ERROR"))</f>
        <v>0.30139935414424113</v>
      </c>
      <c r="F29" s="154">
        <f>IF($B29=" ","",IFERROR(INDEX(MMWR_RATING_RO_ROLLUP[],MATCH($B29,MMWR_RATING_RO_ROLLUP[MMWR_RATING_RO_ROLLUP],0),MATCH(F$9,MMWR_RATING_RO_ROLLUP[#Headers],0)),"ERROR"))</f>
        <v>1014</v>
      </c>
      <c r="G29" s="154">
        <f>IF($B29=" ","",IFERROR(INDEX(MMWR_RATING_RO_ROLLUP[],MATCH($B29,MMWR_RATING_RO_ROLLUP[MMWR_RATING_RO_ROLLUP],0),MATCH(G$9,MMWR_RATING_RO_ROLLUP[#Headers],0)),"ERROR"))</f>
        <v>6829</v>
      </c>
      <c r="H29" s="155">
        <f>IF($B29=" ","",IFERROR(INDEX(MMWR_RATING_RO_ROLLUP[],MATCH($B29,MMWR_RATING_RO_ROLLUP[MMWR_RATING_RO_ROLLUP],0),MATCH(H$9,MMWR_RATING_RO_ROLLUP[#Headers],0)),"ERROR"))</f>
        <v>144.19230769230001</v>
      </c>
      <c r="I29" s="155">
        <f>IF($B29=" ","",IFERROR(INDEX(MMWR_RATING_RO_ROLLUP[],MATCH($B29,MMWR_RATING_RO_ROLLUP[MMWR_RATING_RO_ROLLUP],0),MATCH(I$9,MMWR_RATING_RO_ROLLUP[#Headers],0)),"ERROR"))</f>
        <v>136.66246888270001</v>
      </c>
      <c r="J29" s="157">
        <f>IF($B29=" ","",IFERROR(VLOOKUP($B29,MMWR_ACCURACY_RO[],MATCH(J$9,MMWR_ACCURACY_RO[#Headers],0),0),"ERROR"))</f>
        <v>0.98553645310298277</v>
      </c>
      <c r="K29" s="157">
        <f>IF($B29=" ","",IFERROR(VLOOKUP($B29,MMWR_ACCURACY_RO[],MATCH(K$9,MMWR_ACCURACY_RO[#Headers],0),0),"ERROR"))</f>
        <v>0.9533347630280935</v>
      </c>
      <c r="L29" s="157">
        <f>IF($B29=" ","",IFERROR(VLOOKUP($B29,MMWR_ACCURACY_RO[],MATCH(L$9,MMWR_ACCURACY_RO[#Headers],0),0),"ERROR"))</f>
        <v>0.87306950737491573</v>
      </c>
      <c r="M29" s="157">
        <f>IF($B29=" ","",IFERROR(VLOOKUP($B29,MMWR_ACCURACY_RO[],MATCH(M$9,MMWR_ACCURACY_RO[#Headers],0),0),"ERROR"))</f>
        <v>5.9091365831284007E-2</v>
      </c>
      <c r="N29" s="157">
        <f>IF($B29=" ","",IFERROR(VLOOKUP($B29,MMWR_ACCURACY_RO[],MATCH(N$9,MMWR_ACCURACY_RO[#Headers],0),0),"ERROR"))</f>
        <v>0.95094492314857926</v>
      </c>
      <c r="O29" s="157">
        <f>IF($B29=" ","",IFERROR(VLOOKUP($B29,MMWR_ACCURACY_RO[],MATCH(O$9,MMWR_ACCURACY_RO[#Headers],0),0),"ERROR"))</f>
        <v>3.9694218061758518E-2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755</v>
      </c>
      <c r="D30" s="155">
        <f>IF($B30=" ","",IFERROR(INDEX(MMWR_RATING_RO_ROLLUP[],MATCH($B30,MMWR_RATING_RO_ROLLUP[MMWR_RATING_RO_ROLLUP],0),MATCH(D$9,MMWR_RATING_RO_ROLLUP[#Headers],0)),"ERROR"))</f>
        <v>96.282119205300006</v>
      </c>
      <c r="E30" s="156">
        <f>IF($B30=" ","",IFERROR(INDEX(MMWR_RATING_RO_ROLLUP[],MATCH($B30,MMWR_RATING_RO_ROLLUP[MMWR_RATING_RO_ROLLUP],0),MATCH(E$9,MMWR_RATING_RO_ROLLUP[#Headers],0))/$C30,"ERROR"))</f>
        <v>0.24768211920529801</v>
      </c>
      <c r="F30" s="154">
        <f>IF($B30=" ","",IFERROR(INDEX(MMWR_RATING_RO_ROLLUP[],MATCH($B30,MMWR_RATING_RO_ROLLUP[MMWR_RATING_RO_ROLLUP],0),MATCH(F$9,MMWR_RATING_RO_ROLLUP[#Headers],0)),"ERROR"))</f>
        <v>116</v>
      </c>
      <c r="G30" s="154">
        <f>IF($B30=" ","",IFERROR(INDEX(MMWR_RATING_RO_ROLLUP[],MATCH($B30,MMWR_RATING_RO_ROLLUP[MMWR_RATING_RO_ROLLUP],0),MATCH(G$9,MMWR_RATING_RO_ROLLUP[#Headers],0)),"ERROR"))</f>
        <v>755</v>
      </c>
      <c r="H30" s="155">
        <f>IF($B30=" ","",IFERROR(INDEX(MMWR_RATING_RO_ROLLUP[],MATCH($B30,MMWR_RATING_RO_ROLLUP[MMWR_RATING_RO_ROLLUP],0),MATCH(H$9,MMWR_RATING_RO_ROLLUP[#Headers],0)),"ERROR"))</f>
        <v>142.7413793103</v>
      </c>
      <c r="I30" s="155">
        <f>IF($B30=" ","",IFERROR(INDEX(MMWR_RATING_RO_ROLLUP[],MATCH($B30,MMWR_RATING_RO_ROLLUP[MMWR_RATING_RO_ROLLUP],0),MATCH(I$9,MMWR_RATING_RO_ROLLUP[#Headers],0)),"ERROR"))</f>
        <v>164.43973509930001</v>
      </c>
      <c r="J30" s="157">
        <f>IF($B30=" ","",IFERROR(VLOOKUP($B30,MMWR_ACCURACY_RO[],MATCH(J$9,MMWR_ACCURACY_RO[#Headers],0),0),"ERROR"))</f>
        <v>0.90064306247072845</v>
      </c>
      <c r="K30" s="157">
        <f>IF($B30=" ","",IFERROR(VLOOKUP($B30,MMWR_ACCURACY_RO[],MATCH(K$9,MMWR_ACCURACY_RO[#Headers],0),0),"ERROR"))</f>
        <v>0.77753343310964129</v>
      </c>
      <c r="L30" s="157">
        <f>IF($B30=" ","",IFERROR(VLOOKUP($B30,MMWR_ACCURACY_RO[],MATCH(L$9,MMWR_ACCURACY_RO[#Headers],0),0),"ERROR"))</f>
        <v>0.82786762886633225</v>
      </c>
      <c r="M30" s="157">
        <f>IF($B30=" ","",IFERROR(VLOOKUP($B30,MMWR_ACCURACY_RO[],MATCH(M$9,MMWR_ACCURACY_RO[#Headers],0),0),"ERROR"))</f>
        <v>5.3760968353088433E-2</v>
      </c>
      <c r="N30" s="157">
        <f>IF($B30=" ","",IFERROR(VLOOKUP($B30,MMWR_ACCURACY_RO[],MATCH(N$9,MMWR_ACCURACY_RO[#Headers],0),0),"ERROR"))</f>
        <v>0.89402069989789279</v>
      </c>
      <c r="O30" s="157">
        <f>IF($B30=" ","",IFERROR(VLOOKUP($B30,MMWR_ACCURACY_RO[],MATCH(O$9,MMWR_ACCURACY_RO[#Headers],0),0),"ERROR"))</f>
        <v>3.9991870818219727E-2</v>
      </c>
      <c r="P30" s="28"/>
    </row>
    <row r="31" spans="1:16" x14ac:dyDescent="0.2">
      <c r="A31" s="25"/>
      <c r="B31" s="8" t="str">
        <f>VLOOKUP($B$16,DISTRICT_RO[],16,0)</f>
        <v>Wilmington VSC</v>
      </c>
      <c r="C31" s="154">
        <f>IF($B31=" ","",IFERROR(INDEX(MMWR_RATING_RO_ROLLUP[],MATCH($B31,MMWR_RATING_RO_ROLLUP[MMWR_RATING_RO_ROLLUP],0),MATCH(C$9,MMWR_RATING_RO_ROLLUP[#Headers],0)),"ERROR"))</f>
        <v>590</v>
      </c>
      <c r="D31" s="155">
        <f>IF($B31=" ","",IFERROR(INDEX(MMWR_RATING_RO_ROLLUP[],MATCH($B31,MMWR_RATING_RO_ROLLUP[MMWR_RATING_RO_ROLLUP],0),MATCH(D$9,MMWR_RATING_RO_ROLLUP[#Headers],0)),"ERROR"))</f>
        <v>78.272881355899997</v>
      </c>
      <c r="E31" s="156">
        <f>IF($B31=" ","",IFERROR(INDEX(MMWR_RATING_RO_ROLLUP[],MATCH($B31,MMWR_RATING_RO_ROLLUP[MMWR_RATING_RO_ROLLUP],0),MATCH(E$9,MMWR_RATING_RO_ROLLUP[#Headers],0))/$C31,"ERROR"))</f>
        <v>0.17627118644067796</v>
      </c>
      <c r="F31" s="154">
        <f>IF($B31=" ","",IFERROR(INDEX(MMWR_RATING_RO_ROLLUP[],MATCH($B31,MMWR_RATING_RO_ROLLUP[MMWR_RATING_RO_ROLLUP],0),MATCH(F$9,MMWR_RATING_RO_ROLLUP[#Headers],0)),"ERROR"))</f>
        <v>112</v>
      </c>
      <c r="G31" s="154">
        <f>IF($B31=" ","",IFERROR(INDEX(MMWR_RATING_RO_ROLLUP[],MATCH($B31,MMWR_RATING_RO_ROLLUP[MMWR_RATING_RO_ROLLUP],0),MATCH(G$9,MMWR_RATING_RO_ROLLUP[#Headers],0)),"ERROR"))</f>
        <v>496</v>
      </c>
      <c r="H31" s="155">
        <f>IF($B31=" ","",IFERROR(INDEX(MMWR_RATING_RO_ROLLUP[],MATCH($B31,MMWR_RATING_RO_ROLLUP[MMWR_RATING_RO_ROLLUP],0),MATCH(H$9,MMWR_RATING_RO_ROLLUP[#Headers],0)),"ERROR"))</f>
        <v>131.1428571429</v>
      </c>
      <c r="I31" s="155">
        <f>IF($B31=" ","",IFERROR(INDEX(MMWR_RATING_RO_ROLLUP[],MATCH($B31,MMWR_RATING_RO_ROLLUP[MMWR_RATING_RO_ROLLUP],0),MATCH(I$9,MMWR_RATING_RO_ROLLUP[#Headers],0)),"ERROR"))</f>
        <v>122.89717741939999</v>
      </c>
      <c r="J31" s="157">
        <f>IF($B31=" ","",IFERROR(VLOOKUP($B31,MMWR_ACCURACY_RO[],MATCH(J$9,MMWR_ACCURACY_RO[#Headers],0),0),"ERROR"))</f>
        <v>0.92589855291765899</v>
      </c>
      <c r="K31" s="157">
        <f>IF($B31=" ","",IFERROR(VLOOKUP($B31,MMWR_ACCURACY_RO[],MATCH(K$9,MMWR_ACCURACY_RO[#Headers],0),0),"ERROR"))</f>
        <v>0.81636345852895142</v>
      </c>
      <c r="L31" s="157">
        <f>IF($B31=" ","",IFERROR(VLOOKUP($B31,MMWR_ACCURACY_RO[],MATCH(L$9,MMWR_ACCURACY_RO[#Headers],0),0),"ERROR"))</f>
        <v>0.87410464368295715</v>
      </c>
      <c r="M31" s="157">
        <f>IF($B31=" ","",IFERROR(VLOOKUP($B31,MMWR_ACCURACY_RO[],MATCH(M$9,MMWR_ACCURACY_RO[#Headers],0),0),"ERROR"))</f>
        <v>4.7224326417964806E-2</v>
      </c>
      <c r="N31" s="157">
        <f>IF($B31=" ","",IFERROR(VLOOKUP($B31,MMWR_ACCURACY_RO[],MATCH(N$9,MMWR_ACCURACY_RO[#Headers],0),0),"ERROR"))</f>
        <v>0.89126167613821938</v>
      </c>
      <c r="O31" s="157">
        <f>IF($B31=" ","",IFERROR(VLOOKUP($B31,MMWR_ACCURACY_RO[],MATCH(O$9,MMWR_ACCURACY_RO[#Headers],0),0),"ERROR"))</f>
        <v>5.0360055410220851E-2</v>
      </c>
      <c r="P31" s="28"/>
    </row>
    <row r="32" spans="1:16" x14ac:dyDescent="0.2">
      <c r="A32" s="25"/>
      <c r="B32" s="8" t="str">
        <f>VLOOKUP($B$16,DISTRICT_RO[],17,0)</f>
        <v>Winston-Salem VSC</v>
      </c>
      <c r="C32" s="154">
        <f>IF($B32=" ","",IFERROR(INDEX(MMWR_RATING_RO_ROLLUP[],MATCH($B32,MMWR_RATING_RO_ROLLUP[MMWR_RATING_RO_ROLLUP],0),MATCH(C$9,MMWR_RATING_RO_ROLLUP[#Headers],0)),"ERROR"))</f>
        <v>13268</v>
      </c>
      <c r="D32" s="155">
        <f>IF($B32=" ","",IFERROR(INDEX(MMWR_RATING_RO_ROLLUP[],MATCH($B32,MMWR_RATING_RO_ROLLUP[MMWR_RATING_RO_ROLLUP],0),MATCH(D$9,MMWR_RATING_RO_ROLLUP[#Headers],0)),"ERROR"))</f>
        <v>77.942267108799996</v>
      </c>
      <c r="E32" s="156">
        <f>IF($B32=" ","",IFERROR(INDEX(MMWR_RATING_RO_ROLLUP[],MATCH($B32,MMWR_RATING_RO_ROLLUP[MMWR_RATING_RO_ROLLUP],0),MATCH(E$9,MMWR_RATING_RO_ROLLUP[#Headers],0))/$C32,"ERROR"))</f>
        <v>0.15322580645161291</v>
      </c>
      <c r="F32" s="154">
        <f>IF($B32=" ","",IFERROR(INDEX(MMWR_RATING_RO_ROLLUP[],MATCH($B32,MMWR_RATING_RO_ROLLUP[MMWR_RATING_RO_ROLLUP],0),MATCH(F$9,MMWR_RATING_RO_ROLLUP[#Headers],0)),"ERROR"))</f>
        <v>1793</v>
      </c>
      <c r="G32" s="154">
        <f>IF($B32=" ","",IFERROR(INDEX(MMWR_RATING_RO_ROLLUP[],MATCH($B32,MMWR_RATING_RO_ROLLUP[MMWR_RATING_RO_ROLLUP],0),MATCH(G$9,MMWR_RATING_RO_ROLLUP[#Headers],0)),"ERROR"))</f>
        <v>12743</v>
      </c>
      <c r="H32" s="155">
        <f>IF($B32=" ","",IFERROR(INDEX(MMWR_RATING_RO_ROLLUP[],MATCH($B32,MMWR_RATING_RO_ROLLUP[MMWR_RATING_RO_ROLLUP],0),MATCH(H$9,MMWR_RATING_RO_ROLLUP[#Headers],0)),"ERROR"))</f>
        <v>135.93697713329999</v>
      </c>
      <c r="I32" s="155">
        <f>IF($B32=" ","",IFERROR(INDEX(MMWR_RATING_RO_ROLLUP[],MATCH($B32,MMWR_RATING_RO_ROLLUP[MMWR_RATING_RO_ROLLUP],0),MATCH(I$9,MMWR_RATING_RO_ROLLUP[#Headers],0)),"ERROR"))</f>
        <v>139.73852311069999</v>
      </c>
      <c r="J32" s="157">
        <f>IF($B32=" ","",IFERROR(VLOOKUP($B32,MMWR_ACCURACY_RO[],MATCH(J$9,MMWR_ACCURACY_RO[#Headers],0),0),"ERROR"))</f>
        <v>0.96731833501782438</v>
      </c>
      <c r="K32" s="157">
        <f>IF($B32=" ","",IFERROR(VLOOKUP($B32,MMWR_ACCURACY_RO[],MATCH(K$9,MMWR_ACCURACY_RO[#Headers],0),0),"ERROR"))</f>
        <v>0.84046100756427677</v>
      </c>
      <c r="L32" s="157">
        <f>IF($B32=" ","",IFERROR(VLOOKUP($B32,MMWR_ACCURACY_RO[],MATCH(L$9,MMWR_ACCURACY_RO[#Headers],0),0),"ERROR"))</f>
        <v>0.83662619612724343</v>
      </c>
      <c r="M32" s="157">
        <f>IF($B32=" ","",IFERROR(VLOOKUP($B32,MMWR_ACCURACY_RO[],MATCH(M$9,MMWR_ACCURACY_RO[#Headers],0),0),"ERROR"))</f>
        <v>5.3468016413209654E-2</v>
      </c>
      <c r="N32" s="157">
        <f>IF($B32=" ","",IFERROR(VLOOKUP($B32,MMWR_ACCURACY_RO[],MATCH(N$9,MMWR_ACCURACY_RO[#Headers],0),0),"ERROR"))</f>
        <v>0.93547537910290268</v>
      </c>
      <c r="O32" s="157">
        <f>IF($B32=" ","",IFERROR(VLOOKUP($B32,MMWR_ACCURACY_RO[],MATCH(O$9,MMWR_ACCURACY_RO[#Headers],0),0),"ERROR"))</f>
        <v>3.9996947951909403E-2</v>
      </c>
      <c r="P32" s="28"/>
    </row>
    <row r="33" spans="1:16" x14ac:dyDescent="0.2">
      <c r="A33" s="25"/>
      <c r="B33" s="341" t="s">
        <v>734</v>
      </c>
      <c r="C33" s="342"/>
      <c r="D33" s="342"/>
      <c r="E33" s="342"/>
      <c r="F33" s="342"/>
      <c r="G33" s="342"/>
      <c r="H33" s="342"/>
      <c r="I33" s="342"/>
      <c r="J33" s="342"/>
      <c r="K33" s="342"/>
      <c r="L33" s="342"/>
      <c r="M33" s="342"/>
      <c r="N33" s="342"/>
      <c r="O33" s="342"/>
      <c r="P33" s="28"/>
    </row>
    <row r="34" spans="1:16" x14ac:dyDescent="0.2">
      <c r="A34" s="25"/>
      <c r="B34" s="11" t="s">
        <v>697</v>
      </c>
      <c r="C34" s="154">
        <f>IF($B34=" ","",IFERROR(INDEX(MMWR_RATING_RO_ROLLUP[],MATCH($B34,MMWR_RATING_RO_ROLLUP[MMWR_RATING_RO_ROLLUP],0),MATCH(C$9,MMWR_RATING_RO_ROLLUP[#Headers],0)),"ERROR"))</f>
        <v>26479</v>
      </c>
      <c r="D34" s="155">
        <f>IF($B34=" ","",IFERROR(INDEX(MMWR_RATING_RO_ROLLUP[],MATCH($B34,MMWR_RATING_RO_ROLLUP[MMWR_RATING_RO_ROLLUP],0),MATCH(D$9,MMWR_RATING_RO_ROLLUP[#Headers],0)),"ERROR"))</f>
        <v>70.253295064</v>
      </c>
      <c r="E34" s="156">
        <f>IF($B34=" ","",IFERROR(INDEX(MMWR_RATING_RO_ROLLUP[],MATCH($B34,MMWR_RATING_RO_ROLLUP[MMWR_RATING_RO_ROLLUP],0),MATCH(E$9,MMWR_RATING_RO_ROLLUP[#Headers],0))/$C34,"ERROR"))</f>
        <v>0.11877336757430416</v>
      </c>
      <c r="F34" s="154">
        <f>IF($B34=" ","",IFERROR(INDEX(MMWR_RATING_RO_ROLLUP[],MATCH($B34,MMWR_RATING_RO_ROLLUP[MMWR_RATING_RO_ROLLUP],0),MATCH(F$9,MMWR_RATING_RO_ROLLUP[#Headers],0)),"ERROR"))</f>
        <v>7898</v>
      </c>
      <c r="G34" s="154">
        <f>IF($B34=" ","",IFERROR(INDEX(MMWR_RATING_RO_ROLLUP[],MATCH($B34,MMWR_RATING_RO_ROLLUP[MMWR_RATING_RO_ROLLUP],0),MATCH(G$9,MMWR_RATING_RO_ROLLUP[#Headers],0)),"ERROR"))</f>
        <v>55686</v>
      </c>
      <c r="H34" s="155">
        <f>IF($B34=" ","",IFERROR(INDEX(MMWR_RATING_RO_ROLLUP[],MATCH($B34,MMWR_RATING_RO_ROLLUP[MMWR_RATING_RO_ROLLUP],0),MATCH(H$9,MMWR_RATING_RO_ROLLUP[#Headers],0)),"ERROR"))</f>
        <v>83.531020511500003</v>
      </c>
      <c r="I34" s="155">
        <f>IF($B34=" ","",IFERROR(INDEX(MMWR_RATING_RO_ROLLUP[],MATCH($B34,MMWR_RATING_RO_ROLLUP[MMWR_RATING_RO_ROLLUP],0),MATCH(I$9,MMWR_RATING_RO_ROLLUP[#Headers],0)),"ERROR"))</f>
        <v>74.994702438700003</v>
      </c>
      <c r="J34" s="42"/>
      <c r="K34" s="262">
        <f>IF($B34=" ","",IFERROR(VLOOKUP($B34,MMWR_ACCURACY_RO[],MATCH(K$50,MMWR_ACCURACY_RO[#Headers],0),0),"ERROR"))</f>
        <v>0.9711446755960863</v>
      </c>
      <c r="L34" s="262">
        <f>IF($B34=" ","",IFERROR(VLOOKUP($B34,MMWR_ACCURACY_RO[],MATCH(L$50,MMWR_ACCURACY_RO[#Headers],0),0),"ERROR"))</f>
        <v>0.96570592799830079</v>
      </c>
      <c r="M34" s="262">
        <f>IF($B34=" ","",IFERROR(VLOOKUP($B34,MMWR_ACCURACY_RO[],MATCH(M$50,MMWR_ACCURACY_RO[#Headers],0),0),"ERROR"))</f>
        <v>1.7053791268045515E-2</v>
      </c>
      <c r="N34" s="262">
        <f>IF($B34=" ","",IFERROR(VLOOKUP($B34,MMWR_ACCURACY_RO[],MATCH(N$50,MMWR_ACCURACY_RO[#Headers],0),0),"ERROR"))</f>
        <v>0.96388619008919263</v>
      </c>
      <c r="O34" s="262">
        <f>IF($B34=" ","",IFERROR(VLOOKUP($B34,MMWR_ACCURACY_RO[],MATCH(O$50,MMWR_ACCURACY_RO[#Headers],0),0),"ERROR"))</f>
        <v>1.9360568793987624E-2</v>
      </c>
      <c r="P34" s="28"/>
    </row>
    <row r="35" spans="1:16" x14ac:dyDescent="0.2">
      <c r="A35" s="25"/>
      <c r="B35" s="12" t="s">
        <v>210</v>
      </c>
      <c r="C35" s="154">
        <f>IF($B35=" ","",IFERROR(INDEX(MMWR_RATING_RO_ROLLUP[],MATCH($B35,MMWR_RATING_RO_ROLLUP[MMWR_RATING_RO_ROLLUP],0),MATCH(C$9,MMWR_RATING_RO_ROLLUP[#Headers],0)),"ERROR"))</f>
        <v>12446</v>
      </c>
      <c r="D35" s="155">
        <f>IF($B35=" ","",IFERROR(INDEX(MMWR_RATING_RO_ROLLUP[],MATCH($B35,MMWR_RATING_RO_ROLLUP[MMWR_RATING_RO_ROLLUP],0),MATCH(D$9,MMWR_RATING_RO_ROLLUP[#Headers],0)),"ERROR"))</f>
        <v>70.208018640500001</v>
      </c>
      <c r="E35" s="156">
        <f>IF($B35=" ","",IFERROR(INDEX(MMWR_RATING_RO_ROLLUP[],MATCH($B35,MMWR_RATING_RO_ROLLUP[MMWR_RATING_RO_ROLLUP],0),MATCH(E$9,MMWR_RATING_RO_ROLLUP[#Headers],0))/$C35,"ERROR"))</f>
        <v>0.11457496384380524</v>
      </c>
      <c r="F35" s="154">
        <f>IF($B35=" ","",IFERROR(INDEX(MMWR_RATING_RO_ROLLUP[],MATCH($B35,MMWR_RATING_RO_ROLLUP[MMWR_RATING_RO_ROLLUP],0),MATCH(F$9,MMWR_RATING_RO_ROLLUP[#Headers],0)),"ERROR"))</f>
        <v>2660</v>
      </c>
      <c r="G35" s="154">
        <f>IF($B35=" ","",IFERROR(INDEX(MMWR_RATING_RO_ROLLUP[],MATCH($B35,MMWR_RATING_RO_ROLLUP[MMWR_RATING_RO_ROLLUP],0),MATCH(G$9,MMWR_RATING_RO_ROLLUP[#Headers],0)),"ERROR"))</f>
        <v>17771</v>
      </c>
      <c r="H35" s="155">
        <f>IF($B35=" ","",IFERROR(INDEX(MMWR_RATING_RO_ROLLUP[],MATCH($B35,MMWR_RATING_RO_ROLLUP[MMWR_RATING_RO_ROLLUP],0),MATCH(H$9,MMWR_RATING_RO_ROLLUP[#Headers],0)),"ERROR"))</f>
        <v>106.6060150376</v>
      </c>
      <c r="I35" s="155">
        <f>IF($B35=" ","",IFERROR(INDEX(MMWR_RATING_RO_ROLLUP[],MATCH($B35,MMWR_RATING_RO_ROLLUP[MMWR_RATING_RO_ROLLUP],0),MATCH(I$9,MMWR_RATING_RO_ROLLUP[#Headers],0)),"ERROR"))</f>
        <v>90.890889651699993</v>
      </c>
      <c r="J35" s="42"/>
      <c r="K35" s="251">
        <f>IF($B35=" ","",IFERROR(VLOOKUP($B35,MMWR_ACCURACY_RO[],MATCH(K$50,MMWR_ACCURACY_RO[#Headers],0),0),"ERROR"))</f>
        <v>0.91136788048552764</v>
      </c>
      <c r="L35" s="251">
        <f>IF($B35=" ","",IFERROR(VLOOKUP($B35,MMWR_ACCURACY_RO[],MATCH(L$50,MMWR_ACCURACY_RO[#Headers],0),0),"ERROR"))</f>
        <v>0.93459371679464298</v>
      </c>
      <c r="M35" s="251">
        <f>IF($B35=" ","",IFERROR(VLOOKUP($B35,MMWR_ACCURACY_RO[],MATCH(M$50,MMWR_ACCURACY_RO[#Headers],0),0),"ERROR"))</f>
        <v>4.2261878047708451E-2</v>
      </c>
      <c r="N35" s="251">
        <f>IF($B35=" ","",IFERROR(VLOOKUP($B35,MMWR_ACCURACY_RO[],MATCH(N$50,MMWR_ACCURACY_RO[#Headers],0),0),"ERROR"))</f>
        <v>0.92155775825621267</v>
      </c>
      <c r="O35" s="251">
        <f>IF($B35=" ","",IFERROR(VLOOKUP($B35,MMWR_ACCURACY_RO[],MATCH(O$50,MMWR_ACCURACY_RO[#Headers],0),0),"ERROR"))</f>
        <v>5.0714243158281887E-2</v>
      </c>
      <c r="P35" s="28"/>
    </row>
    <row r="36" spans="1:16" x14ac:dyDescent="0.2">
      <c r="A36" s="43"/>
      <c r="B36" s="12" t="s">
        <v>209</v>
      </c>
      <c r="C36" s="154">
        <f>IF($B36=" ","",IFERROR(INDEX(MMWR_RATING_RO_ROLLUP[],MATCH($B36,MMWR_RATING_RO_ROLLUP[MMWR_RATING_RO_ROLLUP],0),MATCH(C$9,MMWR_RATING_RO_ROLLUP[#Headers],0)),"ERROR"))</f>
        <v>6349</v>
      </c>
      <c r="D36" s="155">
        <f>IF($B36=" ","",IFERROR(INDEX(MMWR_RATING_RO_ROLLUP[],MATCH($B36,MMWR_RATING_RO_ROLLUP[MMWR_RATING_RO_ROLLUP],0),MATCH(D$9,MMWR_RATING_RO_ROLLUP[#Headers],0)),"ERROR"))</f>
        <v>67.717435816700004</v>
      </c>
      <c r="E36" s="156">
        <f>IF($B36=" ","",IFERROR(INDEX(MMWR_RATING_RO_ROLLUP[],MATCH($B36,MMWR_RATING_RO_ROLLUP[MMWR_RATING_RO_ROLLUP],0),MATCH(E$9,MMWR_RATING_RO_ROLLUP[#Headers],0))/$C36,"ERROR"))</f>
        <v>0.12915419751141913</v>
      </c>
      <c r="F36" s="154">
        <f>IF($B36=" ","",IFERROR(INDEX(MMWR_RATING_RO_ROLLUP[],MATCH($B36,MMWR_RATING_RO_ROLLUP[MMWR_RATING_RO_ROLLUP],0),MATCH(F$9,MMWR_RATING_RO_ROLLUP[#Headers],0)),"ERROR"))</f>
        <v>2201</v>
      </c>
      <c r="G36" s="154">
        <f>IF($B36=" ","",IFERROR(INDEX(MMWR_RATING_RO_ROLLUP[],MATCH($B36,MMWR_RATING_RO_ROLLUP[MMWR_RATING_RO_ROLLUP],0),MATCH(G$9,MMWR_RATING_RO_ROLLUP[#Headers],0)),"ERROR"))</f>
        <v>15883</v>
      </c>
      <c r="H36" s="155">
        <f>IF($B36=" ","",IFERROR(INDEX(MMWR_RATING_RO_ROLLUP[],MATCH($B36,MMWR_RATING_RO_ROLLUP[MMWR_RATING_RO_ROLLUP],0),MATCH(H$9,MMWR_RATING_RO_ROLLUP[#Headers],0)),"ERROR"))</f>
        <v>74.933212176300003</v>
      </c>
      <c r="I36" s="155">
        <f>IF($B36=" ","",IFERROR(INDEX(MMWR_RATING_RO_ROLLUP[],MATCH($B36,MMWR_RATING_RO_ROLLUP[MMWR_RATING_RO_ROLLUP],0),MATCH(I$9,MMWR_RATING_RO_ROLLUP[#Headers],0)),"ERROR"))</f>
        <v>71.146697727100005</v>
      </c>
      <c r="J36" s="42"/>
      <c r="K36" s="251">
        <f>IF($B36=" ","",IFERROR(VLOOKUP($B36,MMWR_ACCURACY_RO[],MATCH(K$50,MMWR_ACCURACY_RO[#Headers],0),0),"ERROR"))</f>
        <v>1</v>
      </c>
      <c r="L36" s="251">
        <f>IF($B36=" ","",IFERROR(VLOOKUP($B36,MMWR_ACCURACY_RO[],MATCH(L$50,MMWR_ACCURACY_RO[#Headers],0),0),"ERROR"))</f>
        <v>0.95704848542894139</v>
      </c>
      <c r="M36" s="251">
        <f>IF($B36=" ","",IFERROR(VLOOKUP($B36,MMWR_ACCURACY_RO[],MATCH(M$50,MMWR_ACCURACY_RO[#Headers],0),0),"ERROR"))</f>
        <v>3.3782744105177114E-2</v>
      </c>
      <c r="N36" s="251">
        <f>IF($B36=" ","",IFERROR(VLOOKUP($B36,MMWR_ACCURACY_RO[],MATCH(N$50,MMWR_ACCURACY_RO[#Headers],0),0),"ERROR"))</f>
        <v>0.98013116774505915</v>
      </c>
      <c r="O36" s="251">
        <f>IF($B36=" ","",IFERROR(VLOOKUP($B36,MMWR_ACCURACY_RO[],MATCH(O$50,MMWR_ACCURACY_RO[#Headers],0),0),"ERROR"))</f>
        <v>2.0651495188656527E-2</v>
      </c>
      <c r="P36" s="28"/>
    </row>
    <row r="37" spans="1:16" x14ac:dyDescent="0.2">
      <c r="A37" s="25"/>
      <c r="B37" s="12" t="s">
        <v>212</v>
      </c>
      <c r="C37" s="154">
        <f>IF($B37=" ","",IFERROR(INDEX(MMWR_RATING_RO_ROLLUP[],MATCH($B37,MMWR_RATING_RO_ROLLUP[MMWR_RATING_RO_ROLLUP],0),MATCH(C$9,MMWR_RATING_RO_ROLLUP[#Headers],0)),"ERROR"))</f>
        <v>7020</v>
      </c>
      <c r="D37" s="155">
        <f>IF($B37=" ","",IFERROR(INDEX(MMWR_RATING_RO_ROLLUP[],MATCH($B37,MMWR_RATING_RO_ROLLUP[MMWR_RATING_RO_ROLLUP],0),MATCH(D$9,MMWR_RATING_RO_ROLLUP[#Headers],0)),"ERROR"))</f>
        <v>61.222079772100003</v>
      </c>
      <c r="E37" s="156">
        <f>IF($B37=" ","",IFERROR(INDEX(MMWR_RATING_RO_ROLLUP[],MATCH($B37,MMWR_RATING_RO_ROLLUP[MMWR_RATING_RO_ROLLUP],0),MATCH(E$9,MMWR_RATING_RO_ROLLUP[#Headers],0))/$C37,"ERROR"))</f>
        <v>7.521367521367521E-2</v>
      </c>
      <c r="F37" s="154">
        <f>IF($B37=" ","",IFERROR(INDEX(MMWR_RATING_RO_ROLLUP[],MATCH($B37,MMWR_RATING_RO_ROLLUP[MMWR_RATING_RO_ROLLUP],0),MATCH(F$9,MMWR_RATING_RO_ROLLUP[#Headers],0)),"ERROR"))</f>
        <v>2800</v>
      </c>
      <c r="G37" s="154">
        <f>IF($B37=" ","",IFERROR(INDEX(MMWR_RATING_RO_ROLLUP[],MATCH($B37,MMWR_RATING_RO_ROLLUP[MMWR_RATING_RO_ROLLUP],0),MATCH(G$9,MMWR_RATING_RO_ROLLUP[#Headers],0)),"ERROR"))</f>
        <v>20333</v>
      </c>
      <c r="H37" s="155">
        <f>IF($B37=" ","",IFERROR(INDEX(MMWR_RATING_RO_ROLLUP[],MATCH($B37,MMWR_RATING_RO_ROLLUP[MMWR_RATING_RO_ROLLUP],0),MATCH(H$9,MMWR_RATING_RO_ROLLUP[#Headers],0)),"ERROR"))</f>
        <v>72.427499999999995</v>
      </c>
      <c r="I37" s="155">
        <f>IF($B37=" ","",IFERROR(INDEX(MMWR_RATING_RO_ROLLUP[],MATCH($B37,MMWR_RATING_RO_ROLLUP[MMWR_RATING_RO_ROLLUP],0),MATCH(I$9,MMWR_RATING_RO_ROLLUP[#Headers],0)),"ERROR"))</f>
        <v>66.904047607300001</v>
      </c>
      <c r="J37" s="42"/>
      <c r="K37" s="251">
        <f>IF($B37=" ","",IFERROR(VLOOKUP($B37,MMWR_ACCURACY_RO[],MATCH(K$50,MMWR_ACCURACY_RO[#Headers],0),0),"ERROR"))</f>
        <v>1</v>
      </c>
      <c r="L37" s="251">
        <f>IF($B37=" ","",IFERROR(VLOOKUP($B37,MMWR_ACCURACY_RO[],MATCH(L$50,MMWR_ACCURACY_RO[#Headers],0),0),"ERROR"))</f>
        <v>1</v>
      </c>
      <c r="M37" s="251">
        <f>IF($B37=" ","",IFERROR(VLOOKUP($B37,MMWR_ACCURACY_RO[],MATCH(M$50,MMWR_ACCURACY_RO[#Headers],0),0),"ERROR"))</f>
        <v>0</v>
      </c>
      <c r="N37" s="251">
        <f>IF($B37=" ","",IFERROR(VLOOKUP($B37,MMWR_ACCURACY_RO[],MATCH(N$50,MMWR_ACCURACY_RO[#Headers],0),0),"ERROR"))</f>
        <v>0.99067946088732484</v>
      </c>
      <c r="O37" s="251">
        <f>IF($B37=" ","",IFERROR(VLOOKUP($B37,MMWR_ACCURACY_RO[],MATCH(O$50,MMWR_ACCURACY_RO[#Headers],0),0),"ERROR"))</f>
        <v>1.389452691707369E-2</v>
      </c>
      <c r="P37" s="28"/>
    </row>
    <row r="38" spans="1:16" x14ac:dyDescent="0.2">
      <c r="A38" s="25"/>
      <c r="B38" s="13" t="s">
        <v>224</v>
      </c>
      <c r="C38" s="154">
        <f>IF($B38=" ","",IFERROR(INDEX(MMWR_RATING_RO_ROLLUP[],MATCH($B38,MMWR_RATING_RO_ROLLUP[MMWR_RATING_RO_ROLLUP],0),MATCH(C$9,MMWR_RATING_RO_ROLLUP[#Headers],0)),"ERROR"))</f>
        <v>664</v>
      </c>
      <c r="D38" s="155">
        <f>IF($B38=" ","",IFERROR(INDEX(MMWR_RATING_RO_ROLLUP[],MATCH($B38,MMWR_RATING_RO_ROLLUP[MMWR_RATING_RO_ROLLUP],0),MATCH(D$9,MMWR_RATING_RO_ROLLUP[#Headers],0)),"ERROR"))</f>
        <v>190.8298192771</v>
      </c>
      <c r="E38" s="156">
        <f>IF($B38=" ","",IFERROR(INDEX(MMWR_RATING_RO_ROLLUP[],MATCH($B38,MMWR_RATING_RO_ROLLUP[MMWR_RATING_RO_ROLLUP],0),MATCH(E$9,MMWR_RATING_RO_ROLLUP[#Headers],0))/$C38,"ERROR"))</f>
        <v>0.5587349397590361</v>
      </c>
      <c r="F38" s="154">
        <f>IF($B38=" ","",IFERROR(INDEX(MMWR_RATING_RO_ROLLUP[],MATCH($B38,MMWR_RATING_RO_ROLLUP[MMWR_RATING_RO_ROLLUP],0),MATCH(F$9,MMWR_RATING_RO_ROLLUP[#Headers],0)),"ERROR"))</f>
        <v>237</v>
      </c>
      <c r="G38" s="154">
        <f>IF($B38=" ","",IFERROR(INDEX(MMWR_RATING_RO_ROLLUP[],MATCH($B38,MMWR_RATING_RO_ROLLUP[MMWR_RATING_RO_ROLLUP],0),MATCH(G$9,MMWR_RATING_RO_ROLLUP[#Headers],0)),"ERROR"))</f>
        <v>1699</v>
      </c>
      <c r="H38" s="155">
        <f>IF($B38=" ","",IFERROR(INDEX(MMWR_RATING_RO_ROLLUP[],MATCH($B38,MMWR_RATING_RO_ROLLUP[MMWR_RATING_RO_ROLLUP],0),MATCH(H$9,MMWR_RATING_RO_ROLLUP[#Headers],0)),"ERROR"))</f>
        <v>35.573839662399998</v>
      </c>
      <c r="I38" s="155">
        <f>IF($B38=" ","",IFERROR(INDEX(MMWR_RATING_RO_ROLLUP[],MATCH($B38,MMWR_RATING_RO_ROLLUP[MMWR_RATING_RO_ROLLUP],0),MATCH(I$9,MMWR_RATING_RO_ROLLUP[#Headers],0)),"ERROR"))</f>
        <v>41.524426132999999</v>
      </c>
      <c r="J38" s="42"/>
      <c r="K38" s="42"/>
      <c r="L38" s="42"/>
      <c r="M38" s="42"/>
      <c r="N38" s="42"/>
      <c r="O38" s="42"/>
      <c r="P38" s="28"/>
    </row>
    <row r="39" spans="1:16" x14ac:dyDescent="0.2">
      <c r="A39" s="25"/>
      <c r="B39" s="341" t="s">
        <v>917</v>
      </c>
      <c r="C39" s="342"/>
      <c r="D39" s="342"/>
      <c r="E39" s="342"/>
      <c r="F39" s="342"/>
      <c r="G39" s="342"/>
      <c r="H39" s="342"/>
      <c r="I39" s="342"/>
      <c r="J39" s="342"/>
      <c r="K39" s="342"/>
      <c r="L39" s="342"/>
      <c r="M39" s="342"/>
      <c r="N39" s="342"/>
      <c r="O39" s="342"/>
      <c r="P39" s="28"/>
    </row>
    <row r="40" spans="1:16" x14ac:dyDescent="0.2">
      <c r="A40" s="25"/>
      <c r="B40" s="44" t="s">
        <v>698</v>
      </c>
      <c r="C40" s="154">
        <f>IF($B40=" ","",IFERROR(INDEX(MMWR_RATING_RO_ROLLUP[],MATCH($B40,MMWR_RATING_RO_ROLLUP[MMWR_RATING_RO_ROLLUP],0),MATCH(C$9,MMWR_RATING_RO_ROLLUP[#Headers],0)),"ERROR"))</f>
        <v>10629</v>
      </c>
      <c r="D40" s="155">
        <f>IF($B40=" ","",IFERROR(INDEX(MMWR_RATING_RO_ROLLUP[],MATCH($B40,MMWR_RATING_RO_ROLLUP[MMWR_RATING_RO_ROLLUP],0),MATCH(D$9,MMWR_RATING_RO_ROLLUP[#Headers],0)),"ERROR"))</f>
        <v>92.826136042900004</v>
      </c>
      <c r="E40" s="156">
        <f>IF($B40=" ","",IFERROR(INDEX(MMWR_RATING_RO_ROLLUP[],MATCH($B40,MMWR_RATING_RO_ROLLUP[MMWR_RATING_RO_ROLLUP],0),MATCH(E$9,MMWR_RATING_RO_ROLLUP[#Headers],0))/$C40,"ERROR"))</f>
        <v>0.29475961990779942</v>
      </c>
      <c r="F40" s="154">
        <f>IF($B40=" ","",IFERROR(INDEX(MMWR_RATING_RO_ROLLUP[],MATCH($B40,MMWR_RATING_RO_ROLLUP[MMWR_RATING_RO_ROLLUP],0),MATCH(F$9,MMWR_RATING_RO_ROLLUP[#Headers],0)),"ERROR"))</f>
        <v>1276</v>
      </c>
      <c r="G40" s="154">
        <f>IF($B40=" ","",IFERROR(INDEX(MMWR_RATING_RO_ROLLUP[],MATCH($B40,MMWR_RATING_RO_ROLLUP[MMWR_RATING_RO_ROLLUP],0),MATCH(G$9,MMWR_RATING_RO_ROLLUP[#Headers],0)),"ERROR"))</f>
        <v>7730</v>
      </c>
      <c r="H40" s="155">
        <f>IF($B40=" ","",IFERROR(INDEX(MMWR_RATING_RO_ROLLUP[],MATCH($B40,MMWR_RATING_RO_ROLLUP[MMWR_RATING_RO_ROLLUP],0),MATCH(H$9,MMWR_RATING_RO_ROLLUP[#Headers],0)),"ERROR"))</f>
        <v>157.07131661439999</v>
      </c>
      <c r="I40" s="155">
        <f>IF($B40=" ","",IFERROR(INDEX(MMWR_RATING_RO_ROLLUP[],MATCH($B40,MMWR_RATING_RO_ROLLUP[MMWR_RATING_RO_ROLLUP],0),MATCH(I$9,MMWR_RATING_RO_ROLLUP[#Headers],0)),"ERROR"))</f>
        <v>147.1657179819</v>
      </c>
      <c r="J40" s="42"/>
      <c r="K40" s="42"/>
      <c r="L40" s="42"/>
      <c r="M40" s="42"/>
      <c r="N40" s="42"/>
      <c r="O40" s="42"/>
      <c r="P40" s="28"/>
    </row>
    <row r="41" spans="1:16" x14ac:dyDescent="0.2">
      <c r="A41" s="25"/>
      <c r="B41" s="45" t="s">
        <v>957</v>
      </c>
      <c r="C41" s="154">
        <f>IF($B41=" ","",IFERROR(INDEX(MMWR_RATING_RO_ROLLUP[],MATCH($B41,MMWR_RATING_RO_ROLLUP[MMWR_RATING_RO_ROLLUP],0),MATCH(C$9,MMWR_RATING_RO_ROLLUP[#Headers],0)),"ERROR"))</f>
        <v>3936</v>
      </c>
      <c r="D41" s="155">
        <f>IF($B41=" ","",IFERROR(INDEX(MMWR_RATING_RO_ROLLUP[],MATCH($B41,MMWR_RATING_RO_ROLLUP[MMWR_RATING_RO_ROLLUP],0),MATCH(D$9,MMWR_RATING_RO_ROLLUP[#Headers],0)),"ERROR"))</f>
        <v>79.481961382099996</v>
      </c>
      <c r="E41" s="156">
        <f>IF($B41=" ","",IFERROR(INDEX(MMWR_RATING_RO_ROLLUP[],MATCH($B41,MMWR_RATING_RO_ROLLUP[MMWR_RATING_RO_ROLLUP],0),MATCH(E$9,MMWR_RATING_RO_ROLLUP[#Headers],0))/$C41,"ERROR"))</f>
        <v>0.21747967479674796</v>
      </c>
      <c r="F41" s="154">
        <f>IF($B41=" ","",IFERROR(INDEX(MMWR_RATING_RO_ROLLUP[],MATCH($B41,MMWR_RATING_RO_ROLLUP[MMWR_RATING_RO_ROLLUP],0),MATCH(F$9,MMWR_RATING_RO_ROLLUP[#Headers],0)),"ERROR"))</f>
        <v>562</v>
      </c>
      <c r="G41" s="154">
        <f>IF($B41=" ","",IFERROR(INDEX(MMWR_RATING_RO_ROLLUP[],MATCH($B41,MMWR_RATING_RO_ROLLUP[MMWR_RATING_RO_ROLLUP],0),MATCH(G$9,MMWR_RATING_RO_ROLLUP[#Headers],0)),"ERROR"))</f>
        <v>3757</v>
      </c>
      <c r="H41" s="155">
        <f>IF($B41=" ","",IFERROR(INDEX(MMWR_RATING_RO_ROLLUP[],MATCH($B41,MMWR_RATING_RO_ROLLUP[MMWR_RATING_RO_ROLLUP],0),MATCH(H$9,MMWR_RATING_RO_ROLLUP[#Headers],0)),"ERROR"))</f>
        <v>148.47686832740001</v>
      </c>
      <c r="I41" s="155">
        <f>IF($B41=" ","",IFERROR(INDEX(MMWR_RATING_RO_ROLLUP[],MATCH($B41,MMWR_RATING_RO_ROLLUP[MMWR_RATING_RO_ROLLUP],0),MATCH(I$9,MMWR_RATING_RO_ROLLUP[#Headers],0)),"ERROR"))</f>
        <v>133.8235294118</v>
      </c>
      <c r="J41" s="42"/>
      <c r="K41" s="42"/>
      <c r="L41" s="42"/>
      <c r="M41" s="42"/>
      <c r="N41" s="42"/>
      <c r="O41" s="42"/>
      <c r="P41" s="28"/>
    </row>
    <row r="42" spans="1:16" x14ac:dyDescent="0.2">
      <c r="A42" s="25"/>
      <c r="B42" s="45" t="s">
        <v>958</v>
      </c>
      <c r="C42" s="154">
        <f>IF($B42=" ","",IFERROR(INDEX(MMWR_RATING_RO_ROLLUP[],MATCH($B42,MMWR_RATING_RO_ROLLUP[MMWR_RATING_RO_ROLLUP],0),MATCH(C$9,MMWR_RATING_RO_ROLLUP[#Headers],0)),"ERROR"))</f>
        <v>4800</v>
      </c>
      <c r="D42" s="155">
        <f>IF($B42=" ","",IFERROR(INDEX(MMWR_RATING_RO_ROLLUP[],MATCH($B42,MMWR_RATING_RO_ROLLUP[MMWR_RATING_RO_ROLLUP],0),MATCH(D$9,MMWR_RATING_RO_ROLLUP[#Headers],0)),"ERROR"))</f>
        <v>97.821875000000006</v>
      </c>
      <c r="E42" s="156">
        <f>IF($B42=" ","",IFERROR(INDEX(MMWR_RATING_RO_ROLLUP[],MATCH($B42,MMWR_RATING_RO_ROLLUP[MMWR_RATING_RO_ROLLUP],0),MATCH(E$9,MMWR_RATING_RO_ROLLUP[#Headers],0))/$C42,"ERROR"))</f>
        <v>0.31812499999999999</v>
      </c>
      <c r="F42" s="154">
        <f>IF($B42=" ","",IFERROR(INDEX(MMWR_RATING_RO_ROLLUP[],MATCH($B42,MMWR_RATING_RO_ROLLUP[MMWR_RATING_RO_ROLLUP],0),MATCH(F$9,MMWR_RATING_RO_ROLLUP[#Headers],0)),"ERROR"))</f>
        <v>630</v>
      </c>
      <c r="G42" s="154">
        <f>IF($B42=" ","",IFERROR(INDEX(MMWR_RATING_RO_ROLLUP[],MATCH($B42,MMWR_RATING_RO_ROLLUP[MMWR_RATING_RO_ROLLUP],0),MATCH(G$9,MMWR_RATING_RO_ROLLUP[#Headers],0)),"ERROR"))</f>
        <v>3740</v>
      </c>
      <c r="H42" s="155">
        <f>IF($B42=" ","",IFERROR(INDEX(MMWR_RATING_RO_ROLLUP[],MATCH($B42,MMWR_RATING_RO_ROLLUP[MMWR_RATING_RO_ROLLUP],0),MATCH(H$9,MMWR_RATING_RO_ROLLUP[#Headers],0)),"ERROR"))</f>
        <v>168.919047619</v>
      </c>
      <c r="I42" s="155">
        <f>IF($B42=" ","",IFERROR(INDEX(MMWR_RATING_RO_ROLLUP[],MATCH($B42,MMWR_RATING_RO_ROLLUP[MMWR_RATING_RO_ROLLUP],0),MATCH(I$9,MMWR_RATING_RO_ROLLUP[#Headers],0)),"ERROR"))</f>
        <v>161.4668449198</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1893</v>
      </c>
      <c r="D43" s="155">
        <f>IF($B43=" ","",IFERROR(INDEX(MMWR_RATING_RO_ROLLUP[],MATCH($B43,MMWR_RATING_RO_ROLLUP[MMWR_RATING_RO_ROLLUP],0),MATCH(D$9,MMWR_RATING_RO_ROLLUP[#Headers],0)),"ERROR"))</f>
        <v>107.9043845747</v>
      </c>
      <c r="E43" s="156">
        <f>IF($B43=" ","",IFERROR(INDEX(MMWR_RATING_RO_ROLLUP[],MATCH($B43,MMWR_RATING_RO_ROLLUP[MMWR_RATING_RO_ROLLUP],0),MATCH(E$9,MMWR_RATING_RO_ROLLUP[#Headers],0))/$C43,"ERROR"))</f>
        <v>0.39619651347068147</v>
      </c>
      <c r="F43" s="154">
        <f>IF($B43=" ","",IFERROR(INDEX(MMWR_RATING_RO_ROLLUP[],MATCH($B43,MMWR_RATING_RO_ROLLUP[MMWR_RATING_RO_ROLLUP],0),MATCH(F$9,MMWR_RATING_RO_ROLLUP[#Headers],0)),"ERROR"))</f>
        <v>84</v>
      </c>
      <c r="G43" s="154">
        <f>IF($B43=" ","",IFERROR(INDEX(MMWR_RATING_RO_ROLLUP[],MATCH($B43,MMWR_RATING_RO_ROLLUP[MMWR_RATING_RO_ROLLUP],0),MATCH(G$9,MMWR_RATING_RO_ROLLUP[#Headers],0)),"ERROR"))</f>
        <v>233</v>
      </c>
      <c r="H43" s="155">
        <f>IF($B43=" ","",IFERROR(INDEX(MMWR_RATING_RO_ROLLUP[],MATCH($B43,MMWR_RATING_RO_ROLLUP[MMWR_RATING_RO_ROLLUP],0),MATCH(H$9,MMWR_RATING_RO_ROLLUP[#Headers],0)),"ERROR"))</f>
        <v>125.7142857143</v>
      </c>
      <c r="I43" s="155">
        <f>IF($B43=" ","",IFERROR(INDEX(MMWR_RATING_RO_ROLLUP[],MATCH($B43,MMWR_RATING_RO_ROLLUP[MMWR_RATING_RO_ROLLUP],0),MATCH(I$9,MMWR_RATING_RO_ROLLUP[#Headers],0)),"ERROR"))</f>
        <v>132.74678111590001</v>
      </c>
      <c r="J43" s="42"/>
      <c r="K43" s="42"/>
      <c r="L43" s="42"/>
      <c r="M43" s="42"/>
      <c r="N43" s="42"/>
      <c r="O43" s="42"/>
      <c r="P43" s="28"/>
    </row>
    <row r="44" spans="1:16" x14ac:dyDescent="0.2">
      <c r="A44" s="25"/>
      <c r="B44" s="341" t="s">
        <v>735</v>
      </c>
      <c r="C44" s="342"/>
      <c r="D44" s="342"/>
      <c r="E44" s="342"/>
      <c r="F44" s="342"/>
      <c r="G44" s="342"/>
      <c r="H44" s="342"/>
      <c r="I44" s="342"/>
      <c r="J44" s="342"/>
      <c r="K44" s="342"/>
      <c r="L44" s="342"/>
      <c r="M44" s="342"/>
      <c r="N44" s="342"/>
      <c r="O44" s="342"/>
      <c r="P44" s="28"/>
    </row>
    <row r="45" spans="1:16" x14ac:dyDescent="0.2">
      <c r="A45" s="25"/>
      <c r="B45" s="44" t="s">
        <v>696</v>
      </c>
      <c r="C45" s="154">
        <f>IF($B45=" ","",IFERROR(INDEX(MMWR_RATING_RO_ROLLUP[],MATCH($B45,MMWR_RATING_RO_ROLLUP[MMWR_RATING_RO_ROLLUP],0),MATCH(C$9,MMWR_RATING_RO_ROLLUP[#Headers],0)),"ERROR"))</f>
        <v>10937</v>
      </c>
      <c r="D45" s="155">
        <f>IF($B45=" ","",IFERROR(INDEX(MMWR_RATING_RO_ROLLUP[],MATCH($B45,MMWR_RATING_RO_ROLLUP[MMWR_RATING_RO_ROLLUP],0),MATCH(D$9,MMWR_RATING_RO_ROLLUP[#Headers],0)),"ERROR"))</f>
        <v>88.419859193600004</v>
      </c>
      <c r="E45" s="156">
        <f>IF($B45=" ","",IFERROR(INDEX(MMWR_RATING_RO_ROLLUP[],MATCH($B45,MMWR_RATING_RO_ROLLUP[MMWR_RATING_RO_ROLLUP],0),MATCH(E$9,MMWR_RATING_RO_ROLLUP[#Headers],0))/$C45,"ERROR"))</f>
        <v>0.25473164487519429</v>
      </c>
      <c r="F45" s="154">
        <f>IF($B45=" ","",IFERROR(INDEX(MMWR_RATING_RO_ROLLUP[],MATCH($B45,MMWR_RATING_RO_ROLLUP[MMWR_RATING_RO_ROLLUP],0),MATCH(F$9,MMWR_RATING_RO_ROLLUP[#Headers],0)),"ERROR"))</f>
        <v>1536</v>
      </c>
      <c r="G45" s="154">
        <f>IF($B45=" ","",IFERROR(INDEX(MMWR_RATING_RO_ROLLUP[],MATCH($B45,MMWR_RATING_RO_ROLLUP[MMWR_RATING_RO_ROLLUP],0),MATCH(G$9,MMWR_RATING_RO_ROLLUP[#Headers],0)),"ERROR"))</f>
        <v>9629</v>
      </c>
      <c r="H45" s="155">
        <f>IF($B45=" ","",IFERROR(INDEX(MMWR_RATING_RO_ROLLUP[],MATCH($B45,MMWR_RATING_RO_ROLLUP[MMWR_RATING_RO_ROLLUP],0),MATCH(H$9,MMWR_RATING_RO_ROLLUP[#Headers],0)),"ERROR"))</f>
        <v>149.1725260417</v>
      </c>
      <c r="I45" s="155">
        <f>IF($B45=" ","",IFERROR(INDEX(MMWR_RATING_RO_ROLLUP[],MATCH($B45,MMWR_RATING_RO_ROLLUP[MMWR_RATING_RO_ROLLUP],0),MATCH(I$9,MMWR_RATING_RO_ROLLUP[#Headers],0)),"ERROR"))</f>
        <v>139.3936026586</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3448</v>
      </c>
      <c r="D46" s="155">
        <f>IF($B46=" ","",IFERROR(INDEX(MMWR_RATING_RO_ROLLUP[],MATCH($B46,MMWR_RATING_RO_ROLLUP[MMWR_RATING_RO_ROLLUP],0),MATCH(D$9,MMWR_RATING_RO_ROLLUP[#Headers],0)),"ERROR"))</f>
        <v>71.610788863099998</v>
      </c>
      <c r="E46" s="156">
        <f>IF($B46=" ","",IFERROR(INDEX(MMWR_RATING_RO_ROLLUP[],MATCH($B46,MMWR_RATING_RO_ROLLUP[MMWR_RATING_RO_ROLLUP],0),MATCH(E$9,MMWR_RATING_RO_ROLLUP[#Headers],0))/$C46,"ERROR"))</f>
        <v>0.1716937354988399</v>
      </c>
      <c r="F46" s="154">
        <f>IF($B46=" ","",IFERROR(INDEX(MMWR_RATING_RO_ROLLUP[],MATCH($B46,MMWR_RATING_RO_ROLLUP[MMWR_RATING_RO_ROLLUP],0),MATCH(F$9,MMWR_RATING_RO_ROLLUP[#Headers],0)),"ERROR"))</f>
        <v>550</v>
      </c>
      <c r="G46" s="154">
        <f>IF($B46=" ","",IFERROR(INDEX(MMWR_RATING_RO_ROLLUP[],MATCH($B46,MMWR_RATING_RO_ROLLUP[MMWR_RATING_RO_ROLLUP],0),MATCH(G$9,MMWR_RATING_RO_ROLLUP[#Headers],0)),"ERROR"))</f>
        <v>4069</v>
      </c>
      <c r="H46" s="155">
        <f>IF($B46=" ","",IFERROR(INDEX(MMWR_RATING_RO_ROLLUP[],MATCH($B46,MMWR_RATING_RO_ROLLUP[MMWR_RATING_RO_ROLLUP],0),MATCH(H$9,MMWR_RATING_RO_ROLLUP[#Headers],0)),"ERROR"))</f>
        <v>137.92727272729999</v>
      </c>
      <c r="I46" s="155">
        <f>IF($B46=" ","",IFERROR(INDEX(MMWR_RATING_RO_ROLLUP[],MATCH($B46,MMWR_RATING_RO_ROLLUP[MMWR_RATING_RO_ROLLUP],0),MATCH(I$9,MMWR_RATING_RO_ROLLUP[#Headers],0)),"ERROR"))</f>
        <v>127.4639960678</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5029</v>
      </c>
      <c r="D47" s="155">
        <f>IF($B47=" ","",IFERROR(INDEX(MMWR_RATING_RO_ROLLUP[],MATCH($B47,MMWR_RATING_RO_ROLLUP[MMWR_RATING_RO_ROLLUP],0),MATCH(D$9,MMWR_RATING_RO_ROLLUP[#Headers],0)),"ERROR"))</f>
        <v>83.781069795199997</v>
      </c>
      <c r="E47" s="156">
        <f>IF($B47=" ","",IFERROR(INDEX(MMWR_RATING_RO_ROLLUP[],MATCH($B47,MMWR_RATING_RO_ROLLUP[MMWR_RATING_RO_ROLLUP],0),MATCH(E$9,MMWR_RATING_RO_ROLLUP[#Headers],0))/$C47,"ERROR"))</f>
        <v>0.22151521177172401</v>
      </c>
      <c r="F47" s="154">
        <f>IF($B47=" ","",IFERROR(INDEX(MMWR_RATING_RO_ROLLUP[],MATCH($B47,MMWR_RATING_RO_ROLLUP[MMWR_RATING_RO_ROLLUP],0),MATCH(F$9,MMWR_RATING_RO_ROLLUP[#Headers],0)),"ERROR"))</f>
        <v>736</v>
      </c>
      <c r="G47" s="154">
        <f>IF($B47=" ","",IFERROR(INDEX(MMWR_RATING_RO_ROLLUP[],MATCH($B47,MMWR_RATING_RO_ROLLUP[MMWR_RATING_RO_ROLLUP],0),MATCH(G$9,MMWR_RATING_RO_ROLLUP[#Headers],0)),"ERROR"))</f>
        <v>4257</v>
      </c>
      <c r="H47" s="155">
        <f>IF($B47=" ","",IFERROR(INDEX(MMWR_RATING_RO_ROLLUP[],MATCH($B47,MMWR_RATING_RO_ROLLUP[MMWR_RATING_RO_ROLLUP],0),MATCH(H$9,MMWR_RATING_RO_ROLLUP[#Headers],0)),"ERROR"))</f>
        <v>156.58559782610001</v>
      </c>
      <c r="I47" s="155">
        <f>IF($B47=" ","",IFERROR(INDEX(MMWR_RATING_RO_ROLLUP[],MATCH($B47,MMWR_RATING_RO_ROLLUP[MMWR_RATING_RO_ROLLUP],0),MATCH(I$9,MMWR_RATING_RO_ROLLUP[#Headers],0)),"ERROR"))</f>
        <v>152.2428940568</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2460</v>
      </c>
      <c r="D48" s="155">
        <f>IF($B48=" ","",IFERROR(INDEX(MMWR_RATING_RO_ROLLUP[],MATCH($B48,MMWR_RATING_RO_ROLLUP[MMWR_RATING_RO_ROLLUP],0),MATCH(D$9,MMWR_RATING_RO_ROLLUP[#Headers],0)),"ERROR"))</f>
        <v>121.46300813009999</v>
      </c>
      <c r="E48" s="156">
        <f>IF($B48=" ","",IFERROR(INDEX(MMWR_RATING_RO_ROLLUP[],MATCH($B48,MMWR_RATING_RO_ROLLUP[MMWR_RATING_RO_ROLLUP],0),MATCH(E$9,MMWR_RATING_RO_ROLLUP[#Headers],0))/$C48,"ERROR"))</f>
        <v>0.43902439024390244</v>
      </c>
      <c r="F48" s="154">
        <f>IF($B48=" ","",IFERROR(INDEX(MMWR_RATING_RO_ROLLUP[],MATCH($B48,MMWR_RATING_RO_ROLLUP[MMWR_RATING_RO_ROLLUP],0),MATCH(F$9,MMWR_RATING_RO_ROLLUP[#Headers],0)),"ERROR"))</f>
        <v>250</v>
      </c>
      <c r="G48" s="154">
        <f>IF($B48=" ","",IFERROR(INDEX(MMWR_RATING_RO_ROLLUP[],MATCH($B48,MMWR_RATING_RO_ROLLUP[MMWR_RATING_RO_ROLLUP],0),MATCH(G$9,MMWR_RATING_RO_ROLLUP[#Headers],0)),"ERROR"))</f>
        <v>1303</v>
      </c>
      <c r="H48" s="155">
        <f>IF($B48=" ","",IFERROR(INDEX(MMWR_RATING_RO_ROLLUP[],MATCH($B48,MMWR_RATING_RO_ROLLUP[MMWR_RATING_RO_ROLLUP],0),MATCH(H$9,MMWR_RATING_RO_ROLLUP[#Headers],0)),"ERROR"))</f>
        <v>152.08799999999999</v>
      </c>
      <c r="I48" s="155">
        <f>IF($B48=" ","",IFERROR(INDEX(MMWR_RATING_RO_ROLLUP[],MATCH($B48,MMWR_RATING_RO_ROLLUP[MMWR_RATING_RO_ROLLUP],0),MATCH(I$9,MMWR_RATING_RO_ROLLUP[#Headers],0)),"ERROR"))</f>
        <v>134.66768994629999</v>
      </c>
      <c r="J48" s="42"/>
      <c r="K48" s="42"/>
      <c r="L48" s="42"/>
      <c r="M48" s="42"/>
      <c r="N48" s="42"/>
      <c r="O48" s="42"/>
      <c r="P48" s="28"/>
    </row>
    <row r="49" spans="1:16" ht="15.75" x14ac:dyDescent="0.25">
      <c r="A49" s="25"/>
      <c r="B49" s="340" t="s">
        <v>1052</v>
      </c>
      <c r="C49" s="340"/>
      <c r="D49" s="340"/>
      <c r="E49" s="340"/>
      <c r="F49" s="340"/>
      <c r="G49" s="340"/>
      <c r="H49" s="340"/>
      <c r="I49" s="340"/>
      <c r="J49" s="340"/>
      <c r="K49" s="340"/>
      <c r="L49" s="340"/>
      <c r="M49" s="340"/>
      <c r="N49" s="340"/>
      <c r="O49" s="261"/>
      <c r="P49" s="28"/>
    </row>
    <row r="50" spans="1:16" ht="12" customHeight="1" x14ac:dyDescent="0.2">
      <c r="A50" s="25"/>
      <c r="B50" s="26"/>
      <c r="C50" s="26"/>
      <c r="D50" s="26"/>
      <c r="E50" s="26"/>
      <c r="F50" s="26"/>
      <c r="G50" s="26"/>
      <c r="H50" s="26"/>
      <c r="I50" s="26"/>
      <c r="J50" s="26"/>
      <c r="K50" s="27" t="s">
        <v>923</v>
      </c>
      <c r="L50" s="27" t="s">
        <v>928</v>
      </c>
      <c r="M50" s="27" t="s">
        <v>929</v>
      </c>
      <c r="N50" s="27" t="s">
        <v>930</v>
      </c>
      <c r="O50" s="27" t="s">
        <v>931</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294</v>
      </c>
      <c r="D2" s="356"/>
      <c r="E2" s="356"/>
      <c r="F2" s="356"/>
      <c r="G2" s="356"/>
      <c r="H2" s="356"/>
      <c r="I2" s="356"/>
      <c r="J2" s="355" t="s">
        <v>300</v>
      </c>
      <c r="K2" s="356"/>
      <c r="L2" s="356"/>
      <c r="M2" s="357"/>
      <c r="N2" s="28"/>
    </row>
    <row r="3" spans="1:16" ht="24" customHeight="1" thickBot="1" x14ac:dyDescent="0.4">
      <c r="A3" s="25"/>
      <c r="B3" s="29"/>
      <c r="C3" s="358"/>
      <c r="D3" s="359"/>
      <c r="E3" s="359"/>
      <c r="F3" s="359"/>
      <c r="G3" s="359"/>
      <c r="H3" s="359"/>
      <c r="I3" s="359"/>
      <c r="J3" s="358" t="str">
        <f>Transformation!B4</f>
        <v>As of: February 20, 2016</v>
      </c>
      <c r="K3" s="359"/>
      <c r="L3" s="359"/>
      <c r="M3" s="360"/>
      <c r="N3" s="28"/>
    </row>
    <row r="4" spans="1:16" ht="51" customHeight="1" thickBot="1" x14ac:dyDescent="0.35">
      <c r="A4" s="30"/>
      <c r="B4" s="246" t="s">
        <v>456</v>
      </c>
      <c r="C4" s="361" t="s">
        <v>971</v>
      </c>
      <c r="D4" s="362"/>
      <c r="E4" s="362"/>
      <c r="F4" s="362"/>
      <c r="G4" s="362"/>
      <c r="H4" s="362"/>
      <c r="I4" s="362"/>
      <c r="J4" s="362"/>
      <c r="K4" s="362"/>
      <c r="L4" s="362"/>
      <c r="M4" s="363"/>
      <c r="N4" s="28"/>
      <c r="O4" s="22"/>
      <c r="P4" s="23"/>
    </row>
    <row r="5" spans="1:16" ht="27" customHeight="1" thickBot="1" x14ac:dyDescent="0.25">
      <c r="A5" s="30"/>
      <c r="B5" s="48"/>
      <c r="C5" s="364" t="s">
        <v>1043</v>
      </c>
      <c r="D5" s="365"/>
      <c r="E5" s="365"/>
      <c r="F5" s="365"/>
      <c r="G5" s="365"/>
      <c r="H5" s="365"/>
      <c r="I5" s="365"/>
      <c r="J5" s="365"/>
      <c r="K5" s="365"/>
      <c r="L5" s="365"/>
      <c r="M5" s="365"/>
      <c r="N5" s="365"/>
      <c r="O5" s="366"/>
    </row>
    <row r="6" spans="1:16"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6"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6"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6" x14ac:dyDescent="0.2">
      <c r="A9" s="28"/>
      <c r="B9" s="28"/>
      <c r="C9" s="39" t="s">
        <v>700</v>
      </c>
      <c r="D9" s="39" t="s">
        <v>702</v>
      </c>
      <c r="E9" s="39" t="s">
        <v>701</v>
      </c>
      <c r="F9" s="39" t="s">
        <v>704</v>
      </c>
      <c r="G9" s="39" t="s">
        <v>703</v>
      </c>
      <c r="H9" s="39" t="s">
        <v>714</v>
      </c>
      <c r="I9" s="39" t="s">
        <v>713</v>
      </c>
      <c r="J9" s="39"/>
      <c r="K9" s="39"/>
      <c r="L9" s="39"/>
      <c r="M9" s="39"/>
      <c r="N9" s="28"/>
    </row>
    <row r="10" spans="1:16" ht="15.75" customHeight="1" x14ac:dyDescent="0.2">
      <c r="A10" s="25"/>
      <c r="B10" s="26"/>
      <c r="C10" s="349" t="s">
        <v>293</v>
      </c>
      <c r="D10" s="349"/>
      <c r="E10" s="349"/>
      <c r="F10" s="349"/>
      <c r="G10" s="349"/>
      <c r="H10" s="349"/>
      <c r="I10" s="349"/>
      <c r="J10" s="349"/>
      <c r="K10" s="349"/>
      <c r="L10" s="349"/>
      <c r="M10" s="391"/>
      <c r="N10" s="28"/>
    </row>
    <row r="11" spans="1:16" ht="64.5" customHeight="1" x14ac:dyDescent="0.2">
      <c r="A11" s="25"/>
      <c r="B11" s="26"/>
      <c r="C11" s="52" t="s">
        <v>226</v>
      </c>
      <c r="D11" s="52" t="s">
        <v>134</v>
      </c>
      <c r="E11" s="52" t="s">
        <v>227</v>
      </c>
      <c r="F11" s="52" t="s">
        <v>189</v>
      </c>
      <c r="G11" s="52" t="s">
        <v>204</v>
      </c>
      <c r="H11" s="52" t="s">
        <v>206</v>
      </c>
      <c r="I11" s="52" t="s">
        <v>207</v>
      </c>
      <c r="J11" s="393" t="s">
        <v>972</v>
      </c>
      <c r="K11" s="394"/>
      <c r="L11" s="394"/>
      <c r="M11" s="395"/>
      <c r="N11" s="28"/>
    </row>
    <row r="12" spans="1:16" x14ac:dyDescent="0.2">
      <c r="A12" s="25"/>
      <c r="B12" s="41" t="s">
        <v>730</v>
      </c>
      <c r="C12" s="154">
        <f>IF($B12=" ","",IFERROR(INDEX(MMWR_RATING_RO_ROLLUP[],MATCH($B12,MMWR_RATING_RO_ROLLUP[MMWR_RATING_RO_ROLLUP],0),MATCH(C$9,MMWR_RATING_RO_ROLLUP[#Headers],0)),"ERROR"))</f>
        <v>353838</v>
      </c>
      <c r="D12" s="155">
        <f>IF($B12=" ","",IFERROR(INDEX(MMWR_RATING_RO_ROLLUP[],MATCH($B12,MMWR_RATING_RO_ROLLUP[MMWR_RATING_RO_ROLLUP],0),MATCH(D$9,MMWR_RATING_RO_ROLLUP[#Headers],0)),"ERROR"))</f>
        <v>92.506112967000007</v>
      </c>
      <c r="E12" s="156">
        <f>IF($B12=" ","",IFERROR(INDEX(MMWR_RATING_RO_ROLLUP[],MATCH($B12,MMWR_RATING_RO_ROLLUP[MMWR_RATING_RO_ROLLUP],0),MATCH(E$9,MMWR_RATING_RO_ROLLUP[#Headers],0))/$C12,"ERROR"))</f>
        <v>0.23299928215737145</v>
      </c>
      <c r="F12" s="154">
        <f>IF($B12=" ","",IFERROR(INDEX(MMWR_RATING_RO_ROLLUP[],MATCH($B12,MMWR_RATING_RO_ROLLUP[MMWR_RATING_RO_ROLLUP],0),MATCH(F$9,MMWR_RATING_RO_ROLLUP[#Headers],0)),"ERROR"))</f>
        <v>69206</v>
      </c>
      <c r="G12" s="154">
        <f>IF($B12=" ","",IFERROR(INDEX(MMWR_RATING_RO_ROLLUP[],MATCH($B12,MMWR_RATING_RO_ROLLUP[MMWR_RATING_RO_ROLLUP],0),MATCH(G$9,MMWR_RATING_RO_ROLLUP[#Headers],0)),"ERROR"))</f>
        <v>478709</v>
      </c>
      <c r="H12" s="155">
        <f>IF($B12=" ","",IFERROR(INDEX(MMWR_RATING_RO_ROLLUP[],MATCH($B12,MMWR_RATING_RO_ROLLUP[MMWR_RATING_RO_ROLLUP],0),MATCH(H$9,MMWR_RATING_RO_ROLLUP[#Headers],0)),"ERROR"))</f>
        <v>126.2427824177</v>
      </c>
      <c r="I12" s="155">
        <f>IF($B12=" ","",IFERROR(INDEX(MMWR_RATING_RO_ROLLUP[],MATCH($B12,MMWR_RATING_RO_ROLLUP[MMWR_RATING_RO_ROLLUP],0),MATCH(I$9,MMWR_RATING_RO_ROLLUP[#Headers],0)),"ERROR"))</f>
        <v>127.8952683154</v>
      </c>
      <c r="J12" s="42"/>
      <c r="K12" s="42"/>
      <c r="L12" s="42"/>
      <c r="M12" s="42"/>
      <c r="N12" s="28"/>
    </row>
    <row r="13" spans="1:16" x14ac:dyDescent="0.2">
      <c r="A13" s="25"/>
      <c r="B13" s="341" t="s">
        <v>733</v>
      </c>
      <c r="C13" s="342"/>
      <c r="D13" s="342"/>
      <c r="E13" s="342"/>
      <c r="F13" s="342"/>
      <c r="G13" s="342"/>
      <c r="H13" s="342"/>
      <c r="I13" s="342"/>
      <c r="J13" s="342"/>
      <c r="K13" s="342"/>
      <c r="L13" s="342"/>
      <c r="M13" s="392"/>
      <c r="N13" s="28"/>
    </row>
    <row r="14" spans="1:16" x14ac:dyDescent="0.2">
      <c r="A14" s="25"/>
      <c r="B14" s="41" t="s">
        <v>729</v>
      </c>
      <c r="C14" s="154">
        <f>IF($B14=" ","",IFERROR(INDEX(MMWR_RATING_RO_ROLLUP[],MATCH($B14,MMWR_RATING_RO_ROLLUP[MMWR_RATING_RO_ROLLUP],0),MATCH(C$9,MMWR_RATING_RO_ROLLUP[#Headers],0)),"ERROR"))</f>
        <v>305792</v>
      </c>
      <c r="D14" s="155">
        <f>IF($B14=" ","",IFERROR(INDEX(MMWR_RATING_RO_ROLLUP[],MATCH($B14,MMWR_RATING_RO_ROLLUP[MMWR_RATING_RO_ROLLUP],0),MATCH(D$9,MMWR_RATING_RO_ROLLUP[#Headers],0)),"ERROR"))</f>
        <v>94.567143679400004</v>
      </c>
      <c r="E14" s="156">
        <f>IF($B14=" ","",IFERROR(INDEX(MMWR_RATING_RO_ROLLUP[],MATCH($B14,MMWR_RATING_RO_ROLLUP[MMWR_RATING_RO_ROLLUP],0),MATCH(E$9,MMWR_RATING_RO_ROLLUP[#Headers],0))/$C14,"ERROR"))</f>
        <v>0.23996376622017582</v>
      </c>
      <c r="F14" s="154">
        <f>IF($B14=" ","",IFERROR(INDEX(MMWR_RATING_RO_ROLLUP[],MATCH($B14,MMWR_RATING_RO_ROLLUP[MMWR_RATING_RO_ROLLUP],0),MATCH(F$9,MMWR_RATING_RO_ROLLUP[#Headers],0)),"ERROR"))</f>
        <v>58496</v>
      </c>
      <c r="G14" s="154">
        <f>IF($B14=" ","",IFERROR(INDEX(MMWR_RATING_RO_ROLLUP[],MATCH($B14,MMWR_RATING_RO_ROLLUP[MMWR_RATING_RO_ROLLUP],0),MATCH(G$9,MMWR_RATING_RO_ROLLUP[#Headers],0)),"ERROR"))</f>
        <v>405664</v>
      </c>
      <c r="H14" s="155">
        <f>IF($B14=" ","",IFERROR(INDEX(MMWR_RATING_RO_ROLLUP[],MATCH($B14,MMWR_RATING_RO_ROLLUP[MMWR_RATING_RO_ROLLUP],0),MATCH(H$9,MMWR_RATING_RO_ROLLUP[#Headers],0)),"ERROR"))</f>
        <v>130.73505880740001</v>
      </c>
      <c r="I14" s="155">
        <f>IF($B14=" ","",IFERROR(INDEX(MMWR_RATING_RO_ROLLUP[],MATCH($B14,MMWR_RATING_RO_ROLLUP[MMWR_RATING_RO_ROLLUP],0),MATCH(I$9,MMWR_RATING_RO_ROLLUP[#Headers],0)),"ERROR"))</f>
        <v>134.51686370990001</v>
      </c>
      <c r="J14" s="42"/>
      <c r="K14" s="42"/>
      <c r="L14" s="42"/>
      <c r="M14" s="42"/>
      <c r="N14" s="28"/>
    </row>
    <row r="15" spans="1:16" x14ac:dyDescent="0.2">
      <c r="A15" s="25"/>
      <c r="B15" s="247" t="s">
        <v>370</v>
      </c>
      <c r="C15" s="154">
        <f>IF($B15=" ","",IFERROR(INDEX(MMWR_RATING_RO_ROLLUP[],MATCH($B15,MMWR_RATING_RO_ROLLUP[MMWR_RATING_RO_ROLLUP],0),MATCH(C$9,MMWR_RATING_RO_ROLLUP[#Headers],0)),"ERROR"))</f>
        <v>68873</v>
      </c>
      <c r="D15" s="155">
        <f>IF($B15=" ","",IFERROR(INDEX(MMWR_RATING_RO_ROLLUP[],MATCH($B15,MMWR_RATING_RO_ROLLUP[MMWR_RATING_RO_ROLLUP],0),MATCH(D$9,MMWR_RATING_RO_ROLLUP[#Headers],0)),"ERROR"))</f>
        <v>97.531253176099995</v>
      </c>
      <c r="E15" s="156">
        <f>IF($B15=" ","",IFERROR(INDEX(MMWR_RATING_RO_ROLLUP[],MATCH($B15,MMWR_RATING_RO_ROLLUP[MMWR_RATING_RO_ROLLUP],0),MATCH(E$9,MMWR_RATING_RO_ROLLUP[#Headers],0))/$C15,"ERROR"))</f>
        <v>0.25478779783079003</v>
      </c>
      <c r="F15" s="154">
        <f>IF($B15=" ","",IFERROR(INDEX(MMWR_RATING_RO_ROLLUP[],MATCH($B15,MMWR_RATING_RO_ROLLUP[MMWR_RATING_RO_ROLLUP],0),MATCH(F$9,MMWR_RATING_RO_ROLLUP[#Headers],0)),"ERROR"))</f>
        <v>12742</v>
      </c>
      <c r="G15" s="154">
        <f>IF($B15=" ","",IFERROR(INDEX(MMWR_RATING_RO_ROLLUP[],MATCH($B15,MMWR_RATING_RO_ROLLUP[MMWR_RATING_RO_ROLLUP],0),MATCH(G$9,MMWR_RATING_RO_ROLLUP[#Headers],0)),"ERROR"))</f>
        <v>88608</v>
      </c>
      <c r="H15" s="155">
        <f>IF($B15=" ","",IFERROR(INDEX(MMWR_RATING_RO_ROLLUP[],MATCH($B15,MMWR_RATING_RO_ROLLUP[MMWR_RATING_RO_ROLLUP],0),MATCH(H$9,MMWR_RATING_RO_ROLLUP[#Headers],0)),"ERROR"))</f>
        <v>131.7913985246</v>
      </c>
      <c r="I15" s="155">
        <f>IF($B15=" ","",IFERROR(INDEX(MMWR_RATING_RO_ROLLUP[],MATCH($B15,MMWR_RATING_RO_ROLLUP[MMWR_RATING_RO_ROLLUP],0),MATCH(I$9,MMWR_RATING_RO_ROLLUP[#Headers],0)),"ERROR"))</f>
        <v>135.5391386782</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4432</v>
      </c>
      <c r="D16" s="155">
        <f>IF($B16=" ","",IFERROR(INDEX(MMWR_RATING_RO_ROLLUP[],MATCH($B16,MMWR_RATING_RO_ROLLUP[MMWR_RATING_RO_ROLLUP],0),MATCH(D$9,MMWR_RATING_RO_ROLLUP[#Headers],0)),"ERROR"))</f>
        <v>102.2249548736</v>
      </c>
      <c r="E16" s="156">
        <f>IF($B16=" ","",IFERROR(INDEX(MMWR_RATING_RO_ROLLUP[],MATCH($B16,MMWR_RATING_RO_ROLLUP[MMWR_RATING_RO_ROLLUP],0),MATCH(E$9,MMWR_RATING_RO_ROLLUP[#Headers],0))/$C16,"ERROR"))</f>
        <v>0.2515794223826715</v>
      </c>
      <c r="F16" s="154">
        <f>IF($B16=" ","",IFERROR(INDEX(MMWR_RATING_RO_ROLLUP[],MATCH($B16,MMWR_RATING_RO_ROLLUP[MMWR_RATING_RO_ROLLUP],0),MATCH(F$9,MMWR_RATING_RO_ROLLUP[#Headers],0)),"ERROR"))</f>
        <v>729</v>
      </c>
      <c r="G16" s="154">
        <f>IF($B16=" ","",IFERROR(INDEX(MMWR_RATING_RO_ROLLUP[],MATCH($B16,MMWR_RATING_RO_ROLLUP[MMWR_RATING_RO_ROLLUP],0),MATCH(G$9,MMWR_RATING_RO_ROLLUP[#Headers],0)),"ERROR"))</f>
        <v>5626</v>
      </c>
      <c r="H16" s="155">
        <f>IF($B16=" ","",IFERROR(INDEX(MMWR_RATING_RO_ROLLUP[],MATCH($B16,MMWR_RATING_RO_ROLLUP[MMWR_RATING_RO_ROLLUP],0),MATCH(H$9,MMWR_RATING_RO_ROLLUP[#Headers],0)),"ERROR"))</f>
        <v>147.18655692729999</v>
      </c>
      <c r="I16" s="155">
        <f>IF($B16=" ","",IFERROR(INDEX(MMWR_RATING_RO_ROLLUP[],MATCH($B16,MMWR_RATING_RO_ROLLUP[MMWR_RATING_RO_ROLLUP],0),MATCH(I$9,MMWR_RATING_RO_ROLLUP[#Headers],0)),"ERROR"))</f>
        <v>145.9235691433</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3712</v>
      </c>
      <c r="D17" s="155">
        <f>IF($B17=" ","",IFERROR(INDEX(MMWR_RATING_RO_ROLLUP[],MATCH($B17,MMWR_RATING_RO_ROLLUP[MMWR_RATING_RO_ROLLUP],0),MATCH(D$9,MMWR_RATING_RO_ROLLUP[#Headers],0)),"ERROR"))</f>
        <v>95.794719827600005</v>
      </c>
      <c r="E17" s="156">
        <f>IF($B17=" ","",IFERROR(INDEX(MMWR_RATING_RO_ROLLUP[],MATCH($B17,MMWR_RATING_RO_ROLLUP[MMWR_RATING_RO_ROLLUP],0),MATCH(E$9,MMWR_RATING_RO_ROLLUP[#Headers],0))/$C17,"ERROR"))</f>
        <v>0.24703663793103448</v>
      </c>
      <c r="F17" s="154">
        <f>IF($B17=" ","",IFERROR(INDEX(MMWR_RATING_RO_ROLLUP[],MATCH($B17,MMWR_RATING_RO_ROLLUP[MMWR_RATING_RO_ROLLUP],0),MATCH(F$9,MMWR_RATING_RO_ROLLUP[#Headers],0)),"ERROR"))</f>
        <v>477</v>
      </c>
      <c r="G17" s="154">
        <f>IF($B17=" ","",IFERROR(INDEX(MMWR_RATING_RO_ROLLUP[],MATCH($B17,MMWR_RATING_RO_ROLLUP[MMWR_RATING_RO_ROLLUP],0),MATCH(G$9,MMWR_RATING_RO_ROLLUP[#Headers],0)),"ERROR"))</f>
        <v>4073</v>
      </c>
      <c r="H17" s="155">
        <f>IF($B17=" ","",IFERROR(INDEX(MMWR_RATING_RO_ROLLUP[],MATCH($B17,MMWR_RATING_RO_ROLLUP[MMWR_RATING_RO_ROLLUP],0),MATCH(H$9,MMWR_RATING_RO_ROLLUP[#Headers],0)),"ERROR"))</f>
        <v>144.4067085954</v>
      </c>
      <c r="I17" s="155">
        <f>IF($B17=" ","",IFERROR(INDEX(MMWR_RATING_RO_ROLLUP[],MATCH($B17,MMWR_RATING_RO_ROLLUP[MMWR_RATING_RO_ROLLUP],0),MATCH(I$9,MMWR_RATING_RO_ROLLUP[#Headers],0)),"ERROR"))</f>
        <v>132.7056223914</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3785</v>
      </c>
      <c r="D18" s="155">
        <f>IF($B18=" ","",IFERROR(INDEX(MMWR_RATING_RO_ROLLUP[],MATCH($B18,MMWR_RATING_RO_ROLLUP[MMWR_RATING_RO_ROLLUP],0),MATCH(D$9,MMWR_RATING_RO_ROLLUP[#Headers],0)),"ERROR"))</f>
        <v>87.642800528400002</v>
      </c>
      <c r="E18" s="156">
        <f>IF($B18=" ","",IFERROR(INDEX(MMWR_RATING_RO_ROLLUP[],MATCH($B18,MMWR_RATING_RO_ROLLUP[MMWR_RATING_RO_ROLLUP],0),MATCH(E$9,MMWR_RATING_RO_ROLLUP[#Headers],0))/$C18,"ERROR"))</f>
        <v>0.1809775429326288</v>
      </c>
      <c r="F18" s="154">
        <f>IF($B18=" ","",IFERROR(INDEX(MMWR_RATING_RO_ROLLUP[],MATCH($B18,MMWR_RATING_RO_ROLLUP[MMWR_RATING_RO_ROLLUP],0),MATCH(F$9,MMWR_RATING_RO_ROLLUP[#Headers],0)),"ERROR"))</f>
        <v>654</v>
      </c>
      <c r="G18" s="154">
        <f>IF($B18=" ","",IFERROR(INDEX(MMWR_RATING_RO_ROLLUP[],MATCH($B18,MMWR_RATING_RO_ROLLUP[MMWR_RATING_RO_ROLLUP],0),MATCH(G$9,MMWR_RATING_RO_ROLLUP[#Headers],0)),"ERROR"))</f>
        <v>4879</v>
      </c>
      <c r="H18" s="155">
        <f>IF($B18=" ","",IFERROR(INDEX(MMWR_RATING_RO_ROLLUP[],MATCH($B18,MMWR_RATING_RO_ROLLUP[MMWR_RATING_RO_ROLLUP],0),MATCH(H$9,MMWR_RATING_RO_ROLLUP[#Headers],0)),"ERROR"))</f>
        <v>135.71253822630001</v>
      </c>
      <c r="I18" s="155">
        <f>IF($B18=" ","",IFERROR(INDEX(MMWR_RATING_RO_ROLLUP[],MATCH($B18,MMWR_RATING_RO_ROLLUP[MMWR_RATING_RO_ROLLUP],0),MATCH(I$9,MMWR_RATING_RO_ROLLUP[#Headers],0)),"ERROR"))</f>
        <v>146.40951014550001</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2019</v>
      </c>
      <c r="D19" s="155">
        <f>IF($B19=" ","",IFERROR(INDEX(MMWR_RATING_RO_ROLLUP[],MATCH($B19,MMWR_RATING_RO_ROLLUP[MMWR_RATING_RO_ROLLUP],0),MATCH(D$9,MMWR_RATING_RO_ROLLUP[#Headers],0)),"ERROR"))</f>
        <v>90.096582466599997</v>
      </c>
      <c r="E19" s="156">
        <f>IF($B19=" ","",IFERROR(INDEX(MMWR_RATING_RO_ROLLUP[],MATCH($B19,MMWR_RATING_RO_ROLLUP[MMWR_RATING_RO_ROLLUP],0),MATCH(E$9,MMWR_RATING_RO_ROLLUP[#Headers],0))/$C19,"ERROR"))</f>
        <v>0.21941555225359088</v>
      </c>
      <c r="F19" s="154">
        <f>IF($B19=" ","",IFERROR(INDEX(MMWR_RATING_RO_ROLLUP[],MATCH($B19,MMWR_RATING_RO_ROLLUP[MMWR_RATING_RO_ROLLUP],0),MATCH(F$9,MMWR_RATING_RO_ROLLUP[#Headers],0)),"ERROR"))</f>
        <v>316</v>
      </c>
      <c r="G19" s="154">
        <f>IF($B19=" ","",IFERROR(INDEX(MMWR_RATING_RO_ROLLUP[],MATCH($B19,MMWR_RATING_RO_ROLLUP[MMWR_RATING_RO_ROLLUP],0),MATCH(G$9,MMWR_RATING_RO_ROLLUP[#Headers],0)),"ERROR"))</f>
        <v>2270</v>
      </c>
      <c r="H19" s="155">
        <f>IF($B19=" ","",IFERROR(INDEX(MMWR_RATING_RO_ROLLUP[],MATCH($B19,MMWR_RATING_RO_ROLLUP[MMWR_RATING_RO_ROLLUP],0),MATCH(H$9,MMWR_RATING_RO_ROLLUP[#Headers],0)),"ERROR"))</f>
        <v>121.9367088608</v>
      </c>
      <c r="I19" s="155">
        <f>IF($B19=" ","",IFERROR(INDEX(MMWR_RATING_RO_ROLLUP[],MATCH($B19,MMWR_RATING_RO_ROLLUP[MMWR_RATING_RO_ROLLUP],0),MATCH(I$9,MMWR_RATING_RO_ROLLUP[#Headers],0)),"ERROR"))</f>
        <v>118.7268722467</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2674</v>
      </c>
      <c r="D20" s="155">
        <f>IF($B20=" ","",IFERROR(INDEX(MMWR_RATING_RO_ROLLUP[],MATCH($B20,MMWR_RATING_RO_ROLLUP[MMWR_RATING_RO_ROLLUP],0),MATCH(D$9,MMWR_RATING_RO_ROLLUP[#Headers],0)),"ERROR"))</f>
        <v>86.9326851159</v>
      </c>
      <c r="E20" s="156">
        <f>IF($B20=" ","",IFERROR(INDEX(MMWR_RATING_RO_ROLLUP[],MATCH($B20,MMWR_RATING_RO_ROLLUP[MMWR_RATING_RO_ROLLUP],0),MATCH(E$9,MMWR_RATING_RO_ROLLUP[#Headers],0))/$C20,"ERROR"))</f>
        <v>0.20044876589379207</v>
      </c>
      <c r="F20" s="154">
        <f>IF($B20=" ","",IFERROR(INDEX(MMWR_RATING_RO_ROLLUP[],MATCH($B20,MMWR_RATING_RO_ROLLUP[MMWR_RATING_RO_ROLLUP],0),MATCH(F$9,MMWR_RATING_RO_ROLLUP[#Headers],0)),"ERROR"))</f>
        <v>410</v>
      </c>
      <c r="G20" s="154">
        <f>IF($B20=" ","",IFERROR(INDEX(MMWR_RATING_RO_ROLLUP[],MATCH($B20,MMWR_RATING_RO_ROLLUP[MMWR_RATING_RO_ROLLUP],0),MATCH(G$9,MMWR_RATING_RO_ROLLUP[#Headers],0)),"ERROR"))</f>
        <v>3122</v>
      </c>
      <c r="H20" s="155">
        <f>IF($B20=" ","",IFERROR(INDEX(MMWR_RATING_RO_ROLLUP[],MATCH($B20,MMWR_RATING_RO_ROLLUP[MMWR_RATING_RO_ROLLUP],0),MATCH(H$9,MMWR_RATING_RO_ROLLUP[#Headers],0)),"ERROR"))</f>
        <v>131.712195122</v>
      </c>
      <c r="I20" s="155">
        <f>IF($B20=" ","",IFERROR(INDEX(MMWR_RATING_RO_ROLLUP[],MATCH($B20,MMWR_RATING_RO_ROLLUP[MMWR_RATING_RO_ROLLUP],0),MATCH(I$9,MMWR_RATING_RO_ROLLUP[#Headers],0)),"ERROR"))</f>
        <v>119.89814221650001</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1098</v>
      </c>
      <c r="D21" s="155">
        <f>IF($B21=" ","",IFERROR(INDEX(MMWR_RATING_RO_ROLLUP[],MATCH($B21,MMWR_RATING_RO_ROLLUP[MMWR_RATING_RO_ROLLUP],0),MATCH(D$9,MMWR_RATING_RO_ROLLUP[#Headers],0)),"ERROR"))</f>
        <v>94.899817850600002</v>
      </c>
      <c r="E21" s="156">
        <f>IF($B21=" ","",IFERROR(INDEX(MMWR_RATING_RO_ROLLUP[],MATCH($B21,MMWR_RATING_RO_ROLLUP[MMWR_RATING_RO_ROLLUP],0),MATCH(E$9,MMWR_RATING_RO_ROLLUP[#Headers],0))/$C21,"ERROR"))</f>
        <v>0.20127504553734063</v>
      </c>
      <c r="F21" s="154">
        <f>IF($B21=" ","",IFERROR(INDEX(MMWR_RATING_RO_ROLLUP[],MATCH($B21,MMWR_RATING_RO_ROLLUP[MMWR_RATING_RO_ROLLUP],0),MATCH(F$9,MMWR_RATING_RO_ROLLUP[#Headers],0)),"ERROR"))</f>
        <v>200</v>
      </c>
      <c r="G21" s="154">
        <f>IF($B21=" ","",IFERROR(INDEX(MMWR_RATING_RO_ROLLUP[],MATCH($B21,MMWR_RATING_RO_ROLLUP[MMWR_RATING_RO_ROLLUP],0),MATCH(G$9,MMWR_RATING_RO_ROLLUP[#Headers],0)),"ERROR"))</f>
        <v>1482</v>
      </c>
      <c r="H21" s="155">
        <f>IF($B21=" ","",IFERROR(INDEX(MMWR_RATING_RO_ROLLUP[],MATCH($B21,MMWR_RATING_RO_ROLLUP[MMWR_RATING_RO_ROLLUP],0),MATCH(H$9,MMWR_RATING_RO_ROLLUP[#Headers],0)),"ERROR"))</f>
        <v>151.36000000000001</v>
      </c>
      <c r="I21" s="155">
        <f>IF($B21=" ","",IFERROR(INDEX(MMWR_RATING_RO_ROLLUP[],MATCH($B21,MMWR_RATING_RO_ROLLUP[MMWR_RATING_RO_ROLLUP],0),MATCH(I$9,MMWR_RATING_RO_ROLLUP[#Headers],0)),"ERROR"))</f>
        <v>137.27732793519999</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4686</v>
      </c>
      <c r="D22" s="155">
        <f>IF($B22=" ","",IFERROR(INDEX(MMWR_RATING_RO_ROLLUP[],MATCH($B22,MMWR_RATING_RO_ROLLUP[MMWR_RATING_RO_ROLLUP],0),MATCH(D$9,MMWR_RATING_RO_ROLLUP[#Headers],0)),"ERROR"))</f>
        <v>100.89863422960001</v>
      </c>
      <c r="E22" s="156">
        <f>IF($B22=" ","",IFERROR(INDEX(MMWR_RATING_RO_ROLLUP[],MATCH($B22,MMWR_RATING_RO_ROLLUP[MMWR_RATING_RO_ROLLUP],0),MATCH(E$9,MMWR_RATING_RO_ROLLUP[#Headers],0))/$C22,"ERROR"))</f>
        <v>0.28339735381988901</v>
      </c>
      <c r="F22" s="154">
        <f>IF($B22=" ","",IFERROR(INDEX(MMWR_RATING_RO_ROLLUP[],MATCH($B22,MMWR_RATING_RO_ROLLUP[MMWR_RATING_RO_ROLLUP],0),MATCH(F$9,MMWR_RATING_RO_ROLLUP[#Headers],0)),"ERROR"))</f>
        <v>837</v>
      </c>
      <c r="G22" s="154">
        <f>IF($B22=" ","",IFERROR(INDEX(MMWR_RATING_RO_ROLLUP[],MATCH($B22,MMWR_RATING_RO_ROLLUP[MMWR_RATING_RO_ROLLUP],0),MATCH(G$9,MMWR_RATING_RO_ROLLUP[#Headers],0)),"ERROR"))</f>
        <v>5519</v>
      </c>
      <c r="H22" s="155">
        <f>IF($B22=" ","",IFERROR(INDEX(MMWR_RATING_RO_ROLLUP[],MATCH($B22,MMWR_RATING_RO_ROLLUP[MMWR_RATING_RO_ROLLUP],0),MATCH(H$9,MMWR_RATING_RO_ROLLUP[#Headers],0)),"ERROR"))</f>
        <v>126.70728793310001</v>
      </c>
      <c r="I22" s="155">
        <f>IF($B22=" ","",IFERROR(INDEX(MMWR_RATING_RO_ROLLUP[],MATCH($B22,MMWR_RATING_RO_ROLLUP[MMWR_RATING_RO_ROLLUP],0),MATCH(I$9,MMWR_RATING_RO_ROLLUP[#Headers],0)),"ERROR"))</f>
        <v>138.22920818989999</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2597</v>
      </c>
      <c r="D23" s="155">
        <f>IF($B23=" ","",IFERROR(INDEX(MMWR_RATING_RO_ROLLUP[],MATCH($B23,MMWR_RATING_RO_ROLLUP[MMWR_RATING_RO_ROLLUP],0),MATCH(D$9,MMWR_RATING_RO_ROLLUP[#Headers],0)),"ERROR"))</f>
        <v>88.5279168271</v>
      </c>
      <c r="E23" s="156">
        <f>IF($B23=" ","",IFERROR(INDEX(MMWR_RATING_RO_ROLLUP[],MATCH($B23,MMWR_RATING_RO_ROLLUP[MMWR_RATING_RO_ROLLUP],0),MATCH(E$9,MMWR_RATING_RO_ROLLUP[#Headers],0))/$C23,"ERROR"))</f>
        <v>0.215633423180593</v>
      </c>
      <c r="F23" s="154">
        <f>IF($B23=" ","",IFERROR(INDEX(MMWR_RATING_RO_ROLLUP[],MATCH($B23,MMWR_RATING_RO_ROLLUP[MMWR_RATING_RO_ROLLUP],0),MATCH(F$9,MMWR_RATING_RO_ROLLUP[#Headers],0)),"ERROR"))</f>
        <v>461</v>
      </c>
      <c r="G23" s="154">
        <f>IF($B23=" ","",IFERROR(INDEX(MMWR_RATING_RO_ROLLUP[],MATCH($B23,MMWR_RATING_RO_ROLLUP[MMWR_RATING_RO_ROLLUP],0),MATCH(G$9,MMWR_RATING_RO_ROLLUP[#Headers],0)),"ERROR"))</f>
        <v>3146</v>
      </c>
      <c r="H23" s="155">
        <f>IF($B23=" ","",IFERROR(INDEX(MMWR_RATING_RO_ROLLUP[],MATCH($B23,MMWR_RATING_RO_ROLLUP[MMWR_RATING_RO_ROLLUP],0),MATCH(H$9,MMWR_RATING_RO_ROLLUP[#Headers],0)),"ERROR"))</f>
        <v>136.2885032538</v>
      </c>
      <c r="I23" s="155">
        <f>IF($B23=" ","",IFERROR(INDEX(MMWR_RATING_RO_ROLLUP[],MATCH($B23,MMWR_RATING_RO_ROLLUP[MMWR_RATING_RO_ROLLUP],0),MATCH(I$9,MMWR_RATING_RO_ROLLUP[#Headers],0)),"ERROR"))</f>
        <v>140.97870311509999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7079</v>
      </c>
      <c r="D24" s="155">
        <f>IF($B24=" ","",IFERROR(INDEX(MMWR_RATING_RO_ROLLUP[],MATCH($B24,MMWR_RATING_RO_ROLLUP[MMWR_RATING_RO_ROLLUP],0),MATCH(D$9,MMWR_RATING_RO_ROLLUP[#Headers],0)),"ERROR"))</f>
        <v>117.19084616470001</v>
      </c>
      <c r="E24" s="156">
        <f>IF($B24=" ","",IFERROR(INDEX(MMWR_RATING_RO_ROLLUP[],MATCH($B24,MMWR_RATING_RO_ROLLUP[MMWR_RATING_RO_ROLLUP],0),MATCH(E$9,MMWR_RATING_RO_ROLLUP[#Headers],0))/$C24,"ERROR"))</f>
        <v>0.32730611668314735</v>
      </c>
      <c r="F24" s="154">
        <f>IF($B24=" ","",IFERROR(INDEX(MMWR_RATING_RO_ROLLUP[],MATCH($B24,MMWR_RATING_RO_ROLLUP[MMWR_RATING_RO_ROLLUP],0),MATCH(F$9,MMWR_RATING_RO_ROLLUP[#Headers],0)),"ERROR"))</f>
        <v>1356</v>
      </c>
      <c r="G24" s="154">
        <f>IF($B24=" ","",IFERROR(INDEX(MMWR_RATING_RO_ROLLUP[],MATCH($B24,MMWR_RATING_RO_ROLLUP[MMWR_RATING_RO_ROLLUP],0),MATCH(G$9,MMWR_RATING_RO_ROLLUP[#Headers],0)),"ERROR"))</f>
        <v>9679</v>
      </c>
      <c r="H24" s="155">
        <f>IF($B24=" ","",IFERROR(INDEX(MMWR_RATING_RO_ROLLUP[],MATCH($B24,MMWR_RATING_RO_ROLLUP[MMWR_RATING_RO_ROLLUP],0),MATCH(H$9,MMWR_RATING_RO_ROLLUP[#Headers],0)),"ERROR"))</f>
        <v>138.07669616519999</v>
      </c>
      <c r="I24" s="155">
        <f>IF($B24=" ","",IFERROR(INDEX(MMWR_RATING_RO_ROLLUP[],MATCH($B24,MMWR_RATING_RO_ROLLUP[MMWR_RATING_RO_ROLLUP],0),MATCH(I$9,MMWR_RATING_RO_ROLLUP[#Headers],0)),"ERROR"))</f>
        <v>149.91228432689999</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4562</v>
      </c>
      <c r="D25" s="155">
        <f>IF($B25=" ","",IFERROR(INDEX(MMWR_RATING_RO_ROLLUP[],MATCH($B25,MMWR_RATING_RO_ROLLUP[MMWR_RATING_RO_ROLLUP],0),MATCH(D$9,MMWR_RATING_RO_ROLLUP[#Headers],0)),"ERROR"))</f>
        <v>114.53989478299999</v>
      </c>
      <c r="E25" s="156">
        <f>IF($B25=" ","",IFERROR(INDEX(MMWR_RATING_RO_ROLLUP[],MATCH($B25,MMWR_RATING_RO_ROLLUP[MMWR_RATING_RO_ROLLUP],0),MATCH(E$9,MMWR_RATING_RO_ROLLUP[#Headers],0))/$C25,"ERROR"))</f>
        <v>0.32485751863217888</v>
      </c>
      <c r="F25" s="154">
        <f>IF($B25=" ","",IFERROR(INDEX(MMWR_RATING_RO_ROLLUP[],MATCH($B25,MMWR_RATING_RO_ROLLUP[MMWR_RATING_RO_ROLLUP],0),MATCH(F$9,MMWR_RATING_RO_ROLLUP[#Headers],0)),"ERROR"))</f>
        <v>701</v>
      </c>
      <c r="G25" s="154">
        <f>IF($B25=" ","",IFERROR(INDEX(MMWR_RATING_RO_ROLLUP[],MATCH($B25,MMWR_RATING_RO_ROLLUP[MMWR_RATING_RO_ROLLUP],0),MATCH(G$9,MMWR_RATING_RO_ROLLUP[#Headers],0)),"ERROR"))</f>
        <v>5159</v>
      </c>
      <c r="H25" s="155">
        <f>IF($B25=" ","",IFERROR(INDEX(MMWR_RATING_RO_ROLLUP[],MATCH($B25,MMWR_RATING_RO_ROLLUP[MMWR_RATING_RO_ROLLUP],0),MATCH(H$9,MMWR_RATING_RO_ROLLUP[#Headers],0)),"ERROR"))</f>
        <v>155.27674750360001</v>
      </c>
      <c r="I25" s="155">
        <f>IF($B25=" ","",IFERROR(INDEX(MMWR_RATING_RO_ROLLUP[],MATCH($B25,MMWR_RATING_RO_ROLLUP[MMWR_RATING_RO_ROLLUP],0),MATCH(I$9,MMWR_RATING_RO_ROLLUP[#Headers],0)),"ERROR"))</f>
        <v>161.82942430700001</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2318</v>
      </c>
      <c r="D26" s="155">
        <f>IF($B26=" ","",IFERROR(INDEX(MMWR_RATING_RO_ROLLUP[],MATCH($B26,MMWR_RATING_RO_ROLLUP[MMWR_RATING_RO_ROLLUP],0),MATCH(D$9,MMWR_RATING_RO_ROLLUP[#Headers],0)),"ERROR"))</f>
        <v>76.786453839499998</v>
      </c>
      <c r="E26" s="156">
        <f>IF($B26=" ","",IFERROR(INDEX(MMWR_RATING_RO_ROLLUP[],MATCH($B26,MMWR_RATING_RO_ROLLUP[MMWR_RATING_RO_ROLLUP],0),MATCH(E$9,MMWR_RATING_RO_ROLLUP[#Headers],0))/$C26,"ERROR"))</f>
        <v>0.17558239861949956</v>
      </c>
      <c r="F26" s="154">
        <f>IF($B26=" ","",IFERROR(INDEX(MMWR_RATING_RO_ROLLUP[],MATCH($B26,MMWR_RATING_RO_ROLLUP[MMWR_RATING_RO_ROLLUP],0),MATCH(F$9,MMWR_RATING_RO_ROLLUP[#Headers],0)),"ERROR"))</f>
        <v>1308</v>
      </c>
      <c r="G26" s="154">
        <f>IF($B26=" ","",IFERROR(INDEX(MMWR_RATING_RO_ROLLUP[],MATCH($B26,MMWR_RATING_RO_ROLLUP[MMWR_RATING_RO_ROLLUP],0),MATCH(G$9,MMWR_RATING_RO_ROLLUP[#Headers],0)),"ERROR"))</f>
        <v>7938</v>
      </c>
      <c r="H26" s="155">
        <f>IF($B26=" ","",IFERROR(INDEX(MMWR_RATING_RO_ROLLUP[],MATCH($B26,MMWR_RATING_RO_ROLLUP[MMWR_RATING_RO_ROLLUP],0),MATCH(H$9,MMWR_RATING_RO_ROLLUP[#Headers],0)),"ERROR"))</f>
        <v>63.250764525999998</v>
      </c>
      <c r="I26" s="155">
        <f>IF($B26=" ","",IFERROR(INDEX(MMWR_RATING_RO_ROLLUP[],MATCH($B26,MMWR_RATING_RO_ROLLUP[MMWR_RATING_RO_ROLLUP],0),MATCH(I$9,MMWR_RATING_RO_ROLLUP[#Headers],0)),"ERROR"))</f>
        <v>58.129629629599997</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10387</v>
      </c>
      <c r="D27" s="155">
        <f>IF($B27=" ","",IFERROR(INDEX(MMWR_RATING_RO_ROLLUP[],MATCH($B27,MMWR_RATING_RO_ROLLUP[MMWR_RATING_RO_ROLLUP],0),MATCH(D$9,MMWR_RATING_RO_ROLLUP[#Headers],0)),"ERROR"))</f>
        <v>94.713776836400001</v>
      </c>
      <c r="E27" s="156">
        <f>IF($B27=" ","",IFERROR(INDEX(MMWR_RATING_RO_ROLLUP[],MATCH($B27,MMWR_RATING_RO_ROLLUP[MMWR_RATING_RO_ROLLUP],0),MATCH(E$9,MMWR_RATING_RO_ROLLUP[#Headers],0))/$C27,"ERROR"))</f>
        <v>0.27207085780302304</v>
      </c>
      <c r="F27" s="154">
        <f>IF($B27=" ","",IFERROR(INDEX(MMWR_RATING_RO_ROLLUP[],MATCH($B27,MMWR_RATING_RO_ROLLUP[MMWR_RATING_RO_ROLLUP],0),MATCH(F$9,MMWR_RATING_RO_ROLLUP[#Headers],0)),"ERROR"))</f>
        <v>2022</v>
      </c>
      <c r="G27" s="154">
        <f>IF($B27=" ","",IFERROR(INDEX(MMWR_RATING_RO_ROLLUP[],MATCH($B27,MMWR_RATING_RO_ROLLUP[MMWR_RATING_RO_ROLLUP],0),MATCH(G$9,MMWR_RATING_RO_ROLLUP[#Headers],0)),"ERROR"))</f>
        <v>12555</v>
      </c>
      <c r="H27" s="155">
        <f>IF($B27=" ","",IFERROR(INDEX(MMWR_RATING_RO_ROLLUP[],MATCH($B27,MMWR_RATING_RO_ROLLUP[MMWR_RATING_RO_ROLLUP],0),MATCH(H$9,MMWR_RATING_RO_ROLLUP[#Headers],0)),"ERROR"))</f>
        <v>130.3976261128</v>
      </c>
      <c r="I27" s="155">
        <f>IF($B27=" ","",IFERROR(INDEX(MMWR_RATING_RO_ROLLUP[],MATCH($B27,MMWR_RATING_RO_ROLLUP[MMWR_RATING_RO_ROLLUP],0),MATCH(I$9,MMWR_RATING_RO_ROLLUP[#Headers],0)),"ERROR"))</f>
        <v>139.87654320990001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1395</v>
      </c>
      <c r="D28" s="155">
        <f>IF($B28=" ","",IFERROR(INDEX(MMWR_RATING_RO_ROLLUP[],MATCH($B28,MMWR_RATING_RO_ROLLUP[MMWR_RATING_RO_ROLLUP],0),MATCH(D$9,MMWR_RATING_RO_ROLLUP[#Headers],0)),"ERROR"))</f>
        <v>74.669534050199999</v>
      </c>
      <c r="E28" s="156">
        <f>IF($B28=" ","",IFERROR(INDEX(MMWR_RATING_RO_ROLLUP[],MATCH($B28,MMWR_RATING_RO_ROLLUP[MMWR_RATING_RO_ROLLUP],0),MATCH(E$9,MMWR_RATING_RO_ROLLUP[#Headers],0))/$C28,"ERROR"))</f>
        <v>0.11684587813620072</v>
      </c>
      <c r="F28" s="154">
        <f>IF($B28=" ","",IFERROR(INDEX(MMWR_RATING_RO_ROLLUP[],MATCH($B28,MMWR_RATING_RO_ROLLUP[MMWR_RATING_RO_ROLLUP],0),MATCH(F$9,MMWR_RATING_RO_ROLLUP[#Headers],0)),"ERROR"))</f>
        <v>223</v>
      </c>
      <c r="G28" s="154">
        <f>IF($B28=" ","",IFERROR(INDEX(MMWR_RATING_RO_ROLLUP[],MATCH($B28,MMWR_RATING_RO_ROLLUP[MMWR_RATING_RO_ROLLUP],0),MATCH(G$9,MMWR_RATING_RO_ROLLUP[#Headers],0)),"ERROR"))</f>
        <v>1723</v>
      </c>
      <c r="H28" s="155">
        <f>IF($B28=" ","",IFERROR(INDEX(MMWR_RATING_RO_ROLLUP[],MATCH($B28,MMWR_RATING_RO_ROLLUP[MMWR_RATING_RO_ROLLUP],0),MATCH(H$9,MMWR_RATING_RO_ROLLUP[#Headers],0)),"ERROR"))</f>
        <v>125.3497757848</v>
      </c>
      <c r="I28" s="155">
        <f>IF($B28=" ","",IFERROR(INDEX(MMWR_RATING_RO_ROLLUP[],MATCH($B28,MMWR_RATING_RO_ROLLUP[MMWR_RATING_RO_ROLLUP],0),MATCH(I$9,MMWR_RATING_RO_ROLLUP[#Headers],0)),"ERROR"))</f>
        <v>110.75043528729999</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535</v>
      </c>
      <c r="D29" s="155">
        <f>IF($B29=" ","",IFERROR(INDEX(MMWR_RATING_RO_ROLLUP[],MATCH($B29,MMWR_RATING_RO_ROLLUP[MMWR_RATING_RO_ROLLUP],0),MATCH(D$9,MMWR_RATING_RO_ROLLUP[#Headers],0)),"ERROR"))</f>
        <v>100.1962616822</v>
      </c>
      <c r="E29" s="156">
        <f>IF($B29=" ","",IFERROR(INDEX(MMWR_RATING_RO_ROLLUP[],MATCH($B29,MMWR_RATING_RO_ROLLUP[MMWR_RATING_RO_ROLLUP],0),MATCH(E$9,MMWR_RATING_RO_ROLLUP[#Headers],0))/$C29,"ERROR"))</f>
        <v>0.27289719626168224</v>
      </c>
      <c r="F29" s="154">
        <f>IF($B29=" ","",IFERROR(INDEX(MMWR_RATING_RO_ROLLUP[],MATCH($B29,MMWR_RATING_RO_ROLLUP[MMWR_RATING_RO_ROLLUP],0),MATCH(F$9,MMWR_RATING_RO_ROLLUP[#Headers],0)),"ERROR"))</f>
        <v>109</v>
      </c>
      <c r="G29" s="154">
        <f>IF($B29=" ","",IFERROR(INDEX(MMWR_RATING_RO_ROLLUP[],MATCH($B29,MMWR_RATING_RO_ROLLUP[MMWR_RATING_RO_ROLLUP],0),MATCH(G$9,MMWR_RATING_RO_ROLLUP[#Headers],0)),"ERROR"))</f>
        <v>521</v>
      </c>
      <c r="H29" s="155">
        <f>IF($B29=" ","",IFERROR(INDEX(MMWR_RATING_RO_ROLLUP[],MATCH($B29,MMWR_RATING_RO_ROLLUP[MMWR_RATING_RO_ROLLUP],0),MATCH(H$9,MMWR_RATING_RO_ROLLUP[#Headers],0)),"ERROR"))</f>
        <v>129.90825688070001</v>
      </c>
      <c r="I29" s="155">
        <f>IF($B29=" ","",IFERROR(INDEX(MMWR_RATING_RO_ROLLUP[],MATCH($B29,MMWR_RATING_RO_ROLLUP[MMWR_RATING_RO_ROLLUP],0),MATCH(I$9,MMWR_RATING_RO_ROLLUP[#Headers],0)),"ERROR"))</f>
        <v>139.72168905949999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715</v>
      </c>
      <c r="D30" s="155">
        <f>IF($B30=" ","",IFERROR(INDEX(MMWR_RATING_RO_ROLLUP[],MATCH($B30,MMWR_RATING_RO_ROLLUP[MMWR_RATING_RO_ROLLUP],0),MATCH(D$9,MMWR_RATING_RO_ROLLUP[#Headers],0)),"ERROR"))</f>
        <v>101.7426573427</v>
      </c>
      <c r="E30" s="156">
        <f>IF($B30=" ","",IFERROR(INDEX(MMWR_RATING_RO_ROLLUP[],MATCH($B30,MMWR_RATING_RO_ROLLUP[MMWR_RATING_RO_ROLLUP],0),MATCH(E$9,MMWR_RATING_RO_ROLLUP[#Headers],0))/$C30,"ERROR"))</f>
        <v>0.28391608391608392</v>
      </c>
      <c r="F30" s="154">
        <f>IF($B30=" ","",IFERROR(INDEX(MMWR_RATING_RO_ROLLUP[],MATCH($B30,MMWR_RATING_RO_ROLLUP[MMWR_RATING_RO_ROLLUP],0),MATCH(F$9,MMWR_RATING_RO_ROLLUP[#Headers],0)),"ERROR"))</f>
        <v>148</v>
      </c>
      <c r="G30" s="154">
        <f>IF($B30=" ","",IFERROR(INDEX(MMWR_RATING_RO_ROLLUP[],MATCH($B30,MMWR_RATING_RO_ROLLUP[MMWR_RATING_RO_ROLLUP],0),MATCH(G$9,MMWR_RATING_RO_ROLLUP[#Headers],0)),"ERROR"))</f>
        <v>958</v>
      </c>
      <c r="H30" s="155">
        <f>IF($B30=" ","",IFERROR(INDEX(MMWR_RATING_RO_ROLLUP[],MATCH($B30,MMWR_RATING_RO_ROLLUP[MMWR_RATING_RO_ROLLUP],0),MATCH(H$9,MMWR_RATING_RO_ROLLUP[#Headers],0)),"ERROR"))</f>
        <v>151.58783783780001</v>
      </c>
      <c r="I30" s="155">
        <f>IF($B30=" ","",IFERROR(INDEX(MMWR_RATING_RO_ROLLUP[],MATCH($B30,MMWR_RATING_RO_ROLLUP[MMWR_RATING_RO_ROLLUP],0),MATCH(I$9,MMWR_RATING_RO_ROLLUP[#Headers],0)),"ERROR"))</f>
        <v>144.97181628390001</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16879</v>
      </c>
      <c r="D31" s="155">
        <f>IF($B31=" ","",IFERROR(INDEX(MMWR_RATING_RO_ROLLUP[],MATCH($B31,MMWR_RATING_RO_ROLLUP[MMWR_RATING_RO_ROLLUP],0),MATCH(D$9,MMWR_RATING_RO_ROLLUP[#Headers],0)),"ERROR"))</f>
        <v>95.455121748899998</v>
      </c>
      <c r="E31" s="156">
        <f>IF($B31=" ","",IFERROR(INDEX(MMWR_RATING_RO_ROLLUP[],MATCH($B31,MMWR_RATING_RO_ROLLUP[MMWR_RATING_RO_ROLLUP],0),MATCH(E$9,MMWR_RATING_RO_ROLLUP[#Headers],0))/$C31,"ERROR"))</f>
        <v>0.24877066176906215</v>
      </c>
      <c r="F31" s="154">
        <f>IF($B31=" ","",IFERROR(INDEX(MMWR_RATING_RO_ROLLUP[],MATCH($B31,MMWR_RATING_RO_ROLLUP[MMWR_RATING_RO_ROLLUP],0),MATCH(F$9,MMWR_RATING_RO_ROLLUP[#Headers],0)),"ERROR"))</f>
        <v>2791</v>
      </c>
      <c r="G31" s="154">
        <f>IF($B31=" ","",IFERROR(INDEX(MMWR_RATING_RO_ROLLUP[],MATCH($B31,MMWR_RATING_RO_ROLLUP[MMWR_RATING_RO_ROLLUP],0),MATCH(G$9,MMWR_RATING_RO_ROLLUP[#Headers],0)),"ERROR"))</f>
        <v>19958</v>
      </c>
      <c r="H31" s="155">
        <f>IF($B31=" ","",IFERROR(INDEX(MMWR_RATING_RO_ROLLUP[],MATCH($B31,MMWR_RATING_RO_ROLLUP[MMWR_RATING_RO_ROLLUP],0),MATCH(H$9,MMWR_RATING_RO_ROLLUP[#Headers],0)),"ERROR"))</f>
        <v>148.91974202790001</v>
      </c>
      <c r="I31" s="155">
        <f>IF($B31=" ","",IFERROR(INDEX(MMWR_RATING_RO_ROLLUP[],MATCH($B31,MMWR_RATING_RO_ROLLUP[MMWR_RATING_RO_ROLLUP],0),MATCH(I$9,MMWR_RATING_RO_ROLLUP[#Headers],0)),"ERROR"))</f>
        <v>149.032869025</v>
      </c>
      <c r="J31" s="42"/>
      <c r="K31" s="42"/>
      <c r="L31" s="42"/>
      <c r="M31" s="42"/>
      <c r="N31" s="28"/>
    </row>
    <row r="32" spans="1:14" x14ac:dyDescent="0.2">
      <c r="A32" s="25"/>
      <c r="B32" s="341" t="s">
        <v>734</v>
      </c>
      <c r="C32" s="342"/>
      <c r="D32" s="342"/>
      <c r="E32" s="342"/>
      <c r="F32" s="342"/>
      <c r="G32" s="342"/>
      <c r="H32" s="342"/>
      <c r="I32" s="342"/>
      <c r="J32" s="342"/>
      <c r="K32" s="342"/>
      <c r="L32" s="342"/>
      <c r="M32" s="392"/>
      <c r="N32" s="28"/>
    </row>
    <row r="33" spans="1:14" x14ac:dyDescent="0.2">
      <c r="A33" s="25"/>
      <c r="B33" s="11" t="s">
        <v>697</v>
      </c>
      <c r="C33" s="154">
        <f>IF($B33=" ","",IFERROR(INDEX(MMWR_RATING_RO_ROLLUP[],MATCH($B33,MMWR_RATING_RO_ROLLUP[MMWR_RATING_RO_ROLLUP],0),MATCH(C$9,MMWR_RATING_RO_ROLLUP[#Headers],0)),"ERROR"))</f>
        <v>26480</v>
      </c>
      <c r="D33" s="155">
        <f>IF($B33=" ","",IFERROR(INDEX(MMWR_RATING_RO_ROLLUP[],MATCH($B33,MMWR_RATING_RO_ROLLUP[MMWR_RATING_RO_ROLLUP],0),MATCH(D$9,MMWR_RATING_RO_ROLLUP[#Headers],0)),"ERROR"))</f>
        <v>70.264539274900002</v>
      </c>
      <c r="E33" s="156">
        <f>IF($B33=" ","",IFERROR(INDEX(MMWR_RATING_RO_ROLLUP[],MATCH($B33,MMWR_RATING_RO_ROLLUP[MMWR_RATING_RO_ROLLUP],0),MATCH(E$9,MMWR_RATING_RO_ROLLUP[#Headers],0))/$C33,"ERROR"))</f>
        <v>0.11880664652567975</v>
      </c>
      <c r="F33" s="154">
        <f>IF($B33=" ","",IFERROR(INDEX(MMWR_RATING_RO_ROLLUP[],MATCH($B33,MMWR_RATING_RO_ROLLUP[MMWR_RATING_RO_ROLLUP],0),MATCH(F$9,MMWR_RATING_RO_ROLLUP[#Headers],0)),"ERROR"))</f>
        <v>7898</v>
      </c>
      <c r="G33" s="154">
        <f>IF($B33=" ","",IFERROR(INDEX(MMWR_RATING_RO_ROLLUP[],MATCH($B33,MMWR_RATING_RO_ROLLUP[MMWR_RATING_RO_ROLLUP],0),MATCH(G$9,MMWR_RATING_RO_ROLLUP[#Headers],0)),"ERROR"))</f>
        <v>55686</v>
      </c>
      <c r="H33" s="155">
        <f>IF($B33=" ","",IFERROR(INDEX(MMWR_RATING_RO_ROLLUP[],MATCH($B33,MMWR_RATING_RO_ROLLUP[MMWR_RATING_RO_ROLLUP],0),MATCH(H$9,MMWR_RATING_RO_ROLLUP[#Headers],0)),"ERROR"))</f>
        <v>83.531020511500003</v>
      </c>
      <c r="I33" s="155">
        <f>IF($B33=" ","",IFERROR(INDEX(MMWR_RATING_RO_ROLLUP[],MATCH($B33,MMWR_RATING_RO_ROLLUP[MMWR_RATING_RO_ROLLUP],0),MATCH(I$9,MMWR_RATING_RO_ROLLUP[#Headers],0)),"ERROR"))</f>
        <v>74.994702438700003</v>
      </c>
      <c r="J33" s="42"/>
      <c r="K33" s="42"/>
      <c r="L33" s="42"/>
      <c r="M33" s="42"/>
      <c r="N33" s="28"/>
    </row>
    <row r="34" spans="1:14" x14ac:dyDescent="0.2">
      <c r="A34" s="25"/>
      <c r="B34" s="12" t="s">
        <v>210</v>
      </c>
      <c r="C34" s="154">
        <f>IF($B34=" ","",IFERROR(INDEX(MMWR_RATING_RO_ROLLUP[],MATCH($B34,MMWR_RATING_RO_ROLLUP[MMWR_RATING_RO_ROLLUP],0),MATCH(C$9,MMWR_RATING_RO_ROLLUP[#Headers],0)),"ERROR"))</f>
        <v>12412</v>
      </c>
      <c r="D34" s="155">
        <f>IF($B34=" ","",IFERROR(INDEX(MMWR_RATING_RO_ROLLUP[],MATCH($B34,MMWR_RATING_RO_ROLLUP[MMWR_RATING_RO_ROLLUP],0),MATCH(D$9,MMWR_RATING_RO_ROLLUP[#Headers],0)),"ERROR"))</f>
        <v>70.109490815300006</v>
      </c>
      <c r="E34" s="156">
        <f>IF($B34=" ","",IFERROR(INDEX(MMWR_RATING_RO_ROLLUP[],MATCH($B34,MMWR_RATING_RO_ROLLUP[MMWR_RATING_RO_ROLLUP],0),MATCH(E$9,MMWR_RATING_RO_ROLLUP[#Headers],0))/$C34,"ERROR"))</f>
        <v>0.11392201095713825</v>
      </c>
      <c r="F34" s="154">
        <f>IF($B34=" ","",IFERROR(INDEX(MMWR_RATING_RO_ROLLUP[],MATCH($B34,MMWR_RATING_RO_ROLLUP[MMWR_RATING_RO_ROLLUP],0),MATCH(F$9,MMWR_RATING_RO_ROLLUP[#Headers],0)),"ERROR"))</f>
        <v>2640</v>
      </c>
      <c r="G34" s="154">
        <f>IF($B34=" ","",IFERROR(INDEX(MMWR_RATING_RO_ROLLUP[],MATCH($B34,MMWR_RATING_RO_ROLLUP[MMWR_RATING_RO_ROLLUP],0),MATCH(G$9,MMWR_RATING_RO_ROLLUP[#Headers],0)),"ERROR"))</f>
        <v>17651</v>
      </c>
      <c r="H34" s="155">
        <f>IF($B34=" ","",IFERROR(INDEX(MMWR_RATING_RO_ROLLUP[],MATCH($B34,MMWR_RATING_RO_ROLLUP[MMWR_RATING_RO_ROLLUP],0),MATCH(H$9,MMWR_RATING_RO_ROLLUP[#Headers],0)),"ERROR"))</f>
        <v>106.17878787879999</v>
      </c>
      <c r="I34" s="155">
        <f>IF($B34=" ","",IFERROR(INDEX(MMWR_RATING_RO_ROLLUP[],MATCH($B34,MMWR_RATING_RO_ROLLUP[MMWR_RATING_RO_ROLLUP],0),MATCH(I$9,MMWR_RATING_RO_ROLLUP[#Headers],0)),"ERROR"))</f>
        <v>90.440314996300003</v>
      </c>
      <c r="J34" s="42"/>
      <c r="K34" s="42"/>
      <c r="L34" s="42"/>
      <c r="M34" s="42"/>
      <c r="N34" s="28"/>
    </row>
    <row r="35" spans="1:14" x14ac:dyDescent="0.2">
      <c r="A35" s="43"/>
      <c r="B35" s="12" t="s">
        <v>209</v>
      </c>
      <c r="C35" s="154">
        <f>IF($B35=" ","",IFERROR(INDEX(MMWR_RATING_RO_ROLLUP[],MATCH($B35,MMWR_RATING_RO_ROLLUP[MMWR_RATING_RO_ROLLUP],0),MATCH(C$9,MMWR_RATING_RO_ROLLUP[#Headers],0)),"ERROR"))</f>
        <v>6330</v>
      </c>
      <c r="D35" s="155">
        <f>IF($B35=" ","",IFERROR(INDEX(MMWR_RATING_RO_ROLLUP[],MATCH($B35,MMWR_RATING_RO_ROLLUP[MMWR_RATING_RO_ROLLUP],0),MATCH(D$9,MMWR_RATING_RO_ROLLUP[#Headers],0)),"ERROR"))</f>
        <v>67.996524486599995</v>
      </c>
      <c r="E35" s="156">
        <f>IF($B35=" ","",IFERROR(INDEX(MMWR_RATING_RO_ROLLUP[],MATCH($B35,MMWR_RATING_RO_ROLLUP[MMWR_RATING_RO_ROLLUP],0),MATCH(E$9,MMWR_RATING_RO_ROLLUP[#Headers],0))/$C35,"ERROR"))</f>
        <v>0.13017377567140601</v>
      </c>
      <c r="F35" s="154">
        <f>IF($B35=" ","",IFERROR(INDEX(MMWR_RATING_RO_ROLLUP[],MATCH($B35,MMWR_RATING_RO_ROLLUP[MMWR_RATING_RO_ROLLUP],0),MATCH(F$9,MMWR_RATING_RO_ROLLUP[#Headers],0)),"ERROR"))</f>
        <v>2192</v>
      </c>
      <c r="G35" s="154">
        <f>IF($B35=" ","",IFERROR(INDEX(MMWR_RATING_RO_ROLLUP[],MATCH($B35,MMWR_RATING_RO_ROLLUP[MMWR_RATING_RO_ROLLUP],0),MATCH(G$9,MMWR_RATING_RO_ROLLUP[#Headers],0)),"ERROR"))</f>
        <v>15816</v>
      </c>
      <c r="H35" s="155">
        <f>IF($B35=" ","",IFERROR(INDEX(MMWR_RATING_RO_ROLLUP[],MATCH($B35,MMWR_RATING_RO_ROLLUP[MMWR_RATING_RO_ROLLUP],0),MATCH(H$9,MMWR_RATING_RO_ROLLUP[#Headers],0)),"ERROR"))</f>
        <v>74.803832116799995</v>
      </c>
      <c r="I35" s="155">
        <f>IF($B35=" ","",IFERROR(INDEX(MMWR_RATING_RO_ROLLUP[],MATCH($B35,MMWR_RATING_RO_ROLLUP[MMWR_RATING_RO_ROLLUP],0),MATCH(I$9,MMWR_RATING_RO_ROLLUP[#Headers],0)),"ERROR"))</f>
        <v>70.975025290800005</v>
      </c>
      <c r="J35" s="42"/>
      <c r="K35" s="42"/>
      <c r="L35" s="42"/>
      <c r="M35" s="42"/>
      <c r="N35" s="28"/>
    </row>
    <row r="36" spans="1:14" x14ac:dyDescent="0.2">
      <c r="A36" s="25"/>
      <c r="B36" s="12" t="s">
        <v>212</v>
      </c>
      <c r="C36" s="154">
        <f>IF($B36=" ","",IFERROR(INDEX(MMWR_RATING_RO_ROLLUP[],MATCH($B36,MMWR_RATING_RO_ROLLUP[MMWR_RATING_RO_ROLLUP],0),MATCH(C$9,MMWR_RATING_RO_ROLLUP[#Headers],0)),"ERROR"))</f>
        <v>7014</v>
      </c>
      <c r="D36" s="155">
        <f>IF($B36=" ","",IFERROR(INDEX(MMWR_RATING_RO_ROLLUP[],MATCH($B36,MMWR_RATING_RO_ROLLUP[MMWR_RATING_RO_ROLLUP],0),MATCH(D$9,MMWR_RATING_RO_ROLLUP[#Headers],0)),"ERROR"))</f>
        <v>61.465355004300001</v>
      </c>
      <c r="E36" s="156">
        <f>IF($B36=" ","",IFERROR(INDEX(MMWR_RATING_RO_ROLLUP[],MATCH($B36,MMWR_RATING_RO_ROLLUP[MMWR_RATING_RO_ROLLUP],0),MATCH(E$9,MMWR_RATING_RO_ROLLUP[#Headers],0))/$C36,"ERROR"))</f>
        <v>7.6418591388651272E-2</v>
      </c>
      <c r="F36" s="154">
        <f>IF($B36=" ","",IFERROR(INDEX(MMWR_RATING_RO_ROLLUP[],MATCH($B36,MMWR_RATING_RO_ROLLUP[MMWR_RATING_RO_ROLLUP],0),MATCH(F$9,MMWR_RATING_RO_ROLLUP[#Headers],0)),"ERROR"))</f>
        <v>2781</v>
      </c>
      <c r="G36" s="154">
        <f>IF($B36=" ","",IFERROR(INDEX(MMWR_RATING_RO_ROLLUP[],MATCH($B36,MMWR_RATING_RO_ROLLUP[MMWR_RATING_RO_ROLLUP],0),MATCH(G$9,MMWR_RATING_RO_ROLLUP[#Headers],0)),"ERROR"))</f>
        <v>20207</v>
      </c>
      <c r="H36" s="155">
        <f>IF($B36=" ","",IFERROR(INDEX(MMWR_RATING_RO_ROLLUP[],MATCH($B36,MMWR_RATING_RO_ROLLUP[MMWR_RATING_RO_ROLLUP],0),MATCH(H$9,MMWR_RATING_RO_ROLLUP[#Headers],0)),"ERROR"))</f>
        <v>72.020855807299995</v>
      </c>
      <c r="I36" s="155">
        <f>IF($B36=" ","",IFERROR(INDEX(MMWR_RATING_RO_ROLLUP[],MATCH($B36,MMWR_RATING_RO_ROLLUP[MMWR_RATING_RO_ROLLUP],0),MATCH(I$9,MMWR_RATING_RO_ROLLUP[#Headers],0)),"ERROR"))</f>
        <v>66.746919384400002</v>
      </c>
      <c r="J36" s="42"/>
      <c r="K36" s="42"/>
      <c r="L36" s="42"/>
      <c r="M36" s="42"/>
      <c r="N36" s="28"/>
    </row>
    <row r="37" spans="1:14" x14ac:dyDescent="0.2">
      <c r="A37" s="25"/>
      <c r="B37" s="13" t="s">
        <v>224</v>
      </c>
      <c r="C37" s="154">
        <f>IF($B37=" ","",IFERROR(INDEX(MMWR_RATING_RO_ROLLUP[],MATCH($B37,MMWR_RATING_RO_ROLLUP[MMWR_RATING_RO_ROLLUP],0),MATCH(C$9,MMWR_RATING_RO_ROLLUP[#Headers],0)),"ERROR"))</f>
        <v>724</v>
      </c>
      <c r="D37" s="155">
        <f>IF($B37=" ","",IFERROR(INDEX(MMWR_RATING_RO_ROLLUP[],MATCH($B37,MMWR_RATING_RO_ROLLUP[MMWR_RATING_RO_ROLLUP],0),MATCH(D$9,MMWR_RATING_RO_ROLLUP[#Headers],0)),"ERROR"))</f>
        <v>177.99723756910001</v>
      </c>
      <c r="E37" s="156">
        <f>IF($B37=" ","",IFERROR(INDEX(MMWR_RATING_RO_ROLLUP[],MATCH($B37,MMWR_RATING_RO_ROLLUP[MMWR_RATING_RO_ROLLUP],0),MATCH(E$9,MMWR_RATING_RO_ROLLUP[#Headers],0))/$C37,"ERROR"))</f>
        <v>0.51381215469613262</v>
      </c>
      <c r="F37" s="154">
        <f>IF($B37=" ","",IFERROR(INDEX(MMWR_RATING_RO_ROLLUP[],MATCH($B37,MMWR_RATING_RO_ROLLUP[MMWR_RATING_RO_ROLLUP],0),MATCH(F$9,MMWR_RATING_RO_ROLLUP[#Headers],0)),"ERROR"))</f>
        <v>285</v>
      </c>
      <c r="G37" s="154">
        <f>IF($B37=" ","",IFERROR(INDEX(MMWR_RATING_RO_ROLLUP[],MATCH($B37,MMWR_RATING_RO_ROLLUP[MMWR_RATING_RO_ROLLUP],0),MATCH(G$9,MMWR_RATING_RO_ROLLUP[#Headers],0)),"ERROR"))</f>
        <v>2012</v>
      </c>
      <c r="H37" s="155">
        <f>IF($B37=" ","",IFERROR(INDEX(MMWR_RATING_RO_ROLLUP[],MATCH($B37,MMWR_RATING_RO_ROLLUP[MMWR_RATING_RO_ROLLUP],0),MATCH(H$9,MMWR_RATING_RO_ROLLUP[#Headers],0)),"ERROR"))</f>
        <v>53.178947368400003</v>
      </c>
      <c r="I37" s="155">
        <f>IF($B37=" ","",IFERROR(INDEX(MMWR_RATING_RO_ROLLUP[],MATCH($B37,MMWR_RATING_RO_ROLLUP[MMWR_RATING_RO_ROLLUP],0),MATCH(I$9,MMWR_RATING_RO_ROLLUP[#Headers],0)),"ERROR"))</f>
        <v>53.924950298200002</v>
      </c>
      <c r="J37" s="42"/>
      <c r="K37" s="42"/>
      <c r="L37" s="42"/>
      <c r="M37" s="42"/>
      <c r="N37" s="28"/>
    </row>
    <row r="38" spans="1:14" x14ac:dyDescent="0.2">
      <c r="A38" s="25"/>
      <c r="B38" s="341" t="s">
        <v>917</v>
      </c>
      <c r="C38" s="342"/>
      <c r="D38" s="342"/>
      <c r="E38" s="342"/>
      <c r="F38" s="342"/>
      <c r="G38" s="342"/>
      <c r="H38" s="342"/>
      <c r="I38" s="342"/>
      <c r="J38" s="342"/>
      <c r="K38" s="342"/>
      <c r="L38" s="342"/>
      <c r="M38" s="392"/>
      <c r="N38" s="28"/>
    </row>
    <row r="39" spans="1:14" x14ac:dyDescent="0.2">
      <c r="A39" s="25"/>
      <c r="B39" s="44" t="s">
        <v>698</v>
      </c>
      <c r="C39" s="154">
        <f>IF($B39=" ","",IFERROR(INDEX(MMWR_RATING_RO_ROLLUP[],MATCH($B39,MMWR_RATING_RO_ROLLUP[MMWR_RATING_RO_ROLLUP],0),MATCH(C$9,MMWR_RATING_RO_ROLLUP[#Headers],0)),"ERROR"))</f>
        <v>10629</v>
      </c>
      <c r="D39" s="155">
        <f>IF($B39=" ","",IFERROR(INDEX(MMWR_RATING_RO_ROLLUP[],MATCH($B39,MMWR_RATING_RO_ROLLUP[MMWR_RATING_RO_ROLLUP],0),MATCH(D$9,MMWR_RATING_RO_ROLLUP[#Headers],0)),"ERROR"))</f>
        <v>92.826136042900004</v>
      </c>
      <c r="E39" s="156">
        <f>IF($B39=" ","",IFERROR(INDEX(MMWR_RATING_RO_ROLLUP[],MATCH($B39,MMWR_RATING_RO_ROLLUP[MMWR_RATING_RO_ROLLUP],0),MATCH(E$9,MMWR_RATING_RO_ROLLUP[#Headers],0))/$C39,"ERROR"))</f>
        <v>0.29475961990779942</v>
      </c>
      <c r="F39" s="154">
        <f>IF($B39=" ","",IFERROR(INDEX(MMWR_RATING_RO_ROLLUP[],MATCH($B39,MMWR_RATING_RO_ROLLUP[MMWR_RATING_RO_ROLLUP],0),MATCH(F$9,MMWR_RATING_RO_ROLLUP[#Headers],0)),"ERROR"))</f>
        <v>1276</v>
      </c>
      <c r="G39" s="154">
        <f>IF($B39=" ","",IFERROR(INDEX(MMWR_RATING_RO_ROLLUP[],MATCH($B39,MMWR_RATING_RO_ROLLUP[MMWR_RATING_RO_ROLLUP],0),MATCH(G$9,MMWR_RATING_RO_ROLLUP[#Headers],0)),"ERROR"))</f>
        <v>7730</v>
      </c>
      <c r="H39" s="155">
        <f>IF($B39=" ","",IFERROR(INDEX(MMWR_RATING_RO_ROLLUP[],MATCH($B39,MMWR_RATING_RO_ROLLUP[MMWR_RATING_RO_ROLLUP],0),MATCH(H$9,MMWR_RATING_RO_ROLLUP[#Headers],0)),"ERROR"))</f>
        <v>157.07131661439999</v>
      </c>
      <c r="I39" s="155">
        <f>IF($B39=" ","",IFERROR(INDEX(MMWR_RATING_RO_ROLLUP[],MATCH($B39,MMWR_RATING_RO_ROLLUP[MMWR_RATING_RO_ROLLUP],0),MATCH(I$9,MMWR_RATING_RO_ROLLUP[#Headers],0)),"ERROR"))</f>
        <v>147.1657179819</v>
      </c>
      <c r="J39" s="42"/>
      <c r="K39" s="42"/>
      <c r="L39" s="42"/>
      <c r="M39" s="42"/>
      <c r="N39" s="28"/>
    </row>
    <row r="40" spans="1:14" x14ac:dyDescent="0.2">
      <c r="A40" s="25"/>
      <c r="B40" s="53" t="s">
        <v>957</v>
      </c>
      <c r="C40" s="154">
        <f>IF($B40=" ","",IFERROR(INDEX(MMWR_RATING_RO_ROLLUP[],MATCH($B40,MMWR_RATING_RO_ROLLUP[MMWR_RATING_RO_ROLLUP],0),MATCH(C$9,MMWR_RATING_RO_ROLLUP[#Headers],0)),"ERROR"))</f>
        <v>1652</v>
      </c>
      <c r="D40" s="155">
        <f>IF($B40=" ","",IFERROR(INDEX(MMWR_RATING_RO_ROLLUP[],MATCH($B40,MMWR_RATING_RO_ROLLUP[MMWR_RATING_RO_ROLLUP],0),MATCH(D$9,MMWR_RATING_RO_ROLLUP[#Headers],0)),"ERROR"))</f>
        <v>86.684019370499996</v>
      </c>
      <c r="E40" s="156">
        <f>IF($B40=" ","",IFERROR(INDEX(MMWR_RATING_RO_ROLLUP[],MATCH($B40,MMWR_RATING_RO_ROLLUP[MMWR_RATING_RO_ROLLUP],0),MATCH(E$9,MMWR_RATING_RO_ROLLUP[#Headers],0))/$C40,"ERROR"))</f>
        <v>0.25605326876513318</v>
      </c>
      <c r="F40" s="154">
        <f>IF($B40=" ","",IFERROR(INDEX(MMWR_RATING_RO_ROLLUP[],MATCH($B40,MMWR_RATING_RO_ROLLUP[MMWR_RATING_RO_ROLLUP],0),MATCH(F$9,MMWR_RATING_RO_ROLLUP[#Headers],0)),"ERROR"))</f>
        <v>249</v>
      </c>
      <c r="G40" s="154">
        <f>IF($B40=" ","",IFERROR(INDEX(MMWR_RATING_RO_ROLLUP[],MATCH($B40,MMWR_RATING_RO_ROLLUP[MMWR_RATING_RO_ROLLUP],0),MATCH(G$9,MMWR_RATING_RO_ROLLUP[#Headers],0)),"ERROR"))</f>
        <v>1695</v>
      </c>
      <c r="H40" s="155">
        <f>IF($B40=" ","",IFERROR(INDEX(MMWR_RATING_RO_ROLLUP[],MATCH($B40,MMWR_RATING_RO_ROLLUP[MMWR_RATING_RO_ROLLUP],0),MATCH(H$9,MMWR_RATING_RO_ROLLUP[#Headers],0)),"ERROR"))</f>
        <v>146.5542168675</v>
      </c>
      <c r="I40" s="155">
        <f>IF($B40=" ","",IFERROR(INDEX(MMWR_RATING_RO_ROLLUP[],MATCH($B40,MMWR_RATING_RO_ROLLUP[MMWR_RATING_RO_ROLLUP],0),MATCH(I$9,MMWR_RATING_RO_ROLLUP[#Headers],0)),"ERROR"))</f>
        <v>131.43303834810001</v>
      </c>
      <c r="J40" s="42"/>
      <c r="K40" s="42"/>
      <c r="L40" s="42"/>
      <c r="M40" s="42"/>
      <c r="N40" s="28"/>
    </row>
    <row r="41" spans="1:14" x14ac:dyDescent="0.2">
      <c r="A41" s="25"/>
      <c r="B41" s="53" t="s">
        <v>958</v>
      </c>
      <c r="C41" s="154">
        <f>IF($B41=" ","",IFERROR(INDEX(MMWR_RATING_RO_ROLLUP[],MATCH($B41,MMWR_RATING_RO_ROLLUP[MMWR_RATING_RO_ROLLUP],0),MATCH(C$9,MMWR_RATING_RO_ROLLUP[#Headers],0)),"ERROR"))</f>
        <v>1614</v>
      </c>
      <c r="D41" s="155">
        <f>IF($B41=" ","",IFERROR(INDEX(MMWR_RATING_RO_ROLLUP[],MATCH($B41,MMWR_RATING_RO_ROLLUP[MMWR_RATING_RO_ROLLUP],0),MATCH(D$9,MMWR_RATING_RO_ROLLUP[#Headers],0)),"ERROR"))</f>
        <v>100.9653035936</v>
      </c>
      <c r="E41" s="156">
        <f>IF($B41=" ","",IFERROR(INDEX(MMWR_RATING_RO_ROLLUP[],MATCH($B41,MMWR_RATING_RO_ROLLUP[MMWR_RATING_RO_ROLLUP],0),MATCH(E$9,MMWR_RATING_RO_ROLLUP[#Headers],0))/$C41,"ERROR"))</f>
        <v>0.34944237918215615</v>
      </c>
      <c r="F41" s="154">
        <f>IF($B41=" ","",IFERROR(INDEX(MMWR_RATING_RO_ROLLUP[],MATCH($B41,MMWR_RATING_RO_ROLLUP[MMWR_RATING_RO_ROLLUP],0),MATCH(F$9,MMWR_RATING_RO_ROLLUP[#Headers],0)),"ERROR"))</f>
        <v>226</v>
      </c>
      <c r="G41" s="154">
        <f>IF($B41=" ","",IFERROR(INDEX(MMWR_RATING_RO_ROLLUP[],MATCH($B41,MMWR_RATING_RO_ROLLUP[MMWR_RATING_RO_ROLLUP],0),MATCH(G$9,MMWR_RATING_RO_ROLLUP[#Headers],0)),"ERROR"))</f>
        <v>1367</v>
      </c>
      <c r="H41" s="155">
        <f>IF($B41=" ","",IFERROR(INDEX(MMWR_RATING_RO_ROLLUP[],MATCH($B41,MMWR_RATING_RO_ROLLUP[MMWR_RATING_RO_ROLLUP],0),MATCH(H$9,MMWR_RATING_RO_ROLLUP[#Headers],0)),"ERROR"))</f>
        <v>164.24336283189999</v>
      </c>
      <c r="I41" s="155">
        <f>IF($B41=" ","",IFERROR(INDEX(MMWR_RATING_RO_ROLLUP[],MATCH($B41,MMWR_RATING_RO_ROLLUP[MMWR_RATING_RO_ROLLUP],0),MATCH(I$9,MMWR_RATING_RO_ROLLUP[#Headers],0)),"ERROR"))</f>
        <v>156.4008778347</v>
      </c>
      <c r="J41" s="42"/>
      <c r="K41" s="42"/>
      <c r="L41" s="42"/>
      <c r="M41" s="42"/>
      <c r="N41" s="28"/>
    </row>
    <row r="42" spans="1:14" x14ac:dyDescent="0.2">
      <c r="A42" s="25"/>
      <c r="B42" s="46" t="s">
        <v>307</v>
      </c>
      <c r="C42" s="154">
        <f>IF($B42=" ","",IFERROR(INDEX(MMWR_RATING_RO_ROLLUP[],MATCH($B42,MMWR_RATING_RO_ROLLUP[MMWR_RATING_RO_ROLLUP],0),MATCH(C$9,MMWR_RATING_RO_ROLLUP[#Headers],0)),"ERROR"))</f>
        <v>7363</v>
      </c>
      <c r="D42" s="155">
        <f>IF($B42=" ","",IFERROR(INDEX(MMWR_RATING_RO_ROLLUP[],MATCH($B42,MMWR_RATING_RO_ROLLUP[MMWR_RATING_RO_ROLLUP],0),MATCH(D$9,MMWR_RATING_RO_ROLLUP[#Headers],0)),"ERROR"))</f>
        <v>92.420073339699996</v>
      </c>
      <c r="E42" s="156">
        <f>IF($B42=" ","",IFERROR(INDEX(MMWR_RATING_RO_ROLLUP[],MATCH($B42,MMWR_RATING_RO_ROLLUP[MMWR_RATING_RO_ROLLUP],0),MATCH(E$9,MMWR_RATING_RO_ROLLUP[#Headers],0))/$C42,"ERROR"))</f>
        <v>0.29145728643216079</v>
      </c>
      <c r="F42" s="154">
        <f>IF($B42=" ","",IFERROR(INDEX(MMWR_RATING_RO_ROLLUP[],MATCH($B42,MMWR_RATING_RO_ROLLUP[MMWR_RATING_RO_ROLLUP],0),MATCH(F$9,MMWR_RATING_RO_ROLLUP[#Headers],0)),"ERROR"))</f>
        <v>801</v>
      </c>
      <c r="G42" s="154">
        <f>IF($B42=" ","",IFERROR(INDEX(MMWR_RATING_RO_ROLLUP[],MATCH($B42,MMWR_RATING_RO_ROLLUP[MMWR_RATING_RO_ROLLUP],0),MATCH(G$9,MMWR_RATING_RO_ROLLUP[#Headers],0)),"ERROR"))</f>
        <v>4668</v>
      </c>
      <c r="H42" s="155">
        <f>IF($B42=" ","",IFERROR(INDEX(MMWR_RATING_RO_ROLLUP[],MATCH($B42,MMWR_RATING_RO_ROLLUP[MMWR_RATING_RO_ROLLUP],0),MATCH(H$9,MMWR_RATING_RO_ROLLUP[#Headers],0)),"ERROR"))</f>
        <v>158.31710362050001</v>
      </c>
      <c r="I42" s="155">
        <f>IF($B42=" ","",IFERROR(INDEX(MMWR_RATING_RO_ROLLUP[],MATCH($B42,MMWR_RATING_RO_ROLLUP[MMWR_RATING_RO_ROLLUP],0),MATCH(I$9,MMWR_RATING_RO_ROLLUP[#Headers],0)),"ERROR"))</f>
        <v>150.17395029990001</v>
      </c>
      <c r="J42" s="42"/>
      <c r="K42" s="42"/>
      <c r="L42" s="42"/>
      <c r="M42" s="42"/>
      <c r="N42" s="28"/>
    </row>
    <row r="43" spans="1:14" x14ac:dyDescent="0.2">
      <c r="A43" s="25"/>
      <c r="B43" s="341" t="s">
        <v>735</v>
      </c>
      <c r="C43" s="342"/>
      <c r="D43" s="342"/>
      <c r="E43" s="342"/>
      <c r="F43" s="342"/>
      <c r="G43" s="342"/>
      <c r="H43" s="342"/>
      <c r="I43" s="342"/>
      <c r="J43" s="342"/>
      <c r="K43" s="342"/>
      <c r="L43" s="342"/>
      <c r="M43" s="392"/>
      <c r="N43" s="28"/>
    </row>
    <row r="44" spans="1:14" x14ac:dyDescent="0.2">
      <c r="A44" s="25"/>
      <c r="B44" s="44" t="s">
        <v>696</v>
      </c>
      <c r="C44" s="154">
        <f>IF($B44=" ","",IFERROR(INDEX(MMWR_RATING_RO_ROLLUP[],MATCH($B44,MMWR_RATING_RO_ROLLUP[MMWR_RATING_RO_ROLLUP],0),MATCH(C$9,MMWR_RATING_RO_ROLLUP[#Headers],0)),"ERROR"))</f>
        <v>10937</v>
      </c>
      <c r="D44" s="155">
        <f>IF($B44=" ","",IFERROR(INDEX(MMWR_RATING_RO_ROLLUP[],MATCH($B44,MMWR_RATING_RO_ROLLUP[MMWR_RATING_RO_ROLLUP],0),MATCH(D$9,MMWR_RATING_RO_ROLLUP[#Headers],0)),"ERROR"))</f>
        <v>88.419859193600004</v>
      </c>
      <c r="E44" s="156">
        <f>IF($B44=" ","",IFERROR(INDEX(MMWR_RATING_RO_ROLLUP[],MATCH($B44,MMWR_RATING_RO_ROLLUP[MMWR_RATING_RO_ROLLUP],0),MATCH(E$9,MMWR_RATING_RO_ROLLUP[#Headers],0))/$C44,"ERROR"))</f>
        <v>0.25473164487519429</v>
      </c>
      <c r="F44" s="154">
        <f>IF($B44=" ","",IFERROR(INDEX(MMWR_RATING_RO_ROLLUP[],MATCH($B44,MMWR_RATING_RO_ROLLUP[MMWR_RATING_RO_ROLLUP],0),MATCH(F$9,MMWR_RATING_RO_ROLLUP[#Headers],0)),"ERROR"))</f>
        <v>1536</v>
      </c>
      <c r="G44" s="154">
        <f>IF($B44=" ","",IFERROR(INDEX(MMWR_RATING_RO_ROLLUP[],MATCH($B44,MMWR_RATING_RO_ROLLUP[MMWR_RATING_RO_ROLLUP],0),MATCH(G$9,MMWR_RATING_RO_ROLLUP[#Headers],0)),"ERROR"))</f>
        <v>9629</v>
      </c>
      <c r="H44" s="155">
        <f>IF($B44=" ","",IFERROR(INDEX(MMWR_RATING_RO_ROLLUP[],MATCH($B44,MMWR_RATING_RO_ROLLUP[MMWR_RATING_RO_ROLLUP],0),MATCH(H$9,MMWR_RATING_RO_ROLLUP[#Headers],0)),"ERROR"))</f>
        <v>149.1725260417</v>
      </c>
      <c r="I44" s="155">
        <f>IF($B44=" ","",IFERROR(INDEX(MMWR_RATING_RO_ROLLUP[],MATCH($B44,MMWR_RATING_RO_ROLLUP[MMWR_RATING_RO_ROLLUP],0),MATCH(I$9,MMWR_RATING_RO_ROLLUP[#Headers],0)),"ERROR"))</f>
        <v>139.3936026586</v>
      </c>
      <c r="J44" s="42"/>
      <c r="K44" s="42"/>
      <c r="L44" s="42"/>
      <c r="M44" s="42"/>
      <c r="N44" s="28"/>
    </row>
    <row r="45" spans="1:14" x14ac:dyDescent="0.2">
      <c r="A45" s="25"/>
      <c r="B45" s="45" t="s">
        <v>211</v>
      </c>
      <c r="C45" s="154">
        <f>IF($B45=" ","",IFERROR(INDEX(MMWR_RATING_RO_ROLLUP[],MATCH($B45,MMWR_RATING_RO_ROLLUP[MMWR_RATING_RO_ROLLUP],0),MATCH(C$9,MMWR_RATING_RO_ROLLUP[#Headers],0)),"ERROR"))</f>
        <v>63</v>
      </c>
      <c r="D45" s="155">
        <f>IF($B45=" ","",IFERROR(INDEX(MMWR_RATING_RO_ROLLUP[],MATCH($B45,MMWR_RATING_RO_ROLLUP[MMWR_RATING_RO_ROLLUP],0),MATCH(D$9,MMWR_RATING_RO_ROLLUP[#Headers],0)),"ERROR"))</f>
        <v>96.365079365100001</v>
      </c>
      <c r="E45" s="156">
        <f>IF($B45=" ","",IFERROR(INDEX(MMWR_RATING_RO_ROLLUP[],MATCH($B45,MMWR_RATING_RO_ROLLUP[MMWR_RATING_RO_ROLLUP],0),MATCH(E$9,MMWR_RATING_RO_ROLLUP[#Headers],0))/$C45,"ERROR"))</f>
        <v>0.26984126984126983</v>
      </c>
      <c r="F45" s="154">
        <f>IF($B45=" ","",IFERROR(INDEX(MMWR_RATING_RO_ROLLUP[],MATCH($B45,MMWR_RATING_RO_ROLLUP[MMWR_RATING_RO_ROLLUP],0),MATCH(F$9,MMWR_RATING_RO_ROLLUP[#Headers],0)),"ERROR"))</f>
        <v>8</v>
      </c>
      <c r="G45" s="154">
        <f>IF($B45=" ","",IFERROR(INDEX(MMWR_RATING_RO_ROLLUP[],MATCH($B45,MMWR_RATING_RO_ROLLUP[MMWR_RATING_RO_ROLLUP],0),MATCH(G$9,MMWR_RATING_RO_ROLLUP[#Headers],0)),"ERROR"))</f>
        <v>70</v>
      </c>
      <c r="H45" s="155">
        <f>IF($B45=" ","",IFERROR(INDEX(MMWR_RATING_RO_ROLLUP[],MATCH($B45,MMWR_RATING_RO_ROLLUP[MMWR_RATING_RO_ROLLUP],0),MATCH(H$9,MMWR_RATING_RO_ROLLUP[#Headers],0)),"ERROR"))</f>
        <v>141.625</v>
      </c>
      <c r="I45" s="155">
        <f>IF($B45=" ","",IFERROR(INDEX(MMWR_RATING_RO_ROLLUP[],MATCH($B45,MMWR_RATING_RO_ROLLUP[MMWR_RATING_RO_ROLLUP],0),MATCH(I$9,MMWR_RATING_RO_ROLLUP[#Headers],0)),"ERROR"))</f>
        <v>143.5285714286</v>
      </c>
      <c r="J45" s="42"/>
      <c r="K45" s="42"/>
      <c r="L45" s="42"/>
      <c r="M45" s="42"/>
      <c r="N45" s="28"/>
    </row>
    <row r="46" spans="1:14" x14ac:dyDescent="0.2">
      <c r="A46" s="25"/>
      <c r="B46" s="45" t="s">
        <v>213</v>
      </c>
      <c r="C46" s="154">
        <f>IF($B46=" ","",IFERROR(INDEX(MMWR_RATING_RO_ROLLUP[],MATCH($B46,MMWR_RATING_RO_ROLLUP[MMWR_RATING_RO_ROLLUP],0),MATCH(C$9,MMWR_RATING_RO_ROLLUP[#Headers],0)),"ERROR"))</f>
        <v>1631</v>
      </c>
      <c r="D46" s="155">
        <f>IF($B46=" ","",IFERROR(INDEX(MMWR_RATING_RO_ROLLUP[],MATCH($B46,MMWR_RATING_RO_ROLLUP[MMWR_RATING_RO_ROLLUP],0),MATCH(D$9,MMWR_RATING_RO_ROLLUP[#Headers],0)),"ERROR"))</f>
        <v>90.411404046599998</v>
      </c>
      <c r="E46" s="156">
        <f>IF($B46=" ","",IFERROR(INDEX(MMWR_RATING_RO_ROLLUP[],MATCH($B46,MMWR_RATING_RO_ROLLUP[MMWR_RATING_RO_ROLLUP],0),MATCH(E$9,MMWR_RATING_RO_ROLLUP[#Headers],0))/$C46,"ERROR"))</f>
        <v>0.27896995708154504</v>
      </c>
      <c r="F46" s="154">
        <f>IF($B46=" ","",IFERROR(INDEX(MMWR_RATING_RO_ROLLUP[],MATCH($B46,MMWR_RATING_RO_ROLLUP[MMWR_RATING_RO_ROLLUP],0),MATCH(F$9,MMWR_RATING_RO_ROLLUP[#Headers],0)),"ERROR"))</f>
        <v>231</v>
      </c>
      <c r="G46" s="154">
        <f>IF($B46=" ","",IFERROR(INDEX(MMWR_RATING_RO_ROLLUP[],MATCH($B46,MMWR_RATING_RO_ROLLUP[MMWR_RATING_RO_ROLLUP],0),MATCH(G$9,MMWR_RATING_RO_ROLLUP[#Headers],0)),"ERROR"))</f>
        <v>1781</v>
      </c>
      <c r="H46" s="155">
        <f>IF($B46=" ","",IFERROR(INDEX(MMWR_RATING_RO_ROLLUP[],MATCH($B46,MMWR_RATING_RO_ROLLUP[MMWR_RATING_RO_ROLLUP],0),MATCH(H$9,MMWR_RATING_RO_ROLLUP[#Headers],0)),"ERROR"))</f>
        <v>156.74458874460001</v>
      </c>
      <c r="I46" s="155">
        <f>IF($B46=" ","",IFERROR(INDEX(MMWR_RATING_RO_ROLLUP[],MATCH($B46,MMWR_RATING_RO_ROLLUP[MMWR_RATING_RO_ROLLUP],0),MATCH(I$9,MMWR_RATING_RO_ROLLUP[#Headers],0)),"ERROR"))</f>
        <v>147.80291970799999</v>
      </c>
      <c r="J46" s="42"/>
      <c r="K46" s="42"/>
      <c r="L46" s="42"/>
      <c r="M46" s="42"/>
      <c r="N46" s="28"/>
    </row>
    <row r="47" spans="1:14" x14ac:dyDescent="0.2">
      <c r="A47" s="25"/>
      <c r="B47" s="47" t="s">
        <v>308</v>
      </c>
      <c r="C47" s="154">
        <f>IF($B47=" ","",IFERROR(INDEX(MMWR_RATING_RO_ROLLUP[],MATCH($B47,MMWR_RATING_RO_ROLLUP[MMWR_RATING_RO_ROLLUP],0),MATCH(C$9,MMWR_RATING_RO_ROLLUP[#Headers],0)),"ERROR"))</f>
        <v>9243</v>
      </c>
      <c r="D47" s="155">
        <f>IF($B47=" ","",IFERROR(INDEX(MMWR_RATING_RO_ROLLUP[],MATCH($B47,MMWR_RATING_RO_ROLLUP[MMWR_RATING_RO_ROLLUP],0),MATCH(D$9,MMWR_RATING_RO_ROLLUP[#Headers],0)),"ERROR"))</f>
        <v>88.014281077600003</v>
      </c>
      <c r="E47" s="156">
        <f>IF($B47=" ","",IFERROR(INDEX(MMWR_RATING_RO_ROLLUP[],MATCH($B47,MMWR_RATING_RO_ROLLUP[MMWR_RATING_RO_ROLLUP],0),MATCH(E$9,MMWR_RATING_RO_ROLLUP[#Headers],0))/$C47,"ERROR"))</f>
        <v>0.25035161744022505</v>
      </c>
      <c r="F47" s="154">
        <f>IF($B47=" ","",IFERROR(INDEX(MMWR_RATING_RO_ROLLUP[],MATCH($B47,MMWR_RATING_RO_ROLLUP[MMWR_RATING_RO_ROLLUP],0),MATCH(F$9,MMWR_RATING_RO_ROLLUP[#Headers],0)),"ERROR"))</f>
        <v>1297</v>
      </c>
      <c r="G47" s="154">
        <f>IF($B47=" ","",IFERROR(INDEX(MMWR_RATING_RO_ROLLUP[],MATCH($B47,MMWR_RATING_RO_ROLLUP[MMWR_RATING_RO_ROLLUP],0),MATCH(G$9,MMWR_RATING_RO_ROLLUP[#Headers],0)),"ERROR"))</f>
        <v>7778</v>
      </c>
      <c r="H47" s="155">
        <f>IF($B47=" ","",IFERROR(INDEX(MMWR_RATING_RO_ROLLUP[],MATCH($B47,MMWR_RATING_RO_ROLLUP[MMWR_RATING_RO_ROLLUP],0),MATCH(H$9,MMWR_RATING_RO_ROLLUP[#Headers],0)),"ERROR"))</f>
        <v>147.87047031610001</v>
      </c>
      <c r="I47" s="155">
        <f>IF($B47=" ","",IFERROR(INDEX(MMWR_RATING_RO_ROLLUP[],MATCH($B47,MMWR_RATING_RO_ROLLUP[MMWR_RATING_RO_ROLLUP],0),MATCH(I$9,MMWR_RATING_RO_ROLLUP[#Headers],0)),"ERROR"))</f>
        <v>137.4308305477</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979</v>
      </c>
      <c r="D2" s="356"/>
      <c r="E2" s="356"/>
      <c r="F2" s="356"/>
      <c r="G2" s="356"/>
      <c r="H2" s="356"/>
      <c r="I2" s="356"/>
      <c r="J2" s="355" t="s">
        <v>300</v>
      </c>
      <c r="K2" s="356"/>
      <c r="L2" s="356"/>
      <c r="M2" s="357"/>
      <c r="N2" s="28"/>
    </row>
    <row r="3" spans="1:15" ht="24" customHeight="1" thickBot="1" x14ac:dyDescent="0.4">
      <c r="A3" s="25"/>
      <c r="B3" s="29"/>
      <c r="C3" s="358"/>
      <c r="D3" s="359"/>
      <c r="E3" s="359"/>
      <c r="F3" s="359"/>
      <c r="G3" s="359"/>
      <c r="H3" s="359"/>
      <c r="I3" s="359"/>
      <c r="J3" s="358" t="str">
        <f>Transformation!B4</f>
        <v>As of: February 20, 2016</v>
      </c>
      <c r="K3" s="359"/>
      <c r="L3" s="359"/>
      <c r="M3" s="360"/>
      <c r="N3" s="28"/>
    </row>
    <row r="4" spans="1:15" ht="51.75" customHeight="1" thickBot="1" x14ac:dyDescent="0.35">
      <c r="A4" s="30"/>
      <c r="B4" s="246" t="s">
        <v>456</v>
      </c>
      <c r="C4" s="361" t="s">
        <v>432</v>
      </c>
      <c r="D4" s="362"/>
      <c r="E4" s="362"/>
      <c r="F4" s="362"/>
      <c r="G4" s="362"/>
      <c r="H4" s="362"/>
      <c r="I4" s="362"/>
      <c r="J4" s="362"/>
      <c r="K4" s="362"/>
      <c r="L4" s="362"/>
      <c r="M4" s="363"/>
      <c r="N4" s="28"/>
    </row>
    <row r="5" spans="1:15" ht="27" customHeight="1" thickBot="1" x14ac:dyDescent="0.25">
      <c r="A5" s="30"/>
      <c r="B5" s="245" t="s">
        <v>370</v>
      </c>
      <c r="C5" s="364" t="s">
        <v>1043</v>
      </c>
      <c r="D5" s="365"/>
      <c r="E5" s="365"/>
      <c r="F5" s="365"/>
      <c r="G5" s="365"/>
      <c r="H5" s="365"/>
      <c r="I5" s="365"/>
      <c r="J5" s="365"/>
      <c r="K5" s="365"/>
      <c r="L5" s="365"/>
      <c r="M5" s="365"/>
      <c r="N5" s="365"/>
      <c r="O5" s="366"/>
    </row>
    <row r="6" spans="1:15"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5"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5"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5" x14ac:dyDescent="0.2">
      <c r="A9" s="28"/>
      <c r="B9" s="39"/>
      <c r="C9" s="39" t="s">
        <v>715</v>
      </c>
      <c r="D9" s="39" t="s">
        <v>717</v>
      </c>
      <c r="E9" s="39" t="s">
        <v>716</v>
      </c>
      <c r="F9" s="39" t="s">
        <v>719</v>
      </c>
      <c r="G9" s="39" t="s">
        <v>718</v>
      </c>
      <c r="H9" s="39" t="s">
        <v>721</v>
      </c>
      <c r="I9" s="39" t="s">
        <v>720</v>
      </c>
      <c r="J9" s="39"/>
      <c r="K9" s="39"/>
      <c r="L9" s="39"/>
      <c r="M9" s="39"/>
      <c r="N9" s="39"/>
    </row>
    <row r="10" spans="1:15" ht="15.75" customHeight="1" x14ac:dyDescent="0.2">
      <c r="A10" s="25"/>
      <c r="B10" s="26"/>
      <c r="C10" s="349" t="s">
        <v>293</v>
      </c>
      <c r="D10" s="349"/>
      <c r="E10" s="349"/>
      <c r="F10" s="349"/>
      <c r="G10" s="349"/>
      <c r="H10" s="349"/>
      <c r="I10" s="349"/>
      <c r="J10" s="349"/>
      <c r="K10" s="349"/>
      <c r="L10" s="349"/>
      <c r="M10" s="391"/>
      <c r="N10" s="28"/>
    </row>
    <row r="11" spans="1:15" ht="63.75" customHeight="1" x14ac:dyDescent="0.2">
      <c r="A11" s="25"/>
      <c r="B11" s="26"/>
      <c r="C11" s="52" t="s">
        <v>226</v>
      </c>
      <c r="D11" s="52" t="s">
        <v>134</v>
      </c>
      <c r="E11" s="52" t="s">
        <v>227</v>
      </c>
      <c r="F11" s="52" t="s">
        <v>189</v>
      </c>
      <c r="G11" s="52" t="s">
        <v>204</v>
      </c>
      <c r="H11" s="52" t="s">
        <v>206</v>
      </c>
      <c r="I11" s="52" t="s">
        <v>207</v>
      </c>
      <c r="J11" s="393" t="s">
        <v>973</v>
      </c>
      <c r="K11" s="394"/>
      <c r="L11" s="394"/>
      <c r="M11" s="395"/>
      <c r="N11" s="28"/>
    </row>
    <row r="12" spans="1:15" x14ac:dyDescent="0.2">
      <c r="A12" s="25"/>
      <c r="B12" s="41" t="s">
        <v>730</v>
      </c>
      <c r="C12" s="154">
        <f>IF($B12=" ","",IFERROR(INDEX(MMWR_RATING_STATE_ROLLUP_VSC[],MATCH($B12,MMWR_RATING_STATE_ROLLUP_VSC[MMWR_RATING_STATE_ROLLUP_VSC],0),MATCH(C$9,MMWR_RATING_STATE_ROLLUP_VSC[#Headers],0)),"ERROR"))</f>
        <v>353838</v>
      </c>
      <c r="D12" s="155">
        <f>IF($B12=" ","",IFERROR(INDEX(MMWR_RATING_STATE_ROLLUP_VSC[],MATCH($B12,MMWR_RATING_STATE_ROLLUP_VSC[MMWR_RATING_STATE_ROLLUP_VSC],0),MATCH(D$9,MMWR_RATING_STATE_ROLLUP_VSC[#Headers],0)),"ERROR"))</f>
        <v>92.506112967000007</v>
      </c>
      <c r="E12" s="157">
        <f>IF($B12=" ","",IFERROR(INDEX(MMWR_RATING_STATE_ROLLUP_VSC[],MATCH($B12,MMWR_RATING_STATE_ROLLUP_VSC[MMWR_RATING_STATE_ROLLUP_VSC],0),MATCH(E$9,MMWR_RATING_STATE_ROLLUP_VSC[#Headers],0))/$C12,"ERROR"))</f>
        <v>0.23299928215737145</v>
      </c>
      <c r="F12" s="154">
        <f>IF($B12=" ","",IFERROR(INDEX(MMWR_RATING_STATE_ROLLUP_VSC[],MATCH($B12,MMWR_RATING_STATE_ROLLUP_VSC[MMWR_RATING_STATE_ROLLUP_VSC],0),MATCH(F$9,MMWR_RATING_STATE_ROLLUP_VSC[#Headers],0)),"ERROR"))</f>
        <v>69206</v>
      </c>
      <c r="G12" s="154">
        <f>IF($B12=" ","",IFERROR(INDEX(MMWR_RATING_STATE_ROLLUP_VSC[],MATCH($B12,MMWR_RATING_STATE_ROLLUP_VSC[MMWR_RATING_STATE_ROLLUP_VSC],0),MATCH(G$9,MMWR_RATING_STATE_ROLLUP_VSC[#Headers],0)),"ERROR"))</f>
        <v>478709</v>
      </c>
      <c r="H12" s="155">
        <f>IF($B12=" ","",IFERROR(INDEX(MMWR_RATING_STATE_ROLLUP_VSC[],MATCH($B12,MMWR_RATING_STATE_ROLLUP_VSC[MMWR_RATING_STATE_ROLLUP_VSC],0),MATCH(H$9,MMWR_RATING_STATE_ROLLUP_VSC[#Headers],0)),"ERROR"))</f>
        <v>126.2427824177</v>
      </c>
      <c r="I12" s="155">
        <f>IF($B12=" ","",IFERROR(INDEX(MMWR_RATING_STATE_ROLLUP_VSC[],MATCH($B12,MMWR_RATING_STATE_ROLLUP_VSC[MMWR_RATING_STATE_ROLLUP_VSC],0),MATCH(I$9,MMWR_RATING_STATE_ROLLUP_VSC[#Headers],0)),"ERROR"))</f>
        <v>127.8952683154</v>
      </c>
      <c r="J12" s="42"/>
      <c r="K12" s="42"/>
      <c r="L12" s="42"/>
      <c r="M12" s="42"/>
      <c r="N12" s="28"/>
    </row>
    <row r="13" spans="1:15" x14ac:dyDescent="0.2">
      <c r="A13" s="25"/>
      <c r="B13" s="341" t="s">
        <v>959</v>
      </c>
      <c r="C13" s="342"/>
      <c r="D13" s="342"/>
      <c r="E13" s="342"/>
      <c r="F13" s="342"/>
      <c r="G13" s="342"/>
      <c r="H13" s="342"/>
      <c r="I13" s="342"/>
      <c r="J13" s="342"/>
      <c r="K13" s="342"/>
      <c r="L13" s="342"/>
      <c r="M13" s="392"/>
      <c r="N13" s="28"/>
    </row>
    <row r="14" spans="1:15" x14ac:dyDescent="0.2">
      <c r="A14" s="25"/>
      <c r="B14" s="41" t="s">
        <v>1037</v>
      </c>
      <c r="C14" s="154">
        <f>IF($B14=" ","",IFERROR(INDEX(MMWR_RATING_STATE_ROLLUP_VSC[],MATCH($B14,MMWR_RATING_STATE_ROLLUP_VSC[MMWR_RATING_STATE_ROLLUP_VSC],0),MATCH(C$9,MMWR_RATING_STATE_ROLLUP_VSC[#Headers],0)),"ERROR"))</f>
        <v>305793</v>
      </c>
      <c r="D14" s="155">
        <f>IF($B14=" ","",IFERROR(INDEX(MMWR_RATING_STATE_ROLLUP_VSC[],MATCH($B14,MMWR_RATING_STATE_ROLLUP_VSC[MMWR_RATING_STATE_ROLLUP_VSC],0),MATCH(D$9,MMWR_RATING_STATE_ROLLUP_VSC[#Headers],0)),"ERROR"))</f>
        <v>94.568037855699998</v>
      </c>
      <c r="E14" s="156">
        <f>IF($B14=" ","",IFERROR(INDEX(MMWR_RATING_STATE_ROLLUP_VSC[],MATCH($B14,MMWR_RATING_STATE_ROLLUP_VSC[MMWR_RATING_STATE_ROLLUP_VSC],0),MATCH(E$9,MMWR_RATING_STATE_ROLLUP_VSC[#Headers],0))/$C14,"ERROR"))</f>
        <v>0.23996625168005808</v>
      </c>
      <c r="F14" s="154">
        <f>IF($B14=" ","",IFERROR(INDEX(MMWR_RATING_STATE_ROLLUP_VSC[],MATCH($B14,MMWR_RATING_STATE_ROLLUP_VSC[MMWR_RATING_STATE_ROLLUP_VSC],0),MATCH(F$9,MMWR_RATING_STATE_ROLLUP_VSC[#Headers],0)),"ERROR"))</f>
        <v>58496</v>
      </c>
      <c r="G14" s="154">
        <f>IF($B14=" ","",IFERROR(INDEX(MMWR_RATING_STATE_ROLLUP_VSC[],MATCH($B14,MMWR_RATING_STATE_ROLLUP_VSC[MMWR_RATING_STATE_ROLLUP_VSC],0),MATCH(G$9,MMWR_RATING_STATE_ROLLUP_VSC[#Headers],0)),"ERROR"))</f>
        <v>405664</v>
      </c>
      <c r="H14" s="155">
        <f>IF($B14=" ","",IFERROR(INDEX(MMWR_RATING_STATE_ROLLUP_VSC[],MATCH($B14,MMWR_RATING_STATE_ROLLUP_VSC[MMWR_RATING_STATE_ROLLUP_VSC],0),MATCH(H$9,MMWR_RATING_STATE_ROLLUP_VSC[#Headers],0)),"ERROR"))</f>
        <v>130.73505880740001</v>
      </c>
      <c r="I14" s="155">
        <f>IF($B14=" ","",IFERROR(INDEX(MMWR_RATING_STATE_ROLLUP_VSC[],MATCH($B14,MMWR_RATING_STATE_ROLLUP_VSC[MMWR_RATING_STATE_ROLLUP_VSC],0),MATCH(I$9,MMWR_RATING_STATE_ROLLUP_VSC[#Headers],0)),"ERROR"))</f>
        <v>134.51686370990001</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66013</v>
      </c>
      <c r="D15" s="155">
        <f>IF($B15=" ","",IFERROR(INDEX(MMWR_RATING_STATE_ROLLUP_VSC[],MATCH($B15,MMWR_RATING_STATE_ROLLUP_VSC[MMWR_RATING_STATE_ROLLUP_VSC],0),MATCH(D$9,MMWR_RATING_STATE_ROLLUP_VSC[#Headers],0)),"ERROR"))</f>
        <v>96.766364201000002</v>
      </c>
      <c r="E15" s="156">
        <f>IF($B15=" ","",IFERROR(INDEX(MMWR_RATING_STATE_ROLLUP_VSC[],MATCH($B15,MMWR_RATING_STATE_ROLLUP_VSC[MMWR_RATING_STATE_ROLLUP_VSC],0),MATCH(E$9,MMWR_RATING_STATE_ROLLUP_VSC[#Headers],0))/$C15,"ERROR"))</f>
        <v>0.2511020556557042</v>
      </c>
      <c r="F15" s="154">
        <f>IF($B15=" ","",IFERROR(INDEX(MMWR_RATING_STATE_ROLLUP_VSC[],MATCH($B15,MMWR_RATING_STATE_ROLLUP_VSC[MMWR_RATING_STATE_ROLLUP_VSC],0),MATCH(F$9,MMWR_RATING_STATE_ROLLUP_VSC[#Headers],0)),"ERROR"))</f>
        <v>12188</v>
      </c>
      <c r="G15" s="154">
        <f>IF($B15=" ","",IFERROR(INDEX(MMWR_RATING_STATE_ROLLUP_VSC[],MATCH($B15,MMWR_RATING_STATE_ROLLUP_VSC[MMWR_RATING_STATE_ROLLUP_VSC],0),MATCH(G$9,MMWR_RATING_STATE_ROLLUP_VSC[#Headers],0)),"ERROR"))</f>
        <v>84703</v>
      </c>
      <c r="H15" s="155">
        <f>IF($B15=" ","",IFERROR(INDEX(MMWR_RATING_STATE_ROLLUP_VSC[],MATCH($B15,MMWR_RATING_STATE_ROLLUP_VSC[MMWR_RATING_STATE_ROLLUP_VSC],0),MATCH(H$9,MMWR_RATING_STATE_ROLLUP_VSC[#Headers],0)),"ERROR"))</f>
        <v>133.055710535</v>
      </c>
      <c r="I15" s="155">
        <f>IF($B15=" ","",IFERROR(INDEX(MMWR_RATING_STATE_ROLLUP_VSC[],MATCH($B15,MMWR_RATING_STATE_ROLLUP_VSC[MMWR_RATING_STATE_ROLLUP_VSC],0),MATCH(I$9,MMWR_RATING_STATE_ROLLUP_VSC[#Headers],0)),"ERROR"))</f>
        <v>137.00854751310001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2038</v>
      </c>
      <c r="D16" s="155">
        <f>IF($B16=" ","",IFERROR(INDEX(MMWR_RATING_STATE_ROLLUP_VSC[],MATCH($B16,MMWR_RATING_STATE_ROLLUP_VSC[MMWR_RATING_STATE_ROLLUP_VSC],0),MATCH(D$9,MMWR_RATING_STATE_ROLLUP_VSC[#Headers],0)),"ERROR"))</f>
        <v>89.502453385699994</v>
      </c>
      <c r="E16" s="156">
        <f>IF($B16=" ","",IFERROR(INDEX(MMWR_RATING_STATE_ROLLUP_VSC[],MATCH($B16,MMWR_RATING_STATE_ROLLUP_VSC[MMWR_RATING_STATE_ROLLUP_VSC],0),MATCH(E$9,MMWR_RATING_STATE_ROLLUP_VSC[#Headers],0))/$C16,"ERROR"))</f>
        <v>0.218351324828263</v>
      </c>
      <c r="F16" s="154">
        <f>IF($B16=" ","",IFERROR(INDEX(MMWR_RATING_STATE_ROLLUP_VSC[],MATCH($B16,MMWR_RATING_STATE_ROLLUP_VSC[MMWR_RATING_STATE_ROLLUP_VSC],0),MATCH(F$9,MMWR_RATING_STATE_ROLLUP_VSC[#Headers],0)),"ERROR"))</f>
        <v>343</v>
      </c>
      <c r="G16" s="154">
        <f>IF($B16=" ","",IFERROR(INDEX(MMWR_RATING_STATE_ROLLUP_VSC[],MATCH($B16,MMWR_RATING_STATE_ROLLUP_VSC[MMWR_RATING_STATE_ROLLUP_VSC],0),MATCH(G$9,MMWR_RATING_STATE_ROLLUP_VSC[#Headers],0)),"ERROR"))</f>
        <v>2367</v>
      </c>
      <c r="H16" s="155">
        <f>IF($B16=" ","",IFERROR(INDEX(MMWR_RATING_STATE_ROLLUP_VSC[],MATCH($B16,MMWR_RATING_STATE_ROLLUP_VSC[MMWR_RATING_STATE_ROLLUP_VSC],0),MATCH(H$9,MMWR_RATING_STATE_ROLLUP_VSC[#Headers],0)),"ERROR"))</f>
        <v>122.09329446060001</v>
      </c>
      <c r="I16" s="155">
        <f>IF($B16=" ","",IFERROR(INDEX(MMWR_RATING_STATE_ROLLUP_VSC[],MATCH($B16,MMWR_RATING_STATE_ROLLUP_VSC[MMWR_RATING_STATE_ROLLUP_VSC],0),MATCH(I$9,MMWR_RATING_STATE_ROLLUP_VSC[#Headers],0)),"ERROR"))</f>
        <v>117.3460076046</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845</v>
      </c>
      <c r="D17" s="155">
        <f>IF($B17=" ","",IFERROR(INDEX(MMWR_RATING_STATE_ROLLUP_VSC[],MATCH($B17,MMWR_RATING_STATE_ROLLUP_VSC[MMWR_RATING_STATE_ROLLUP_VSC],0),MATCH(D$9,MMWR_RATING_STATE_ROLLUP_VSC[#Headers],0)),"ERROR"))</f>
        <v>100.81538461540001</v>
      </c>
      <c r="E17" s="156">
        <f>IF($B17=" ","",IFERROR(INDEX(MMWR_RATING_STATE_ROLLUP_VSC[],MATCH($B17,MMWR_RATING_STATE_ROLLUP_VSC[MMWR_RATING_STATE_ROLLUP_VSC],0),MATCH(E$9,MMWR_RATING_STATE_ROLLUP_VSC[#Headers],0))/$C17,"ERROR"))</f>
        <v>0.26982248520710062</v>
      </c>
      <c r="F17" s="154">
        <f>IF($B17=" ","",IFERROR(INDEX(MMWR_RATING_STATE_ROLLUP_VSC[],MATCH($B17,MMWR_RATING_STATE_ROLLUP_VSC[MMWR_RATING_STATE_ROLLUP_VSC],0),MATCH(F$9,MMWR_RATING_STATE_ROLLUP_VSC[#Headers],0)),"ERROR"))</f>
        <v>173</v>
      </c>
      <c r="G17" s="154">
        <f>IF($B17=" ","",IFERROR(INDEX(MMWR_RATING_STATE_ROLLUP_VSC[],MATCH($B17,MMWR_RATING_STATE_ROLLUP_VSC[MMWR_RATING_STATE_ROLLUP_VSC],0),MATCH(G$9,MMWR_RATING_STATE_ROLLUP_VSC[#Headers],0)),"ERROR"))</f>
        <v>1140</v>
      </c>
      <c r="H17" s="155">
        <f>IF($B17=" ","",IFERROR(INDEX(MMWR_RATING_STATE_ROLLUP_VSC[],MATCH($B17,MMWR_RATING_STATE_ROLLUP_VSC[MMWR_RATING_STATE_ROLLUP_VSC],0),MATCH(H$9,MMWR_RATING_STATE_ROLLUP_VSC[#Headers],0)),"ERROR"))</f>
        <v>145.01156069359999</v>
      </c>
      <c r="I17" s="155">
        <f>IF($B17=" ","",IFERROR(INDEX(MMWR_RATING_STATE_ROLLUP_VSC[],MATCH($B17,MMWR_RATING_STATE_ROLLUP_VSC[MMWR_RATING_STATE_ROLLUP_VSC],0),MATCH(I$9,MMWR_RATING_STATE_ROLLUP_VSC[#Headers],0)),"ERROR"))</f>
        <v>145.21491228069999</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354</v>
      </c>
      <c r="D18" s="155">
        <f>IF($B18=" ","",IFERROR(INDEX(MMWR_RATING_STATE_ROLLUP_VSC[],MATCH($B18,MMWR_RATING_STATE_ROLLUP_VSC[MMWR_RATING_STATE_ROLLUP_VSC],0),MATCH(D$9,MMWR_RATING_STATE_ROLLUP_VSC[#Headers],0)),"ERROR"))</f>
        <v>99.338983050799996</v>
      </c>
      <c r="E18" s="156">
        <f>IF($B18=" ","",IFERROR(INDEX(MMWR_RATING_STATE_ROLLUP_VSC[],MATCH($B18,MMWR_RATING_STATE_ROLLUP_VSC[MMWR_RATING_STATE_ROLLUP_VSC],0),MATCH(E$9,MMWR_RATING_STATE_ROLLUP_VSC[#Headers],0))/$C18,"ERROR"))</f>
        <v>0.2768361581920904</v>
      </c>
      <c r="F18" s="154">
        <f>IF($B18=" ","",IFERROR(INDEX(MMWR_RATING_STATE_ROLLUP_VSC[],MATCH($B18,MMWR_RATING_STATE_ROLLUP_VSC[MMWR_RATING_STATE_ROLLUP_VSC],0),MATCH(F$9,MMWR_RATING_STATE_ROLLUP_VSC[#Headers],0)),"ERROR"))</f>
        <v>96</v>
      </c>
      <c r="G18" s="154">
        <f>IF($B18=" ","",IFERROR(INDEX(MMWR_RATING_STATE_ROLLUP_VSC[],MATCH($B18,MMWR_RATING_STATE_ROLLUP_VSC[MMWR_RATING_STATE_ROLLUP_VSC],0),MATCH(G$9,MMWR_RATING_STATE_ROLLUP_VSC[#Headers],0)),"ERROR"))</f>
        <v>520</v>
      </c>
      <c r="H18" s="155">
        <f>IF($B18=" ","",IFERROR(INDEX(MMWR_RATING_STATE_ROLLUP_VSC[],MATCH($B18,MMWR_RATING_STATE_ROLLUP_VSC[MMWR_RATING_STATE_ROLLUP_VSC],0),MATCH(H$9,MMWR_RATING_STATE_ROLLUP_VSC[#Headers],0)),"ERROR"))</f>
        <v>133.2708333333</v>
      </c>
      <c r="I18" s="155">
        <f>IF($B18=" ","",IFERROR(INDEX(MMWR_RATING_STATE_ROLLUP_VSC[],MATCH($B18,MMWR_RATING_STATE_ROLLUP_VSC[MMWR_RATING_STATE_ROLLUP_VSC],0),MATCH(I$9,MMWR_RATING_STATE_ROLLUP_VSC[#Headers],0)),"ERROR"))</f>
        <v>145.47692307689999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1431</v>
      </c>
      <c r="D19" s="155">
        <f>IF($B19=" ","",IFERROR(INDEX(MMWR_RATING_STATE_ROLLUP_VSC[],MATCH($B19,MMWR_RATING_STATE_ROLLUP_VSC[MMWR_RATING_STATE_ROLLUP_VSC],0),MATCH(D$9,MMWR_RATING_STATE_ROLLUP_VSC[#Headers],0)),"ERROR"))</f>
        <v>76.120894479399993</v>
      </c>
      <c r="E19" s="156">
        <f>IF($B19=" ","",IFERROR(INDEX(MMWR_RATING_STATE_ROLLUP_VSC[],MATCH($B19,MMWR_RATING_STATE_ROLLUP_VSC[MMWR_RATING_STATE_ROLLUP_VSC],0),MATCH(E$9,MMWR_RATING_STATE_ROLLUP_VSC[#Headers],0))/$C19,"ERROR"))</f>
        <v>0.12508735150244585</v>
      </c>
      <c r="F19" s="154">
        <f>IF($B19=" ","",IFERROR(INDEX(MMWR_RATING_STATE_ROLLUP_VSC[],MATCH($B19,MMWR_RATING_STATE_ROLLUP_VSC[MMWR_RATING_STATE_ROLLUP_VSC],0),MATCH(F$9,MMWR_RATING_STATE_ROLLUP_VSC[#Headers],0)),"ERROR"))</f>
        <v>239</v>
      </c>
      <c r="G19" s="154">
        <f>IF($B19=" ","",IFERROR(INDEX(MMWR_RATING_STATE_ROLLUP_VSC[],MATCH($B19,MMWR_RATING_STATE_ROLLUP_VSC[MMWR_RATING_STATE_ROLLUP_VSC],0),MATCH(G$9,MMWR_RATING_STATE_ROLLUP_VSC[#Headers],0)),"ERROR"))</f>
        <v>1788</v>
      </c>
      <c r="H19" s="155">
        <f>IF($B19=" ","",IFERROR(INDEX(MMWR_RATING_STATE_ROLLUP_VSC[],MATCH($B19,MMWR_RATING_STATE_ROLLUP_VSC[MMWR_RATING_STATE_ROLLUP_VSC],0),MATCH(H$9,MMWR_RATING_STATE_ROLLUP_VSC[#Headers],0)),"ERROR"))</f>
        <v>123.12970711299999</v>
      </c>
      <c r="I19" s="155">
        <f>IF($B19=" ","",IFERROR(INDEX(MMWR_RATING_STATE_ROLLUP_VSC[],MATCH($B19,MMWR_RATING_STATE_ROLLUP_VSC[MMWR_RATING_STATE_ROLLUP_VSC],0),MATCH(I$9,MMWR_RATING_STATE_ROLLUP_VSC[#Headers],0)),"ERROR"))</f>
        <v>110.40715883670001</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5036</v>
      </c>
      <c r="D20" s="155">
        <f>IF($B20=" ","",IFERROR(INDEX(MMWR_RATING_STATE_ROLLUP_VSC[],MATCH($B20,MMWR_RATING_STATE_ROLLUP_VSC[MMWR_RATING_STATE_ROLLUP_VSC],0),MATCH(D$9,MMWR_RATING_STATE_ROLLUP_VSC[#Headers],0)),"ERROR"))</f>
        <v>102.99126290709999</v>
      </c>
      <c r="E20" s="156">
        <f>IF($B20=" ","",IFERROR(INDEX(MMWR_RATING_STATE_ROLLUP_VSC[],MATCH($B20,MMWR_RATING_STATE_ROLLUP_VSC[MMWR_RATING_STATE_ROLLUP_VSC],0),MATCH(E$9,MMWR_RATING_STATE_ROLLUP_VSC[#Headers],0))/$C20,"ERROR"))</f>
        <v>0.25496425734710088</v>
      </c>
      <c r="F20" s="154">
        <f>IF($B20=" ","",IFERROR(INDEX(MMWR_RATING_STATE_ROLLUP_VSC[],MATCH($B20,MMWR_RATING_STATE_ROLLUP_VSC[MMWR_RATING_STATE_ROLLUP_VSC],0),MATCH(F$9,MMWR_RATING_STATE_ROLLUP_VSC[#Headers],0)),"ERROR"))</f>
        <v>871</v>
      </c>
      <c r="G20" s="154">
        <f>IF($B20=" ","",IFERROR(INDEX(MMWR_RATING_STATE_ROLLUP_VSC[],MATCH($B20,MMWR_RATING_STATE_ROLLUP_VSC[MMWR_RATING_STATE_ROLLUP_VSC],0),MATCH(G$9,MMWR_RATING_STATE_ROLLUP_VSC[#Headers],0)),"ERROR"))</f>
        <v>6571</v>
      </c>
      <c r="H20" s="155">
        <f>IF($B20=" ","",IFERROR(INDEX(MMWR_RATING_STATE_ROLLUP_VSC[],MATCH($B20,MMWR_RATING_STATE_ROLLUP_VSC[MMWR_RATING_STATE_ROLLUP_VSC],0),MATCH(H$9,MMWR_RATING_STATE_ROLLUP_VSC[#Headers],0)),"ERROR"))</f>
        <v>137.71067738229999</v>
      </c>
      <c r="I20" s="155">
        <f>IF($B20=" ","",IFERROR(INDEX(MMWR_RATING_STATE_ROLLUP_VSC[],MATCH($B20,MMWR_RATING_STATE_ROLLUP_VSC[MMWR_RATING_STATE_ROLLUP_VSC],0),MATCH(I$9,MMWR_RATING_STATE_ROLLUP_VSC[#Headers],0)),"ERROR"))</f>
        <v>138.11078983409999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4443</v>
      </c>
      <c r="D21" s="155">
        <f>IF($B21=" ","",IFERROR(INDEX(MMWR_RATING_STATE_ROLLUP_VSC[],MATCH($B21,MMWR_RATING_STATE_ROLLUP_VSC[MMWR_RATING_STATE_ROLLUP_VSC],0),MATCH(D$9,MMWR_RATING_STATE_ROLLUP_VSC[#Headers],0)),"ERROR"))</f>
        <v>95.458248930899998</v>
      </c>
      <c r="E21" s="156">
        <f>IF($B21=" ","",IFERROR(INDEX(MMWR_RATING_STATE_ROLLUP_VSC[],MATCH($B21,MMWR_RATING_STATE_ROLLUP_VSC[MMWR_RATING_STATE_ROLLUP_VSC],0),MATCH(E$9,MMWR_RATING_STATE_ROLLUP_VSC[#Headers],0))/$C21,"ERROR"))</f>
        <v>0.24352914697276615</v>
      </c>
      <c r="F21" s="154">
        <f>IF($B21=" ","",IFERROR(INDEX(MMWR_RATING_STATE_ROLLUP_VSC[],MATCH($B21,MMWR_RATING_STATE_ROLLUP_VSC[MMWR_RATING_STATE_ROLLUP_VSC],0),MATCH(F$9,MMWR_RATING_STATE_ROLLUP_VSC[#Headers],0)),"ERROR"))</f>
        <v>646</v>
      </c>
      <c r="G21" s="154">
        <f>IF($B21=" ","",IFERROR(INDEX(MMWR_RATING_STATE_ROLLUP_VSC[],MATCH($B21,MMWR_RATING_STATE_ROLLUP_VSC[MMWR_RATING_STATE_ROLLUP_VSC],0),MATCH(G$9,MMWR_RATING_STATE_ROLLUP_VSC[#Headers],0)),"ERROR"))</f>
        <v>5077</v>
      </c>
      <c r="H21" s="155">
        <f>IF($B21=" ","",IFERROR(INDEX(MMWR_RATING_STATE_ROLLUP_VSC[],MATCH($B21,MMWR_RATING_STATE_ROLLUP_VSC[MMWR_RATING_STATE_ROLLUP_VSC],0),MATCH(H$9,MMWR_RATING_STATE_ROLLUP_VSC[#Headers],0)),"ERROR"))</f>
        <v>135.92569659439999</v>
      </c>
      <c r="I21" s="155">
        <f>IF($B21=" ","",IFERROR(INDEX(MMWR_RATING_STATE_ROLLUP_VSC[],MATCH($B21,MMWR_RATING_STATE_ROLLUP_VSC[MMWR_RATING_STATE_ROLLUP_VSC],0),MATCH(I$9,MMWR_RATING_STATE_ROLLUP_VSC[#Headers],0)),"ERROR"))</f>
        <v>130.23931455580001</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1174</v>
      </c>
      <c r="D22" s="155">
        <f>IF($B22=" ","",IFERROR(INDEX(MMWR_RATING_STATE_ROLLUP_VSC[],MATCH($B22,MMWR_RATING_STATE_ROLLUP_VSC[MMWR_RATING_STATE_ROLLUP_VSC],0),MATCH(D$9,MMWR_RATING_STATE_ROLLUP_VSC[#Headers],0)),"ERROR"))</f>
        <v>96.591141396899999</v>
      </c>
      <c r="E22" s="156">
        <f>IF($B22=" ","",IFERROR(INDEX(MMWR_RATING_STATE_ROLLUP_VSC[],MATCH($B22,MMWR_RATING_STATE_ROLLUP_VSC[MMWR_RATING_STATE_ROLLUP_VSC],0),MATCH(E$9,MMWR_RATING_STATE_ROLLUP_VSC[#Headers],0))/$C22,"ERROR"))</f>
        <v>0.217206132879046</v>
      </c>
      <c r="F22" s="154">
        <f>IF($B22=" ","",IFERROR(INDEX(MMWR_RATING_STATE_ROLLUP_VSC[],MATCH($B22,MMWR_RATING_STATE_ROLLUP_VSC[MMWR_RATING_STATE_ROLLUP_VSC],0),MATCH(F$9,MMWR_RATING_STATE_ROLLUP_VSC[#Headers],0)),"ERROR"))</f>
        <v>220</v>
      </c>
      <c r="G22" s="154">
        <f>IF($B22=" ","",IFERROR(INDEX(MMWR_RATING_STATE_ROLLUP_VSC[],MATCH($B22,MMWR_RATING_STATE_ROLLUP_VSC[MMWR_RATING_STATE_ROLLUP_VSC],0),MATCH(G$9,MMWR_RATING_STATE_ROLLUP_VSC[#Headers],0)),"ERROR"))</f>
        <v>1567</v>
      </c>
      <c r="H22" s="155">
        <f>IF($B22=" ","",IFERROR(INDEX(MMWR_RATING_STATE_ROLLUP_VSC[],MATCH($B22,MMWR_RATING_STATE_ROLLUP_VSC[MMWR_RATING_STATE_ROLLUP_VSC],0),MATCH(H$9,MMWR_RATING_STATE_ROLLUP_VSC[#Headers],0)),"ERROR"))</f>
        <v>148.58636363639999</v>
      </c>
      <c r="I22" s="155">
        <f>IF($B22=" ","",IFERROR(INDEX(MMWR_RATING_STATE_ROLLUP_VSC[],MATCH($B22,MMWR_RATING_STATE_ROLLUP_VSC[MMWR_RATING_STATE_ROLLUP_VSC],0),MATCH(I$9,MMWR_RATING_STATE_ROLLUP_VSC[#Headers],0)),"ERROR"))</f>
        <v>135.0370134014</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3791</v>
      </c>
      <c r="D23" s="155">
        <f>IF($B23=" ","",IFERROR(INDEX(MMWR_RATING_STATE_ROLLUP_VSC[],MATCH($B23,MMWR_RATING_STATE_ROLLUP_VSC[MMWR_RATING_STATE_ROLLUP_VSC],0),MATCH(D$9,MMWR_RATING_STATE_ROLLUP_VSC[#Headers],0)),"ERROR"))</f>
        <v>98.588499076800005</v>
      </c>
      <c r="E23" s="156">
        <f>IF($B23=" ","",IFERROR(INDEX(MMWR_RATING_STATE_ROLLUP_VSC[],MATCH($B23,MMWR_RATING_STATE_ROLLUP_VSC[MMWR_RATING_STATE_ROLLUP_VSC],0),MATCH(E$9,MMWR_RATING_STATE_ROLLUP_VSC[#Headers],0))/$C23,"ERROR"))</f>
        <v>0.25402268530730676</v>
      </c>
      <c r="F23" s="154">
        <f>IF($B23=" ","",IFERROR(INDEX(MMWR_RATING_STATE_ROLLUP_VSC[],MATCH($B23,MMWR_RATING_STATE_ROLLUP_VSC[MMWR_RATING_STATE_ROLLUP_VSC],0),MATCH(F$9,MMWR_RATING_STATE_ROLLUP_VSC[#Headers],0)),"ERROR"))</f>
        <v>753</v>
      </c>
      <c r="G23" s="154">
        <f>IF($B23=" ","",IFERROR(INDEX(MMWR_RATING_STATE_ROLLUP_VSC[],MATCH($B23,MMWR_RATING_STATE_ROLLUP_VSC[MMWR_RATING_STATE_ROLLUP_VSC],0),MATCH(G$9,MMWR_RATING_STATE_ROLLUP_VSC[#Headers],0)),"ERROR"))</f>
        <v>5046</v>
      </c>
      <c r="H23" s="155">
        <f>IF($B23=" ","",IFERROR(INDEX(MMWR_RATING_STATE_ROLLUP_VSC[],MATCH($B23,MMWR_RATING_STATE_ROLLUP_VSC[MMWR_RATING_STATE_ROLLUP_VSC],0),MATCH(H$9,MMWR_RATING_STATE_ROLLUP_VSC[#Headers],0)),"ERROR"))</f>
        <v>131.36786188580001</v>
      </c>
      <c r="I23" s="155">
        <f>IF($B23=" ","",IFERROR(INDEX(MMWR_RATING_STATE_ROLLUP_VSC[],MATCH($B23,MMWR_RATING_STATE_ROLLUP_VSC[MMWR_RATING_STATE_ROLLUP_VSC],0),MATCH(I$9,MMWR_RATING_STATE_ROLLUP_VSC[#Headers],0)),"ERROR"))</f>
        <v>139.59096313910001</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8402</v>
      </c>
      <c r="D24" s="155">
        <f>IF($B24=" ","",IFERROR(INDEX(MMWR_RATING_STATE_ROLLUP_VSC[],MATCH($B24,MMWR_RATING_STATE_ROLLUP_VSC[MMWR_RATING_STATE_ROLLUP_VSC],0),MATCH(D$9,MMWR_RATING_STATE_ROLLUP_VSC[#Headers],0)),"ERROR"))</f>
        <v>93.875148774099998</v>
      </c>
      <c r="E24" s="156">
        <f>IF($B24=" ","",IFERROR(INDEX(MMWR_RATING_STATE_ROLLUP_VSC[],MATCH($B24,MMWR_RATING_STATE_ROLLUP_VSC[MMWR_RATING_STATE_ROLLUP_VSC],0),MATCH(E$9,MMWR_RATING_STATE_ROLLUP_VSC[#Headers],0))/$C24,"ERROR"))</f>
        <v>0.23292073315877171</v>
      </c>
      <c r="F24" s="154">
        <f>IF($B24=" ","",IFERROR(INDEX(MMWR_RATING_STATE_ROLLUP_VSC[],MATCH($B24,MMWR_RATING_STATE_ROLLUP_VSC[MMWR_RATING_STATE_ROLLUP_VSC],0),MATCH(F$9,MMWR_RATING_STATE_ROLLUP_VSC[#Headers],0)),"ERROR"))</f>
        <v>1571</v>
      </c>
      <c r="G24" s="154">
        <f>IF($B24=" ","",IFERROR(INDEX(MMWR_RATING_STATE_ROLLUP_VSC[],MATCH($B24,MMWR_RATING_STATE_ROLLUP_VSC[MMWR_RATING_STATE_ROLLUP_VSC],0),MATCH(G$9,MMWR_RATING_STATE_ROLLUP_VSC[#Headers],0)),"ERROR"))</f>
        <v>10890</v>
      </c>
      <c r="H24" s="155">
        <f>IF($B24=" ","",IFERROR(INDEX(MMWR_RATING_STATE_ROLLUP_VSC[],MATCH($B24,MMWR_RATING_STATE_ROLLUP_VSC[MMWR_RATING_STATE_ROLLUP_VSC],0),MATCH(H$9,MMWR_RATING_STATE_ROLLUP_VSC[#Headers],0)),"ERROR"))</f>
        <v>126.0235518778</v>
      </c>
      <c r="I24" s="155">
        <f>IF($B24=" ","",IFERROR(INDEX(MMWR_RATING_STATE_ROLLUP_VSC[],MATCH($B24,MMWR_RATING_STATE_ROLLUP_VSC[MMWR_RATING_STATE_ROLLUP_VSC],0),MATCH(I$9,MMWR_RATING_STATE_ROLLUP_VSC[#Headers],0)),"ERROR"))</f>
        <v>136.10955004589999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16138</v>
      </c>
      <c r="D25" s="155">
        <f>IF($B25=" ","",IFERROR(INDEX(MMWR_RATING_STATE_ROLLUP_VSC[],MATCH($B25,MMWR_RATING_STATE_ROLLUP_VSC[MMWR_RATING_STATE_ROLLUP_VSC],0),MATCH(D$9,MMWR_RATING_STATE_ROLLUP_VSC[#Headers],0)),"ERROR"))</f>
        <v>96.052732680600002</v>
      </c>
      <c r="E25" s="156">
        <f>IF($B25=" ","",IFERROR(INDEX(MMWR_RATING_STATE_ROLLUP_VSC[],MATCH($B25,MMWR_RATING_STATE_ROLLUP_VSC[MMWR_RATING_STATE_ROLLUP_VSC],0),MATCH(E$9,MMWR_RATING_STATE_ROLLUP_VSC[#Headers],0))/$C25,"ERROR"))</f>
        <v>0.25250960465980915</v>
      </c>
      <c r="F25" s="154">
        <f>IF($B25=" ","",IFERROR(INDEX(MMWR_RATING_STATE_ROLLUP_VSC[],MATCH($B25,MMWR_RATING_STATE_ROLLUP_VSC[MMWR_RATING_STATE_ROLLUP_VSC],0),MATCH(F$9,MMWR_RATING_STATE_ROLLUP_VSC[#Headers],0)),"ERROR"))</f>
        <v>2865</v>
      </c>
      <c r="G25" s="154">
        <f>IF($B25=" ","",IFERROR(INDEX(MMWR_RATING_STATE_ROLLUP_VSC[],MATCH($B25,MMWR_RATING_STATE_ROLLUP_VSC[MMWR_RATING_STATE_ROLLUP_VSC],0),MATCH(G$9,MMWR_RATING_STATE_ROLLUP_VSC[#Headers],0)),"ERROR"))</f>
        <v>19818</v>
      </c>
      <c r="H25" s="155">
        <f>IF($B25=" ","",IFERROR(INDEX(MMWR_RATING_STATE_ROLLUP_VSC[],MATCH($B25,MMWR_RATING_STATE_ROLLUP_VSC[MMWR_RATING_STATE_ROLLUP_VSC],0),MATCH(H$9,MMWR_RATING_STATE_ROLLUP_VSC[#Headers],0)),"ERROR"))</f>
        <v>140.6478184991</v>
      </c>
      <c r="I25" s="155">
        <f>IF($B25=" ","",IFERROR(INDEX(MMWR_RATING_STATE_ROLLUP_VSC[],MATCH($B25,MMWR_RATING_STATE_ROLLUP_VSC[MMWR_RATING_STATE_ROLLUP_VSC],0),MATCH(I$9,MMWR_RATING_STATE_ROLLUP_VSC[#Headers],0)),"ERROR"))</f>
        <v>142.85654455549999</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8270</v>
      </c>
      <c r="D26" s="155">
        <f>IF($B26=" ","",IFERROR(INDEX(MMWR_RATING_STATE_ROLLUP_VSC[],MATCH($B26,MMWR_RATING_STATE_ROLLUP_VSC[MMWR_RATING_STATE_ROLLUP_VSC],0),MATCH(D$9,MMWR_RATING_STATE_ROLLUP_VSC[#Headers],0)),"ERROR"))</f>
        <v>109.06299879079999</v>
      </c>
      <c r="E26" s="156">
        <f>IF($B26=" ","",IFERROR(INDEX(MMWR_RATING_STATE_ROLLUP_VSC[],MATCH($B26,MMWR_RATING_STATE_ROLLUP_VSC[MMWR_RATING_STATE_ROLLUP_VSC],0),MATCH(E$9,MMWR_RATING_STATE_ROLLUP_VSC[#Headers],0))/$C26,"ERROR"))</f>
        <v>0.2966142684401451</v>
      </c>
      <c r="F26" s="154">
        <f>IF($B26=" ","",IFERROR(INDEX(MMWR_RATING_STATE_ROLLUP_VSC[],MATCH($B26,MMWR_RATING_STATE_ROLLUP_VSC[MMWR_RATING_STATE_ROLLUP_VSC],0),MATCH(F$9,MMWR_RATING_STATE_ROLLUP_VSC[#Headers],0)),"ERROR"))</f>
        <v>1627</v>
      </c>
      <c r="G26" s="154">
        <f>IF($B26=" ","",IFERROR(INDEX(MMWR_RATING_STATE_ROLLUP_VSC[],MATCH($B26,MMWR_RATING_STATE_ROLLUP_VSC[MMWR_RATING_STATE_ROLLUP_VSC],0),MATCH(G$9,MMWR_RATING_STATE_ROLLUP_VSC[#Headers],0)),"ERROR"))</f>
        <v>11751</v>
      </c>
      <c r="H26" s="155">
        <f>IF($B26=" ","",IFERROR(INDEX(MMWR_RATING_STATE_ROLLUP_VSC[],MATCH($B26,MMWR_RATING_STATE_ROLLUP_VSC[MMWR_RATING_STATE_ROLLUP_VSC],0),MATCH(H$9,MMWR_RATING_STATE_ROLLUP_VSC[#Headers],0)),"ERROR"))</f>
        <v>134.26920712969999</v>
      </c>
      <c r="I26" s="155">
        <f>IF($B26=" ","",IFERROR(INDEX(MMWR_RATING_STATE_ROLLUP_VSC[],MATCH($B26,MMWR_RATING_STATE_ROLLUP_VSC[MMWR_RATING_STATE_ROLLUP_VSC],0),MATCH(I$9,MMWR_RATING_STATE_ROLLUP_VSC[#Headers],0)),"ERROR"))</f>
        <v>144.1417751681</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827</v>
      </c>
      <c r="D27" s="155">
        <f>IF($B27=" ","",IFERROR(INDEX(MMWR_RATING_STATE_ROLLUP_VSC[],MATCH($B27,MMWR_RATING_STATE_ROLLUP_VSC[MMWR_RATING_STATE_ROLLUP_VSC],0),MATCH(D$9,MMWR_RATING_STATE_ROLLUP_VSC[#Headers],0)),"ERROR"))</f>
        <v>88.871825876700001</v>
      </c>
      <c r="E27" s="156">
        <f>IF($B27=" ","",IFERROR(INDEX(MMWR_RATING_STATE_ROLLUP_VSC[],MATCH($B27,MMWR_RATING_STATE_ROLLUP_VSC[MMWR_RATING_STATE_ROLLUP_VSC],0),MATCH(E$9,MMWR_RATING_STATE_ROLLUP_VSC[#Headers],0))/$C27,"ERROR"))</f>
        <v>0.2249093107617896</v>
      </c>
      <c r="F27" s="154">
        <f>IF($B27=" ","",IFERROR(INDEX(MMWR_RATING_STATE_ROLLUP_VSC[],MATCH($B27,MMWR_RATING_STATE_ROLLUP_VSC[MMWR_RATING_STATE_ROLLUP_VSC],0),MATCH(F$9,MMWR_RATING_STATE_ROLLUP_VSC[#Headers],0)),"ERROR"))</f>
        <v>212</v>
      </c>
      <c r="G27" s="154">
        <f>IF($B27=" ","",IFERROR(INDEX(MMWR_RATING_STATE_ROLLUP_VSC[],MATCH($B27,MMWR_RATING_STATE_ROLLUP_VSC[MMWR_RATING_STATE_ROLLUP_VSC],0),MATCH(G$9,MMWR_RATING_STATE_ROLLUP_VSC[#Headers],0)),"ERROR"))</f>
        <v>1250</v>
      </c>
      <c r="H27" s="155">
        <f>IF($B27=" ","",IFERROR(INDEX(MMWR_RATING_STATE_ROLLUP_VSC[],MATCH($B27,MMWR_RATING_STATE_ROLLUP_VSC[MMWR_RATING_STATE_ROLLUP_VSC],0),MATCH(H$9,MMWR_RATING_STATE_ROLLUP_VSC[#Headers],0)),"ERROR"))</f>
        <v>117.27830188679999</v>
      </c>
      <c r="I27" s="155">
        <f>IF($B27=" ","",IFERROR(INDEX(MMWR_RATING_STATE_ROLLUP_VSC[],MATCH($B27,MMWR_RATING_STATE_ROLLUP_VSC[MMWR_RATING_STATE_ROLLUP_VSC],0),MATCH(I$9,MMWR_RATING_STATE_ROLLUP_VSC[#Headers],0)),"ERROR"))</f>
        <v>116.71040000000001</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476</v>
      </c>
      <c r="D28" s="155">
        <f>IF($B28=" ","",IFERROR(INDEX(MMWR_RATING_STATE_ROLLUP_VSC[],MATCH($B28,MMWR_RATING_STATE_ROLLUP_VSC[MMWR_RATING_STATE_ROLLUP_VSC],0),MATCH(D$9,MMWR_RATING_STATE_ROLLUP_VSC[#Headers],0)),"ERROR"))</f>
        <v>95.743697479000005</v>
      </c>
      <c r="E28" s="156">
        <f>IF($B28=" ","",IFERROR(INDEX(MMWR_RATING_STATE_ROLLUP_VSC[],MATCH($B28,MMWR_RATING_STATE_ROLLUP_VSC[MMWR_RATING_STATE_ROLLUP_VSC],0),MATCH(E$9,MMWR_RATING_STATE_ROLLUP_VSC[#Headers],0))/$C28,"ERROR"))</f>
        <v>0.23529411764705882</v>
      </c>
      <c r="F28" s="154">
        <f>IF($B28=" ","",IFERROR(INDEX(MMWR_RATING_STATE_ROLLUP_VSC[],MATCH($B28,MMWR_RATING_STATE_ROLLUP_VSC[MMWR_RATING_STATE_ROLLUP_VSC],0),MATCH(F$9,MMWR_RATING_STATE_ROLLUP_VSC[#Headers],0)),"ERROR"))</f>
        <v>99</v>
      </c>
      <c r="G28" s="154">
        <f>IF($B28=" ","",IFERROR(INDEX(MMWR_RATING_STATE_ROLLUP_VSC[],MATCH($B28,MMWR_RATING_STATE_ROLLUP_VSC[MMWR_RATING_STATE_ROLLUP_VSC],0),MATCH(G$9,MMWR_RATING_STATE_ROLLUP_VSC[#Headers],0)),"ERROR"))</f>
        <v>536</v>
      </c>
      <c r="H28" s="155">
        <f>IF($B28=" ","",IFERROR(INDEX(MMWR_RATING_STATE_ROLLUP_VSC[],MATCH($B28,MMWR_RATING_STATE_ROLLUP_VSC[MMWR_RATING_STATE_ROLLUP_VSC],0),MATCH(H$9,MMWR_RATING_STATE_ROLLUP_VSC[#Headers],0)),"ERROR"))</f>
        <v>122.44444444440001</v>
      </c>
      <c r="I28" s="155">
        <f>IF($B28=" ","",IFERROR(INDEX(MMWR_RATING_STATE_ROLLUP_VSC[],MATCH($B28,MMWR_RATING_STATE_ROLLUP_VSC[MMWR_RATING_STATE_ROLLUP_VSC],0),MATCH(I$9,MMWR_RATING_STATE_ROLLUP_VSC[#Headers],0)),"ERROR"))</f>
        <v>137.9123134328</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10118</v>
      </c>
      <c r="D29" s="155">
        <f>IF($B29=" ","",IFERROR(INDEX(MMWR_RATING_STATE_ROLLUP_VSC[],MATCH($B29,MMWR_RATING_STATE_ROLLUP_VSC[MMWR_RATING_STATE_ROLLUP_VSC],0),MATCH(D$9,MMWR_RATING_STATE_ROLLUP_VSC[#Headers],0)),"ERROR"))</f>
        <v>93.970349871500005</v>
      </c>
      <c r="E29" s="156">
        <f>IF($B29=" ","",IFERROR(INDEX(MMWR_RATING_STATE_ROLLUP_VSC[],MATCH($B29,MMWR_RATING_STATE_ROLLUP_VSC[MMWR_RATING_STATE_ROLLUP_VSC],0),MATCH(E$9,MMWR_RATING_STATE_ROLLUP_VSC[#Headers],0))/$C29,"ERROR"))</f>
        <v>0.26714765763984977</v>
      </c>
      <c r="F29" s="154">
        <f>IF($B29=" ","",IFERROR(INDEX(MMWR_RATING_STATE_ROLLUP_VSC[],MATCH($B29,MMWR_RATING_STATE_ROLLUP_VSC[MMWR_RATING_STATE_ROLLUP_VSC],0),MATCH(F$9,MMWR_RATING_STATE_ROLLUP_VSC[#Headers],0)),"ERROR"))</f>
        <v>2058</v>
      </c>
      <c r="G29" s="154">
        <f>IF($B29=" ","",IFERROR(INDEX(MMWR_RATING_STATE_ROLLUP_VSC[],MATCH($B29,MMWR_RATING_STATE_ROLLUP_VSC[MMWR_RATING_STATE_ROLLUP_VSC],0),MATCH(G$9,MMWR_RATING_STATE_ROLLUP_VSC[#Headers],0)),"ERROR"))</f>
        <v>13205</v>
      </c>
      <c r="H29" s="155">
        <f>IF($B29=" ","",IFERROR(INDEX(MMWR_RATING_STATE_ROLLUP_VSC[],MATCH($B29,MMWR_RATING_STATE_ROLLUP_VSC[MMWR_RATING_STATE_ROLLUP_VSC],0),MATCH(H$9,MMWR_RATING_STATE_ROLLUP_VSC[#Headers],0)),"ERROR"))</f>
        <v>127.20456754129999</v>
      </c>
      <c r="I29" s="155">
        <f>IF($B29=" ","",IFERROR(INDEX(MMWR_RATING_STATE_ROLLUP_VSC[],MATCH($B29,MMWR_RATING_STATE_ROLLUP_VSC[MMWR_RATING_STATE_ROLLUP_VSC],0),MATCH(I$9,MMWR_RATING_STATE_ROLLUP_VSC[#Headers],0)),"ERROR"))</f>
        <v>135.32904202949999</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2670</v>
      </c>
      <c r="D30" s="155">
        <f>IF($B30=" ","",IFERROR(INDEX(MMWR_RATING_STATE_ROLLUP_VSC[],MATCH($B30,MMWR_RATING_STATE_ROLLUP_VSC[MMWR_RATING_STATE_ROLLUP_VSC],0),MATCH(D$9,MMWR_RATING_STATE_ROLLUP_VSC[#Headers],0)),"ERROR"))</f>
        <v>88.226217228500005</v>
      </c>
      <c r="E30" s="156">
        <f>IF($B30=" ","",IFERROR(INDEX(MMWR_RATING_STATE_ROLLUP_VSC[],MATCH($B30,MMWR_RATING_STATE_ROLLUP_VSC[MMWR_RATING_STATE_ROLLUP_VSC],0),MATCH(E$9,MMWR_RATING_STATE_ROLLUP_VSC[#Headers],0))/$C30,"ERROR"))</f>
        <v>0.20823970037453182</v>
      </c>
      <c r="F30" s="154">
        <f>IF($B30=" ","",IFERROR(INDEX(MMWR_RATING_STATE_ROLLUP_VSC[],MATCH($B30,MMWR_RATING_STATE_ROLLUP_VSC[MMWR_RATING_STATE_ROLLUP_VSC],0),MATCH(F$9,MMWR_RATING_STATE_ROLLUP_VSC[#Headers],0)),"ERROR"))</f>
        <v>415</v>
      </c>
      <c r="G30" s="154">
        <f>IF($B30=" ","",IFERROR(INDEX(MMWR_RATING_STATE_ROLLUP_VSC[],MATCH($B30,MMWR_RATING_STATE_ROLLUP_VSC[MMWR_RATING_STATE_ROLLUP_VSC],0),MATCH(G$9,MMWR_RATING_STATE_ROLLUP_VSC[#Headers],0)),"ERROR"))</f>
        <v>3177</v>
      </c>
      <c r="H30" s="155">
        <f>IF($B30=" ","",IFERROR(INDEX(MMWR_RATING_STATE_ROLLUP_VSC[],MATCH($B30,MMWR_RATING_STATE_ROLLUP_VSC[MMWR_RATING_STATE_ROLLUP_VSC],0),MATCH(H$9,MMWR_RATING_STATE_ROLLUP_VSC[#Headers],0)),"ERROR"))</f>
        <v>132.4481927711</v>
      </c>
      <c r="I30" s="155">
        <f>IF($B30=" ","",IFERROR(INDEX(MMWR_RATING_STATE_ROLLUP_VSC[],MATCH($B30,MMWR_RATING_STATE_ROLLUP_VSC[MMWR_RATING_STATE_ROLLUP_VSC],0),MATCH(I$9,MMWR_RATING_STATE_ROLLUP_VSC[#Headers],0)),"ERROR"))</f>
        <v>122.7393767705</v>
      </c>
      <c r="J30" s="42"/>
      <c r="K30" s="42"/>
      <c r="L30" s="42"/>
      <c r="M30" s="42"/>
      <c r="N30" s="28"/>
    </row>
    <row r="31" spans="1:14" x14ac:dyDescent="0.2">
      <c r="A31" s="25"/>
      <c r="B31" s="341" t="s">
        <v>960</v>
      </c>
      <c r="C31" s="342"/>
      <c r="D31" s="342"/>
      <c r="E31" s="342"/>
      <c r="F31" s="342"/>
      <c r="G31" s="342"/>
      <c r="H31" s="342"/>
      <c r="I31" s="342"/>
      <c r="J31" s="342"/>
      <c r="K31" s="342"/>
      <c r="L31" s="342"/>
      <c r="M31" s="392"/>
      <c r="N31" s="28"/>
    </row>
    <row r="32" spans="1:14" x14ac:dyDescent="0.2">
      <c r="A32" s="25"/>
      <c r="B32" s="41" t="s">
        <v>1039</v>
      </c>
      <c r="C32" s="154">
        <f>IF($B32=" ","",IFERROR(INDEX(MMWR_RATING_STATE_ROLLUP_PMC[],MATCH($B32,MMWR_RATING_STATE_ROLLUP_PMC[MMWR_RATING_STATE_ROLLUP_PMC],0),MATCH(C$9,MMWR_RATING_STATE_ROLLUP_PMC[#Headers],0)),"ERROR"))</f>
        <v>26479</v>
      </c>
      <c r="D32" s="155">
        <f>IF($B32=" ","",IFERROR(INDEX(MMWR_RATING_STATE_ROLLUP_PMC[],MATCH($B32,MMWR_RATING_STATE_ROLLUP_PMC[MMWR_RATING_STATE_ROLLUP_PMC],0),MATCH(D$9,MMWR_RATING_STATE_ROLLUP_PMC[#Headers],0)),"ERROR"))</f>
        <v>70.253295064</v>
      </c>
      <c r="E32" s="156">
        <f>IF($B32=" ","",IFERROR(INDEX(MMWR_RATING_STATE_ROLLUP_PMC[],MATCH($B32,MMWR_RATING_STATE_ROLLUP_PMC[MMWR_RATING_STATE_ROLLUP_PMC],0),MATCH(E$9,MMWR_RATING_STATE_ROLLUP_PMC[#Headers],0))/$C32,"ERROR"))</f>
        <v>0.11877336757430416</v>
      </c>
      <c r="F32" s="154">
        <f>IF($B32=" ","",IFERROR(INDEX(MMWR_RATING_STATE_ROLLUP_PMC[],MATCH($B32,MMWR_RATING_STATE_ROLLUP_PMC[MMWR_RATING_STATE_ROLLUP_PMC],0),MATCH(F$9,MMWR_RATING_STATE_ROLLUP_PMC[#Headers],0)),"ERROR"))</f>
        <v>7898</v>
      </c>
      <c r="G32" s="154">
        <f>IF($B32=" ","",IFERROR(INDEX(MMWR_RATING_STATE_ROLLUP_PMC[],MATCH($B32,MMWR_RATING_STATE_ROLLUP_PMC[MMWR_RATING_STATE_ROLLUP_PMC],0),MATCH(G$9,MMWR_RATING_STATE_ROLLUP_PMC[#Headers],0)),"ERROR"))</f>
        <v>55686</v>
      </c>
      <c r="H32" s="155">
        <f>IF($B32=" ","",IFERROR(INDEX(MMWR_RATING_STATE_ROLLUP_PMC[],MATCH($B32,MMWR_RATING_STATE_ROLLUP_PMC[MMWR_RATING_STATE_ROLLUP_PMC],0),MATCH(H$9,MMWR_RATING_STATE_ROLLUP_PMC[#Headers],0)),"ERROR"))</f>
        <v>83.531020511500003</v>
      </c>
      <c r="I32" s="155">
        <f>IF($B32=" ","",IFERROR(INDEX(MMWR_RATING_STATE_ROLLUP_PMC[],MATCH($B32,MMWR_RATING_STATE_ROLLUP_PMC[MMWR_RATING_STATE_ROLLUP_PMC],0),MATCH(I$9,MMWR_RATING_STATE_ROLLUP_PMC[#Headers],0)),"ERROR"))</f>
        <v>74.994702438700003</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7325</v>
      </c>
      <c r="D33" s="155">
        <f>IF($B33=" ","",IFERROR(INDEX(MMWR_RATING_STATE_ROLLUP_PMC[],MATCH($B33,MMWR_RATING_STATE_ROLLUP_PMC[MMWR_RATING_STATE_ROLLUP_PMC],0),MATCH(D$9,MMWR_RATING_STATE_ROLLUP_PMC[#Headers],0)),"ERROR"))</f>
        <v>74.957406143300005</v>
      </c>
      <c r="E33" s="156">
        <f>IF($B33=" ","",IFERROR(INDEX(MMWR_RATING_STATE_ROLLUP_PMC[],MATCH($B33,MMWR_RATING_STATE_ROLLUP_PMC[MMWR_RATING_STATE_ROLLUP_PMC],0),MATCH(E$9,MMWR_RATING_STATE_ROLLUP_PMC[#Headers],0))/$C33,"ERROR"))</f>
        <v>0.13146757679180887</v>
      </c>
      <c r="F33" s="154">
        <f>IF($B33=" ","",IFERROR(INDEX(MMWR_RATING_STATE_ROLLUP_PMC[],MATCH($B33,MMWR_RATING_STATE_ROLLUP_PMC[MMWR_RATING_STATE_ROLLUP_PMC],0),MATCH(F$9,MMWR_RATING_STATE_ROLLUP_PMC[#Headers],0)),"ERROR"))</f>
        <v>1602</v>
      </c>
      <c r="G33" s="154">
        <f>IF($B33=" ","",IFERROR(INDEX(MMWR_RATING_STATE_ROLLUP_PMC[],MATCH($B33,MMWR_RATING_STATE_ROLLUP_PMC[MMWR_RATING_STATE_ROLLUP_PMC],0),MATCH(G$9,MMWR_RATING_STATE_ROLLUP_PMC[#Headers],0)),"ERROR"))</f>
        <v>11008</v>
      </c>
      <c r="H33" s="155">
        <f>IF($B33=" ","",IFERROR(INDEX(MMWR_RATING_STATE_ROLLUP_PMC[],MATCH($B33,MMWR_RATING_STATE_ROLLUP_PMC[MMWR_RATING_STATE_ROLLUP_PMC],0),MATCH(H$9,MMWR_RATING_STATE_ROLLUP_PMC[#Headers],0)),"ERROR"))</f>
        <v>101.15792759049999</v>
      </c>
      <c r="I33" s="155">
        <f>IF($B33=" ","",IFERROR(INDEX(MMWR_RATING_STATE_ROLLUP_PMC[],MATCH($B33,MMWR_RATING_STATE_ROLLUP_PMC[MMWR_RATING_STATE_ROLLUP_PMC],0),MATCH(I$9,MMWR_RATING_STATE_ROLLUP_PMC[#Headers],0)),"ERROR"))</f>
        <v>89.404251453499995</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217</v>
      </c>
      <c r="D34" s="155">
        <f>IF($B34=" ","",IFERROR(INDEX(MMWR_RATING_STATE_ROLLUP_PMC[],MATCH($B34,MMWR_RATING_STATE_ROLLUP_PMC[MMWR_RATING_STATE_ROLLUP_PMC],0),MATCH(D$9,MMWR_RATING_STATE_ROLLUP_PMC[#Headers],0)),"ERROR"))</f>
        <v>78.193548387099995</v>
      </c>
      <c r="E34" s="156">
        <f>IF($B34=" ","",IFERROR(INDEX(MMWR_RATING_STATE_ROLLUP_PMC[],MATCH($B34,MMWR_RATING_STATE_ROLLUP_PMC[MMWR_RATING_STATE_ROLLUP_PMC],0),MATCH(E$9,MMWR_RATING_STATE_ROLLUP_PMC[#Headers],0))/$C34,"ERROR"))</f>
        <v>0.15668202764976957</v>
      </c>
      <c r="F34" s="154">
        <f>IF($B34=" ","",IFERROR(INDEX(MMWR_RATING_STATE_ROLLUP_PMC[],MATCH($B34,MMWR_RATING_STATE_ROLLUP_PMC[MMWR_RATING_STATE_ROLLUP_PMC],0),MATCH(F$9,MMWR_RATING_STATE_ROLLUP_PMC[#Headers],0)),"ERROR"))</f>
        <v>50</v>
      </c>
      <c r="G34" s="154">
        <f>IF($B34=" ","",IFERROR(INDEX(MMWR_RATING_STATE_ROLLUP_PMC[],MATCH($B34,MMWR_RATING_STATE_ROLLUP_PMC[MMWR_RATING_STATE_ROLLUP_PMC],0),MATCH(G$9,MMWR_RATING_STATE_ROLLUP_PMC[#Headers],0)),"ERROR"))</f>
        <v>329</v>
      </c>
      <c r="H34" s="155">
        <f>IF($B34=" ","",IFERROR(INDEX(MMWR_RATING_STATE_ROLLUP_PMC[],MATCH($B34,MMWR_RATING_STATE_ROLLUP_PMC[MMWR_RATING_STATE_ROLLUP_PMC],0),MATCH(H$9,MMWR_RATING_STATE_ROLLUP_PMC[#Headers],0)),"ERROR"))</f>
        <v>101.98</v>
      </c>
      <c r="I34" s="155">
        <f>IF($B34=" ","",IFERROR(INDEX(MMWR_RATING_STATE_ROLLUP_PMC[],MATCH($B34,MMWR_RATING_STATE_ROLLUP_PMC[MMWR_RATING_STATE_ROLLUP_PMC],0),MATCH(I$9,MMWR_RATING_STATE_ROLLUP_PMC[#Headers],0)),"ERROR"))</f>
        <v>88.541033434699997</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70</v>
      </c>
      <c r="D35" s="155">
        <f>IF($B35=" ","",IFERROR(INDEX(MMWR_RATING_STATE_ROLLUP_PMC[],MATCH($B35,MMWR_RATING_STATE_ROLLUP_PMC[MMWR_RATING_STATE_ROLLUP_PMC],0),MATCH(D$9,MMWR_RATING_STATE_ROLLUP_PMC[#Headers],0)),"ERROR"))</f>
        <v>78.142857142899999</v>
      </c>
      <c r="E35" s="156">
        <f>IF($B35=" ","",IFERROR(INDEX(MMWR_RATING_STATE_ROLLUP_PMC[],MATCH($B35,MMWR_RATING_STATE_ROLLUP_PMC[MMWR_RATING_STATE_ROLLUP_PMC],0),MATCH(E$9,MMWR_RATING_STATE_ROLLUP_PMC[#Headers],0))/$C35,"ERROR"))</f>
        <v>0.12857142857142856</v>
      </c>
      <c r="F35" s="154">
        <f>IF($B35=" ","",IFERROR(INDEX(MMWR_RATING_STATE_ROLLUP_PMC[],MATCH($B35,MMWR_RATING_STATE_ROLLUP_PMC[MMWR_RATING_STATE_ROLLUP_PMC],0),MATCH(F$9,MMWR_RATING_STATE_ROLLUP_PMC[#Headers],0)),"ERROR"))</f>
        <v>15</v>
      </c>
      <c r="G35" s="154">
        <f>IF($B35=" ","",IFERROR(INDEX(MMWR_RATING_STATE_ROLLUP_PMC[],MATCH($B35,MMWR_RATING_STATE_ROLLUP_PMC[MMWR_RATING_STATE_ROLLUP_PMC],0),MATCH(G$9,MMWR_RATING_STATE_ROLLUP_PMC[#Headers],0)),"ERROR"))</f>
        <v>107</v>
      </c>
      <c r="H35" s="155">
        <f>IF($B35=" ","",IFERROR(INDEX(MMWR_RATING_STATE_ROLLUP_PMC[],MATCH($B35,MMWR_RATING_STATE_ROLLUP_PMC[MMWR_RATING_STATE_ROLLUP_PMC],0),MATCH(H$9,MMWR_RATING_STATE_ROLLUP_PMC[#Headers],0)),"ERROR"))</f>
        <v>96.266666666700004</v>
      </c>
      <c r="I35" s="155">
        <f>IF($B35=" ","",IFERROR(INDEX(MMWR_RATING_STATE_ROLLUP_PMC[],MATCH($B35,MMWR_RATING_STATE_ROLLUP_PMC[MMWR_RATING_STATE_ROLLUP_PMC],0),MATCH(I$9,MMWR_RATING_STATE_ROLLUP_PMC[#Headers],0)),"ERROR"))</f>
        <v>96.252336448600005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65</v>
      </c>
      <c r="D36" s="155">
        <f>IF($B36=" ","",IFERROR(INDEX(MMWR_RATING_STATE_ROLLUP_PMC[],MATCH($B36,MMWR_RATING_STATE_ROLLUP_PMC[MMWR_RATING_STATE_ROLLUP_PMC],0),MATCH(D$9,MMWR_RATING_STATE_ROLLUP_PMC[#Headers],0)),"ERROR"))</f>
        <v>85.6</v>
      </c>
      <c r="E36" s="156">
        <f>IF($B36=" ","",IFERROR(INDEX(MMWR_RATING_STATE_ROLLUP_PMC[],MATCH($B36,MMWR_RATING_STATE_ROLLUP_PMC[MMWR_RATING_STATE_ROLLUP_PMC],0),MATCH(E$9,MMWR_RATING_STATE_ROLLUP_PMC[#Headers],0))/$C36,"ERROR"))</f>
        <v>0.2</v>
      </c>
      <c r="F36" s="154">
        <f>IF($B36=" ","",IFERROR(INDEX(MMWR_RATING_STATE_ROLLUP_PMC[],MATCH($B36,MMWR_RATING_STATE_ROLLUP_PMC[MMWR_RATING_STATE_ROLLUP_PMC],0),MATCH(F$9,MMWR_RATING_STATE_ROLLUP_PMC[#Headers],0)),"ERROR"))</f>
        <v>22</v>
      </c>
      <c r="G36" s="154">
        <f>IF($B36=" ","",IFERROR(INDEX(MMWR_RATING_STATE_ROLLUP_PMC[],MATCH($B36,MMWR_RATING_STATE_ROLLUP_PMC[MMWR_RATING_STATE_ROLLUP_PMC],0),MATCH(G$9,MMWR_RATING_STATE_ROLLUP_PMC[#Headers],0)),"ERROR"))</f>
        <v>112</v>
      </c>
      <c r="H36" s="155">
        <f>IF($B36=" ","",IFERROR(INDEX(MMWR_RATING_STATE_ROLLUP_PMC[],MATCH($B36,MMWR_RATING_STATE_ROLLUP_PMC[MMWR_RATING_STATE_ROLLUP_PMC],0),MATCH(H$9,MMWR_RATING_STATE_ROLLUP_PMC[#Headers],0)),"ERROR"))</f>
        <v>94.409090909100001</v>
      </c>
      <c r="I36" s="155">
        <f>IF($B36=" ","",IFERROR(INDEX(MMWR_RATING_STATE_ROLLUP_PMC[],MATCH($B36,MMWR_RATING_STATE_ROLLUP_PMC[MMWR_RATING_STATE_ROLLUP_PMC],0),MATCH(I$9,MMWR_RATING_STATE_ROLLUP_PMC[#Headers],0)),"ERROR"))</f>
        <v>91.5625</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127</v>
      </c>
      <c r="D37" s="155">
        <f>IF($B37=" ","",IFERROR(INDEX(MMWR_RATING_STATE_ROLLUP_PMC[],MATCH($B37,MMWR_RATING_STATE_ROLLUP_PMC[MMWR_RATING_STATE_ROLLUP_PMC],0),MATCH(D$9,MMWR_RATING_STATE_ROLLUP_PMC[#Headers],0)),"ERROR"))</f>
        <v>69.480314960599998</v>
      </c>
      <c r="E37" s="156">
        <f>IF($B37=" ","",IFERROR(INDEX(MMWR_RATING_STATE_ROLLUP_PMC[],MATCH($B37,MMWR_RATING_STATE_ROLLUP_PMC[MMWR_RATING_STATE_ROLLUP_PMC],0),MATCH(E$9,MMWR_RATING_STATE_ROLLUP_PMC[#Headers],0))/$C37,"ERROR"))</f>
        <v>7.0866141732283464E-2</v>
      </c>
      <c r="F37" s="154">
        <f>IF($B37=" ","",IFERROR(INDEX(MMWR_RATING_STATE_ROLLUP_PMC[],MATCH($B37,MMWR_RATING_STATE_ROLLUP_PMC[MMWR_RATING_STATE_ROLLUP_PMC],0),MATCH(F$9,MMWR_RATING_STATE_ROLLUP_PMC[#Headers],0)),"ERROR"))</f>
        <v>20</v>
      </c>
      <c r="G37" s="154">
        <f>IF($B37=" ","",IFERROR(INDEX(MMWR_RATING_STATE_ROLLUP_PMC[],MATCH($B37,MMWR_RATING_STATE_ROLLUP_PMC[MMWR_RATING_STATE_ROLLUP_PMC],0),MATCH(G$9,MMWR_RATING_STATE_ROLLUP_PMC[#Headers],0)),"ERROR"))</f>
        <v>209</v>
      </c>
      <c r="H37" s="155">
        <f>IF($B37=" ","",IFERROR(INDEX(MMWR_RATING_STATE_ROLLUP_PMC[],MATCH($B37,MMWR_RATING_STATE_ROLLUP_PMC[MMWR_RATING_STATE_ROLLUP_PMC],0),MATCH(H$9,MMWR_RATING_STATE_ROLLUP_PMC[#Headers],0)),"ERROR"))</f>
        <v>69.400000000000006</v>
      </c>
      <c r="I37" s="155">
        <f>IF($B37=" ","",IFERROR(INDEX(MMWR_RATING_STATE_ROLLUP_PMC[],MATCH($B37,MMWR_RATING_STATE_ROLLUP_PMC[MMWR_RATING_STATE_ROLLUP_PMC],0),MATCH(I$9,MMWR_RATING_STATE_ROLLUP_PMC[#Headers],0)),"ERROR"))</f>
        <v>80.239234449799994</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466</v>
      </c>
      <c r="D38" s="155">
        <f>IF($B38=" ","",IFERROR(INDEX(MMWR_RATING_STATE_ROLLUP_PMC[],MATCH($B38,MMWR_RATING_STATE_ROLLUP_PMC[MMWR_RATING_STATE_ROLLUP_PMC],0),MATCH(D$9,MMWR_RATING_STATE_ROLLUP_PMC[#Headers],0)),"ERROR"))</f>
        <v>75.246781115900006</v>
      </c>
      <c r="E38" s="156">
        <f>IF($B38=" ","",IFERROR(INDEX(MMWR_RATING_STATE_ROLLUP_PMC[],MATCH($B38,MMWR_RATING_STATE_ROLLUP_PMC[MMWR_RATING_STATE_ROLLUP_PMC],0),MATCH(E$9,MMWR_RATING_STATE_ROLLUP_PMC[#Headers],0))/$C38,"ERROR"))</f>
        <v>0.13090128755364808</v>
      </c>
      <c r="F38" s="154">
        <f>IF($B38=" ","",IFERROR(INDEX(MMWR_RATING_STATE_ROLLUP_PMC[],MATCH($B38,MMWR_RATING_STATE_ROLLUP_PMC[MMWR_RATING_STATE_ROLLUP_PMC],0),MATCH(F$9,MMWR_RATING_STATE_ROLLUP_PMC[#Headers],0)),"ERROR"))</f>
        <v>104</v>
      </c>
      <c r="G38" s="154">
        <f>IF($B38=" ","",IFERROR(INDEX(MMWR_RATING_STATE_ROLLUP_PMC[],MATCH($B38,MMWR_RATING_STATE_ROLLUP_PMC[MMWR_RATING_STATE_ROLLUP_PMC],0),MATCH(G$9,MMWR_RATING_STATE_ROLLUP_PMC[#Headers],0)),"ERROR"))</f>
        <v>732</v>
      </c>
      <c r="H38" s="155">
        <f>IF($B38=" ","",IFERROR(INDEX(MMWR_RATING_STATE_ROLLUP_PMC[],MATCH($B38,MMWR_RATING_STATE_ROLLUP_PMC[MMWR_RATING_STATE_ROLLUP_PMC],0),MATCH(H$9,MMWR_RATING_STATE_ROLLUP_PMC[#Headers],0)),"ERROR"))</f>
        <v>108.9230769231</v>
      </c>
      <c r="I38" s="155">
        <f>IF($B38=" ","",IFERROR(INDEX(MMWR_RATING_STATE_ROLLUP_PMC[],MATCH($B38,MMWR_RATING_STATE_ROLLUP_PMC[MMWR_RATING_STATE_ROLLUP_PMC],0),MATCH(I$9,MMWR_RATING_STATE_ROLLUP_PMC[#Headers],0)),"ERROR"))</f>
        <v>90.267759562799995</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458</v>
      </c>
      <c r="D39" s="155">
        <f>IF($B39=" ","",IFERROR(INDEX(MMWR_RATING_STATE_ROLLUP_PMC[],MATCH($B39,MMWR_RATING_STATE_ROLLUP_PMC[MMWR_RATING_STATE_ROLLUP_PMC],0),MATCH(D$9,MMWR_RATING_STATE_ROLLUP_PMC[#Headers],0)),"ERROR"))</f>
        <v>74.102620087299996</v>
      </c>
      <c r="E39" s="156">
        <f>IF($B39=" ","",IFERROR(INDEX(MMWR_RATING_STATE_ROLLUP_PMC[],MATCH($B39,MMWR_RATING_STATE_ROLLUP_PMC[MMWR_RATING_STATE_ROLLUP_PMC],0),MATCH(E$9,MMWR_RATING_STATE_ROLLUP_PMC[#Headers],0))/$C39,"ERROR"))</f>
        <v>0.1331877729257642</v>
      </c>
      <c r="F39" s="154">
        <f>IF($B39=" ","",IFERROR(INDEX(MMWR_RATING_STATE_ROLLUP_PMC[],MATCH($B39,MMWR_RATING_STATE_ROLLUP_PMC[MMWR_RATING_STATE_ROLLUP_PMC],0),MATCH(F$9,MMWR_RATING_STATE_ROLLUP_PMC[#Headers],0)),"ERROR"))</f>
        <v>101</v>
      </c>
      <c r="G39" s="154">
        <f>IF($B39=" ","",IFERROR(INDEX(MMWR_RATING_STATE_ROLLUP_PMC[],MATCH($B39,MMWR_RATING_STATE_ROLLUP_PMC[MMWR_RATING_STATE_ROLLUP_PMC],0),MATCH(G$9,MMWR_RATING_STATE_ROLLUP_PMC[#Headers],0)),"ERROR"))</f>
        <v>712</v>
      </c>
      <c r="H39" s="155">
        <f>IF($B39=" ","",IFERROR(INDEX(MMWR_RATING_STATE_ROLLUP_PMC[],MATCH($B39,MMWR_RATING_STATE_ROLLUP_PMC[MMWR_RATING_STATE_ROLLUP_PMC],0),MATCH(H$9,MMWR_RATING_STATE_ROLLUP_PMC[#Headers],0)),"ERROR"))</f>
        <v>91.059405940600001</v>
      </c>
      <c r="I39" s="155">
        <f>IF($B39=" ","",IFERROR(INDEX(MMWR_RATING_STATE_ROLLUP_PMC[],MATCH($B39,MMWR_RATING_STATE_ROLLUP_PMC[MMWR_RATING_STATE_ROLLUP_PMC],0),MATCH(I$9,MMWR_RATING_STATE_ROLLUP_PMC[#Headers],0)),"ERROR"))</f>
        <v>82.720505618000004</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108</v>
      </c>
      <c r="D40" s="155">
        <f>IF($B40=" ","",IFERROR(INDEX(MMWR_RATING_STATE_ROLLUP_PMC[],MATCH($B40,MMWR_RATING_STATE_ROLLUP_PMC[MMWR_RATING_STATE_ROLLUP_PMC],0),MATCH(D$9,MMWR_RATING_STATE_ROLLUP_PMC[#Headers],0)),"ERROR"))</f>
        <v>69.962962962999995</v>
      </c>
      <c r="E40" s="156">
        <f>IF($B40=" ","",IFERROR(INDEX(MMWR_RATING_STATE_ROLLUP_PMC[],MATCH($B40,MMWR_RATING_STATE_ROLLUP_PMC[MMWR_RATING_STATE_ROLLUP_PMC],0),MATCH(E$9,MMWR_RATING_STATE_ROLLUP_PMC[#Headers],0))/$C40,"ERROR"))</f>
        <v>0.12962962962962962</v>
      </c>
      <c r="F40" s="154">
        <f>IF($B40=" ","",IFERROR(INDEX(MMWR_RATING_STATE_ROLLUP_PMC[],MATCH($B40,MMWR_RATING_STATE_ROLLUP_PMC[MMWR_RATING_STATE_ROLLUP_PMC],0),MATCH(F$9,MMWR_RATING_STATE_ROLLUP_PMC[#Headers],0)),"ERROR"))</f>
        <v>25</v>
      </c>
      <c r="G40" s="154">
        <f>IF($B40=" ","",IFERROR(INDEX(MMWR_RATING_STATE_ROLLUP_PMC[],MATCH($B40,MMWR_RATING_STATE_ROLLUP_PMC[MMWR_RATING_STATE_ROLLUP_PMC],0),MATCH(G$9,MMWR_RATING_STATE_ROLLUP_PMC[#Headers],0)),"ERROR"))</f>
        <v>165</v>
      </c>
      <c r="H40" s="155">
        <f>IF($B40=" ","",IFERROR(INDEX(MMWR_RATING_STATE_ROLLUP_PMC[],MATCH($B40,MMWR_RATING_STATE_ROLLUP_PMC[MMWR_RATING_STATE_ROLLUP_PMC],0),MATCH(H$9,MMWR_RATING_STATE_ROLLUP_PMC[#Headers],0)),"ERROR"))</f>
        <v>101.88</v>
      </c>
      <c r="I40" s="155">
        <f>IF($B40=" ","",IFERROR(INDEX(MMWR_RATING_STATE_ROLLUP_PMC[],MATCH($B40,MMWR_RATING_STATE_ROLLUP_PMC[MMWR_RATING_STATE_ROLLUP_PMC],0),MATCH(I$9,MMWR_RATING_STATE_ROLLUP_PMC[#Headers],0)),"ERROR"))</f>
        <v>92.696969697</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520</v>
      </c>
      <c r="D41" s="155">
        <f>IF($B41=" ","",IFERROR(INDEX(MMWR_RATING_STATE_ROLLUP_PMC[],MATCH($B41,MMWR_RATING_STATE_ROLLUP_PMC[MMWR_RATING_STATE_ROLLUP_PMC],0),MATCH(D$9,MMWR_RATING_STATE_ROLLUP_PMC[#Headers],0)),"ERROR"))</f>
        <v>72.467307692299997</v>
      </c>
      <c r="E41" s="156">
        <f>IF($B41=" ","",IFERROR(INDEX(MMWR_RATING_STATE_ROLLUP_PMC[],MATCH($B41,MMWR_RATING_STATE_ROLLUP_PMC[MMWR_RATING_STATE_ROLLUP_PMC],0),MATCH(E$9,MMWR_RATING_STATE_ROLLUP_PMC[#Headers],0))/$C41,"ERROR"))</f>
        <v>0.11538461538461539</v>
      </c>
      <c r="F41" s="154">
        <f>IF($B41=" ","",IFERROR(INDEX(MMWR_RATING_STATE_ROLLUP_PMC[],MATCH($B41,MMWR_RATING_STATE_ROLLUP_PMC[MMWR_RATING_STATE_ROLLUP_PMC],0),MATCH(F$9,MMWR_RATING_STATE_ROLLUP_PMC[#Headers],0)),"ERROR"))</f>
        <v>111</v>
      </c>
      <c r="G41" s="154">
        <f>IF($B41=" ","",IFERROR(INDEX(MMWR_RATING_STATE_ROLLUP_PMC[],MATCH($B41,MMWR_RATING_STATE_ROLLUP_PMC[MMWR_RATING_STATE_ROLLUP_PMC],0),MATCH(G$9,MMWR_RATING_STATE_ROLLUP_PMC[#Headers],0)),"ERROR"))</f>
        <v>741</v>
      </c>
      <c r="H41" s="155">
        <f>IF($B41=" ","",IFERROR(INDEX(MMWR_RATING_STATE_ROLLUP_PMC[],MATCH($B41,MMWR_RATING_STATE_ROLLUP_PMC[MMWR_RATING_STATE_ROLLUP_PMC],0),MATCH(H$9,MMWR_RATING_STATE_ROLLUP_PMC[#Headers],0)),"ERROR"))</f>
        <v>113.6306306306</v>
      </c>
      <c r="I41" s="155">
        <f>IF($B41=" ","",IFERROR(INDEX(MMWR_RATING_STATE_ROLLUP_PMC[],MATCH($B41,MMWR_RATING_STATE_ROLLUP_PMC[MMWR_RATING_STATE_ROLLUP_PMC],0),MATCH(I$9,MMWR_RATING_STATE_ROLLUP_PMC[#Headers],0)),"ERROR"))</f>
        <v>89.609986504700004</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1241</v>
      </c>
      <c r="D42" s="155">
        <f>IF($B42=" ","",IFERROR(INDEX(MMWR_RATING_STATE_ROLLUP_PMC[],MATCH($B42,MMWR_RATING_STATE_ROLLUP_PMC[MMWR_RATING_STATE_ROLLUP_PMC],0),MATCH(D$9,MMWR_RATING_STATE_ROLLUP_PMC[#Headers],0)),"ERROR"))</f>
        <v>77.680096696199996</v>
      </c>
      <c r="E42" s="156">
        <f>IF($B42=" ","",IFERROR(INDEX(MMWR_RATING_STATE_ROLLUP_PMC[],MATCH($B42,MMWR_RATING_STATE_ROLLUP_PMC[MMWR_RATING_STATE_ROLLUP_PMC],0),MATCH(E$9,MMWR_RATING_STATE_ROLLUP_PMC[#Headers],0))/$C42,"ERROR"))</f>
        <v>0.13376309427880742</v>
      </c>
      <c r="F42" s="154">
        <f>IF($B42=" ","",IFERROR(INDEX(MMWR_RATING_STATE_ROLLUP_PMC[],MATCH($B42,MMWR_RATING_STATE_ROLLUP_PMC[MMWR_RATING_STATE_ROLLUP_PMC],0),MATCH(F$9,MMWR_RATING_STATE_ROLLUP_PMC[#Headers],0)),"ERROR"))</f>
        <v>274</v>
      </c>
      <c r="G42" s="154">
        <f>IF($B42=" ","",IFERROR(INDEX(MMWR_RATING_STATE_ROLLUP_PMC[],MATCH($B42,MMWR_RATING_STATE_ROLLUP_PMC[MMWR_RATING_STATE_ROLLUP_PMC],0),MATCH(G$9,MMWR_RATING_STATE_ROLLUP_PMC[#Headers],0)),"ERROR"))</f>
        <v>1900</v>
      </c>
      <c r="H42" s="155">
        <f>IF($B42=" ","",IFERROR(INDEX(MMWR_RATING_STATE_ROLLUP_PMC[],MATCH($B42,MMWR_RATING_STATE_ROLLUP_PMC[MMWR_RATING_STATE_ROLLUP_PMC],0),MATCH(H$9,MMWR_RATING_STATE_ROLLUP_PMC[#Headers],0)),"ERROR"))</f>
        <v>100.0802919708</v>
      </c>
      <c r="I42" s="155">
        <f>IF($B42=" ","",IFERROR(INDEX(MMWR_RATING_STATE_ROLLUP_PMC[],MATCH($B42,MMWR_RATING_STATE_ROLLUP_PMC[MMWR_RATING_STATE_ROLLUP_PMC],0),MATCH(I$9,MMWR_RATING_STATE_ROLLUP_PMC[#Headers],0)),"ERROR"))</f>
        <v>90.108947368399996</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1340</v>
      </c>
      <c r="D43" s="155">
        <f>IF($B43=" ","",IFERROR(INDEX(MMWR_RATING_STATE_ROLLUP_PMC[],MATCH($B43,MMWR_RATING_STATE_ROLLUP_PMC[MMWR_RATING_STATE_ROLLUP_PMC],0),MATCH(D$9,MMWR_RATING_STATE_ROLLUP_PMC[#Headers],0)),"ERROR"))</f>
        <v>74.361940298500002</v>
      </c>
      <c r="E43" s="156">
        <f>IF($B43=" ","",IFERROR(INDEX(MMWR_RATING_STATE_ROLLUP_PMC[],MATCH($B43,MMWR_RATING_STATE_ROLLUP_PMC[MMWR_RATING_STATE_ROLLUP_PMC],0),MATCH(E$9,MMWR_RATING_STATE_ROLLUP_PMC[#Headers],0))/$C43,"ERROR"))</f>
        <v>0.1373134328358209</v>
      </c>
      <c r="F43" s="154">
        <f>IF($B43=" ","",IFERROR(INDEX(MMWR_RATING_STATE_ROLLUP_PMC[],MATCH($B43,MMWR_RATING_STATE_ROLLUP_PMC[MMWR_RATING_STATE_ROLLUP_PMC],0),MATCH(F$9,MMWR_RATING_STATE_ROLLUP_PMC[#Headers],0)),"ERROR"))</f>
        <v>279</v>
      </c>
      <c r="G43" s="154">
        <f>IF($B43=" ","",IFERROR(INDEX(MMWR_RATING_STATE_ROLLUP_PMC[],MATCH($B43,MMWR_RATING_STATE_ROLLUP_PMC[MMWR_RATING_STATE_ROLLUP_PMC],0),MATCH(G$9,MMWR_RATING_STATE_ROLLUP_PMC[#Headers],0)),"ERROR"))</f>
        <v>1855</v>
      </c>
      <c r="H43" s="155">
        <f>IF($B43=" ","",IFERROR(INDEX(MMWR_RATING_STATE_ROLLUP_PMC[],MATCH($B43,MMWR_RATING_STATE_ROLLUP_PMC[MMWR_RATING_STATE_ROLLUP_PMC],0),MATCH(H$9,MMWR_RATING_STATE_ROLLUP_PMC[#Headers],0)),"ERROR"))</f>
        <v>98.541218638000004</v>
      </c>
      <c r="I43" s="155">
        <f>IF($B43=" ","",IFERROR(INDEX(MMWR_RATING_STATE_ROLLUP_PMC[],MATCH($B43,MMWR_RATING_STATE_ROLLUP_PMC[MMWR_RATING_STATE_ROLLUP_PMC],0),MATCH(I$9,MMWR_RATING_STATE_ROLLUP_PMC[#Headers],0)),"ERROR"))</f>
        <v>87.266307277600006</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1534</v>
      </c>
      <c r="D44" s="155">
        <f>IF($B44=" ","",IFERROR(INDEX(MMWR_RATING_STATE_ROLLUP_PMC[],MATCH($B44,MMWR_RATING_STATE_ROLLUP_PMC[MMWR_RATING_STATE_ROLLUP_PMC],0),MATCH(D$9,MMWR_RATING_STATE_ROLLUP_PMC[#Headers],0)),"ERROR"))</f>
        <v>72.990873533200002</v>
      </c>
      <c r="E44" s="156">
        <f>IF($B44=" ","",IFERROR(INDEX(MMWR_RATING_STATE_ROLLUP_PMC[],MATCH($B44,MMWR_RATING_STATE_ROLLUP_PMC[MMWR_RATING_STATE_ROLLUP_PMC],0),MATCH(E$9,MMWR_RATING_STATE_ROLLUP_PMC[#Headers],0))/$C44,"ERROR"))</f>
        <v>0.1166883963494133</v>
      </c>
      <c r="F44" s="154">
        <f>IF($B44=" ","",IFERROR(INDEX(MMWR_RATING_STATE_ROLLUP_PMC[],MATCH($B44,MMWR_RATING_STATE_ROLLUP_PMC[MMWR_RATING_STATE_ROLLUP_PMC],0),MATCH(F$9,MMWR_RATING_STATE_ROLLUP_PMC[#Headers],0)),"ERROR"))</f>
        <v>325</v>
      </c>
      <c r="G44" s="154">
        <f>IF($B44=" ","",IFERROR(INDEX(MMWR_RATING_STATE_ROLLUP_PMC[],MATCH($B44,MMWR_RATING_STATE_ROLLUP_PMC[MMWR_RATING_STATE_ROLLUP_PMC],0),MATCH(G$9,MMWR_RATING_STATE_ROLLUP_PMC[#Headers],0)),"ERROR"))</f>
        <v>2249</v>
      </c>
      <c r="H44" s="155">
        <f>IF($B44=" ","",IFERROR(INDEX(MMWR_RATING_STATE_ROLLUP_PMC[],MATCH($B44,MMWR_RATING_STATE_ROLLUP_PMC[MMWR_RATING_STATE_ROLLUP_PMC],0),MATCH(H$9,MMWR_RATING_STATE_ROLLUP_PMC[#Headers],0)),"ERROR"))</f>
        <v>100.54461538459999</v>
      </c>
      <c r="I44" s="155">
        <f>IF($B44=" ","",IFERROR(INDEX(MMWR_RATING_STATE_ROLLUP_PMC[],MATCH($B44,MMWR_RATING_STATE_ROLLUP_PMC[MMWR_RATING_STATE_ROLLUP_PMC],0),MATCH(I$9,MMWR_RATING_STATE_ROLLUP_PMC[#Headers],0)),"ERROR"))</f>
        <v>88.481547354400007</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111</v>
      </c>
      <c r="D45" s="155">
        <f>IF($B45=" ","",IFERROR(INDEX(MMWR_RATING_STATE_ROLLUP_PMC[],MATCH($B45,MMWR_RATING_STATE_ROLLUP_PMC[MMWR_RATING_STATE_ROLLUP_PMC],0),MATCH(D$9,MMWR_RATING_STATE_ROLLUP_PMC[#Headers],0)),"ERROR"))</f>
        <v>70.837837837799995</v>
      </c>
      <c r="E45" s="156">
        <f>IF($B45=" ","",IFERROR(INDEX(MMWR_RATING_STATE_ROLLUP_PMC[],MATCH($B45,MMWR_RATING_STATE_ROLLUP_PMC[MMWR_RATING_STATE_ROLLUP_PMC],0),MATCH(E$9,MMWR_RATING_STATE_ROLLUP_PMC[#Headers],0))/$C45,"ERROR"))</f>
        <v>0.11711711711711711</v>
      </c>
      <c r="F45" s="154">
        <f>IF($B45=" ","",IFERROR(INDEX(MMWR_RATING_STATE_ROLLUP_PMC[],MATCH($B45,MMWR_RATING_STATE_ROLLUP_PMC[MMWR_RATING_STATE_ROLLUP_PMC],0),MATCH(F$9,MMWR_RATING_STATE_ROLLUP_PMC[#Headers],0)),"ERROR"))</f>
        <v>21</v>
      </c>
      <c r="G45" s="154">
        <f>IF($B45=" ","",IFERROR(INDEX(MMWR_RATING_STATE_ROLLUP_PMC[],MATCH($B45,MMWR_RATING_STATE_ROLLUP_PMC[MMWR_RATING_STATE_ROLLUP_PMC],0),MATCH(G$9,MMWR_RATING_STATE_ROLLUP_PMC[#Headers],0)),"ERROR"))</f>
        <v>185</v>
      </c>
      <c r="H45" s="155">
        <f>IF($B45=" ","",IFERROR(INDEX(MMWR_RATING_STATE_ROLLUP_PMC[],MATCH($B45,MMWR_RATING_STATE_ROLLUP_PMC[MMWR_RATING_STATE_ROLLUP_PMC],0),MATCH(H$9,MMWR_RATING_STATE_ROLLUP_PMC[#Headers],0)),"ERROR"))</f>
        <v>96.333333333300004</v>
      </c>
      <c r="I45" s="155">
        <f>IF($B45=" ","",IFERROR(INDEX(MMWR_RATING_STATE_ROLLUP_PMC[],MATCH($B45,MMWR_RATING_STATE_ROLLUP_PMC[MMWR_RATING_STATE_ROLLUP_PMC],0),MATCH(I$9,MMWR_RATING_STATE_ROLLUP_PMC[#Headers],0)),"ERROR"))</f>
        <v>93.124324324300005</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51</v>
      </c>
      <c r="D46" s="155">
        <f>IF($B46=" ","",IFERROR(INDEX(MMWR_RATING_STATE_ROLLUP_PMC[],MATCH($B46,MMWR_RATING_STATE_ROLLUP_PMC[MMWR_RATING_STATE_ROLLUP_PMC],0),MATCH(D$9,MMWR_RATING_STATE_ROLLUP_PMC[#Headers],0)),"ERROR"))</f>
        <v>67.588235294100002</v>
      </c>
      <c r="E46" s="156">
        <f>IF($B46=" ","",IFERROR(INDEX(MMWR_RATING_STATE_ROLLUP_PMC[],MATCH($B46,MMWR_RATING_STATE_ROLLUP_PMC[MMWR_RATING_STATE_ROLLUP_PMC],0),MATCH(E$9,MMWR_RATING_STATE_ROLLUP_PMC[#Headers],0))/$C46,"ERROR"))</f>
        <v>0.11764705882352941</v>
      </c>
      <c r="F46" s="154">
        <f>IF($B46=" ","",IFERROR(INDEX(MMWR_RATING_STATE_ROLLUP_PMC[],MATCH($B46,MMWR_RATING_STATE_ROLLUP_PMC[MMWR_RATING_STATE_ROLLUP_PMC],0),MATCH(F$9,MMWR_RATING_STATE_ROLLUP_PMC[#Headers],0)),"ERROR"))</f>
        <v>14</v>
      </c>
      <c r="G46" s="154">
        <f>IF($B46=" ","",IFERROR(INDEX(MMWR_RATING_STATE_ROLLUP_PMC[],MATCH($B46,MMWR_RATING_STATE_ROLLUP_PMC[MMWR_RATING_STATE_ROLLUP_PMC],0),MATCH(G$9,MMWR_RATING_STATE_ROLLUP_PMC[#Headers],0)),"ERROR"))</f>
        <v>61</v>
      </c>
      <c r="H46" s="155">
        <f>IF($B46=" ","",IFERROR(INDEX(MMWR_RATING_STATE_ROLLUP_PMC[],MATCH($B46,MMWR_RATING_STATE_ROLLUP_PMC[MMWR_RATING_STATE_ROLLUP_PMC],0),MATCH(H$9,MMWR_RATING_STATE_ROLLUP_PMC[#Headers],0)),"ERROR"))</f>
        <v>84.928571428599994</v>
      </c>
      <c r="I46" s="155">
        <f>IF($B46=" ","",IFERROR(INDEX(MMWR_RATING_STATE_ROLLUP_PMC[],MATCH($B46,MMWR_RATING_STATE_ROLLUP_PMC[MMWR_RATING_STATE_ROLLUP_PMC],0),MATCH(I$9,MMWR_RATING_STATE_ROLLUP_PMC[#Headers],0)),"ERROR"))</f>
        <v>94.622950819699994</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776</v>
      </c>
      <c r="D47" s="155">
        <f>IF($B47=" ","",IFERROR(INDEX(MMWR_RATING_STATE_ROLLUP_PMC[],MATCH($B47,MMWR_RATING_STATE_ROLLUP_PMC[MMWR_RATING_STATE_ROLLUP_PMC],0),MATCH(D$9,MMWR_RATING_STATE_ROLLUP_PMC[#Headers],0)),"ERROR"))</f>
        <v>77.145618556700001</v>
      </c>
      <c r="E47" s="156">
        <f>IF($B47=" ","",IFERROR(INDEX(MMWR_RATING_STATE_ROLLUP_PMC[],MATCH($B47,MMWR_RATING_STATE_ROLLUP_PMC[MMWR_RATING_STATE_ROLLUP_PMC],0),MATCH(E$9,MMWR_RATING_STATE_ROLLUP_PMC[#Headers],0))/$C47,"ERROR"))</f>
        <v>0.15721649484536082</v>
      </c>
      <c r="F47" s="154">
        <f>IF($B47=" ","",IFERROR(INDEX(MMWR_RATING_STATE_ROLLUP_PMC[],MATCH($B47,MMWR_RATING_STATE_ROLLUP_PMC[MMWR_RATING_STATE_ROLLUP_PMC],0),MATCH(F$9,MMWR_RATING_STATE_ROLLUP_PMC[#Headers],0)),"ERROR"))</f>
        <v>181</v>
      </c>
      <c r="G47" s="154">
        <f>IF($B47=" ","",IFERROR(INDEX(MMWR_RATING_STATE_ROLLUP_PMC[],MATCH($B47,MMWR_RATING_STATE_ROLLUP_PMC[MMWR_RATING_STATE_ROLLUP_PMC],0),MATCH(G$9,MMWR_RATING_STATE_ROLLUP_PMC[#Headers],0)),"ERROR"))</f>
        <v>1226</v>
      </c>
      <c r="H47" s="155">
        <f>IF($B47=" ","",IFERROR(INDEX(MMWR_RATING_STATE_ROLLUP_PMC[],MATCH($B47,MMWR_RATING_STATE_ROLLUP_PMC[MMWR_RATING_STATE_ROLLUP_PMC],0),MATCH(H$9,MMWR_RATING_STATE_ROLLUP_PMC[#Headers],0)),"ERROR"))</f>
        <v>108.0331491713</v>
      </c>
      <c r="I47" s="155">
        <f>IF($B47=" ","",IFERROR(INDEX(MMWR_RATING_STATE_ROLLUP_PMC[],MATCH($B47,MMWR_RATING_STATE_ROLLUP_PMC[MMWR_RATING_STATE_ROLLUP_PMC],0),MATCH(I$9,MMWR_RATING_STATE_ROLLUP_PMC[#Headers],0)),"ERROR"))</f>
        <v>95.521207177799994</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241</v>
      </c>
      <c r="D48" s="155">
        <f>IF($B48=" ","",IFERROR(INDEX(MMWR_RATING_STATE_ROLLUP_PMC[],MATCH($B48,MMWR_RATING_STATE_ROLLUP_PMC[MMWR_RATING_STATE_ROLLUP_PMC],0),MATCH(D$9,MMWR_RATING_STATE_ROLLUP_PMC[#Headers],0)),"ERROR"))</f>
        <v>78.029045643200007</v>
      </c>
      <c r="E48" s="156">
        <f>IF($B48=" ","",IFERROR(INDEX(MMWR_RATING_STATE_ROLLUP_PMC[],MATCH($B48,MMWR_RATING_STATE_ROLLUP_PMC[MMWR_RATING_STATE_ROLLUP_PMC],0),MATCH(E$9,MMWR_RATING_STATE_ROLLUP_PMC[#Headers],0))/$C48,"ERROR"))</f>
        <v>0.13278008298755187</v>
      </c>
      <c r="F48" s="154">
        <f>IF($B48=" ","",IFERROR(INDEX(MMWR_RATING_STATE_ROLLUP_PMC[],MATCH($B48,MMWR_RATING_STATE_ROLLUP_PMC[MMWR_RATING_STATE_ROLLUP_PMC],0),MATCH(F$9,MMWR_RATING_STATE_ROLLUP_PMC[#Headers],0)),"ERROR"))</f>
        <v>60</v>
      </c>
      <c r="G48" s="154">
        <f>IF($B48=" ","",IFERROR(INDEX(MMWR_RATING_STATE_ROLLUP_PMC[],MATCH($B48,MMWR_RATING_STATE_ROLLUP_PMC[MMWR_RATING_STATE_ROLLUP_PMC],0),MATCH(G$9,MMWR_RATING_STATE_ROLLUP_PMC[#Headers],0)),"ERROR"))</f>
        <v>425</v>
      </c>
      <c r="H48" s="155">
        <f>IF($B48=" ","",IFERROR(INDEX(MMWR_RATING_STATE_ROLLUP_PMC[],MATCH($B48,MMWR_RATING_STATE_ROLLUP_PMC[MMWR_RATING_STATE_ROLLUP_PMC],0),MATCH(H$9,MMWR_RATING_STATE_ROLLUP_PMC[#Headers],0)),"ERROR"))</f>
        <v>100.0666666667</v>
      </c>
      <c r="I48" s="155">
        <f>IF($B48=" ","",IFERROR(INDEX(MMWR_RATING_STATE_ROLLUP_PMC[],MATCH($B48,MMWR_RATING_STATE_ROLLUP_PMC[MMWR_RATING_STATE_ROLLUP_PMC],0),MATCH(I$9,MMWR_RATING_STATE_ROLLUP_PMC[#Headers],0)),"ERROR"))</f>
        <v>91.409411764699996</v>
      </c>
      <c r="J48" s="42"/>
      <c r="K48" s="42"/>
      <c r="L48" s="42"/>
      <c r="M48" s="42"/>
      <c r="N48" s="28"/>
    </row>
    <row r="49" spans="1:14" x14ac:dyDescent="0.2">
      <c r="A49" s="25"/>
      <c r="B49" s="341" t="s">
        <v>1041</v>
      </c>
      <c r="C49" s="342"/>
      <c r="D49" s="342"/>
      <c r="E49" s="342"/>
      <c r="F49" s="342"/>
      <c r="G49" s="342"/>
      <c r="H49" s="342"/>
      <c r="I49" s="342"/>
      <c r="J49" s="342"/>
      <c r="K49" s="342"/>
      <c r="L49" s="342"/>
      <c r="M49" s="392"/>
      <c r="N49" s="28"/>
    </row>
    <row r="50" spans="1:14" x14ac:dyDescent="0.2">
      <c r="A50" s="25"/>
      <c r="B50" s="41" t="s">
        <v>1040</v>
      </c>
      <c r="C50" s="154">
        <f>IF($B50=" ","",IFERROR(INDEX(MMWR_RATING_STATE_ROLLUP_QST[],MATCH($B50,MMWR_RATING_STATE_ROLLUP_QST[MMWR_RATING_STATE_ROLLUP_QST],0),MATCH(C$9,MMWR_RATING_STATE_ROLLUP_QST[#Headers],0)),"ERROR"))</f>
        <v>10629</v>
      </c>
      <c r="D50" s="155">
        <f>IF($B50=" ","",IFERROR(INDEX(MMWR_RATING_STATE_ROLLUP_QST[],MATCH($B50,MMWR_RATING_STATE_ROLLUP_QST[MMWR_RATING_STATE_ROLLUP_QST],0),MATCH(D$9,MMWR_RATING_STATE_ROLLUP_QST[#Headers],0)),"ERROR"))</f>
        <v>92.826136042900004</v>
      </c>
      <c r="E50" s="156">
        <f>IF($B50=" ","",IFERROR(INDEX(MMWR_RATING_STATE_ROLLUP_QST[],MATCH($B50,MMWR_RATING_STATE_ROLLUP_QST[MMWR_RATING_STATE_ROLLUP_QST],0),MATCH(E$9,MMWR_RATING_STATE_ROLLUP_QST[#Headers],0))/$C50,"ERROR"))</f>
        <v>0.29475961990779942</v>
      </c>
      <c r="F50" s="154">
        <f>IF($B50=" ","",IFERROR(INDEX(MMWR_RATING_STATE_ROLLUP_QST[],MATCH($B50,MMWR_RATING_STATE_ROLLUP_QST[MMWR_RATING_STATE_ROLLUP_QST],0),MATCH(F$9,MMWR_RATING_STATE_ROLLUP_QST[#Headers],0)),"ERROR"))</f>
        <v>1276</v>
      </c>
      <c r="G50" s="154">
        <f>IF($B50=" ","",IFERROR(INDEX(MMWR_RATING_STATE_ROLLUP_QST[],MATCH($B50,MMWR_RATING_STATE_ROLLUP_QST[MMWR_RATING_STATE_ROLLUP_QST],0),MATCH(G$9,MMWR_RATING_STATE_ROLLUP_QST[#Headers],0)),"ERROR"))</f>
        <v>7730</v>
      </c>
      <c r="H50" s="155">
        <f>IF($B50=" ","",IFERROR(INDEX(MMWR_RATING_STATE_ROLLUP_QST[],MATCH($B50,MMWR_RATING_STATE_ROLLUP_QST[MMWR_RATING_STATE_ROLLUP_QST],0),MATCH(H$9,MMWR_RATING_STATE_ROLLUP_QST[#Headers],0)),"ERROR"))</f>
        <v>157.07131661439999</v>
      </c>
      <c r="I50" s="155">
        <f>IF($B50=" ","",IFERROR(INDEX(MMWR_RATING_STATE_ROLLUP_QST[],MATCH($B50,MMWR_RATING_STATE_ROLLUP_QST[MMWR_RATING_STATE_ROLLUP_QST],0),MATCH(I$9,MMWR_RATING_STATE_ROLLUP_QST[#Headers],0)),"ERROR"))</f>
        <v>147.1657179819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2379</v>
      </c>
      <c r="D51" s="155">
        <f>IF($B51=" ","",IFERROR(INDEX(MMWR_RATING_STATE_ROLLUP_QST[],MATCH($B51,MMWR_RATING_STATE_ROLLUP_QST[MMWR_RATING_STATE_ROLLUP_QST],0),MATCH(D$9,MMWR_RATING_STATE_ROLLUP_QST[#Headers],0)),"ERROR"))</f>
        <v>98.0332072299</v>
      </c>
      <c r="E51" s="156">
        <f>IF($B51=" ","",IFERROR(INDEX(MMWR_RATING_STATE_ROLLUP_QST[],MATCH($B51,MMWR_RATING_STATE_ROLLUP_QST[MMWR_RATING_STATE_ROLLUP_QST],0),MATCH(E$9,MMWR_RATING_STATE_ROLLUP_QST[#Headers],0))/$C51,"ERROR"))</f>
        <v>0.33291298865069358</v>
      </c>
      <c r="F51" s="154">
        <f>IF($B51=" ","",IFERROR(INDEX(MMWR_RATING_STATE_ROLLUP_QST[],MATCH($B51,MMWR_RATING_STATE_ROLLUP_QST[MMWR_RATING_STATE_ROLLUP_QST],0),MATCH(F$9,MMWR_RATING_STATE_ROLLUP_QST[#Headers],0)),"ERROR"))</f>
        <v>277</v>
      </c>
      <c r="G51" s="154">
        <f>IF($B51=" ","",IFERROR(INDEX(MMWR_RATING_STATE_ROLLUP_QST[],MATCH($B51,MMWR_RATING_STATE_ROLLUP_QST[MMWR_RATING_STATE_ROLLUP_QST],0),MATCH(G$9,MMWR_RATING_STATE_ROLLUP_QST[#Headers],0)),"ERROR"))</f>
        <v>1764</v>
      </c>
      <c r="H51" s="155">
        <f>IF($B51=" ","",IFERROR(INDEX(MMWR_RATING_STATE_ROLLUP_QST[],MATCH($B51,MMWR_RATING_STATE_ROLLUP_QST[MMWR_RATING_STATE_ROLLUP_QST],0),MATCH(H$9,MMWR_RATING_STATE_ROLLUP_QST[#Headers],0)),"ERROR"))</f>
        <v>162.32490974730001</v>
      </c>
      <c r="I51" s="155">
        <f>IF($B51=" ","",IFERROR(INDEX(MMWR_RATING_STATE_ROLLUP_QST[],MATCH($B51,MMWR_RATING_STATE_ROLLUP_QST[MMWR_RATING_STATE_ROLLUP_QST],0),MATCH(I$9,MMWR_RATING_STATE_ROLLUP_QST[#Headers],0)),"ERROR"))</f>
        <v>152.858276644</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53</v>
      </c>
      <c r="D52" s="155">
        <f>IF($B52=" ","",IFERROR(INDEX(MMWR_RATING_STATE_ROLLUP_QST[],MATCH($B52,MMWR_RATING_STATE_ROLLUP_QST[MMWR_RATING_STATE_ROLLUP_QST],0),MATCH(D$9,MMWR_RATING_STATE_ROLLUP_QST[#Headers],0)),"ERROR"))</f>
        <v>99.113207547200005</v>
      </c>
      <c r="E52" s="156">
        <f>IF($B52=" ","",IFERROR(INDEX(MMWR_RATING_STATE_ROLLUP_QST[],MATCH($B52,MMWR_RATING_STATE_ROLLUP_QST[MMWR_RATING_STATE_ROLLUP_QST],0),MATCH(E$9,MMWR_RATING_STATE_ROLLUP_QST[#Headers],0))/$C52,"ERROR"))</f>
        <v>0.41509433962264153</v>
      </c>
      <c r="F52" s="154">
        <f>IF($B52=" ","",IFERROR(INDEX(MMWR_RATING_STATE_ROLLUP_QST[],MATCH($B52,MMWR_RATING_STATE_ROLLUP_QST[MMWR_RATING_STATE_ROLLUP_QST],0),MATCH(F$9,MMWR_RATING_STATE_ROLLUP_QST[#Headers],0)),"ERROR"))</f>
        <v>3</v>
      </c>
      <c r="G52" s="154">
        <f>IF($B52=" ","",IFERROR(INDEX(MMWR_RATING_STATE_ROLLUP_QST[],MATCH($B52,MMWR_RATING_STATE_ROLLUP_QST[MMWR_RATING_STATE_ROLLUP_QST],0),MATCH(G$9,MMWR_RATING_STATE_ROLLUP_QST[#Headers],0)),"ERROR"))</f>
        <v>46</v>
      </c>
      <c r="H52" s="155">
        <f>IF($B52=" ","",IFERROR(INDEX(MMWR_RATING_STATE_ROLLUP_QST[],MATCH($B52,MMWR_RATING_STATE_ROLLUP_QST[MMWR_RATING_STATE_ROLLUP_QST],0),MATCH(H$9,MMWR_RATING_STATE_ROLLUP_QST[#Headers],0)),"ERROR"))</f>
        <v>146.6666666667</v>
      </c>
      <c r="I52" s="155">
        <f>IF($B52=" ","",IFERROR(INDEX(MMWR_RATING_STATE_ROLLUP_QST[],MATCH($B52,MMWR_RATING_STATE_ROLLUP_QST[MMWR_RATING_STATE_ROLLUP_QST],0),MATCH(I$9,MMWR_RATING_STATE_ROLLUP_QST[#Headers],0)),"ERROR"))</f>
        <v>138.26086956520001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15</v>
      </c>
      <c r="D53" s="155">
        <f>IF($B53=" ","",IFERROR(INDEX(MMWR_RATING_STATE_ROLLUP_QST[],MATCH($B53,MMWR_RATING_STATE_ROLLUP_QST[MMWR_RATING_STATE_ROLLUP_QST],0),MATCH(D$9,MMWR_RATING_STATE_ROLLUP_QST[#Headers],0)),"ERROR"))</f>
        <v>97.466666666699993</v>
      </c>
      <c r="E53" s="156">
        <f>IF($B53=" ","",IFERROR(INDEX(MMWR_RATING_STATE_ROLLUP_QST[],MATCH($B53,MMWR_RATING_STATE_ROLLUP_QST[MMWR_RATING_STATE_ROLLUP_QST],0),MATCH(E$9,MMWR_RATING_STATE_ROLLUP_QST[#Headers],0))/$C53,"ERROR"))</f>
        <v>0.33333333333333331</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18</v>
      </c>
      <c r="H53" s="155">
        <f>IF($B53=" ","",IFERROR(INDEX(MMWR_RATING_STATE_ROLLUP_QST[],MATCH($B53,MMWR_RATING_STATE_ROLLUP_QST[MMWR_RATING_STATE_ROLLUP_QST],0),MATCH(H$9,MMWR_RATING_STATE_ROLLUP_QST[#Headers],0)),"ERROR"))</f>
        <v>135</v>
      </c>
      <c r="I53" s="155">
        <f>IF($B53=" ","",IFERROR(INDEX(MMWR_RATING_STATE_ROLLUP_QST[],MATCH($B53,MMWR_RATING_STATE_ROLLUP_QST[MMWR_RATING_STATE_ROLLUP_QST],0),MATCH(I$9,MMWR_RATING_STATE_ROLLUP_QST[#Headers],0)),"ERROR"))</f>
        <v>141</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26</v>
      </c>
      <c r="D54" s="155">
        <f>IF($B54=" ","",IFERROR(INDEX(MMWR_RATING_STATE_ROLLUP_QST[],MATCH($B54,MMWR_RATING_STATE_ROLLUP_QST[MMWR_RATING_STATE_ROLLUP_QST],0),MATCH(D$9,MMWR_RATING_STATE_ROLLUP_QST[#Headers],0)),"ERROR"))</f>
        <v>104.5</v>
      </c>
      <c r="E54" s="156">
        <f>IF($B54=" ","",IFERROR(INDEX(MMWR_RATING_STATE_ROLLUP_QST[],MATCH($B54,MMWR_RATING_STATE_ROLLUP_QST[MMWR_RATING_STATE_ROLLUP_QST],0),MATCH(E$9,MMWR_RATING_STATE_ROLLUP_QST[#Headers],0))/$C54,"ERROR"))</f>
        <v>0.42307692307692307</v>
      </c>
      <c r="F54" s="154">
        <f>IF($B54=" ","",IFERROR(INDEX(MMWR_RATING_STATE_ROLLUP_QST[],MATCH($B54,MMWR_RATING_STATE_ROLLUP_QST[MMWR_RATING_STATE_ROLLUP_QST],0),MATCH(F$9,MMWR_RATING_STATE_ROLLUP_QST[#Headers],0)),"ERROR"))</f>
        <v>2</v>
      </c>
      <c r="G54" s="154">
        <f>IF($B54=" ","",IFERROR(INDEX(MMWR_RATING_STATE_ROLLUP_QST[],MATCH($B54,MMWR_RATING_STATE_ROLLUP_QST[MMWR_RATING_STATE_ROLLUP_QST],0),MATCH(G$9,MMWR_RATING_STATE_ROLLUP_QST[#Headers],0)),"ERROR"))</f>
        <v>11</v>
      </c>
      <c r="H54" s="155">
        <f>IF($B54=" ","",IFERROR(INDEX(MMWR_RATING_STATE_ROLLUP_QST[],MATCH($B54,MMWR_RATING_STATE_ROLLUP_QST[MMWR_RATING_STATE_ROLLUP_QST],0),MATCH(H$9,MMWR_RATING_STATE_ROLLUP_QST[#Headers],0)),"ERROR"))</f>
        <v>182</v>
      </c>
      <c r="I54" s="155">
        <f>IF($B54=" ","",IFERROR(INDEX(MMWR_RATING_STATE_ROLLUP_QST[],MATCH($B54,MMWR_RATING_STATE_ROLLUP_QST[MMWR_RATING_STATE_ROLLUP_QST],0),MATCH(I$9,MMWR_RATING_STATE_ROLLUP_QST[#Headers],0)),"ERROR"))</f>
        <v>162.36363636359999</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26</v>
      </c>
      <c r="D55" s="155">
        <f>IF($B55=" ","",IFERROR(INDEX(MMWR_RATING_STATE_ROLLUP_QST[],MATCH($B55,MMWR_RATING_STATE_ROLLUP_QST[MMWR_RATING_STATE_ROLLUP_QST],0),MATCH(D$9,MMWR_RATING_STATE_ROLLUP_QST[#Headers],0)),"ERROR"))</f>
        <v>111.3461538462</v>
      </c>
      <c r="E55" s="156">
        <f>IF($B55=" ","",IFERROR(INDEX(MMWR_RATING_STATE_ROLLUP_QST[],MATCH($B55,MMWR_RATING_STATE_ROLLUP_QST[MMWR_RATING_STATE_ROLLUP_QST],0),MATCH(E$9,MMWR_RATING_STATE_ROLLUP_QST[#Headers],0))/$C55,"ERROR"))</f>
        <v>0.38461538461538464</v>
      </c>
      <c r="F55" s="154">
        <f>IF($B55=" ","",IFERROR(INDEX(MMWR_RATING_STATE_ROLLUP_QST[],MATCH($B55,MMWR_RATING_STATE_ROLLUP_QST[MMWR_RATING_STATE_ROLLUP_QST],0),MATCH(F$9,MMWR_RATING_STATE_ROLLUP_QST[#Headers],0)),"ERROR"))</f>
        <v>4</v>
      </c>
      <c r="G55" s="154">
        <f>IF($B55=" ","",IFERROR(INDEX(MMWR_RATING_STATE_ROLLUP_QST[],MATCH($B55,MMWR_RATING_STATE_ROLLUP_QST[MMWR_RATING_STATE_ROLLUP_QST],0),MATCH(G$9,MMWR_RATING_STATE_ROLLUP_QST[#Headers],0)),"ERROR"))</f>
        <v>17</v>
      </c>
      <c r="H55" s="155">
        <f>IF($B55=" ","",IFERROR(INDEX(MMWR_RATING_STATE_ROLLUP_QST[],MATCH($B55,MMWR_RATING_STATE_ROLLUP_QST[MMWR_RATING_STATE_ROLLUP_QST],0),MATCH(H$9,MMWR_RATING_STATE_ROLLUP_QST[#Headers],0)),"ERROR"))</f>
        <v>141.75</v>
      </c>
      <c r="I55" s="155">
        <f>IF($B55=" ","",IFERROR(INDEX(MMWR_RATING_STATE_ROLLUP_QST[],MATCH($B55,MMWR_RATING_STATE_ROLLUP_QST[MMWR_RATING_STATE_ROLLUP_QST],0),MATCH(I$9,MMWR_RATING_STATE_ROLLUP_QST[#Headers],0)),"ERROR"))</f>
        <v>157.6470588235</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233</v>
      </c>
      <c r="D56" s="155">
        <f>IF($B56=" ","",IFERROR(INDEX(MMWR_RATING_STATE_ROLLUP_QST[],MATCH($B56,MMWR_RATING_STATE_ROLLUP_QST[MMWR_RATING_STATE_ROLLUP_QST],0),MATCH(D$9,MMWR_RATING_STATE_ROLLUP_QST[#Headers],0)),"ERROR"))</f>
        <v>96.793991416300003</v>
      </c>
      <c r="E56" s="156">
        <f>IF($B56=" ","",IFERROR(INDEX(MMWR_RATING_STATE_ROLLUP_QST[],MATCH($B56,MMWR_RATING_STATE_ROLLUP_QST[MMWR_RATING_STATE_ROLLUP_QST],0),MATCH(E$9,MMWR_RATING_STATE_ROLLUP_QST[#Headers],0))/$C56,"ERROR"))</f>
        <v>0.35193133047210301</v>
      </c>
      <c r="F56" s="154">
        <f>IF($B56=" ","",IFERROR(INDEX(MMWR_RATING_STATE_ROLLUP_QST[],MATCH($B56,MMWR_RATING_STATE_ROLLUP_QST[MMWR_RATING_STATE_ROLLUP_QST],0),MATCH(F$9,MMWR_RATING_STATE_ROLLUP_QST[#Headers],0)),"ERROR"))</f>
        <v>30</v>
      </c>
      <c r="G56" s="154">
        <f>IF($B56=" ","",IFERROR(INDEX(MMWR_RATING_STATE_ROLLUP_QST[],MATCH($B56,MMWR_RATING_STATE_ROLLUP_QST[MMWR_RATING_STATE_ROLLUP_QST],0),MATCH(G$9,MMWR_RATING_STATE_ROLLUP_QST[#Headers],0)),"ERROR"))</f>
        <v>206</v>
      </c>
      <c r="H56" s="155">
        <f>IF($B56=" ","",IFERROR(INDEX(MMWR_RATING_STATE_ROLLUP_QST[],MATCH($B56,MMWR_RATING_STATE_ROLLUP_QST[MMWR_RATING_STATE_ROLLUP_QST],0),MATCH(H$9,MMWR_RATING_STATE_ROLLUP_QST[#Headers],0)),"ERROR"))</f>
        <v>160.86666666670001</v>
      </c>
      <c r="I56" s="155">
        <f>IF($B56=" ","",IFERROR(INDEX(MMWR_RATING_STATE_ROLLUP_QST[],MATCH($B56,MMWR_RATING_STATE_ROLLUP_QST[MMWR_RATING_STATE_ROLLUP_QST],0),MATCH(I$9,MMWR_RATING_STATE_ROLLUP_QST[#Headers],0)),"ERROR"))</f>
        <v>151.90291262139999</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88</v>
      </c>
      <c r="D57" s="155">
        <f>IF($B57=" ","",IFERROR(INDEX(MMWR_RATING_STATE_ROLLUP_QST[],MATCH($B57,MMWR_RATING_STATE_ROLLUP_QST[MMWR_RATING_STATE_ROLLUP_QST],0),MATCH(D$9,MMWR_RATING_STATE_ROLLUP_QST[#Headers],0)),"ERROR"))</f>
        <v>109.82954545450001</v>
      </c>
      <c r="E57" s="156">
        <f>IF($B57=" ","",IFERROR(INDEX(MMWR_RATING_STATE_ROLLUP_QST[],MATCH($B57,MMWR_RATING_STATE_ROLLUP_QST[MMWR_RATING_STATE_ROLLUP_QST],0),MATCH(E$9,MMWR_RATING_STATE_ROLLUP_QST[#Headers],0))/$C57,"ERROR"))</f>
        <v>0.42045454545454547</v>
      </c>
      <c r="F57" s="154">
        <f>IF($B57=" ","",IFERROR(INDEX(MMWR_RATING_STATE_ROLLUP_QST[],MATCH($B57,MMWR_RATING_STATE_ROLLUP_QST[MMWR_RATING_STATE_ROLLUP_QST],0),MATCH(F$9,MMWR_RATING_STATE_ROLLUP_QST[#Headers],0)),"ERROR"))</f>
        <v>15</v>
      </c>
      <c r="G57" s="154">
        <f>IF($B57=" ","",IFERROR(INDEX(MMWR_RATING_STATE_ROLLUP_QST[],MATCH($B57,MMWR_RATING_STATE_ROLLUP_QST[MMWR_RATING_STATE_ROLLUP_QST],0),MATCH(G$9,MMWR_RATING_STATE_ROLLUP_QST[#Headers],0)),"ERROR"))</f>
        <v>81</v>
      </c>
      <c r="H57" s="155">
        <f>IF($B57=" ","",IFERROR(INDEX(MMWR_RATING_STATE_ROLLUP_QST[],MATCH($B57,MMWR_RATING_STATE_ROLLUP_QST[MMWR_RATING_STATE_ROLLUP_QST],0),MATCH(H$9,MMWR_RATING_STATE_ROLLUP_QST[#Headers],0)),"ERROR"))</f>
        <v>158.13333333329999</v>
      </c>
      <c r="I57" s="155">
        <f>IF($B57=" ","",IFERROR(INDEX(MMWR_RATING_STATE_ROLLUP_QST[],MATCH($B57,MMWR_RATING_STATE_ROLLUP_QST[MMWR_RATING_STATE_ROLLUP_QST],0),MATCH(I$9,MMWR_RATING_STATE_ROLLUP_QST[#Headers],0)),"ERROR"))</f>
        <v>140.9382716049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33</v>
      </c>
      <c r="D58" s="155">
        <f>IF($B58=" ","",IFERROR(INDEX(MMWR_RATING_STATE_ROLLUP_QST[],MATCH($B58,MMWR_RATING_STATE_ROLLUP_QST[MMWR_RATING_STATE_ROLLUP_QST],0),MATCH(D$9,MMWR_RATING_STATE_ROLLUP_QST[#Headers],0)),"ERROR"))</f>
        <v>102.1212121212</v>
      </c>
      <c r="E58" s="156">
        <f>IF($B58=" ","",IFERROR(INDEX(MMWR_RATING_STATE_ROLLUP_QST[],MATCH($B58,MMWR_RATING_STATE_ROLLUP_QST[MMWR_RATING_STATE_ROLLUP_QST],0),MATCH(E$9,MMWR_RATING_STATE_ROLLUP_QST[#Headers],0))/$C58,"ERROR"))</f>
        <v>0.42424242424242425</v>
      </c>
      <c r="F58" s="154">
        <f>IF($B58=" ","",IFERROR(INDEX(MMWR_RATING_STATE_ROLLUP_QST[],MATCH($B58,MMWR_RATING_STATE_ROLLUP_QST[MMWR_RATING_STATE_ROLLUP_QST],0),MATCH(F$9,MMWR_RATING_STATE_ROLLUP_QST[#Headers],0)),"ERROR"))</f>
        <v>3</v>
      </c>
      <c r="G58" s="154">
        <f>IF($B58=" ","",IFERROR(INDEX(MMWR_RATING_STATE_ROLLUP_QST[],MATCH($B58,MMWR_RATING_STATE_ROLLUP_QST[MMWR_RATING_STATE_ROLLUP_QST],0),MATCH(G$9,MMWR_RATING_STATE_ROLLUP_QST[#Headers],0)),"ERROR"))</f>
        <v>13</v>
      </c>
      <c r="H58" s="155">
        <f>IF($B58=" ","",IFERROR(INDEX(MMWR_RATING_STATE_ROLLUP_QST[],MATCH($B58,MMWR_RATING_STATE_ROLLUP_QST[MMWR_RATING_STATE_ROLLUP_QST],0),MATCH(H$9,MMWR_RATING_STATE_ROLLUP_QST[#Headers],0)),"ERROR"))</f>
        <v>164</v>
      </c>
      <c r="I58" s="155">
        <f>IF($B58=" ","",IFERROR(INDEX(MMWR_RATING_STATE_ROLLUP_QST[],MATCH($B58,MMWR_RATING_STATE_ROLLUP_QST[MMWR_RATING_STATE_ROLLUP_QST],0),MATCH(I$9,MMWR_RATING_STATE_ROLLUP_QST[#Headers],0)),"ERROR"))</f>
        <v>145.8461538462</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113</v>
      </c>
      <c r="D59" s="155">
        <f>IF($B59=" ","",IFERROR(INDEX(MMWR_RATING_STATE_ROLLUP_QST[],MATCH($B59,MMWR_RATING_STATE_ROLLUP_QST[MMWR_RATING_STATE_ROLLUP_QST],0),MATCH(D$9,MMWR_RATING_STATE_ROLLUP_QST[#Headers],0)),"ERROR"))</f>
        <v>97.460176991200001</v>
      </c>
      <c r="E59" s="156">
        <f>IF($B59=" ","",IFERROR(INDEX(MMWR_RATING_STATE_ROLLUP_QST[],MATCH($B59,MMWR_RATING_STATE_ROLLUP_QST[MMWR_RATING_STATE_ROLLUP_QST],0),MATCH(E$9,MMWR_RATING_STATE_ROLLUP_QST[#Headers],0))/$C59,"ERROR"))</f>
        <v>0.30088495575221241</v>
      </c>
      <c r="F59" s="154">
        <f>IF($B59=" ","",IFERROR(INDEX(MMWR_RATING_STATE_ROLLUP_QST[],MATCH($B59,MMWR_RATING_STATE_ROLLUP_QST[MMWR_RATING_STATE_ROLLUP_QST],0),MATCH(F$9,MMWR_RATING_STATE_ROLLUP_QST[#Headers],0)),"ERROR"))</f>
        <v>14</v>
      </c>
      <c r="G59" s="154">
        <f>IF($B59=" ","",IFERROR(INDEX(MMWR_RATING_STATE_ROLLUP_QST[],MATCH($B59,MMWR_RATING_STATE_ROLLUP_QST[MMWR_RATING_STATE_ROLLUP_QST],0),MATCH(G$9,MMWR_RATING_STATE_ROLLUP_QST[#Headers],0)),"ERROR"))</f>
        <v>73</v>
      </c>
      <c r="H59" s="155">
        <f>IF($B59=" ","",IFERROR(INDEX(MMWR_RATING_STATE_ROLLUP_QST[],MATCH($B59,MMWR_RATING_STATE_ROLLUP_QST[MMWR_RATING_STATE_ROLLUP_QST],0),MATCH(H$9,MMWR_RATING_STATE_ROLLUP_QST[#Headers],0)),"ERROR"))</f>
        <v>162.78571428570001</v>
      </c>
      <c r="I59" s="155">
        <f>IF($B59=" ","",IFERROR(INDEX(MMWR_RATING_STATE_ROLLUP_QST[],MATCH($B59,MMWR_RATING_STATE_ROLLUP_QST[MMWR_RATING_STATE_ROLLUP_QST],0),MATCH(I$9,MMWR_RATING_STATE_ROLLUP_QST[#Headers],0)),"ERROR"))</f>
        <v>149.3561643836</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271</v>
      </c>
      <c r="D60" s="155">
        <f>IF($B60=" ","",IFERROR(INDEX(MMWR_RATING_STATE_ROLLUP_QST[],MATCH($B60,MMWR_RATING_STATE_ROLLUP_QST[MMWR_RATING_STATE_ROLLUP_QST],0),MATCH(D$9,MMWR_RATING_STATE_ROLLUP_QST[#Headers],0)),"ERROR"))</f>
        <v>91.453874538700006</v>
      </c>
      <c r="E60" s="156">
        <f>IF($B60=" ","",IFERROR(INDEX(MMWR_RATING_STATE_ROLLUP_QST[],MATCH($B60,MMWR_RATING_STATE_ROLLUP_QST[MMWR_RATING_STATE_ROLLUP_QST],0),MATCH(E$9,MMWR_RATING_STATE_ROLLUP_QST[#Headers],0))/$C60,"ERROR"))</f>
        <v>0.28413284132841327</v>
      </c>
      <c r="F60" s="154">
        <f>IF($B60=" ","",IFERROR(INDEX(MMWR_RATING_STATE_ROLLUP_QST[],MATCH($B60,MMWR_RATING_STATE_ROLLUP_QST[MMWR_RATING_STATE_ROLLUP_QST],0),MATCH(F$9,MMWR_RATING_STATE_ROLLUP_QST[#Headers],0)),"ERROR"))</f>
        <v>24</v>
      </c>
      <c r="G60" s="154">
        <f>IF($B60=" ","",IFERROR(INDEX(MMWR_RATING_STATE_ROLLUP_QST[],MATCH($B60,MMWR_RATING_STATE_ROLLUP_QST[MMWR_RATING_STATE_ROLLUP_QST],0),MATCH(G$9,MMWR_RATING_STATE_ROLLUP_QST[#Headers],0)),"ERROR"))</f>
        <v>181</v>
      </c>
      <c r="H60" s="155">
        <f>IF($B60=" ","",IFERROR(INDEX(MMWR_RATING_STATE_ROLLUP_QST[],MATCH($B60,MMWR_RATING_STATE_ROLLUP_QST[MMWR_RATING_STATE_ROLLUP_QST],0),MATCH(H$9,MMWR_RATING_STATE_ROLLUP_QST[#Headers],0)),"ERROR"))</f>
        <v>154.125</v>
      </c>
      <c r="I60" s="155">
        <f>IF($B60=" ","",IFERROR(INDEX(MMWR_RATING_STATE_ROLLUP_QST[],MATCH($B60,MMWR_RATING_STATE_ROLLUP_QST[MMWR_RATING_STATE_ROLLUP_QST],0),MATCH(I$9,MMWR_RATING_STATE_ROLLUP_QST[#Headers],0)),"ERROR"))</f>
        <v>136.30939226519999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604</v>
      </c>
      <c r="D61" s="155">
        <f>IF($B61=" ","",IFERROR(INDEX(MMWR_RATING_STATE_ROLLUP_QST[],MATCH($B61,MMWR_RATING_STATE_ROLLUP_QST[MMWR_RATING_STATE_ROLLUP_QST],0),MATCH(D$9,MMWR_RATING_STATE_ROLLUP_QST[#Headers],0)),"ERROR"))</f>
        <v>98.476821192100005</v>
      </c>
      <c r="E61" s="156">
        <f>IF($B61=" ","",IFERROR(INDEX(MMWR_RATING_STATE_ROLLUP_QST[],MATCH($B61,MMWR_RATING_STATE_ROLLUP_QST[MMWR_RATING_STATE_ROLLUP_QST],0),MATCH(E$9,MMWR_RATING_STATE_ROLLUP_QST[#Headers],0))/$C61,"ERROR"))</f>
        <v>0.30463576158940397</v>
      </c>
      <c r="F61" s="154">
        <f>IF($B61=" ","",IFERROR(INDEX(MMWR_RATING_STATE_ROLLUP_QST[],MATCH($B61,MMWR_RATING_STATE_ROLLUP_QST[MMWR_RATING_STATE_ROLLUP_QST],0),MATCH(F$9,MMWR_RATING_STATE_ROLLUP_QST[#Headers],0)),"ERROR"))</f>
        <v>74</v>
      </c>
      <c r="G61" s="154">
        <f>IF($B61=" ","",IFERROR(INDEX(MMWR_RATING_STATE_ROLLUP_QST[],MATCH($B61,MMWR_RATING_STATE_ROLLUP_QST[MMWR_RATING_STATE_ROLLUP_QST],0),MATCH(G$9,MMWR_RATING_STATE_ROLLUP_QST[#Headers],0)),"ERROR"))</f>
        <v>444</v>
      </c>
      <c r="H61" s="155">
        <f>IF($B61=" ","",IFERROR(INDEX(MMWR_RATING_STATE_ROLLUP_QST[],MATCH($B61,MMWR_RATING_STATE_ROLLUP_QST[MMWR_RATING_STATE_ROLLUP_QST],0),MATCH(H$9,MMWR_RATING_STATE_ROLLUP_QST[#Headers],0)),"ERROR"))</f>
        <v>162.27027027029999</v>
      </c>
      <c r="I61" s="155">
        <f>IF($B61=" ","",IFERROR(INDEX(MMWR_RATING_STATE_ROLLUP_QST[],MATCH($B61,MMWR_RATING_STATE_ROLLUP_QST[MMWR_RATING_STATE_ROLLUP_QST],0),MATCH(I$9,MMWR_RATING_STATE_ROLLUP_QST[#Headers],0)),"ERROR"))</f>
        <v>153.29054054049999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207</v>
      </c>
      <c r="D62" s="155">
        <f>IF($B62=" ","",IFERROR(INDEX(MMWR_RATING_STATE_ROLLUP_QST[],MATCH($B62,MMWR_RATING_STATE_ROLLUP_QST[MMWR_RATING_STATE_ROLLUP_QST],0),MATCH(D$9,MMWR_RATING_STATE_ROLLUP_QST[#Headers],0)),"ERROR"))</f>
        <v>97.743961352699998</v>
      </c>
      <c r="E62" s="156">
        <f>IF($B62=" ","",IFERROR(INDEX(MMWR_RATING_STATE_ROLLUP_QST[],MATCH($B62,MMWR_RATING_STATE_ROLLUP_QST[MMWR_RATING_STATE_ROLLUP_QST],0),MATCH(E$9,MMWR_RATING_STATE_ROLLUP_QST[#Headers],0))/$C62,"ERROR"))</f>
        <v>0.35265700483091789</v>
      </c>
      <c r="F62" s="154">
        <f>IF($B62=" ","",IFERROR(INDEX(MMWR_RATING_STATE_ROLLUP_QST[],MATCH($B62,MMWR_RATING_STATE_ROLLUP_QST[MMWR_RATING_STATE_ROLLUP_QST],0),MATCH(F$9,MMWR_RATING_STATE_ROLLUP_QST[#Headers],0)),"ERROR"))</f>
        <v>19</v>
      </c>
      <c r="G62" s="154">
        <f>IF($B62=" ","",IFERROR(INDEX(MMWR_RATING_STATE_ROLLUP_QST[],MATCH($B62,MMWR_RATING_STATE_ROLLUP_QST[MMWR_RATING_STATE_ROLLUP_QST],0),MATCH(G$9,MMWR_RATING_STATE_ROLLUP_QST[#Headers],0)),"ERROR"))</f>
        <v>153</v>
      </c>
      <c r="H62" s="155">
        <f>IF($B62=" ","",IFERROR(INDEX(MMWR_RATING_STATE_ROLLUP_QST[],MATCH($B62,MMWR_RATING_STATE_ROLLUP_QST[MMWR_RATING_STATE_ROLLUP_QST],0),MATCH(H$9,MMWR_RATING_STATE_ROLLUP_QST[#Headers],0)),"ERROR"))</f>
        <v>173.7894736842</v>
      </c>
      <c r="I62" s="155">
        <f>IF($B62=" ","",IFERROR(INDEX(MMWR_RATING_STATE_ROLLUP_QST[],MATCH($B62,MMWR_RATING_STATE_ROLLUP_QST[MMWR_RATING_STATE_ROLLUP_QST],0),MATCH(I$9,MMWR_RATING_STATE_ROLLUP_QST[#Headers],0)),"ERROR"))</f>
        <v>144.045751634</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12</v>
      </c>
      <c r="D63" s="155">
        <f>IF($B63=" ","",IFERROR(INDEX(MMWR_RATING_STATE_ROLLUP_QST[],MATCH($B63,MMWR_RATING_STATE_ROLLUP_QST[MMWR_RATING_STATE_ROLLUP_QST],0),MATCH(D$9,MMWR_RATING_STATE_ROLLUP_QST[#Headers],0)),"ERROR"))</f>
        <v>94.166666666699996</v>
      </c>
      <c r="E63" s="156">
        <f>IF($B63=" ","",IFERROR(INDEX(MMWR_RATING_STATE_ROLLUP_QST[],MATCH($B63,MMWR_RATING_STATE_ROLLUP_QST[MMWR_RATING_STATE_ROLLUP_QST],0),MATCH(E$9,MMWR_RATING_STATE_ROLLUP_QST[#Headers],0))/$C63,"ERROR"))</f>
        <v>0.41666666666666669</v>
      </c>
      <c r="F63" s="154">
        <f>IF($B63=" ","",IFERROR(INDEX(MMWR_RATING_STATE_ROLLUP_QST[],MATCH($B63,MMWR_RATING_STATE_ROLLUP_QST[MMWR_RATING_STATE_ROLLUP_QST],0),MATCH(F$9,MMWR_RATING_STATE_ROLLUP_QST[#Headers],0)),"ERROR"))</f>
        <v>2</v>
      </c>
      <c r="G63" s="154">
        <f>IF($B63=" ","",IFERROR(INDEX(MMWR_RATING_STATE_ROLLUP_QST[],MATCH($B63,MMWR_RATING_STATE_ROLLUP_QST[MMWR_RATING_STATE_ROLLUP_QST],0),MATCH(G$9,MMWR_RATING_STATE_ROLLUP_QST[#Headers],0)),"ERROR"))</f>
        <v>10</v>
      </c>
      <c r="H63" s="155">
        <f>IF($B63=" ","",IFERROR(INDEX(MMWR_RATING_STATE_ROLLUP_QST[],MATCH($B63,MMWR_RATING_STATE_ROLLUP_QST[MMWR_RATING_STATE_ROLLUP_QST],0),MATCH(H$9,MMWR_RATING_STATE_ROLLUP_QST[#Headers],0)),"ERROR"))</f>
        <v>272</v>
      </c>
      <c r="I63" s="155">
        <f>IF($B63=" ","",IFERROR(INDEX(MMWR_RATING_STATE_ROLLUP_QST[],MATCH($B63,MMWR_RATING_STATE_ROLLUP_QST[MMWR_RATING_STATE_ROLLUP_QST],0),MATCH(I$9,MMWR_RATING_STATE_ROLLUP_QST[#Headers],0)),"ERROR"))</f>
        <v>180.5</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4</v>
      </c>
      <c r="D64" s="155">
        <f>IF($B64=" ","",IFERROR(INDEX(MMWR_RATING_STATE_ROLLUP_QST[],MATCH($B64,MMWR_RATING_STATE_ROLLUP_QST[MMWR_RATING_STATE_ROLLUP_QST],0),MATCH(D$9,MMWR_RATING_STATE_ROLLUP_QST[#Headers],0)),"ERROR"))</f>
        <v>92</v>
      </c>
      <c r="E64" s="156">
        <f>IF($B64=" ","",IFERROR(INDEX(MMWR_RATING_STATE_ROLLUP_QST[],MATCH($B64,MMWR_RATING_STATE_ROLLUP_QST[MMWR_RATING_STATE_ROLLUP_QST],0),MATCH(E$9,MMWR_RATING_STATE_ROLLUP_QST[#Headers],0))/$C64,"ERROR"))</f>
        <v>0.5</v>
      </c>
      <c r="F64" s="154">
        <f>IF($B64=" ","",IFERROR(INDEX(MMWR_RATING_STATE_ROLLUP_QST[],MATCH($B64,MMWR_RATING_STATE_ROLLUP_QST[MMWR_RATING_STATE_ROLLUP_QST],0),MATCH(F$9,MMWR_RATING_STATE_ROLLUP_QST[#Headers],0)),"ERROR"))</f>
        <v>0</v>
      </c>
      <c r="G64" s="154">
        <f>IF($B64=" ","",IFERROR(INDEX(MMWR_RATING_STATE_ROLLUP_QST[],MATCH($B64,MMWR_RATING_STATE_ROLLUP_QST[MMWR_RATING_STATE_ROLLUP_QST],0),MATCH(G$9,MMWR_RATING_STATE_ROLLUP_QST[#Headers],0)),"ERROR"))</f>
        <v>5</v>
      </c>
      <c r="H64" s="155">
        <f>IF($B64=" ","",IFERROR(INDEX(MMWR_RATING_STATE_ROLLUP_QST[],MATCH($B64,MMWR_RATING_STATE_ROLLUP_QST[MMWR_RATING_STATE_ROLLUP_QST],0),MATCH(H$9,MMWR_RATING_STATE_ROLLUP_QST[#Headers],0)),"ERROR"))</f>
        <v>0</v>
      </c>
      <c r="I64" s="155">
        <f>IF($B64=" ","",IFERROR(INDEX(MMWR_RATING_STATE_ROLLUP_QST[],MATCH($B64,MMWR_RATING_STATE_ROLLUP_QST[MMWR_RATING_STATE_ROLLUP_QST],0),MATCH(I$9,MMWR_RATING_STATE_ROLLUP_QST[#Headers],0)),"ERROR"))</f>
        <v>125</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673</v>
      </c>
      <c r="D65" s="155">
        <f>IF($B65=" ","",IFERROR(INDEX(MMWR_RATING_STATE_ROLLUP_QST[],MATCH($B65,MMWR_RATING_STATE_ROLLUP_QST[MMWR_RATING_STATE_ROLLUP_QST],0),MATCH(D$9,MMWR_RATING_STATE_ROLLUP_QST[#Headers],0)),"ERROR"))</f>
        <v>98.677563150099999</v>
      </c>
      <c r="E65" s="156">
        <f>IF($B65=" ","",IFERROR(INDEX(MMWR_RATING_STATE_ROLLUP_QST[],MATCH($B65,MMWR_RATING_STATE_ROLLUP_QST[MMWR_RATING_STATE_ROLLUP_QST],0),MATCH(E$9,MMWR_RATING_STATE_ROLLUP_QST[#Headers],0))/$C65,"ERROR"))</f>
        <v>0.34175334323922735</v>
      </c>
      <c r="F65" s="154">
        <f>IF($B65=" ","",IFERROR(INDEX(MMWR_RATING_STATE_ROLLUP_QST[],MATCH($B65,MMWR_RATING_STATE_ROLLUP_QST[MMWR_RATING_STATE_ROLLUP_QST],0),MATCH(F$9,MMWR_RATING_STATE_ROLLUP_QST[#Headers],0)),"ERROR"))</f>
        <v>83</v>
      </c>
      <c r="G65" s="154">
        <f>IF($B65=" ","",IFERROR(INDEX(MMWR_RATING_STATE_ROLLUP_QST[],MATCH($B65,MMWR_RATING_STATE_ROLLUP_QST[MMWR_RATING_STATE_ROLLUP_QST],0),MATCH(G$9,MMWR_RATING_STATE_ROLLUP_QST[#Headers],0)),"ERROR"))</f>
        <v>487</v>
      </c>
      <c r="H65" s="155">
        <f>IF($B65=" ","",IFERROR(INDEX(MMWR_RATING_STATE_ROLLUP_QST[],MATCH($B65,MMWR_RATING_STATE_ROLLUP_QST[MMWR_RATING_STATE_ROLLUP_QST],0),MATCH(H$9,MMWR_RATING_STATE_ROLLUP_QST[#Headers],0)),"ERROR"))</f>
        <v>162.95180722890001</v>
      </c>
      <c r="I65" s="155">
        <f>IF($B65=" ","",IFERROR(INDEX(MMWR_RATING_STATE_ROLLUP_QST[],MATCH($B65,MMWR_RATING_STATE_ROLLUP_QST[MMWR_RATING_STATE_ROLLUP_QST],0),MATCH(I$9,MMWR_RATING_STATE_ROLLUP_QST[#Headers],0)),"ERROR"))</f>
        <v>165.8501026694</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21</v>
      </c>
      <c r="D66" s="155">
        <f>IF($B66=" ","",IFERROR(INDEX(MMWR_RATING_STATE_ROLLUP_QST[],MATCH($B66,MMWR_RATING_STATE_ROLLUP_QST[MMWR_RATING_STATE_ROLLUP_QST],0),MATCH(D$9,MMWR_RATING_STATE_ROLLUP_QST[#Headers],0)),"ERROR"))</f>
        <v>89.904761904799997</v>
      </c>
      <c r="E66" s="156">
        <f>IF($B66=" ","",IFERROR(INDEX(MMWR_RATING_STATE_ROLLUP_QST[],MATCH($B66,MMWR_RATING_STATE_ROLLUP_QST[MMWR_RATING_STATE_ROLLUP_QST],0),MATCH(E$9,MMWR_RATING_STATE_ROLLUP_QST[#Headers],0))/$C66,"ERROR"))</f>
        <v>0.2857142857142857</v>
      </c>
      <c r="F66" s="154">
        <f>IF($B66=" ","",IFERROR(INDEX(MMWR_RATING_STATE_ROLLUP_QST[],MATCH($B66,MMWR_RATING_STATE_ROLLUP_QST[MMWR_RATING_STATE_ROLLUP_QST],0),MATCH(F$9,MMWR_RATING_STATE_ROLLUP_QST[#Headers],0)),"ERROR"))</f>
        <v>2</v>
      </c>
      <c r="G66" s="154">
        <f>IF($B66=" ","",IFERROR(INDEX(MMWR_RATING_STATE_ROLLUP_QST[],MATCH($B66,MMWR_RATING_STATE_ROLLUP_QST[MMWR_RATING_STATE_ROLLUP_QST],0),MATCH(G$9,MMWR_RATING_STATE_ROLLUP_QST[#Headers],0)),"ERROR"))</f>
        <v>19</v>
      </c>
      <c r="H66" s="155">
        <f>IF($B66=" ","",IFERROR(INDEX(MMWR_RATING_STATE_ROLLUP_QST[],MATCH($B66,MMWR_RATING_STATE_ROLLUP_QST[MMWR_RATING_STATE_ROLLUP_QST],0),MATCH(H$9,MMWR_RATING_STATE_ROLLUP_QST[#Headers],0)),"ERROR"))</f>
        <v>138</v>
      </c>
      <c r="I66" s="155">
        <f>IF($B66=" ","",IFERROR(INDEX(MMWR_RATING_STATE_ROLLUP_QST[],MATCH($B66,MMWR_RATING_STATE_ROLLUP_QST[MMWR_RATING_STATE_ROLLUP_QST],0),MATCH(I$9,MMWR_RATING_STATE_ROLLUP_QST[#Headers],0)),"ERROR"))</f>
        <v>147.36842105260001</v>
      </c>
      <c r="J66" s="42"/>
      <c r="K66" s="42"/>
      <c r="L66" s="42"/>
      <c r="M66" s="42"/>
      <c r="N66" s="28"/>
    </row>
    <row r="67" spans="1:14" x14ac:dyDescent="0.2">
      <c r="A67" s="25"/>
      <c r="B67" s="341" t="s">
        <v>1042</v>
      </c>
      <c r="C67" s="342"/>
      <c r="D67" s="342"/>
      <c r="E67" s="342"/>
      <c r="F67" s="342"/>
      <c r="G67" s="342"/>
      <c r="H67" s="342"/>
      <c r="I67" s="342"/>
      <c r="J67" s="342"/>
      <c r="K67" s="342"/>
      <c r="L67" s="342"/>
      <c r="M67" s="392"/>
      <c r="N67" s="28"/>
    </row>
    <row r="68" spans="1:14" ht="25.5" x14ac:dyDescent="0.2">
      <c r="A68" s="25"/>
      <c r="B68" s="250" t="s">
        <v>1038</v>
      </c>
      <c r="C68" s="154">
        <f>IF($B68=" ","",IFERROR(INDEX(MMWR_RATING_STATE_ROLLUP_BDD[],MATCH($B68,MMWR_RATING_STATE_ROLLUP_BDD[MMWR_RATING_STATE_ROLLUP_BDD],0),MATCH(C$9,MMWR_RATING_STATE_ROLLUP_BDD[#Headers],0)),"ERROR"))</f>
        <v>10937</v>
      </c>
      <c r="D68" s="155">
        <f>IF($B68=" ","",IFERROR(INDEX(MMWR_RATING_STATE_ROLLUP_BDD[],MATCH($B68,MMWR_RATING_STATE_ROLLUP_BDD[MMWR_RATING_STATE_ROLLUP_BDD],0),MATCH(D$9,MMWR_RATING_STATE_ROLLUP_BDD[#Headers],0)),"ERROR"))</f>
        <v>88.419859193600004</v>
      </c>
      <c r="E68" s="156">
        <f>IF($B68=" ","",IFERROR(INDEX(MMWR_RATING_STATE_ROLLUP_BDD[],MATCH($B68,MMWR_RATING_STATE_ROLLUP_BDD[MMWR_RATING_STATE_ROLLUP_BDD],0),MATCH(E$9,MMWR_RATING_STATE_ROLLUP_BDD[#Headers],0))/$C68,"ERROR"))</f>
        <v>0.25473164487519429</v>
      </c>
      <c r="F68" s="154">
        <f>IF($B68=" ","",IFERROR(INDEX(MMWR_RATING_STATE_ROLLUP_BDD[],MATCH($B68,MMWR_RATING_STATE_ROLLUP_BDD[MMWR_RATING_STATE_ROLLUP_BDD],0),MATCH(F$9,MMWR_RATING_STATE_ROLLUP_BDD[#Headers],0)),"ERROR"))</f>
        <v>1536</v>
      </c>
      <c r="G68" s="154">
        <f>IF($B68=" ","",IFERROR(INDEX(MMWR_RATING_STATE_ROLLUP_BDD[],MATCH($B68,MMWR_RATING_STATE_ROLLUP_BDD[MMWR_RATING_STATE_ROLLUP_BDD],0),MATCH(G$9,MMWR_RATING_STATE_ROLLUP_BDD[#Headers],0)),"ERROR"))</f>
        <v>9629</v>
      </c>
      <c r="H68" s="155">
        <f>IF($B68=" ","",IFERROR(INDEX(MMWR_RATING_STATE_ROLLUP_BDD[],MATCH($B68,MMWR_RATING_STATE_ROLLUP_BDD[MMWR_RATING_STATE_ROLLUP_BDD],0),MATCH(H$9,MMWR_RATING_STATE_ROLLUP_BDD[#Headers],0)),"ERROR"))</f>
        <v>149.1725260417</v>
      </c>
      <c r="I68" s="155">
        <f>IF($B68=" ","",IFERROR(INDEX(MMWR_RATING_STATE_ROLLUP_BDD[],MATCH($B68,MMWR_RATING_STATE_ROLLUP_BDD[MMWR_RATING_STATE_ROLLUP_BDD],0),MATCH(I$9,MMWR_RATING_STATE_ROLLUP_BDD[#Headers],0)),"ERROR"))</f>
        <v>139.3936026586</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3181</v>
      </c>
      <c r="D69" s="155">
        <f>IF($B69=" ","",IFERROR(INDEX(MMWR_RATING_STATE_ROLLUP_BDD[],MATCH($B69,MMWR_RATING_STATE_ROLLUP_BDD[MMWR_RATING_STATE_ROLLUP_BDD],0),MATCH(D$9,MMWR_RATING_STATE_ROLLUP_BDD[#Headers],0)),"ERROR"))</f>
        <v>92.798491040599998</v>
      </c>
      <c r="E69" s="156">
        <f>IF($B69=" ","",IFERROR(INDEX(MMWR_RATING_STATE_ROLLUP_BDD[],MATCH($B69,MMWR_RATING_STATE_ROLLUP_BDD[MMWR_RATING_STATE_ROLLUP_BDD],0),MATCH(E$9,MMWR_RATING_STATE_ROLLUP_BDD[#Headers],0))/$C69,"ERROR"))</f>
        <v>0.29550455831499528</v>
      </c>
      <c r="F69" s="154">
        <f>IF($B69=" ","",IFERROR(INDEX(MMWR_RATING_STATE_ROLLUP_BDD[],MATCH($B69,MMWR_RATING_STATE_ROLLUP_BDD[MMWR_RATING_STATE_ROLLUP_BDD],0),MATCH(F$9,MMWR_RATING_STATE_ROLLUP_BDD[#Headers],0)),"ERROR"))</f>
        <v>431</v>
      </c>
      <c r="G69" s="154">
        <f>IF($B69=" ","",IFERROR(INDEX(MMWR_RATING_STATE_ROLLUP_BDD[],MATCH($B69,MMWR_RATING_STATE_ROLLUP_BDD[MMWR_RATING_STATE_ROLLUP_BDD],0),MATCH(G$9,MMWR_RATING_STATE_ROLLUP_BDD[#Headers],0)),"ERROR"))</f>
        <v>2558</v>
      </c>
      <c r="H69" s="155">
        <f>IF($B69=" ","",IFERROR(INDEX(MMWR_RATING_STATE_ROLLUP_BDD[],MATCH($B69,MMWR_RATING_STATE_ROLLUP_BDD[MMWR_RATING_STATE_ROLLUP_BDD],0),MATCH(H$9,MMWR_RATING_STATE_ROLLUP_BDD[#Headers],0)),"ERROR"))</f>
        <v>154.656612529</v>
      </c>
      <c r="I69" s="155">
        <f>IF($B69=" ","",IFERROR(INDEX(MMWR_RATING_STATE_ROLLUP_BDD[],MATCH($B69,MMWR_RATING_STATE_ROLLUP_BDD[MMWR_RATING_STATE_ROLLUP_BDD],0),MATCH(I$9,MMWR_RATING_STATE_ROLLUP_BDD[#Headers],0)),"ERROR"))</f>
        <v>148.19663799840001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52</v>
      </c>
      <c r="D70" s="155">
        <f>IF($B70=" ","",IFERROR(INDEX(MMWR_RATING_STATE_ROLLUP_BDD[],MATCH($B70,MMWR_RATING_STATE_ROLLUP_BDD[MMWR_RATING_STATE_ROLLUP_BDD],0),MATCH(D$9,MMWR_RATING_STATE_ROLLUP_BDD[#Headers],0)),"ERROR"))</f>
        <v>99.711538461499998</v>
      </c>
      <c r="E70" s="156">
        <f>IF($B70=" ","",IFERROR(INDEX(MMWR_RATING_STATE_ROLLUP_BDD[],MATCH($B70,MMWR_RATING_STATE_ROLLUP_BDD[MMWR_RATING_STATE_ROLLUP_BDD],0),MATCH(E$9,MMWR_RATING_STATE_ROLLUP_BDD[#Headers],0))/$C70,"ERROR"))</f>
        <v>0.34615384615384615</v>
      </c>
      <c r="F70" s="154">
        <f>IF($B70=" ","",IFERROR(INDEX(MMWR_RATING_STATE_ROLLUP_BDD[],MATCH($B70,MMWR_RATING_STATE_ROLLUP_BDD[MMWR_RATING_STATE_ROLLUP_BDD],0),MATCH(F$9,MMWR_RATING_STATE_ROLLUP_BDD[#Headers],0)),"ERROR"))</f>
        <v>11</v>
      </c>
      <c r="G70" s="154">
        <f>IF($B70=" ","",IFERROR(INDEX(MMWR_RATING_STATE_ROLLUP_BDD[],MATCH($B70,MMWR_RATING_STATE_ROLLUP_BDD[MMWR_RATING_STATE_ROLLUP_BDD],0),MATCH(G$9,MMWR_RATING_STATE_ROLLUP_BDD[#Headers],0)),"ERROR"))</f>
        <v>57</v>
      </c>
      <c r="H70" s="155">
        <f>IF($B70=" ","",IFERROR(INDEX(MMWR_RATING_STATE_ROLLUP_BDD[],MATCH($B70,MMWR_RATING_STATE_ROLLUP_BDD[MMWR_RATING_STATE_ROLLUP_BDD],0),MATCH(H$9,MMWR_RATING_STATE_ROLLUP_BDD[#Headers],0)),"ERROR"))</f>
        <v>146.63636363640001</v>
      </c>
      <c r="I70" s="155">
        <f>IF($B70=" ","",IFERROR(INDEX(MMWR_RATING_STATE_ROLLUP_BDD[],MATCH($B70,MMWR_RATING_STATE_ROLLUP_BDD[MMWR_RATING_STATE_ROLLUP_BDD],0),MATCH(I$9,MMWR_RATING_STATE_ROLLUP_BDD[#Headers],0)),"ERROR"))</f>
        <v>146.49122807020001</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29</v>
      </c>
      <c r="D71" s="155">
        <f>IF($B71=" ","",IFERROR(INDEX(MMWR_RATING_STATE_ROLLUP_BDD[],MATCH($B71,MMWR_RATING_STATE_ROLLUP_BDD[MMWR_RATING_STATE_ROLLUP_BDD],0),MATCH(D$9,MMWR_RATING_STATE_ROLLUP_BDD[#Headers],0)),"ERROR"))</f>
        <v>103.82758620689999</v>
      </c>
      <c r="E71" s="156">
        <f>IF($B71=" ","",IFERROR(INDEX(MMWR_RATING_STATE_ROLLUP_BDD[],MATCH($B71,MMWR_RATING_STATE_ROLLUP_BDD[MMWR_RATING_STATE_ROLLUP_BDD],0),MATCH(E$9,MMWR_RATING_STATE_ROLLUP_BDD[#Headers],0))/$C71,"ERROR"))</f>
        <v>0.48275862068965519</v>
      </c>
      <c r="F71" s="154">
        <f>IF($B71=" ","",IFERROR(INDEX(MMWR_RATING_STATE_ROLLUP_BDD[],MATCH($B71,MMWR_RATING_STATE_ROLLUP_BDD[MMWR_RATING_STATE_ROLLUP_BDD],0),MATCH(F$9,MMWR_RATING_STATE_ROLLUP_BDD[#Headers],0)),"ERROR"))</f>
        <v>4</v>
      </c>
      <c r="G71" s="154">
        <f>IF($B71=" ","",IFERROR(INDEX(MMWR_RATING_STATE_ROLLUP_BDD[],MATCH($B71,MMWR_RATING_STATE_ROLLUP_BDD[MMWR_RATING_STATE_ROLLUP_BDD],0),MATCH(G$9,MMWR_RATING_STATE_ROLLUP_BDD[#Headers],0)),"ERROR"))</f>
        <v>18</v>
      </c>
      <c r="H71" s="155">
        <f>IF($B71=" ","",IFERROR(INDEX(MMWR_RATING_STATE_ROLLUP_BDD[],MATCH($B71,MMWR_RATING_STATE_ROLLUP_BDD[MMWR_RATING_STATE_ROLLUP_BDD],0),MATCH(H$9,MMWR_RATING_STATE_ROLLUP_BDD[#Headers],0)),"ERROR"))</f>
        <v>164.25</v>
      </c>
      <c r="I71" s="155">
        <f>IF($B71=" ","",IFERROR(INDEX(MMWR_RATING_STATE_ROLLUP_BDD[],MATCH($B71,MMWR_RATING_STATE_ROLLUP_BDD[MMWR_RATING_STATE_ROLLUP_BDD],0),MATCH(I$9,MMWR_RATING_STATE_ROLLUP_BDD[#Headers],0)),"ERROR"))</f>
        <v>157.1666666667</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25</v>
      </c>
      <c r="D72" s="155">
        <f>IF($B72=" ","",IFERROR(INDEX(MMWR_RATING_STATE_ROLLUP_BDD[],MATCH($B72,MMWR_RATING_STATE_ROLLUP_BDD[MMWR_RATING_STATE_ROLLUP_BDD],0),MATCH(D$9,MMWR_RATING_STATE_ROLLUP_BDD[#Headers],0)),"ERROR"))</f>
        <v>83.84</v>
      </c>
      <c r="E72" s="156">
        <f>IF($B72=" ","",IFERROR(INDEX(MMWR_RATING_STATE_ROLLUP_BDD[],MATCH($B72,MMWR_RATING_STATE_ROLLUP_BDD[MMWR_RATING_STATE_ROLLUP_BDD],0),MATCH(E$9,MMWR_RATING_STATE_ROLLUP_BDD[#Headers],0))/$C72,"ERROR"))</f>
        <v>0.2</v>
      </c>
      <c r="F72" s="154">
        <f>IF($B72=" ","",IFERROR(INDEX(MMWR_RATING_STATE_ROLLUP_BDD[],MATCH($B72,MMWR_RATING_STATE_ROLLUP_BDD[MMWR_RATING_STATE_ROLLUP_BDD],0),MATCH(F$9,MMWR_RATING_STATE_ROLLUP_BDD[#Headers],0)),"ERROR"))</f>
        <v>3</v>
      </c>
      <c r="G72" s="154">
        <f>IF($B72=" ","",IFERROR(INDEX(MMWR_RATING_STATE_ROLLUP_BDD[],MATCH($B72,MMWR_RATING_STATE_ROLLUP_BDD[MMWR_RATING_STATE_ROLLUP_BDD],0),MATCH(G$9,MMWR_RATING_STATE_ROLLUP_BDD[#Headers],0)),"ERROR"))</f>
        <v>22</v>
      </c>
      <c r="H72" s="155">
        <f>IF($B72=" ","",IFERROR(INDEX(MMWR_RATING_STATE_ROLLUP_BDD[],MATCH($B72,MMWR_RATING_STATE_ROLLUP_BDD[MMWR_RATING_STATE_ROLLUP_BDD],0),MATCH(H$9,MMWR_RATING_STATE_ROLLUP_BDD[#Headers],0)),"ERROR"))</f>
        <v>176</v>
      </c>
      <c r="I72" s="155">
        <f>IF($B72=" ","",IFERROR(INDEX(MMWR_RATING_STATE_ROLLUP_BDD[],MATCH($B72,MMWR_RATING_STATE_ROLLUP_BDD[MMWR_RATING_STATE_ROLLUP_BDD],0),MATCH(I$9,MMWR_RATING_STATE_ROLLUP_BDD[#Headers],0)),"ERROR"))</f>
        <v>149.2272727273</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12</v>
      </c>
      <c r="D73" s="155">
        <f>IF($B73=" ","",IFERROR(INDEX(MMWR_RATING_STATE_ROLLUP_BDD[],MATCH($B73,MMWR_RATING_STATE_ROLLUP_BDD[MMWR_RATING_STATE_ROLLUP_BDD],0),MATCH(D$9,MMWR_RATING_STATE_ROLLUP_BDD[#Headers],0)),"ERROR"))</f>
        <v>90.416666666699996</v>
      </c>
      <c r="E73" s="156">
        <f>IF($B73=" ","",IFERROR(INDEX(MMWR_RATING_STATE_ROLLUP_BDD[],MATCH($B73,MMWR_RATING_STATE_ROLLUP_BDD[MMWR_RATING_STATE_ROLLUP_BDD],0),MATCH(E$9,MMWR_RATING_STATE_ROLLUP_BDD[#Headers],0))/$C73,"ERROR"))</f>
        <v>8.3333333333333329E-2</v>
      </c>
      <c r="F73" s="154">
        <f>IF($B73=" ","",IFERROR(INDEX(MMWR_RATING_STATE_ROLLUP_BDD[],MATCH($B73,MMWR_RATING_STATE_ROLLUP_BDD[MMWR_RATING_STATE_ROLLUP_BDD],0),MATCH(F$9,MMWR_RATING_STATE_ROLLUP_BDD[#Headers],0)),"ERROR"))</f>
        <v>6</v>
      </c>
      <c r="G73" s="154">
        <f>IF($B73=" ","",IFERROR(INDEX(MMWR_RATING_STATE_ROLLUP_BDD[],MATCH($B73,MMWR_RATING_STATE_ROLLUP_BDD[MMWR_RATING_STATE_ROLLUP_BDD],0),MATCH(G$9,MMWR_RATING_STATE_ROLLUP_BDD[#Headers],0)),"ERROR"))</f>
        <v>23</v>
      </c>
      <c r="H73" s="155">
        <f>IF($B73=" ","",IFERROR(INDEX(MMWR_RATING_STATE_ROLLUP_BDD[],MATCH($B73,MMWR_RATING_STATE_ROLLUP_BDD[MMWR_RATING_STATE_ROLLUP_BDD],0),MATCH(H$9,MMWR_RATING_STATE_ROLLUP_BDD[#Headers],0)),"ERROR"))</f>
        <v>167.8333333333</v>
      </c>
      <c r="I73" s="155">
        <f>IF($B73=" ","",IFERROR(INDEX(MMWR_RATING_STATE_ROLLUP_BDD[],MATCH($B73,MMWR_RATING_STATE_ROLLUP_BDD[MMWR_RATING_STATE_ROLLUP_BDD],0),MATCH(I$9,MMWR_RATING_STATE_ROLLUP_BDD[#Headers],0)),"ERROR"))</f>
        <v>164.5652173913</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350</v>
      </c>
      <c r="D74" s="155">
        <f>IF($B74=" ","",IFERROR(INDEX(MMWR_RATING_STATE_ROLLUP_BDD[],MATCH($B74,MMWR_RATING_STATE_ROLLUP_BDD[MMWR_RATING_STATE_ROLLUP_BDD],0),MATCH(D$9,MMWR_RATING_STATE_ROLLUP_BDD[#Headers],0)),"ERROR"))</f>
        <v>89.882857142899994</v>
      </c>
      <c r="E74" s="156">
        <f>IF($B74=" ","",IFERROR(INDEX(MMWR_RATING_STATE_ROLLUP_BDD[],MATCH($B74,MMWR_RATING_STATE_ROLLUP_BDD[MMWR_RATING_STATE_ROLLUP_BDD],0),MATCH(E$9,MMWR_RATING_STATE_ROLLUP_BDD[#Headers],0))/$C74,"ERROR"))</f>
        <v>0.26285714285714284</v>
      </c>
      <c r="F74" s="154">
        <f>IF($B74=" ","",IFERROR(INDEX(MMWR_RATING_STATE_ROLLUP_BDD[],MATCH($B74,MMWR_RATING_STATE_ROLLUP_BDD[MMWR_RATING_STATE_ROLLUP_BDD],0),MATCH(F$9,MMWR_RATING_STATE_ROLLUP_BDD[#Headers],0)),"ERROR"))</f>
        <v>55</v>
      </c>
      <c r="G74" s="154">
        <f>IF($B74=" ","",IFERROR(INDEX(MMWR_RATING_STATE_ROLLUP_BDD[],MATCH($B74,MMWR_RATING_STATE_ROLLUP_BDD[MMWR_RATING_STATE_ROLLUP_BDD],0),MATCH(G$9,MMWR_RATING_STATE_ROLLUP_BDD[#Headers],0)),"ERROR"))</f>
        <v>267</v>
      </c>
      <c r="H74" s="155">
        <f>IF($B74=" ","",IFERROR(INDEX(MMWR_RATING_STATE_ROLLUP_BDD[],MATCH($B74,MMWR_RATING_STATE_ROLLUP_BDD[MMWR_RATING_STATE_ROLLUP_BDD],0),MATCH(H$9,MMWR_RATING_STATE_ROLLUP_BDD[#Headers],0)),"ERROR"))</f>
        <v>151.54545454550001</v>
      </c>
      <c r="I74" s="155">
        <f>IF($B74=" ","",IFERROR(INDEX(MMWR_RATING_STATE_ROLLUP_BDD[],MATCH($B74,MMWR_RATING_STATE_ROLLUP_BDD[MMWR_RATING_STATE_ROLLUP_BDD],0),MATCH(I$9,MMWR_RATING_STATE_ROLLUP_BDD[#Headers],0)),"ERROR"))</f>
        <v>152.2209737828</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41</v>
      </c>
      <c r="D75" s="155">
        <f>IF($B75=" ","",IFERROR(INDEX(MMWR_RATING_STATE_ROLLUP_BDD[],MATCH($B75,MMWR_RATING_STATE_ROLLUP_BDD[MMWR_RATING_STATE_ROLLUP_BDD],0),MATCH(D$9,MMWR_RATING_STATE_ROLLUP_BDD[#Headers],0)),"ERROR"))</f>
        <v>85.439024390200004</v>
      </c>
      <c r="E75" s="156">
        <f>IF($B75=" ","",IFERROR(INDEX(MMWR_RATING_STATE_ROLLUP_BDD[],MATCH($B75,MMWR_RATING_STATE_ROLLUP_BDD[MMWR_RATING_STATE_ROLLUP_BDD],0),MATCH(E$9,MMWR_RATING_STATE_ROLLUP_BDD[#Headers],0))/$C75,"ERROR"))</f>
        <v>0.26829268292682928</v>
      </c>
      <c r="F75" s="154">
        <f>IF($B75=" ","",IFERROR(INDEX(MMWR_RATING_STATE_ROLLUP_BDD[],MATCH($B75,MMWR_RATING_STATE_ROLLUP_BDD[MMWR_RATING_STATE_ROLLUP_BDD],0),MATCH(F$9,MMWR_RATING_STATE_ROLLUP_BDD[#Headers],0)),"ERROR"))</f>
        <v>9</v>
      </c>
      <c r="G75" s="154">
        <f>IF($B75=" ","",IFERROR(INDEX(MMWR_RATING_STATE_ROLLUP_BDD[],MATCH($B75,MMWR_RATING_STATE_ROLLUP_BDD[MMWR_RATING_STATE_ROLLUP_BDD],0),MATCH(G$9,MMWR_RATING_STATE_ROLLUP_BDD[#Headers],0)),"ERROR"))</f>
        <v>53</v>
      </c>
      <c r="H75" s="155">
        <f>IF($B75=" ","",IFERROR(INDEX(MMWR_RATING_STATE_ROLLUP_BDD[],MATCH($B75,MMWR_RATING_STATE_ROLLUP_BDD[MMWR_RATING_STATE_ROLLUP_BDD],0),MATCH(H$9,MMWR_RATING_STATE_ROLLUP_BDD[#Headers],0)),"ERROR"))</f>
        <v>158.44444444440001</v>
      </c>
      <c r="I75" s="155">
        <f>IF($B75=" ","",IFERROR(INDEX(MMWR_RATING_STATE_ROLLUP_BDD[],MATCH($B75,MMWR_RATING_STATE_ROLLUP_BDD[MMWR_RATING_STATE_ROLLUP_BDD],0),MATCH(I$9,MMWR_RATING_STATE_ROLLUP_BDD[#Headers],0)),"ERROR"))</f>
        <v>130.45283018870001</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19</v>
      </c>
      <c r="D76" s="155">
        <f>IF($B76=" ","",IFERROR(INDEX(MMWR_RATING_STATE_ROLLUP_BDD[],MATCH($B76,MMWR_RATING_STATE_ROLLUP_BDD[MMWR_RATING_STATE_ROLLUP_BDD],0),MATCH(D$9,MMWR_RATING_STATE_ROLLUP_BDD[#Headers],0)),"ERROR"))</f>
        <v>123.94736842109999</v>
      </c>
      <c r="E76" s="156">
        <f>IF($B76=" ","",IFERROR(INDEX(MMWR_RATING_STATE_ROLLUP_BDD[],MATCH($B76,MMWR_RATING_STATE_ROLLUP_BDD[MMWR_RATING_STATE_ROLLUP_BDD],0),MATCH(E$9,MMWR_RATING_STATE_ROLLUP_BDD[#Headers],0))/$C76,"ERROR"))</f>
        <v>0.42105263157894735</v>
      </c>
      <c r="F76" s="154">
        <f>IF($B76=" ","",IFERROR(INDEX(MMWR_RATING_STATE_ROLLUP_BDD[],MATCH($B76,MMWR_RATING_STATE_ROLLUP_BDD[MMWR_RATING_STATE_ROLLUP_BDD],0),MATCH(F$9,MMWR_RATING_STATE_ROLLUP_BDD[#Headers],0)),"ERROR"))</f>
        <v>3</v>
      </c>
      <c r="G76" s="154">
        <f>IF($B76=" ","",IFERROR(INDEX(MMWR_RATING_STATE_ROLLUP_BDD[],MATCH($B76,MMWR_RATING_STATE_ROLLUP_BDD[MMWR_RATING_STATE_ROLLUP_BDD],0),MATCH(G$9,MMWR_RATING_STATE_ROLLUP_BDD[#Headers],0)),"ERROR"))</f>
        <v>22</v>
      </c>
      <c r="H76" s="155">
        <f>IF($B76=" ","",IFERROR(INDEX(MMWR_RATING_STATE_ROLLUP_BDD[],MATCH($B76,MMWR_RATING_STATE_ROLLUP_BDD[MMWR_RATING_STATE_ROLLUP_BDD],0),MATCH(H$9,MMWR_RATING_STATE_ROLLUP_BDD[#Headers],0)),"ERROR"))</f>
        <v>125.3333333333</v>
      </c>
      <c r="I76" s="155">
        <f>IF($B76=" ","",IFERROR(INDEX(MMWR_RATING_STATE_ROLLUP_BDD[],MATCH($B76,MMWR_RATING_STATE_ROLLUP_BDD[MMWR_RATING_STATE_ROLLUP_BDD],0),MATCH(I$9,MMWR_RATING_STATE_ROLLUP_BDD[#Headers],0)),"ERROR"))</f>
        <v>132.0909090909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75</v>
      </c>
      <c r="D77" s="155">
        <f>IF($B77=" ","",IFERROR(INDEX(MMWR_RATING_STATE_ROLLUP_BDD[],MATCH($B77,MMWR_RATING_STATE_ROLLUP_BDD[MMWR_RATING_STATE_ROLLUP_BDD],0),MATCH(D$9,MMWR_RATING_STATE_ROLLUP_BDD[#Headers],0)),"ERROR"))</f>
        <v>90.186666666700006</v>
      </c>
      <c r="E77" s="156">
        <f>IF($B77=" ","",IFERROR(INDEX(MMWR_RATING_STATE_ROLLUP_BDD[],MATCH($B77,MMWR_RATING_STATE_ROLLUP_BDD[MMWR_RATING_STATE_ROLLUP_BDD],0),MATCH(E$9,MMWR_RATING_STATE_ROLLUP_BDD[#Headers],0))/$C77,"ERROR"))</f>
        <v>0.30666666666666664</v>
      </c>
      <c r="F77" s="154">
        <f>IF($B77=" ","",IFERROR(INDEX(MMWR_RATING_STATE_ROLLUP_BDD[],MATCH($B77,MMWR_RATING_STATE_ROLLUP_BDD[MMWR_RATING_STATE_ROLLUP_BDD],0),MATCH(F$9,MMWR_RATING_STATE_ROLLUP_BDD[#Headers],0)),"ERROR"))</f>
        <v>13</v>
      </c>
      <c r="G77" s="154">
        <f>IF($B77=" ","",IFERROR(INDEX(MMWR_RATING_STATE_ROLLUP_BDD[],MATCH($B77,MMWR_RATING_STATE_ROLLUP_BDD[MMWR_RATING_STATE_ROLLUP_BDD],0),MATCH(G$9,MMWR_RATING_STATE_ROLLUP_BDD[#Headers],0)),"ERROR"))</f>
        <v>87</v>
      </c>
      <c r="H77" s="155">
        <f>IF($B77=" ","",IFERROR(INDEX(MMWR_RATING_STATE_ROLLUP_BDD[],MATCH($B77,MMWR_RATING_STATE_ROLLUP_BDD[MMWR_RATING_STATE_ROLLUP_BDD],0),MATCH(H$9,MMWR_RATING_STATE_ROLLUP_BDD[#Headers],0)),"ERROR"))</f>
        <v>144.92307692310001</v>
      </c>
      <c r="I77" s="155">
        <f>IF($B77=" ","",IFERROR(INDEX(MMWR_RATING_STATE_ROLLUP_BDD[],MATCH($B77,MMWR_RATING_STATE_ROLLUP_BDD[MMWR_RATING_STATE_ROLLUP_BDD],0),MATCH(I$9,MMWR_RATING_STATE_ROLLUP_BDD[#Headers],0)),"ERROR"))</f>
        <v>139.17241379309999</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153</v>
      </c>
      <c r="D78" s="155">
        <f>IF($B78=" ","",IFERROR(INDEX(MMWR_RATING_STATE_ROLLUP_BDD[],MATCH($B78,MMWR_RATING_STATE_ROLLUP_BDD[MMWR_RATING_STATE_ROLLUP_BDD],0),MATCH(D$9,MMWR_RATING_STATE_ROLLUP_BDD[#Headers],0)),"ERROR"))</f>
        <v>92.660130718999994</v>
      </c>
      <c r="E78" s="156">
        <f>IF($B78=" ","",IFERROR(INDEX(MMWR_RATING_STATE_ROLLUP_BDD[],MATCH($B78,MMWR_RATING_STATE_ROLLUP_BDD[MMWR_RATING_STATE_ROLLUP_BDD],0),MATCH(E$9,MMWR_RATING_STATE_ROLLUP_BDD[#Headers],0))/$C78,"ERROR"))</f>
        <v>0.24836601307189543</v>
      </c>
      <c r="F78" s="154">
        <f>IF($B78=" ","",IFERROR(INDEX(MMWR_RATING_STATE_ROLLUP_BDD[],MATCH($B78,MMWR_RATING_STATE_ROLLUP_BDD[MMWR_RATING_STATE_ROLLUP_BDD],0),MATCH(F$9,MMWR_RATING_STATE_ROLLUP_BDD[#Headers],0)),"ERROR"))</f>
        <v>30</v>
      </c>
      <c r="G78" s="154">
        <f>IF($B78=" ","",IFERROR(INDEX(MMWR_RATING_STATE_ROLLUP_BDD[],MATCH($B78,MMWR_RATING_STATE_ROLLUP_BDD[MMWR_RATING_STATE_ROLLUP_BDD],0),MATCH(G$9,MMWR_RATING_STATE_ROLLUP_BDD[#Headers],0)),"ERROR"))</f>
        <v>154</v>
      </c>
      <c r="H78" s="155">
        <f>IF($B78=" ","",IFERROR(INDEX(MMWR_RATING_STATE_ROLLUP_BDD[],MATCH($B78,MMWR_RATING_STATE_ROLLUP_BDD[MMWR_RATING_STATE_ROLLUP_BDD],0),MATCH(H$9,MMWR_RATING_STATE_ROLLUP_BDD[#Headers],0)),"ERROR"))</f>
        <v>126.8</v>
      </c>
      <c r="I78" s="155">
        <f>IF($B78=" ","",IFERROR(INDEX(MMWR_RATING_STATE_ROLLUP_BDD[],MATCH($B78,MMWR_RATING_STATE_ROLLUP_BDD[MMWR_RATING_STATE_ROLLUP_BDD],0),MATCH(I$9,MMWR_RATING_STATE_ROLLUP_BDD[#Headers],0)),"ERROR"))</f>
        <v>141.7922077922</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1130</v>
      </c>
      <c r="D79" s="155">
        <f>IF($B79=" ","",IFERROR(INDEX(MMWR_RATING_STATE_ROLLUP_BDD[],MATCH($B79,MMWR_RATING_STATE_ROLLUP_BDD[MMWR_RATING_STATE_ROLLUP_BDD],0),MATCH(D$9,MMWR_RATING_STATE_ROLLUP_BDD[#Headers],0)),"ERROR"))</f>
        <v>87.611504424800003</v>
      </c>
      <c r="E79" s="156">
        <f>IF($B79=" ","",IFERROR(INDEX(MMWR_RATING_STATE_ROLLUP_BDD[],MATCH($B79,MMWR_RATING_STATE_ROLLUP_BDD[MMWR_RATING_STATE_ROLLUP_BDD],0),MATCH(E$9,MMWR_RATING_STATE_ROLLUP_BDD[#Headers],0))/$C79,"ERROR"))</f>
        <v>0.26194690265486725</v>
      </c>
      <c r="F79" s="154">
        <f>IF($B79=" ","",IFERROR(INDEX(MMWR_RATING_STATE_ROLLUP_BDD[],MATCH($B79,MMWR_RATING_STATE_ROLLUP_BDD[MMWR_RATING_STATE_ROLLUP_BDD],0),MATCH(F$9,MMWR_RATING_STATE_ROLLUP_BDD[#Headers],0)),"ERROR"))</f>
        <v>135</v>
      </c>
      <c r="G79" s="154">
        <f>IF($B79=" ","",IFERROR(INDEX(MMWR_RATING_STATE_ROLLUP_BDD[],MATCH($B79,MMWR_RATING_STATE_ROLLUP_BDD[MMWR_RATING_STATE_ROLLUP_BDD],0),MATCH(G$9,MMWR_RATING_STATE_ROLLUP_BDD[#Headers],0)),"ERROR"))</f>
        <v>819</v>
      </c>
      <c r="H79" s="155">
        <f>IF($B79=" ","",IFERROR(INDEX(MMWR_RATING_STATE_ROLLUP_BDD[],MATCH($B79,MMWR_RATING_STATE_ROLLUP_BDD[MMWR_RATING_STATE_ROLLUP_BDD],0),MATCH(H$9,MMWR_RATING_STATE_ROLLUP_BDD[#Headers],0)),"ERROR"))</f>
        <v>153.32592592590001</v>
      </c>
      <c r="I79" s="155">
        <f>IF($B79=" ","",IFERROR(INDEX(MMWR_RATING_STATE_ROLLUP_BDD[],MATCH($B79,MMWR_RATING_STATE_ROLLUP_BDD[MMWR_RATING_STATE_ROLLUP_BDD],0),MATCH(I$9,MMWR_RATING_STATE_ROLLUP_BDD[#Headers],0)),"ERROR"))</f>
        <v>146.82417582420001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129</v>
      </c>
      <c r="D80" s="155">
        <f>IF($B80=" ","",IFERROR(INDEX(MMWR_RATING_STATE_ROLLUP_BDD[],MATCH($B80,MMWR_RATING_STATE_ROLLUP_BDD[MMWR_RATING_STATE_ROLLUP_BDD],0),MATCH(D$9,MMWR_RATING_STATE_ROLLUP_BDD[#Headers],0)),"ERROR"))</f>
        <v>83.372093023299996</v>
      </c>
      <c r="E80" s="156">
        <f>IF($B80=" ","",IFERROR(INDEX(MMWR_RATING_STATE_ROLLUP_BDD[],MATCH($B80,MMWR_RATING_STATE_ROLLUP_BDD[MMWR_RATING_STATE_ROLLUP_BDD],0),MATCH(E$9,MMWR_RATING_STATE_ROLLUP_BDD[#Headers],0))/$C80,"ERROR"))</f>
        <v>0.23255813953488372</v>
      </c>
      <c r="F80" s="154">
        <f>IF($B80=" ","",IFERROR(INDEX(MMWR_RATING_STATE_ROLLUP_BDD[],MATCH($B80,MMWR_RATING_STATE_ROLLUP_BDD[MMWR_RATING_STATE_ROLLUP_BDD],0),MATCH(F$9,MMWR_RATING_STATE_ROLLUP_BDD[#Headers],0)),"ERROR"))</f>
        <v>17</v>
      </c>
      <c r="G80" s="154">
        <f>IF($B80=" ","",IFERROR(INDEX(MMWR_RATING_STATE_ROLLUP_BDD[],MATCH($B80,MMWR_RATING_STATE_ROLLUP_BDD[MMWR_RATING_STATE_ROLLUP_BDD],0),MATCH(G$9,MMWR_RATING_STATE_ROLLUP_BDD[#Headers],0)),"ERROR"))</f>
        <v>161</v>
      </c>
      <c r="H80" s="155">
        <f>IF($B80=" ","",IFERROR(INDEX(MMWR_RATING_STATE_ROLLUP_BDD[],MATCH($B80,MMWR_RATING_STATE_ROLLUP_BDD[MMWR_RATING_STATE_ROLLUP_BDD],0),MATCH(H$9,MMWR_RATING_STATE_ROLLUP_BDD[#Headers],0)),"ERROR"))</f>
        <v>157.23529411760001</v>
      </c>
      <c r="I80" s="155">
        <f>IF($B80=" ","",IFERROR(INDEX(MMWR_RATING_STATE_ROLLUP_BDD[],MATCH($B80,MMWR_RATING_STATE_ROLLUP_BDD[MMWR_RATING_STATE_ROLLUP_BDD],0),MATCH(I$9,MMWR_RATING_STATE_ROLLUP_BDD[#Headers],0)),"ERROR"))</f>
        <v>133.5590062112</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7</v>
      </c>
      <c r="D81" s="155">
        <f>IF($B81=" ","",IFERROR(INDEX(MMWR_RATING_STATE_ROLLUP_BDD[],MATCH($B81,MMWR_RATING_STATE_ROLLUP_BDD[MMWR_RATING_STATE_ROLLUP_BDD],0),MATCH(D$9,MMWR_RATING_STATE_ROLLUP_BDD[#Headers],0)),"ERROR"))</f>
        <v>112.7142857143</v>
      </c>
      <c r="E81" s="156">
        <f>IF($B81=" ","",IFERROR(INDEX(MMWR_RATING_STATE_ROLLUP_BDD[],MATCH($B81,MMWR_RATING_STATE_ROLLUP_BDD[MMWR_RATING_STATE_ROLLUP_BDD],0),MATCH(E$9,MMWR_RATING_STATE_ROLLUP_BDD[#Headers],0))/$C81,"ERROR"))</f>
        <v>0.5714285714285714</v>
      </c>
      <c r="F81" s="154">
        <f>IF($B81=" ","",IFERROR(INDEX(MMWR_RATING_STATE_ROLLUP_BDD[],MATCH($B81,MMWR_RATING_STATE_ROLLUP_BDD[MMWR_RATING_STATE_ROLLUP_BDD],0),MATCH(F$9,MMWR_RATING_STATE_ROLLUP_BDD[#Headers],0)),"ERROR"))</f>
        <v>2</v>
      </c>
      <c r="G81" s="154">
        <f>IF($B81=" ","",IFERROR(INDEX(MMWR_RATING_STATE_ROLLUP_BDD[],MATCH($B81,MMWR_RATING_STATE_ROLLUP_BDD[MMWR_RATING_STATE_ROLLUP_BDD],0),MATCH(G$9,MMWR_RATING_STATE_ROLLUP_BDD[#Headers],0)),"ERROR"))</f>
        <v>12</v>
      </c>
      <c r="H81" s="155">
        <f>IF($B81=" ","",IFERROR(INDEX(MMWR_RATING_STATE_ROLLUP_BDD[],MATCH($B81,MMWR_RATING_STATE_ROLLUP_BDD[MMWR_RATING_STATE_ROLLUP_BDD],0),MATCH(H$9,MMWR_RATING_STATE_ROLLUP_BDD[#Headers],0)),"ERROR"))</f>
        <v>118</v>
      </c>
      <c r="I81" s="155">
        <f>IF($B81=" ","",IFERROR(INDEX(MMWR_RATING_STATE_ROLLUP_BDD[],MATCH($B81,MMWR_RATING_STATE_ROLLUP_BDD[MMWR_RATING_STATE_ROLLUP_BDD],0),MATCH(I$9,MMWR_RATING_STATE_ROLLUP_BDD[#Headers],0)),"ERROR"))</f>
        <v>123</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81</v>
      </c>
      <c r="E82" s="156">
        <f>IF($B82=" ","",IFERROR(INDEX(MMWR_RATING_STATE_ROLLUP_BDD[],MATCH($B82,MMWR_RATING_STATE_ROLLUP_BDD[MMWR_RATING_STATE_ROLLUP_BDD],0),MATCH(E$9,MMWR_RATING_STATE_ROLLUP_BDD[#Headers],0))/$C82,"ERROR"))</f>
        <v>0</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6</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106</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1129</v>
      </c>
      <c r="D83" s="155">
        <f>IF($B83=" ","",IFERROR(INDEX(MMWR_RATING_STATE_ROLLUP_BDD[],MATCH($B83,MMWR_RATING_STATE_ROLLUP_BDD[MMWR_RATING_STATE_ROLLUP_BDD],0),MATCH(D$9,MMWR_RATING_STATE_ROLLUP_BDD[#Headers],0)),"ERROR"))</f>
        <v>99.269264836100007</v>
      </c>
      <c r="E83" s="156">
        <f>IF($B83=" ","",IFERROR(INDEX(MMWR_RATING_STATE_ROLLUP_BDD[],MATCH($B83,MMWR_RATING_STATE_ROLLUP_BDD[MMWR_RATING_STATE_ROLLUP_BDD],0),MATCH(E$9,MMWR_RATING_STATE_ROLLUP_BDD[#Headers],0))/$C83,"ERROR"))</f>
        <v>0.34720992028343667</v>
      </c>
      <c r="F83" s="154">
        <f>IF($B83=" ","",IFERROR(INDEX(MMWR_RATING_STATE_ROLLUP_BDD[],MATCH($B83,MMWR_RATING_STATE_ROLLUP_BDD[MMWR_RATING_STATE_ROLLUP_BDD],0),MATCH(F$9,MMWR_RATING_STATE_ROLLUP_BDD[#Headers],0)),"ERROR"))</f>
        <v>136</v>
      </c>
      <c r="G83" s="154">
        <f>IF($B83=" ","",IFERROR(INDEX(MMWR_RATING_STATE_ROLLUP_BDD[],MATCH($B83,MMWR_RATING_STATE_ROLLUP_BDD[MMWR_RATING_STATE_ROLLUP_BDD],0),MATCH(G$9,MMWR_RATING_STATE_ROLLUP_BDD[#Headers],0)),"ERROR"))</f>
        <v>828</v>
      </c>
      <c r="H83" s="155">
        <f>IF($B83=" ","",IFERROR(INDEX(MMWR_RATING_STATE_ROLLUP_BDD[],MATCH($B83,MMWR_RATING_STATE_ROLLUP_BDD[MMWR_RATING_STATE_ROLLUP_BDD],0),MATCH(H$9,MMWR_RATING_STATE_ROLLUP_BDD[#Headers],0)),"ERROR"))</f>
        <v>163.5588235294</v>
      </c>
      <c r="I83" s="155">
        <f>IF($B83=" ","",IFERROR(INDEX(MMWR_RATING_STATE_ROLLUP_BDD[],MATCH($B83,MMWR_RATING_STATE_ROLLUP_BDD[MMWR_RATING_STATE_ROLLUP_BDD],0),MATCH(I$9,MMWR_RATING_STATE_ROLLUP_BDD[#Headers],0)),"ERROR"))</f>
        <v>154.97584541059999</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27</v>
      </c>
      <c r="D84" s="155">
        <f>IF($B84=" ","",IFERROR(INDEX(MMWR_RATING_STATE_ROLLUP_BDD[],MATCH($B84,MMWR_RATING_STATE_ROLLUP_BDD[MMWR_RATING_STATE_ROLLUP_BDD],0),MATCH(D$9,MMWR_RATING_STATE_ROLLUP_BDD[#Headers],0)),"ERROR"))</f>
        <v>99.777777777799997</v>
      </c>
      <c r="E84" s="156">
        <f>IF($B84=" ","",IFERROR(INDEX(MMWR_RATING_STATE_ROLLUP_BDD[],MATCH($B84,MMWR_RATING_STATE_ROLLUP_BDD[MMWR_RATING_STATE_ROLLUP_BDD],0),MATCH(E$9,MMWR_RATING_STATE_ROLLUP_BDD[#Headers],0))/$C84,"ERROR"))</f>
        <v>0.29629629629629628</v>
      </c>
      <c r="F84" s="154">
        <f>IF($B84=" ","",IFERROR(INDEX(MMWR_RATING_STATE_ROLLUP_BDD[],MATCH($B84,MMWR_RATING_STATE_ROLLUP_BDD[MMWR_RATING_STATE_ROLLUP_BDD],0),MATCH(F$9,MMWR_RATING_STATE_ROLLUP_BDD[#Headers],0)),"ERROR"))</f>
        <v>7</v>
      </c>
      <c r="G84" s="154">
        <f>IF($B84=" ","",IFERROR(INDEX(MMWR_RATING_STATE_ROLLUP_BDD[],MATCH($B84,MMWR_RATING_STATE_ROLLUP_BDD[MMWR_RATING_STATE_ROLLUP_BDD],0),MATCH(G$9,MMWR_RATING_STATE_ROLLUP_BDD[#Headers],0)),"ERROR"))</f>
        <v>29</v>
      </c>
      <c r="H84" s="155">
        <f>IF($B84=" ","",IFERROR(INDEX(MMWR_RATING_STATE_ROLLUP_BDD[],MATCH($B84,MMWR_RATING_STATE_ROLLUP_BDD[MMWR_RATING_STATE_ROLLUP_BDD],0),MATCH(H$9,MMWR_RATING_STATE_ROLLUP_BDD[#Headers],0)),"ERROR"))</f>
        <v>167.8571428571</v>
      </c>
      <c r="I84" s="155">
        <f>IF($B84=" ","",IFERROR(INDEX(MMWR_RATING_STATE_ROLLUP_BDD[],MATCH($B84,MMWR_RATING_STATE_ROLLUP_BDD[MMWR_RATING_STATE_ROLLUP_BDD],0),MATCH(I$9,MMWR_RATING_STATE_ROLLUP_BDD[#Headers],0)),"ERROR"))</f>
        <v>146.5172413793</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296</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311</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February 20, 2016</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239</v>
      </c>
      <c r="C5" s="435"/>
      <c r="D5" s="435"/>
      <c r="E5" s="435"/>
      <c r="F5" s="435"/>
      <c r="G5" s="435"/>
      <c r="H5" s="436"/>
      <c r="I5" s="55"/>
      <c r="J5" s="434" t="s">
        <v>236</v>
      </c>
      <c r="K5" s="435"/>
      <c r="L5" s="435"/>
      <c r="M5" s="435"/>
      <c r="N5" s="436"/>
      <c r="O5" s="56"/>
      <c r="P5" s="406" t="s">
        <v>11</v>
      </c>
      <c r="Q5" s="407"/>
      <c r="R5" s="407"/>
      <c r="S5" s="407"/>
      <c r="T5" s="407"/>
      <c r="U5" s="408"/>
      <c r="V5" s="25"/>
    </row>
    <row r="6" spans="1:22" s="1" customFormat="1" ht="65.25" customHeight="1" thickBot="1" x14ac:dyDescent="0.25">
      <c r="A6" s="25"/>
      <c r="B6" s="425" t="s">
        <v>279</v>
      </c>
      <c r="C6" s="426"/>
      <c r="D6" s="426"/>
      <c r="E6" s="427"/>
      <c r="F6" s="57" t="s">
        <v>12</v>
      </c>
      <c r="G6" s="58" t="s">
        <v>3</v>
      </c>
      <c r="H6" s="59" t="s">
        <v>4</v>
      </c>
      <c r="I6" s="25"/>
      <c r="J6" s="445" t="s">
        <v>279</v>
      </c>
      <c r="K6" s="446"/>
      <c r="L6" s="60" t="s">
        <v>12</v>
      </c>
      <c r="M6" s="61" t="s">
        <v>3</v>
      </c>
      <c r="N6" s="62" t="s">
        <v>4</v>
      </c>
      <c r="O6" s="63"/>
      <c r="P6" s="437" t="s">
        <v>279</v>
      </c>
      <c r="Q6" s="438"/>
      <c r="R6" s="64" t="s">
        <v>489</v>
      </c>
      <c r="S6" s="440" t="s">
        <v>279</v>
      </c>
      <c r="T6" s="441"/>
      <c r="U6" s="65" t="s">
        <v>134</v>
      </c>
      <c r="V6" s="25"/>
    </row>
    <row r="7" spans="1:22" s="1" customFormat="1" ht="32.25" customHeight="1" thickBot="1" x14ac:dyDescent="0.25">
      <c r="A7" s="25"/>
      <c r="B7" s="409" t="s">
        <v>298</v>
      </c>
      <c r="C7" s="410"/>
      <c r="D7" s="410"/>
      <c r="E7" s="410"/>
      <c r="F7" s="166">
        <f>SUM(F8:F10)</f>
        <v>117943</v>
      </c>
      <c r="G7" s="167">
        <f>SUM(G8:G10)</f>
        <v>34964</v>
      </c>
      <c r="H7" s="168">
        <f t="shared" ref="H7:H44" si="0">IF(G7="--", 0, G7/F7)</f>
        <v>0.29644828434074089</v>
      </c>
      <c r="I7" s="25"/>
      <c r="J7" s="409" t="s">
        <v>264</v>
      </c>
      <c r="K7" s="410"/>
      <c r="L7" s="167">
        <f>SUM(L8:L10)</f>
        <v>32386</v>
      </c>
      <c r="M7" s="167">
        <f>SUM(M8:M10)</f>
        <v>5689</v>
      </c>
      <c r="N7" s="178">
        <f>IF(M7="--", 0, M7/L7)</f>
        <v>0.17566232322608535</v>
      </c>
      <c r="O7" s="66"/>
      <c r="P7" s="409" t="s">
        <v>967</v>
      </c>
      <c r="Q7" s="410"/>
      <c r="R7" s="179">
        <f>R8+R9+R10+R11+R12</f>
        <v>326723</v>
      </c>
      <c r="S7" s="409"/>
      <c r="T7" s="410"/>
      <c r="U7" s="67"/>
      <c r="V7" s="25"/>
    </row>
    <row r="8" spans="1:22" s="1" customFormat="1" ht="51" customHeight="1" x14ac:dyDescent="0.2">
      <c r="A8" s="25"/>
      <c r="B8" s="322" t="s">
        <v>249</v>
      </c>
      <c r="C8" s="323"/>
      <c r="D8" s="323"/>
      <c r="E8" s="402"/>
      <c r="F8" s="169">
        <f>IFERROR(VLOOKUP(MID(B8,4,3),MMWR_TRAD_AGG_NATIONAL[],2,0),"--")</f>
        <v>260</v>
      </c>
      <c r="G8" s="170">
        <f>IFERROR(VLOOKUP(MID(B8,4,3),MMWR_TRAD_AGG_NATIONAL[],3,0),"--")</f>
        <v>160</v>
      </c>
      <c r="H8" s="171">
        <f t="shared" si="0"/>
        <v>0.61538461538461542</v>
      </c>
      <c r="I8" s="25"/>
      <c r="J8" s="420" t="s">
        <v>266</v>
      </c>
      <c r="K8" s="439"/>
      <c r="L8" s="169">
        <f>IFERROR(VLOOKUP(MID(J8,4,3),MMWR_TRAD_AGG_NATIONAL[],2,0),"--")</f>
        <v>8189</v>
      </c>
      <c r="M8" s="170">
        <f>IFERROR(VLOOKUP(MID(J8,4,3),MMWR_TRAD_AGG_NATIONAL[],3,0),"--")</f>
        <v>694</v>
      </c>
      <c r="N8" s="171">
        <f>IF(M8="--", 0, M8/L8)</f>
        <v>8.4747832458175604E-2</v>
      </c>
      <c r="O8" s="68" t="s">
        <v>310</v>
      </c>
      <c r="P8" s="442" t="s">
        <v>240</v>
      </c>
      <c r="Q8" s="443"/>
      <c r="R8" s="180">
        <f>VLOOKUP(P8,MMWR_APP_NATIONAL[],2,0)</f>
        <v>236603</v>
      </c>
      <c r="S8" s="444" t="s">
        <v>229</v>
      </c>
      <c r="T8" s="421"/>
      <c r="U8" s="181">
        <f>VLOOKUP(P8,MMWR_APP_NATIONAL[],3,0)</f>
        <v>405.86561196330001</v>
      </c>
      <c r="V8" s="25"/>
    </row>
    <row r="9" spans="1:22" s="1" customFormat="1" ht="45" customHeight="1" x14ac:dyDescent="0.2">
      <c r="A9" s="25"/>
      <c r="B9" s="322" t="s">
        <v>247</v>
      </c>
      <c r="C9" s="323"/>
      <c r="D9" s="323"/>
      <c r="E9" s="402"/>
      <c r="F9" s="169">
        <f>IFERROR(VLOOKUP(MID(B9,4,3),MMWR_TRAD_AGG_NATIONAL[],2,0),"--")</f>
        <v>39782</v>
      </c>
      <c r="G9" s="170">
        <f>IFERROR(VLOOKUP(MID(B9,4,3),MMWR_TRAD_AGG_NATIONAL[],3,0),"--")</f>
        <v>13884</v>
      </c>
      <c r="H9" s="171">
        <f t="shared" si="0"/>
        <v>0.34900206123372379</v>
      </c>
      <c r="I9" s="68" t="s">
        <v>310</v>
      </c>
      <c r="J9" s="322" t="s">
        <v>265</v>
      </c>
      <c r="K9" s="323"/>
      <c r="L9" s="169">
        <f>IFERROR(VLOOKUP(MID(J9,4,3),MMWR_TRAD_AGG_NATIONAL[],2,0),"--")</f>
        <v>7994</v>
      </c>
      <c r="M9" s="170">
        <f>IFERROR(VLOOKUP(MID(J9,4,3),MMWR_TRAD_AGG_NATIONAL[],3,0),"--")</f>
        <v>498</v>
      </c>
      <c r="N9" s="171">
        <f>IF(M9="--", 0, M9/L9)</f>
        <v>6.2296722541906428E-2</v>
      </c>
      <c r="O9" s="68" t="s">
        <v>310</v>
      </c>
      <c r="P9" s="400" t="s">
        <v>241</v>
      </c>
      <c r="Q9" s="401"/>
      <c r="R9" s="182">
        <f>VLOOKUP(P9,MMWR_APP_NATIONAL[],2,0)</f>
        <v>53879</v>
      </c>
      <c r="S9" s="396" t="s">
        <v>230</v>
      </c>
      <c r="T9" s="397"/>
      <c r="U9" s="183">
        <f>VLOOKUP(P9,MMWR_APP_NATIONAL[],3,0)</f>
        <v>601.83730210290003</v>
      </c>
      <c r="V9" s="25"/>
    </row>
    <row r="10" spans="1:22" s="1" customFormat="1" ht="63" customHeight="1" thickBot="1" x14ac:dyDescent="0.25">
      <c r="A10" s="25"/>
      <c r="B10" s="322" t="s">
        <v>248</v>
      </c>
      <c r="C10" s="323"/>
      <c r="D10" s="323"/>
      <c r="E10" s="402"/>
      <c r="F10" s="169">
        <f>IFERROR(VLOOKUP(MID(B10,4,3),MMWR_TRAD_AGG_NATIONAL[],2,0),"--")</f>
        <v>77901</v>
      </c>
      <c r="G10" s="170">
        <f>IFERROR(VLOOKUP(MID(B10,4,3),MMWR_TRAD_AGG_NATIONAL[],3,0),"--")</f>
        <v>20920</v>
      </c>
      <c r="H10" s="171">
        <f t="shared" si="0"/>
        <v>0.26854597501957611</v>
      </c>
      <c r="I10" s="68" t="s">
        <v>310</v>
      </c>
      <c r="J10" s="324" t="s">
        <v>267</v>
      </c>
      <c r="K10" s="325"/>
      <c r="L10" s="169">
        <f>IFERROR(VLOOKUP(MID(J10,4,3),MMWR_TRAD_AGG_NATIONAL[],2,0),"--")</f>
        <v>16203</v>
      </c>
      <c r="M10" s="170">
        <f>IFERROR(VLOOKUP(MID(J10,4,3),MMWR_TRAD_AGG_NATIONAL[],3,0),"--")</f>
        <v>4497</v>
      </c>
      <c r="N10" s="171">
        <f>IF(M10="--", 0, M10/L10)</f>
        <v>0.27754119607480099</v>
      </c>
      <c r="O10" s="69"/>
      <c r="P10" s="400" t="s">
        <v>242</v>
      </c>
      <c r="Q10" s="401"/>
      <c r="R10" s="182">
        <f>VLOOKUP(P10,MMWR_APP_NATIONAL[],2,0)</f>
        <v>24814</v>
      </c>
      <c r="S10" s="396" t="s">
        <v>231</v>
      </c>
      <c r="T10" s="397"/>
      <c r="U10" s="183">
        <f>VLOOKUP(P10,MMWR_APP_NATIONAL[],3,0)</f>
        <v>528.93461786520004</v>
      </c>
      <c r="V10" s="25"/>
    </row>
    <row r="11" spans="1:22" s="1" customFormat="1" ht="45" customHeight="1" thickBot="1" x14ac:dyDescent="0.25">
      <c r="A11" s="25"/>
      <c r="B11" s="409" t="s">
        <v>299</v>
      </c>
      <c r="C11" s="410"/>
      <c r="D11" s="410"/>
      <c r="E11" s="410"/>
      <c r="F11" s="166">
        <f>SUM(F12:F13)</f>
        <v>9555</v>
      </c>
      <c r="G11" s="167">
        <f>SUM(G12:G13)</f>
        <v>2351</v>
      </c>
      <c r="H11" s="168">
        <f t="shared" si="0"/>
        <v>0.24604918890633176</v>
      </c>
      <c r="I11" s="25"/>
      <c r="J11" s="409" t="s">
        <v>237</v>
      </c>
      <c r="K11" s="410"/>
      <c r="L11" s="166">
        <f>SUM(L12:L17)</f>
        <v>32801</v>
      </c>
      <c r="M11" s="166">
        <f>SUM(M12:M17)</f>
        <v>6751</v>
      </c>
      <c r="N11" s="159">
        <f>IF(M11="--", 0, M11/L11)</f>
        <v>0.20581689582634677</v>
      </c>
      <c r="O11" s="69"/>
      <c r="P11" s="400" t="s">
        <v>968</v>
      </c>
      <c r="Q11" s="401"/>
      <c r="R11" s="182">
        <f>VLOOKUP(P11,MMWR_APP_NATIONAL[],2,0)</f>
        <v>10931</v>
      </c>
      <c r="S11" s="396" t="s">
        <v>232</v>
      </c>
      <c r="T11" s="397"/>
      <c r="U11" s="183">
        <f>VLOOKUP(P11,MMWR_APP_NATIONAL[],3,0)</f>
        <v>181.9195717815</v>
      </c>
      <c r="V11" s="25"/>
    </row>
    <row r="12" spans="1:22" s="1" customFormat="1" ht="46.5" customHeight="1" thickBot="1" x14ac:dyDescent="0.25">
      <c r="A12" s="25"/>
      <c r="B12" s="403" t="s">
        <v>269</v>
      </c>
      <c r="C12" s="404"/>
      <c r="D12" s="404"/>
      <c r="E12" s="405"/>
      <c r="F12" s="169">
        <f>IFERROR(VLOOKUP(MID(B12,4,3),MMWR_TRAD_AGG_NATIONAL[],2,0),"--")</f>
        <v>8453</v>
      </c>
      <c r="G12" s="170">
        <f>IFERROR(VLOOKUP(MID(B12,4,3),MMWR_TRAD_AGG_NATIONAL[],3,0),"--")</f>
        <v>1607</v>
      </c>
      <c r="H12" s="171">
        <f t="shared" si="0"/>
        <v>0.19011002011120312</v>
      </c>
      <c r="I12" s="68" t="s">
        <v>310</v>
      </c>
      <c r="J12" s="324" t="s">
        <v>259</v>
      </c>
      <c r="K12" s="397"/>
      <c r="L12" s="169">
        <f>IFERROR(VLOOKUP(MID(J12,4,3)&amp;"p",MMWR_TRAD_AGG_NATIONAL[],2,0),"--")</f>
        <v>1622</v>
      </c>
      <c r="M12" s="170">
        <f>IFERROR(VLOOKUP(MID(J12,4,3)&amp;"p",MMWR_TRAD_AGG_NATIONAL[],3,0),"--")</f>
        <v>289</v>
      </c>
      <c r="N12" s="171">
        <f t="shared" ref="N12:N17" si="1">IF(L12="--", 0,M12/L12)</f>
        <v>0.1781750924784217</v>
      </c>
      <c r="O12" s="69"/>
      <c r="P12" s="400" t="s">
        <v>949</v>
      </c>
      <c r="Q12" s="401"/>
      <c r="R12" s="182">
        <f>VLOOKUP(P12,MMWR_APP_NATIONAL[],2,0)</f>
        <v>496</v>
      </c>
      <c r="S12" s="398" t="s">
        <v>966</v>
      </c>
      <c r="T12" s="399"/>
      <c r="U12" s="183">
        <f>VLOOKUP(P12,MMWR_APP_NATIONAL[],3,0)</f>
        <v>460.30241935480001</v>
      </c>
      <c r="V12" s="25"/>
    </row>
    <row r="13" spans="1:22" s="1" customFormat="1" ht="49.5" customHeight="1" thickBot="1" x14ac:dyDescent="0.25">
      <c r="A13" s="25"/>
      <c r="B13" s="403" t="s">
        <v>1059</v>
      </c>
      <c r="C13" s="404"/>
      <c r="D13" s="404"/>
      <c r="E13" s="405"/>
      <c r="F13" s="169">
        <f>IFERROR(VLOOKUP(MID(B13,4,3),MMWR_TRAD_AGG_NATIONAL[],2,0),"--")</f>
        <v>1102</v>
      </c>
      <c r="G13" s="170">
        <f>IFERROR(VLOOKUP(MID(B13,4,3),MMWR_TRAD_AGG_NATIONAL[],3,0),"--")</f>
        <v>744</v>
      </c>
      <c r="H13" s="171">
        <f t="shared" si="0"/>
        <v>0.67513611615245006</v>
      </c>
      <c r="I13" s="25"/>
      <c r="J13" s="324" t="s">
        <v>268</v>
      </c>
      <c r="K13" s="397"/>
      <c r="L13" s="169">
        <f>IFERROR(VLOOKUP(MID(J13,4,3),MMWR_TRAD_AGG_NATIONAL[],2,0),"--")</f>
        <v>5125</v>
      </c>
      <c r="M13" s="170">
        <f>IFERROR(VLOOKUP(MID(J13,4,3),MMWR_TRAD_AGG_NATIONAL[],3,0),"--")</f>
        <v>815</v>
      </c>
      <c r="N13" s="171">
        <f t="shared" si="1"/>
        <v>0.15902439024390244</v>
      </c>
      <c r="O13" s="69"/>
      <c r="P13" s="409" t="s">
        <v>978</v>
      </c>
      <c r="Q13" s="410"/>
      <c r="R13" s="411"/>
      <c r="S13" s="412">
        <f>VLOOKUP(P13,MMWR_APP_NATIONAL[],2,0)</f>
        <v>23582</v>
      </c>
      <c r="T13" s="413"/>
      <c r="U13" s="414"/>
      <c r="V13" s="25"/>
    </row>
    <row r="14" spans="1:22" s="1" customFormat="1" ht="45" customHeight="1" thickBot="1" x14ac:dyDescent="0.25">
      <c r="A14" s="25"/>
      <c r="B14" s="409" t="s">
        <v>1</v>
      </c>
      <c r="C14" s="410"/>
      <c r="D14" s="410"/>
      <c r="E14" s="410"/>
      <c r="F14" s="166">
        <f>SUM(F15:F21)</f>
        <v>195568</v>
      </c>
      <c r="G14" s="167">
        <f>SUM(G15:G21)</f>
        <v>42254</v>
      </c>
      <c r="H14" s="168">
        <f t="shared" si="0"/>
        <v>0.21605784177370532</v>
      </c>
      <c r="I14" s="25"/>
      <c r="J14" s="324" t="s">
        <v>270</v>
      </c>
      <c r="K14" s="397"/>
      <c r="L14" s="169">
        <f>IFERROR(VLOOKUP(MID(J14,4,3),MMWR_TRAD_AGG_NATIONAL[],2,0),"--")</f>
        <v>16749</v>
      </c>
      <c r="M14" s="170">
        <f>IFERROR(VLOOKUP(MID(J14,4,3),MMWR_TRAD_AGG_NATIONAL[],3,0),"--")</f>
        <v>3060</v>
      </c>
      <c r="N14" s="171">
        <f t="shared" si="1"/>
        <v>0.18269747447608811</v>
      </c>
      <c r="O14" s="69"/>
      <c r="P14" s="21"/>
      <c r="Q14" s="21"/>
      <c r="R14" s="21"/>
      <c r="S14" s="28"/>
      <c r="T14" s="28"/>
      <c r="U14" s="70"/>
      <c r="V14" s="25"/>
    </row>
    <row r="15" spans="1:22" s="1" customFormat="1" ht="44.25" customHeight="1" thickBot="1" x14ac:dyDescent="0.25">
      <c r="A15" s="25"/>
      <c r="B15" s="322" t="s">
        <v>250</v>
      </c>
      <c r="C15" s="323"/>
      <c r="D15" s="323"/>
      <c r="E15" s="402"/>
      <c r="F15" s="169">
        <f>IFERROR(VLOOKUP(MID(B15,4,3),MMWR_TRAD_AGG_NATIONAL[],2,0),"--")</f>
        <v>194344</v>
      </c>
      <c r="G15" s="170">
        <f>IFERROR(VLOOKUP(MID(B15,4,3),MMWR_TRAD_AGG_NATIONAL[],3,0),"--")</f>
        <v>41767</v>
      </c>
      <c r="H15" s="171">
        <f t="shared" si="0"/>
        <v>0.21491273206273412</v>
      </c>
      <c r="I15" s="68" t="s">
        <v>310</v>
      </c>
      <c r="J15" s="324" t="s">
        <v>271</v>
      </c>
      <c r="K15" s="397"/>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324" t="s">
        <v>251</v>
      </c>
      <c r="C16" s="325"/>
      <c r="D16" s="325"/>
      <c r="E16" s="397"/>
      <c r="F16" s="169">
        <f>IFERROR(VLOOKUP(MID(B16,4,3),MMWR_TRAD_AGG_NATIONAL[],2,0),"--")</f>
        <v>1000</v>
      </c>
      <c r="G16" s="170">
        <f>IFERROR(VLOOKUP(MID(B16,4,3),MMWR_TRAD_AGG_NATIONAL[],3,0),"--")</f>
        <v>316</v>
      </c>
      <c r="H16" s="171">
        <f t="shared" si="0"/>
        <v>0.316</v>
      </c>
      <c r="I16" s="68" t="s">
        <v>310</v>
      </c>
      <c r="J16" s="324" t="s">
        <v>272</v>
      </c>
      <c r="K16" s="397"/>
      <c r="L16" s="169">
        <f>IFERROR(VLOOKUP(MID(J16,4,3),MMWR_TRAD_AGG_NATIONAL[],2,0),"--")</f>
        <v>3445</v>
      </c>
      <c r="M16" s="170">
        <f>IFERROR(VLOOKUP(MID(J16,4,3),MMWR_TRAD_AGG_NATIONAL[],3,0),"--")</f>
        <v>1007</v>
      </c>
      <c r="N16" s="171">
        <f t="shared" si="1"/>
        <v>0.29230769230769232</v>
      </c>
      <c r="O16" s="69"/>
      <c r="P16" s="406" t="s">
        <v>950</v>
      </c>
      <c r="Q16" s="407"/>
      <c r="R16" s="407"/>
      <c r="S16" s="408"/>
      <c r="T16" s="28"/>
      <c r="U16" s="71"/>
      <c r="V16" s="25"/>
    </row>
    <row r="17" spans="1:22" s="1" customFormat="1" ht="31.5" customHeight="1" thickBot="1" x14ac:dyDescent="0.25">
      <c r="A17" s="25"/>
      <c r="B17" s="324" t="s">
        <v>252</v>
      </c>
      <c r="C17" s="325"/>
      <c r="D17" s="325"/>
      <c r="E17" s="397"/>
      <c r="F17" s="169">
        <f>IFERROR(VLOOKUP(MID(B17,4,3),MMWR_TRAD_AGG_NATIONAL[],2,0),"--")</f>
        <v>211</v>
      </c>
      <c r="G17" s="170">
        <f>IFERROR(VLOOKUP(MID(B17,4,3),MMWR_TRAD_AGG_NATIONAL[],3,0),"--")</f>
        <v>169</v>
      </c>
      <c r="H17" s="171">
        <f t="shared" si="0"/>
        <v>0.80094786729857825</v>
      </c>
      <c r="I17" s="25"/>
      <c r="J17" s="324" t="s">
        <v>273</v>
      </c>
      <c r="K17" s="397"/>
      <c r="L17" s="169">
        <f>IFERROR(VLOOKUP(MID(J17,4,3),MMWR_TRAD_AGG_NATIONAL[],2,0),"--")</f>
        <v>5859</v>
      </c>
      <c r="M17" s="170">
        <f>IFERROR(VLOOKUP(MID(J17,4,3),MMWR_TRAD_AGG_NATIONAL[],3,0),"--")</f>
        <v>1579</v>
      </c>
      <c r="N17" s="171">
        <f t="shared" si="1"/>
        <v>0.26949991466120499</v>
      </c>
      <c r="O17" s="72"/>
      <c r="P17" s="415" t="s">
        <v>245</v>
      </c>
      <c r="Q17" s="416"/>
      <c r="R17" s="416"/>
      <c r="S17" s="184">
        <f>IFERROR(VLOOKUP("160",MMWR_TRAD_AGG_NATIONAL[],2,0),"--")</f>
        <v>29255</v>
      </c>
      <c r="T17" s="28"/>
      <c r="U17" s="71"/>
      <c r="V17" s="25"/>
    </row>
    <row r="18" spans="1:22" s="1" customFormat="1" ht="32.25" customHeight="1" thickBot="1" x14ac:dyDescent="0.25">
      <c r="A18" s="25"/>
      <c r="B18" s="324" t="s">
        <v>253</v>
      </c>
      <c r="C18" s="325"/>
      <c r="D18" s="325"/>
      <c r="E18" s="397"/>
      <c r="F18" s="169">
        <f>IFERROR(VLOOKUP(MID(B18,4,3),MMWR_TRAD_AGG_NATIONAL[],2,0),"--")</f>
        <v>8</v>
      </c>
      <c r="G18" s="170">
        <f>IFERROR(VLOOKUP(MID(B18,4,3),MMWR_TRAD_AGG_NATIONAL[],3,0),"--")</f>
        <v>1</v>
      </c>
      <c r="H18" s="171">
        <f t="shared" si="0"/>
        <v>0.125</v>
      </c>
      <c r="I18" s="68" t="s">
        <v>310</v>
      </c>
      <c r="J18" s="409" t="s">
        <v>15</v>
      </c>
      <c r="K18" s="410"/>
      <c r="L18" s="166">
        <f>SUM(L19:L21)</f>
        <v>357</v>
      </c>
      <c r="M18" s="166">
        <f>SUM(M19:M21)</f>
        <v>327</v>
      </c>
      <c r="N18" s="159">
        <f t="shared" ref="N18:N26" si="2">IF(M18="--", 0, M18/L18)</f>
        <v>0.91596638655462181</v>
      </c>
      <c r="O18" s="73"/>
      <c r="P18" s="417" t="s">
        <v>246</v>
      </c>
      <c r="Q18" s="418"/>
      <c r="R18" s="418"/>
      <c r="S18" s="185">
        <f>IFERROR(VLOOKUP("165",MMWR_TRAD_AGG_NATIONAL[],2,0),"--")</f>
        <v>10172</v>
      </c>
      <c r="T18" s="28"/>
      <c r="U18" s="71"/>
      <c r="V18" s="25"/>
    </row>
    <row r="19" spans="1:22" s="1" customFormat="1" ht="41.25" customHeight="1" x14ac:dyDescent="0.4">
      <c r="A19" s="25"/>
      <c r="B19" s="324" t="s">
        <v>254</v>
      </c>
      <c r="C19" s="325"/>
      <c r="D19" s="325"/>
      <c r="E19" s="397"/>
      <c r="F19" s="169">
        <f>IFERROR(VLOOKUP(MID(B19,4,3),MMWR_TRAD_AGG_NATIONAL[],2,0),"--")</f>
        <v>2</v>
      </c>
      <c r="G19" s="170">
        <f>IFERROR(VLOOKUP(MID(B19,4,3),MMWR_TRAD_AGG_NATIONAL[],3,0),"--")</f>
        <v>1</v>
      </c>
      <c r="H19" s="171">
        <f t="shared" si="0"/>
        <v>0.5</v>
      </c>
      <c r="I19" s="68" t="s">
        <v>310</v>
      </c>
      <c r="J19" s="324" t="s">
        <v>274</v>
      </c>
      <c r="K19" s="397"/>
      <c r="L19" s="169">
        <f>IFERROR(VLOOKUP(MID(J19,4,3),MMWR_TRAD_AGG_NATIONAL[],2,0),"--")</f>
        <v>271</v>
      </c>
      <c r="M19" s="170">
        <f>IFERROR(VLOOKUP(MID(J19,4,3),MMWR_TRAD_AGG_NATIONAL[],3,0),"--")</f>
        <v>268</v>
      </c>
      <c r="N19" s="171">
        <f t="shared" si="2"/>
        <v>0.98892988929889303</v>
      </c>
      <c r="O19" s="56"/>
      <c r="P19" s="25"/>
      <c r="Q19" s="25"/>
      <c r="R19" s="25"/>
      <c r="S19" s="25"/>
      <c r="T19" s="28"/>
      <c r="U19" s="71"/>
      <c r="V19" s="25"/>
    </row>
    <row r="20" spans="1:22" s="1" customFormat="1" ht="40.5" customHeight="1" x14ac:dyDescent="0.4">
      <c r="A20" s="25"/>
      <c r="B20" s="324" t="s">
        <v>255</v>
      </c>
      <c r="C20" s="325"/>
      <c r="D20" s="325"/>
      <c r="E20" s="397"/>
      <c r="F20" s="169">
        <f>IFERROR(VLOOKUP(MID(B20,4,3),MMWR_TRAD_AGG_NATIONAL[],2,0),"--")</f>
        <v>2</v>
      </c>
      <c r="G20" s="170">
        <f>IFERROR(VLOOKUP(MID(B20,4,3),MMWR_TRAD_AGG_NATIONAL[],3,0),"--")</f>
        <v>0</v>
      </c>
      <c r="H20" s="171">
        <f t="shared" si="0"/>
        <v>0</v>
      </c>
      <c r="I20" s="68" t="s">
        <v>310</v>
      </c>
      <c r="J20" s="324" t="s">
        <v>297</v>
      </c>
      <c r="K20" s="397"/>
      <c r="L20" s="169">
        <f>IFERROR(VLOOKUP(MID(J20,4,3),MMWR_TRAD_AGG_NATIONAL[],2,0),"--")</f>
        <v>65</v>
      </c>
      <c r="M20" s="170">
        <f>IFERROR(VLOOKUP(MID(J20,4,3),MMWR_TRAD_AGG_NATIONAL[],3,0),"--")</f>
        <v>47</v>
      </c>
      <c r="N20" s="171">
        <f t="shared" si="2"/>
        <v>0.72307692307692306</v>
      </c>
      <c r="O20" s="56"/>
      <c r="P20" s="56"/>
      <c r="Q20" s="56"/>
      <c r="R20" s="56"/>
      <c r="S20" s="56"/>
      <c r="T20" s="56"/>
      <c r="U20" s="74"/>
      <c r="V20" s="25"/>
    </row>
    <row r="21" spans="1:22" s="1" customFormat="1" ht="39" customHeight="1" thickBot="1" x14ac:dyDescent="0.45">
      <c r="A21" s="25"/>
      <c r="B21" s="324" t="s">
        <v>256</v>
      </c>
      <c r="C21" s="325"/>
      <c r="D21" s="325"/>
      <c r="E21" s="397"/>
      <c r="F21" s="169">
        <f>IFERROR(VLOOKUP(MID(B21,4,3),MMWR_TRAD_AGG_NATIONAL[],2,0),"--")</f>
        <v>1</v>
      </c>
      <c r="G21" s="170">
        <f>IFERROR(VLOOKUP(MID(B21,4,3),MMWR_TRAD_AGG_NATIONAL[],3,0),"--")</f>
        <v>0</v>
      </c>
      <c r="H21" s="171">
        <f t="shared" si="0"/>
        <v>0</v>
      </c>
      <c r="I21" s="68" t="s">
        <v>310</v>
      </c>
      <c r="J21" s="324" t="s">
        <v>275</v>
      </c>
      <c r="K21" s="397"/>
      <c r="L21" s="169">
        <f>IFERROR(VLOOKUP(MID(J21,4,3),MMWR_TRAD_AGG_NATIONAL[],2,0),"--")</f>
        <v>21</v>
      </c>
      <c r="M21" s="170">
        <f>IFERROR(VLOOKUP(MID(J21,4,3),MMWR_TRAD_AGG_NATIONAL[],3,0),"--")</f>
        <v>12</v>
      </c>
      <c r="N21" s="171">
        <f t="shared" si="2"/>
        <v>0.5714285714285714</v>
      </c>
      <c r="O21" s="56"/>
      <c r="P21" s="56"/>
      <c r="Q21" s="56"/>
      <c r="R21" s="56"/>
      <c r="S21" s="56"/>
      <c r="T21" s="56"/>
      <c r="U21" s="74"/>
      <c r="V21" s="25"/>
    </row>
    <row r="22" spans="1:22" s="1" customFormat="1" ht="32.25" customHeight="1" thickBot="1" x14ac:dyDescent="0.45">
      <c r="A22" s="25"/>
      <c r="B22" s="409" t="s">
        <v>13</v>
      </c>
      <c r="C22" s="410"/>
      <c r="D22" s="410"/>
      <c r="E22" s="410"/>
      <c r="F22" s="166">
        <f>SUM(F23:F29)</f>
        <v>443566</v>
      </c>
      <c r="G22" s="167">
        <f>SUM(G23:G29)</f>
        <v>298132</v>
      </c>
      <c r="H22" s="168">
        <f t="shared" si="0"/>
        <v>0.67212545596371231</v>
      </c>
      <c r="I22" s="25"/>
      <c r="J22" s="409" t="s">
        <v>224</v>
      </c>
      <c r="K22" s="410"/>
      <c r="L22" s="166">
        <f>SUM(L23:L26)</f>
        <v>1664</v>
      </c>
      <c r="M22" s="166">
        <f>SUM(M23:M26)</f>
        <v>559</v>
      </c>
      <c r="N22" s="159">
        <f t="shared" si="2"/>
        <v>0.3359375</v>
      </c>
      <c r="O22" s="56"/>
      <c r="P22" s="25"/>
      <c r="Q22" s="25"/>
      <c r="R22" s="25"/>
      <c r="S22" s="25"/>
      <c r="T22" s="56"/>
      <c r="U22" s="74"/>
      <c r="V22" s="25"/>
    </row>
    <row r="23" spans="1:22" s="1" customFormat="1" ht="26.25" customHeight="1" x14ac:dyDescent="0.4">
      <c r="A23" s="25"/>
      <c r="B23" s="403" t="s">
        <v>257</v>
      </c>
      <c r="C23" s="404"/>
      <c r="D23" s="404"/>
      <c r="E23" s="405"/>
      <c r="F23" s="169">
        <f>IFERROR(VLOOKUP(MID(B23,4,3),MMWR_TRAD_AGG_NATIONAL[],2,0),"--")</f>
        <v>204345</v>
      </c>
      <c r="G23" s="170">
        <f>IFERROR(VLOOKUP(MID(B23,4,3),MMWR_TRAD_AGG_NATIONAL[],3,0),"--")</f>
        <v>146206</v>
      </c>
      <c r="H23" s="171">
        <f t="shared" si="0"/>
        <v>0.7154860652328171</v>
      </c>
      <c r="I23" s="25"/>
      <c r="J23" s="420" t="s">
        <v>278</v>
      </c>
      <c r="K23" s="421"/>
      <c r="L23" s="172">
        <f>IFERROR(VLOOKUP(MID(J23,4,3),MMWR_TRAD_AGG_NATIONAL[],2,0),"--")</f>
        <v>255</v>
      </c>
      <c r="M23" s="173">
        <f>IFERROR(VLOOKUP(MID(J23,4,3),MMWR_TRAD_AGG_NATIONAL[],3,0),"--")</f>
        <v>102</v>
      </c>
      <c r="N23" s="174">
        <f t="shared" si="2"/>
        <v>0.4</v>
      </c>
      <c r="O23" s="56"/>
      <c r="P23" s="25"/>
      <c r="Q23" s="25"/>
      <c r="R23" s="25"/>
      <c r="S23" s="25"/>
      <c r="T23" s="56"/>
      <c r="U23" s="74"/>
      <c r="V23" s="25"/>
    </row>
    <row r="24" spans="1:22" s="1" customFormat="1" ht="39.75" customHeight="1" x14ac:dyDescent="0.4">
      <c r="A24" s="25"/>
      <c r="B24" s="403" t="s">
        <v>258</v>
      </c>
      <c r="C24" s="404"/>
      <c r="D24" s="404"/>
      <c r="E24" s="405"/>
      <c r="F24" s="169">
        <f>IFERROR(VLOOKUP(MID(B24,4,3),MMWR_TRAD_AGG_NATIONAL[],2,0),"--")</f>
        <v>209</v>
      </c>
      <c r="G24" s="170">
        <f>IFERROR(VLOOKUP(MID(B24,4,3),MMWR_TRAD_AGG_NATIONAL[],3,0),"--")</f>
        <v>143</v>
      </c>
      <c r="H24" s="171">
        <f t="shared" si="0"/>
        <v>0.68421052631578949</v>
      </c>
      <c r="I24" s="25"/>
      <c r="J24" s="324" t="s">
        <v>277</v>
      </c>
      <c r="K24" s="397"/>
      <c r="L24" s="169">
        <f>IFERROR(VLOOKUP(MID(J24,4,3),MMWR_TRAD_AGG_NATIONAL[],2,0),"--")</f>
        <v>647</v>
      </c>
      <c r="M24" s="170">
        <f>IFERROR(VLOOKUP(MID(J24,4,3),MMWR_TRAD_AGG_NATIONAL[],3,0),"--")</f>
        <v>20</v>
      </c>
      <c r="N24" s="171">
        <f t="shared" si="2"/>
        <v>3.0911901081916538E-2</v>
      </c>
      <c r="O24" s="56"/>
      <c r="P24" s="25"/>
      <c r="Q24" s="25"/>
      <c r="R24" s="25"/>
      <c r="S24" s="25"/>
      <c r="T24" s="56"/>
      <c r="U24" s="74"/>
      <c r="V24" s="25"/>
    </row>
    <row r="25" spans="1:22" s="1" customFormat="1" ht="37.5" customHeight="1" x14ac:dyDescent="0.4">
      <c r="A25" s="25"/>
      <c r="B25" s="403" t="s">
        <v>259</v>
      </c>
      <c r="C25" s="404"/>
      <c r="D25" s="404"/>
      <c r="E25" s="405"/>
      <c r="F25" s="169">
        <f>IFERROR(VLOOKUP(MID(B25,4,3),MMWR_TRAD_AGG_NATIONAL[],2,0),"--")</f>
        <v>294</v>
      </c>
      <c r="G25" s="170">
        <f>IFERROR(VLOOKUP(MID(B25,4,3),MMWR_TRAD_AGG_NATIONAL[],3,0),"--")</f>
        <v>210</v>
      </c>
      <c r="H25" s="171">
        <f t="shared" si="0"/>
        <v>0.7142857142857143</v>
      </c>
      <c r="I25" s="25"/>
      <c r="J25" s="324" t="s">
        <v>276</v>
      </c>
      <c r="K25" s="397"/>
      <c r="L25" s="169">
        <f>IFERROR(VLOOKUP(MID(J25,4,3),MMWR_TRAD_AGG_NATIONAL[],2,0),"--")</f>
        <v>722</v>
      </c>
      <c r="M25" s="170">
        <f>IFERROR(VLOOKUP(MID(J25,4,3),MMWR_TRAD_AGG_NATIONAL[],3,0),"--")</f>
        <v>406</v>
      </c>
      <c r="N25" s="171">
        <f t="shared" si="2"/>
        <v>0.56232686980609414</v>
      </c>
      <c r="O25" s="56"/>
      <c r="P25" s="56"/>
      <c r="Q25" s="56"/>
      <c r="R25" s="56"/>
      <c r="S25" s="56"/>
      <c r="T25" s="56"/>
      <c r="U25" s="74"/>
      <c r="V25" s="25"/>
    </row>
    <row r="26" spans="1:22" s="1" customFormat="1" ht="37.5" customHeight="1" thickBot="1" x14ac:dyDescent="0.45">
      <c r="A26" s="25"/>
      <c r="B26" s="403" t="s">
        <v>260</v>
      </c>
      <c r="C26" s="404"/>
      <c r="D26" s="404"/>
      <c r="E26" s="405"/>
      <c r="F26" s="169">
        <f>IFERROR(VLOOKUP(MID(B26,4,3),MMWR_TRAD_AGG_NATIONAL[],2,0),"--")</f>
        <v>102295</v>
      </c>
      <c r="G26" s="170">
        <f>IFERROR(VLOOKUP(MID(B26,4,3),MMWR_TRAD_AGG_NATIONAL[],3,0),"--")</f>
        <v>80662</v>
      </c>
      <c r="H26" s="171">
        <f t="shared" si="0"/>
        <v>0.78852338823989443</v>
      </c>
      <c r="I26" s="56"/>
      <c r="J26" s="326" t="s">
        <v>313</v>
      </c>
      <c r="K26" s="399"/>
      <c r="L26" s="175">
        <f>IFERROR(VLOOKUP(MID(J26,4,3),MMWR_TRAD_AGG_NATIONAL[],2,0),"--")</f>
        <v>40</v>
      </c>
      <c r="M26" s="176">
        <f>IFERROR(VLOOKUP(MID(J26,4,3),MMWR_TRAD_AGG_NATIONAL[],3,0),"--")</f>
        <v>31</v>
      </c>
      <c r="N26" s="177">
        <f t="shared" si="2"/>
        <v>0.77500000000000002</v>
      </c>
      <c r="O26" s="56"/>
      <c r="P26" s="56"/>
      <c r="Q26" s="56"/>
      <c r="R26" s="56"/>
      <c r="S26" s="56"/>
      <c r="T26" s="56"/>
      <c r="U26" s="74"/>
      <c r="V26" s="25"/>
    </row>
    <row r="27" spans="1:22" s="1" customFormat="1" ht="26.25" customHeight="1" thickBot="1" x14ac:dyDescent="0.45">
      <c r="A27" s="25"/>
      <c r="B27" s="403" t="s">
        <v>261</v>
      </c>
      <c r="C27" s="404"/>
      <c r="D27" s="404"/>
      <c r="E27" s="405"/>
      <c r="F27" s="169">
        <f>IFERROR(VLOOKUP(MID(B27,4,3),MMWR_TRAD_AGG_NATIONAL[],2,0),"--")</f>
        <v>386</v>
      </c>
      <c r="G27" s="170">
        <f>IFERROR(VLOOKUP(MID(B27,4,3),MMWR_TRAD_AGG_NATIONAL[],3,0),"--")</f>
        <v>207</v>
      </c>
      <c r="H27" s="171">
        <f t="shared" si="0"/>
        <v>0.53626943005181349</v>
      </c>
      <c r="I27" s="56"/>
      <c r="J27" s="56"/>
      <c r="K27" s="56"/>
      <c r="L27" s="56"/>
      <c r="M27" s="56"/>
      <c r="N27" s="56"/>
      <c r="O27" s="56"/>
      <c r="P27" s="56"/>
      <c r="Q27" s="56"/>
      <c r="R27" s="56"/>
      <c r="S27" s="56"/>
      <c r="T27" s="56"/>
      <c r="U27" s="74"/>
      <c r="V27" s="25"/>
    </row>
    <row r="28" spans="1:22" s="1" customFormat="1" ht="32.25" customHeight="1" x14ac:dyDescent="0.4">
      <c r="A28" s="25"/>
      <c r="B28" s="403" t="s">
        <v>262</v>
      </c>
      <c r="C28" s="404"/>
      <c r="D28" s="404"/>
      <c r="E28" s="405"/>
      <c r="F28" s="169">
        <f>IFERROR(VLOOKUP(MID(B28,4,3),MMWR_TRAD_AGG_NATIONAL[],2,0),"--")</f>
        <v>16162</v>
      </c>
      <c r="G28" s="170">
        <f>IFERROR(VLOOKUP(MID(B28,4,3),MMWR_TRAD_AGG_NATIONAL[],3,0),"--")</f>
        <v>2756</v>
      </c>
      <c r="H28" s="171">
        <f t="shared" si="0"/>
        <v>0.17052345006806088</v>
      </c>
      <c r="I28" s="68" t="s">
        <v>310</v>
      </c>
      <c r="J28" s="447" t="s">
        <v>312</v>
      </c>
      <c r="K28" s="448"/>
      <c r="L28" s="448"/>
      <c r="M28" s="448"/>
      <c r="N28" s="449"/>
      <c r="O28" s="419" t="s">
        <v>310</v>
      </c>
      <c r="P28" s="75"/>
      <c r="Q28" s="56"/>
      <c r="R28" s="56"/>
      <c r="S28" s="56"/>
      <c r="T28" s="56"/>
      <c r="U28" s="74"/>
      <c r="V28" s="25"/>
    </row>
    <row r="29" spans="1:22" s="1" customFormat="1" ht="27" customHeight="1" thickBot="1" x14ac:dyDescent="0.45">
      <c r="A29" s="25"/>
      <c r="B29" s="403" t="s">
        <v>263</v>
      </c>
      <c r="C29" s="404"/>
      <c r="D29" s="404"/>
      <c r="E29" s="405"/>
      <c r="F29" s="169">
        <f>IFERROR(VLOOKUP(MID(B29,4,3),MMWR_TRAD_AGG_NATIONAL[],2,0),"--")</f>
        <v>119875</v>
      </c>
      <c r="G29" s="170">
        <f>IFERROR(VLOOKUP(MID(B29,4,3),MMWR_TRAD_AGG_NATIONAL[],3,0),"--")</f>
        <v>67948</v>
      </c>
      <c r="H29" s="171">
        <f t="shared" si="0"/>
        <v>0.56682377476538059</v>
      </c>
      <c r="I29" s="56"/>
      <c r="J29" s="450"/>
      <c r="K29" s="451"/>
      <c r="L29" s="451"/>
      <c r="M29" s="451"/>
      <c r="N29" s="452"/>
      <c r="O29" s="419"/>
      <c r="P29" s="76"/>
      <c r="Q29" s="56"/>
      <c r="R29" s="56"/>
      <c r="S29" s="56"/>
      <c r="T29" s="56"/>
      <c r="U29" s="74"/>
      <c r="V29" s="25"/>
    </row>
    <row r="30" spans="1:22" s="1" customFormat="1" ht="32.25" customHeight="1" thickBot="1" x14ac:dyDescent="0.45">
      <c r="A30" s="25"/>
      <c r="B30" s="409" t="s">
        <v>29</v>
      </c>
      <c r="C30" s="410"/>
      <c r="D30" s="410"/>
      <c r="E30" s="410"/>
      <c r="F30" s="167">
        <f>SUM(F31:F37)</f>
        <v>118674</v>
      </c>
      <c r="G30" s="167">
        <f>SUM(G31:G37)</f>
        <v>79354</v>
      </c>
      <c r="H30" s="159">
        <f t="shared" si="0"/>
        <v>0.66867216070916968</v>
      </c>
      <c r="I30" s="56"/>
      <c r="J30" s="28"/>
      <c r="K30" s="28"/>
      <c r="L30" s="28"/>
      <c r="M30" s="28"/>
      <c r="N30" s="28"/>
      <c r="O30" s="28"/>
      <c r="P30" s="56"/>
      <c r="Q30" s="56"/>
      <c r="R30" s="56"/>
      <c r="S30" s="56"/>
      <c r="T30" s="56"/>
      <c r="U30" s="74"/>
      <c r="V30" s="25"/>
    </row>
    <row r="31" spans="1:22" s="1" customFormat="1" ht="33.75" customHeight="1" x14ac:dyDescent="0.4">
      <c r="A31" s="25"/>
      <c r="B31" s="324" t="s">
        <v>280</v>
      </c>
      <c r="C31" s="325"/>
      <c r="D31" s="325"/>
      <c r="E31" s="397"/>
      <c r="F31" s="169">
        <f>IFERROR(VLOOKUP(MID(B31,4,3),MMWR_TRAD_AGG_NATIONAL[],2,0),"--")</f>
        <v>42</v>
      </c>
      <c r="G31" s="170">
        <f>IFERROR(VLOOKUP(MID(B31,4,3),MMWR_TRAD_AGG_NATIONAL[],3,0),"--")</f>
        <v>33</v>
      </c>
      <c r="H31" s="171">
        <f t="shared" si="0"/>
        <v>0.7857142857142857</v>
      </c>
      <c r="I31" s="56"/>
      <c r="J31" s="56"/>
      <c r="K31" s="56"/>
      <c r="L31" s="56"/>
      <c r="M31" s="56"/>
      <c r="N31" s="56"/>
      <c r="O31" s="56"/>
      <c r="P31" s="56"/>
      <c r="Q31" s="56"/>
      <c r="R31" s="56"/>
      <c r="S31" s="56"/>
      <c r="T31" s="56"/>
      <c r="U31" s="74"/>
      <c r="V31" s="25"/>
    </row>
    <row r="32" spans="1:22" s="1" customFormat="1" ht="32.25" customHeight="1" x14ac:dyDescent="0.4">
      <c r="A32" s="25"/>
      <c r="B32" s="324" t="s">
        <v>281</v>
      </c>
      <c r="C32" s="325"/>
      <c r="D32" s="325"/>
      <c r="E32" s="397"/>
      <c r="F32" s="169">
        <f>IFERROR(VLOOKUP(MID(B32,4,3),MMWR_TRAD_AGG_NATIONAL[],2,0),"--")</f>
        <v>37125</v>
      </c>
      <c r="G32" s="170">
        <f>IFERROR(VLOOKUP(MID(B32,4,3),MMWR_TRAD_AGG_NATIONAL[],3,0),"--")</f>
        <v>10805</v>
      </c>
      <c r="H32" s="171">
        <f t="shared" si="0"/>
        <v>0.29104377104377105</v>
      </c>
      <c r="I32" s="56"/>
      <c r="J32" s="56"/>
      <c r="K32" s="56"/>
      <c r="L32" s="56"/>
      <c r="M32" s="56"/>
      <c r="N32" s="56"/>
      <c r="O32" s="56"/>
      <c r="P32" s="56"/>
      <c r="Q32" s="56"/>
      <c r="R32" s="56"/>
      <c r="S32" s="56"/>
      <c r="T32" s="56"/>
      <c r="U32" s="74"/>
      <c r="V32" s="25"/>
    </row>
    <row r="33" spans="1:22" s="1" customFormat="1" ht="32.25" customHeight="1" x14ac:dyDescent="0.4">
      <c r="A33" s="25"/>
      <c r="B33" s="324" t="s">
        <v>282</v>
      </c>
      <c r="C33" s="325"/>
      <c r="D33" s="325"/>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4" t="s">
        <v>283</v>
      </c>
      <c r="C34" s="325"/>
      <c r="D34" s="325"/>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4" t="s">
        <v>284</v>
      </c>
      <c r="C35" s="325"/>
      <c r="D35" s="325"/>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4" t="s">
        <v>285</v>
      </c>
      <c r="C36" s="325"/>
      <c r="D36" s="325"/>
      <c r="E36" s="397"/>
      <c r="F36" s="169">
        <f>IFERROR(VLOOKUP(MID(B36,4,3),MMWR_TRAD_AGG_NATIONAL[],2,0),"--")</f>
        <v>19914</v>
      </c>
      <c r="G36" s="170">
        <f>IFERROR(VLOOKUP(MID(B36,4,3),MMWR_TRAD_AGG_NATIONAL[],3,0),"--")</f>
        <v>14600</v>
      </c>
      <c r="H36" s="171">
        <f t="shared" si="0"/>
        <v>0.73315255599076024</v>
      </c>
      <c r="I36" s="56"/>
      <c r="J36" s="56"/>
      <c r="K36" s="56"/>
      <c r="L36" s="56"/>
      <c r="M36" s="56"/>
      <c r="N36" s="56"/>
      <c r="O36" s="56"/>
      <c r="P36" s="56"/>
      <c r="Q36" s="56"/>
      <c r="R36" s="56"/>
      <c r="S36" s="56"/>
      <c r="T36" s="56"/>
      <c r="U36" s="74"/>
      <c r="V36" s="25"/>
    </row>
    <row r="37" spans="1:22" s="1" customFormat="1" ht="27" customHeight="1" thickBot="1" x14ac:dyDescent="0.45">
      <c r="A37" s="25"/>
      <c r="B37" s="324" t="s">
        <v>286</v>
      </c>
      <c r="C37" s="325"/>
      <c r="D37" s="325"/>
      <c r="E37" s="397"/>
      <c r="F37" s="169">
        <f>IFERROR(VLOOKUP(MID(B37,4,3)&amp;"G",MMWR_TRAD_AGG_NATIONAL[],2,0),"--")</f>
        <v>61593</v>
      </c>
      <c r="G37" s="170">
        <f>IFERROR(VLOOKUP(MID(B37,4,3)&amp;"G",MMWR_TRAD_AGG_NATIONAL[],3,0),"--")</f>
        <v>53916</v>
      </c>
      <c r="H37" s="171">
        <f t="shared" si="0"/>
        <v>0.87535921289756957</v>
      </c>
      <c r="I37" s="56"/>
      <c r="J37" s="56"/>
      <c r="K37" s="56"/>
      <c r="L37" s="56"/>
      <c r="M37" s="56"/>
      <c r="N37" s="56"/>
      <c r="O37" s="56"/>
      <c r="P37" s="56"/>
      <c r="Q37" s="56"/>
      <c r="R37" s="56"/>
      <c r="S37" s="56"/>
      <c r="T37" s="56"/>
      <c r="U37" s="74"/>
      <c r="V37" s="25"/>
    </row>
    <row r="38" spans="1:22" s="1" customFormat="1" ht="32.25" customHeight="1" thickBot="1" x14ac:dyDescent="0.45">
      <c r="A38" s="25"/>
      <c r="B38" s="409" t="s">
        <v>238</v>
      </c>
      <c r="C38" s="410"/>
      <c r="D38" s="410"/>
      <c r="E38" s="410"/>
      <c r="F38" s="166">
        <f>SUM(F39:F44)</f>
        <v>158481</v>
      </c>
      <c r="G38" s="167">
        <f>SUM(G39:G44)</f>
        <v>103396</v>
      </c>
      <c r="H38" s="168">
        <f t="shared" si="0"/>
        <v>0.65241890195039154</v>
      </c>
      <c r="I38" s="56"/>
      <c r="J38" s="56"/>
      <c r="K38" s="75"/>
      <c r="L38" s="75"/>
      <c r="M38" s="75"/>
      <c r="N38" s="75"/>
      <c r="O38" s="75"/>
      <c r="P38" s="56"/>
      <c r="Q38" s="56"/>
      <c r="R38" s="56"/>
      <c r="S38" s="56"/>
      <c r="T38" s="56"/>
      <c r="U38" s="74"/>
      <c r="V38" s="25"/>
    </row>
    <row r="39" spans="1:22" s="1" customFormat="1" ht="26.25" customHeight="1" x14ac:dyDescent="0.4">
      <c r="A39" s="25"/>
      <c r="B39" s="420" t="s">
        <v>287</v>
      </c>
      <c r="C39" s="439"/>
      <c r="D39" s="439"/>
      <c r="E39" s="421"/>
      <c r="F39" s="172">
        <f>IFERROR(VLOOKUP(MID(B39,4,3),MMWR_TRAD_AGG_NATIONAL[],2,0),"--")</f>
        <v>7407</v>
      </c>
      <c r="G39" s="173">
        <f>IFERROR(VLOOKUP(MID(B39,4,3),MMWR_TRAD_AGG_NATIONAL[],3,0),"--")</f>
        <v>5918</v>
      </c>
      <c r="H39" s="174">
        <f t="shared" si="0"/>
        <v>0.79897394356689622</v>
      </c>
      <c r="I39" s="56"/>
      <c r="J39" s="56"/>
      <c r="K39" s="75"/>
      <c r="L39" s="75"/>
      <c r="M39" s="75"/>
      <c r="N39" s="75"/>
      <c r="O39" s="75"/>
      <c r="P39" s="56"/>
      <c r="Q39" s="56"/>
      <c r="R39" s="56"/>
      <c r="S39" s="56"/>
      <c r="T39" s="56"/>
      <c r="U39" s="74"/>
      <c r="V39" s="25"/>
    </row>
    <row r="40" spans="1:22" s="1" customFormat="1" ht="26.25" customHeight="1" x14ac:dyDescent="0.4">
      <c r="A40" s="25"/>
      <c r="B40" s="324" t="s">
        <v>288</v>
      </c>
      <c r="C40" s="325"/>
      <c r="D40" s="325"/>
      <c r="E40" s="397"/>
      <c r="F40" s="169">
        <f>IFERROR(VLOOKUP(MID(B40,4,3),MMWR_TRAD_AGG_NATIONAL[],2,0),"--")</f>
        <v>69033</v>
      </c>
      <c r="G40" s="170">
        <f>IFERROR(VLOOKUP(MID(B40,4,3),MMWR_TRAD_AGG_NATIONAL[],3,0),"--")</f>
        <v>52845</v>
      </c>
      <c r="H40" s="171">
        <f t="shared" si="0"/>
        <v>0.76550345486941029</v>
      </c>
      <c r="I40" s="56"/>
      <c r="J40" s="56"/>
      <c r="K40" s="56"/>
      <c r="L40" s="56"/>
      <c r="M40" s="56"/>
      <c r="N40" s="56"/>
      <c r="O40" s="56"/>
      <c r="P40" s="56"/>
      <c r="Q40" s="56"/>
      <c r="R40" s="56"/>
      <c r="S40" s="56"/>
      <c r="T40" s="56"/>
      <c r="U40" s="74"/>
      <c r="V40" s="25"/>
    </row>
    <row r="41" spans="1:22" s="1" customFormat="1" ht="26.25" customHeight="1" x14ac:dyDescent="0.4">
      <c r="A41" s="25"/>
      <c r="B41" s="324" t="s">
        <v>289</v>
      </c>
      <c r="C41" s="325"/>
      <c r="D41" s="325"/>
      <c r="E41" s="397"/>
      <c r="F41" s="169">
        <f>IFERROR(VLOOKUP(MID(B41,4,3),MMWR_TRAD_AGG_NATIONAL[],2,0),"--")</f>
        <v>1462</v>
      </c>
      <c r="G41" s="170">
        <f>IFERROR(VLOOKUP(MID(B41,4,3),MMWR_TRAD_AGG_NATIONAL[],3,0),"--")</f>
        <v>461</v>
      </c>
      <c r="H41" s="171">
        <f t="shared" si="0"/>
        <v>0.31532147742818056</v>
      </c>
      <c r="I41" s="56"/>
      <c r="J41" s="56"/>
      <c r="K41" s="56"/>
      <c r="L41" s="56"/>
      <c r="M41" s="56"/>
      <c r="N41" s="56"/>
      <c r="O41" s="56"/>
      <c r="P41" s="56"/>
      <c r="Q41" s="56"/>
      <c r="R41" s="56"/>
      <c r="S41" s="56"/>
      <c r="T41" s="56"/>
      <c r="U41" s="74"/>
      <c r="V41" s="25"/>
    </row>
    <row r="42" spans="1:22" s="1" customFormat="1" ht="36" customHeight="1" x14ac:dyDescent="0.4">
      <c r="A42" s="25"/>
      <c r="B42" s="324" t="s">
        <v>290</v>
      </c>
      <c r="C42" s="325"/>
      <c r="D42" s="325"/>
      <c r="E42" s="397"/>
      <c r="F42" s="169">
        <f>IFERROR(VLOOKUP(MID(B42,4,3),MMWR_TRAD_AGG_NATIONAL[],2,0),"--")</f>
        <v>59217</v>
      </c>
      <c r="G42" s="170">
        <f>IFERROR(VLOOKUP(MID(B42,4,3),MMWR_TRAD_AGG_NATIONAL[],3,0),"--")</f>
        <v>32149</v>
      </c>
      <c r="H42" s="171">
        <f t="shared" si="0"/>
        <v>0.54290153165476129</v>
      </c>
      <c r="I42" s="56"/>
      <c r="J42" s="56"/>
      <c r="K42" s="56"/>
      <c r="L42" s="56"/>
      <c r="M42" s="56"/>
      <c r="N42" s="56"/>
      <c r="O42" s="56"/>
      <c r="P42" s="56"/>
      <c r="Q42" s="56"/>
      <c r="R42" s="56"/>
      <c r="S42" s="56"/>
      <c r="T42" s="56"/>
      <c r="U42" s="74"/>
      <c r="V42" s="25"/>
    </row>
    <row r="43" spans="1:22" s="1" customFormat="1" ht="33" customHeight="1" x14ac:dyDescent="0.4">
      <c r="A43" s="25"/>
      <c r="B43" s="324" t="s">
        <v>291</v>
      </c>
      <c r="C43" s="325"/>
      <c r="D43" s="325"/>
      <c r="E43" s="397"/>
      <c r="F43" s="169">
        <f>IFERROR(VLOOKUP(MID(B43,4,3),MMWR_TRAD_AGG_NATIONAL[],2,0),"--")</f>
        <v>20846</v>
      </c>
      <c r="G43" s="170">
        <f>IFERROR(VLOOKUP(MID(B43,4,3),MMWR_TRAD_AGG_NATIONAL[],3,0),"--")</f>
        <v>11588</v>
      </c>
      <c r="H43" s="171">
        <f t="shared" si="0"/>
        <v>0.55588602129905018</v>
      </c>
      <c r="I43" s="56"/>
      <c r="J43" s="56"/>
      <c r="K43" s="56"/>
      <c r="L43" s="56"/>
      <c r="M43" s="56"/>
      <c r="N43" s="56"/>
      <c r="O43" s="56"/>
      <c r="P43" s="56"/>
      <c r="Q43" s="56"/>
      <c r="R43" s="56"/>
      <c r="S43" s="56"/>
      <c r="T43" s="56"/>
      <c r="U43" s="74"/>
      <c r="V43" s="25"/>
    </row>
    <row r="44" spans="1:22" s="1" customFormat="1" ht="27" customHeight="1" thickBot="1" x14ac:dyDescent="0.45">
      <c r="A44" s="25"/>
      <c r="B44" s="326" t="s">
        <v>292</v>
      </c>
      <c r="C44" s="327"/>
      <c r="D44" s="327"/>
      <c r="E44" s="399"/>
      <c r="F44" s="175">
        <f>IFERROR(VLOOKUP(MID(B44,4,3),MMWR_TRAD_AGG_NATIONAL[],2,0),"--")</f>
        <v>516</v>
      </c>
      <c r="G44" s="176">
        <f>IFERROR(VLOOKUP(MID(B44,4,3),MMWR_TRAD_AGG_NATIONAL[],3,0),"--")</f>
        <v>435</v>
      </c>
      <c r="H44" s="177">
        <f t="shared" si="0"/>
        <v>0.84302325581395354</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FEBRUARY 20,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489</v>
      </c>
      <c r="T4" s="91"/>
    </row>
    <row r="5" spans="1:20" ht="26.25" x14ac:dyDescent="0.4">
      <c r="A5" s="25"/>
      <c r="B5" s="26"/>
      <c r="C5" s="453" t="s">
        <v>487</v>
      </c>
      <c r="D5" s="454"/>
      <c r="E5" s="454"/>
      <c r="F5" s="454"/>
      <c r="G5" s="454"/>
      <c r="H5" s="454"/>
      <c r="I5" s="454"/>
      <c r="J5" s="454"/>
      <c r="K5" s="454"/>
      <c r="L5" s="454"/>
      <c r="M5" s="454"/>
      <c r="N5" s="454"/>
      <c r="O5" s="454"/>
      <c r="P5" s="454"/>
      <c r="Q5" s="454"/>
      <c r="R5" s="454"/>
      <c r="S5" s="455"/>
      <c r="T5" s="25"/>
    </row>
    <row r="6" spans="1:20" x14ac:dyDescent="0.2">
      <c r="A6" s="92"/>
      <c r="B6" s="93" t="s">
        <v>462</v>
      </c>
      <c r="C6" s="208">
        <f>IFERROR(VLOOKUP($B6,MMWR_TRAD_AGG_DISTRICT_COMP[],C$1,0),"ERROR")</f>
        <v>306838</v>
      </c>
      <c r="D6" s="186">
        <f>IFERROR(VLOOKUP($B6,MMWR_TRAD_AGG_DISTRICT_COMP[],D$1,0),"ERROR")</f>
        <v>388.20848134850002</v>
      </c>
      <c r="E6" s="194">
        <f>IFERROR(VLOOKUP($B6,MMWR_TRAD_AGG_DISTRICT_COMP[],E$1,0),"ERROR")</f>
        <v>323066</v>
      </c>
      <c r="F6" s="188">
        <f>IFERROR(VLOOKUP($B6,MMWR_TRAD_AGG_DISTRICT_COMP[],F$1,0),"ERROR")</f>
        <v>79569</v>
      </c>
      <c r="G6" s="211">
        <f t="shared" ref="G6:G69" si="0">IFERROR(F6/E6,"0%")</f>
        <v>0.24629332706010537</v>
      </c>
      <c r="H6" s="187">
        <f>IFERROR(VLOOKUP($B6,MMWR_TRAD_AGG_DISTRICT_COMP[],H$1,0),"ERROR")</f>
        <v>443566</v>
      </c>
      <c r="I6" s="188">
        <f>IFERROR(VLOOKUP($B6,MMWR_TRAD_AGG_DISTRICT_COMP[],I$1,0),"ERROR")</f>
        <v>298132</v>
      </c>
      <c r="J6" s="211">
        <f t="shared" ref="J6:J69" si="1">IFERROR(I6/H6,"0%")</f>
        <v>0.67212545596371231</v>
      </c>
      <c r="K6" s="187">
        <f>IFERROR(VLOOKUP($B6,MMWR_TRAD_AGG_DISTRICT_COMP[],K$1,0),"ERROR")</f>
        <v>122605</v>
      </c>
      <c r="L6" s="188">
        <f>IFERROR(VLOOKUP($B6,MMWR_TRAD_AGG_DISTRICT_COMP[],L$1,0),"ERROR")</f>
        <v>83117</v>
      </c>
      <c r="M6" s="211">
        <f t="shared" ref="M6:M69" si="2">IFERROR(L6/K6,"0%")</f>
        <v>0.67792504383997387</v>
      </c>
      <c r="N6" s="187">
        <f>IFERROR(VLOOKUP($B6,MMWR_TRAD_AGG_DISTRICT_COMP[],N$1,0),"ERROR")</f>
        <v>159828</v>
      </c>
      <c r="O6" s="188">
        <f>IFERROR(VLOOKUP($B6,MMWR_TRAD_AGG_DISTRICT_COMP[],O$1,0),"ERROR")</f>
        <v>104175</v>
      </c>
      <c r="P6" s="211">
        <f t="shared" ref="P6:P69" si="3">IFERROR(O6/N6,"0%")</f>
        <v>0.651794429011187</v>
      </c>
      <c r="Q6" s="200">
        <f>IFERROR(VLOOKUP($B6,MMWR_TRAD_AGG_DISTRICT_COMP[],Q$1,0),"ERROR")</f>
        <v>19660</v>
      </c>
      <c r="R6" s="200">
        <f>IFERROR(VLOOKUP($B6,MMWR_TRAD_AGG_DISTRICT_COMP[],R$1,0),"ERROR")</f>
        <v>4131</v>
      </c>
      <c r="S6" s="203">
        <f>S7+S25+S38+S49+S62+S70</f>
        <v>319572</v>
      </c>
      <c r="T6" s="25"/>
    </row>
    <row r="7" spans="1:20" x14ac:dyDescent="0.2">
      <c r="A7" s="92"/>
      <c r="B7" s="101" t="s">
        <v>370</v>
      </c>
      <c r="C7" s="212">
        <f>IFERROR(VLOOKUP($B7,MMWR_TRAD_AGG_DISTRICT_COMP[],C$1,0),"ERROR")</f>
        <v>95125</v>
      </c>
      <c r="D7" s="197">
        <f>IFERROR(VLOOKUP($B7,MMWR_TRAD_AGG_DISTRICT_COMP[],D$1,0),"ERROR")</f>
        <v>444.51704599210001</v>
      </c>
      <c r="E7" s="213">
        <f>IFERROR(VLOOKUP($B7,MMWR_TRAD_AGG_DISTRICT_COMP[],E$1,0),"ERROR")</f>
        <v>76344</v>
      </c>
      <c r="F7" s="212">
        <f>IFERROR(VLOOKUP($B7,MMWR_TRAD_AGG_DISTRICT_COMP[],F$1,0),"ERROR")</f>
        <v>20328</v>
      </c>
      <c r="G7" s="214">
        <f t="shared" si="0"/>
        <v>0.26626846903489471</v>
      </c>
      <c r="H7" s="212">
        <f>IFERROR(VLOOKUP($B7,MMWR_TRAD_AGG_DISTRICT_COMP[],H$1,0),"ERROR")</f>
        <v>128363</v>
      </c>
      <c r="I7" s="212">
        <f>IFERROR(VLOOKUP($B7,MMWR_TRAD_AGG_DISTRICT_COMP[],I$1,0),"ERROR")</f>
        <v>94215</v>
      </c>
      <c r="J7" s="214">
        <f t="shared" si="1"/>
        <v>0.73397318541947443</v>
      </c>
      <c r="K7" s="212">
        <f>IFERROR(VLOOKUP($B7,MMWR_TRAD_AGG_DISTRICT_COMP[],K$1,0),"ERROR")</f>
        <v>38255</v>
      </c>
      <c r="L7" s="212">
        <f>IFERROR(VLOOKUP($B7,MMWR_TRAD_AGG_DISTRICT_COMP[],L$1,0),"ERROR")</f>
        <v>26031</v>
      </c>
      <c r="M7" s="214">
        <f t="shared" si="2"/>
        <v>0.68046007057900926</v>
      </c>
      <c r="N7" s="212">
        <f>IFERROR(VLOOKUP($B7,MMWR_TRAD_AGG_DISTRICT_COMP[],N$1,0),"ERROR")</f>
        <v>27829</v>
      </c>
      <c r="O7" s="212">
        <f>IFERROR(VLOOKUP($B7,MMWR_TRAD_AGG_DISTRICT_COMP[],O$1,0),"ERROR")</f>
        <v>20126</v>
      </c>
      <c r="P7" s="214">
        <f t="shared" si="3"/>
        <v>0.72320241474720615</v>
      </c>
      <c r="Q7" s="212">
        <f>IFERROR(VLOOKUP($B7,MMWR_TRAD_AGG_DISTRICT_COMP[],Q$1,0),"ERROR")</f>
        <v>12658</v>
      </c>
      <c r="R7" s="215">
        <f>IFERROR(VLOOKUP($B7,MMWR_TRAD_AGG_DISTRICT_COMP[],R$1,0),"ERROR")</f>
        <v>52</v>
      </c>
      <c r="S7" s="215">
        <f>IFERROR(VLOOKUP($B7,MMWR_APP_RO[],S$1,0),"ERROR")</f>
        <v>56386</v>
      </c>
      <c r="T7" s="25"/>
    </row>
    <row r="8" spans="1:20" x14ac:dyDescent="0.2">
      <c r="A8" s="107"/>
      <c r="B8" s="108" t="s">
        <v>33</v>
      </c>
      <c r="C8" s="209">
        <f>IFERROR(VLOOKUP($B8,MMWR_TRAD_AGG_RO_COMP[],C$1,0),"ERROR")</f>
        <v>7945</v>
      </c>
      <c r="D8" s="198">
        <f>IFERROR(VLOOKUP($B8,MMWR_TRAD_AGG_RO_COMP[],D$1,0),"ERROR")</f>
        <v>726.70534927630001</v>
      </c>
      <c r="E8" s="195">
        <f>IFERROR(VLOOKUP($B8,MMWR_TRAD_AGG_RO_COMP[],E$1,0),"ERROR")</f>
        <v>4688</v>
      </c>
      <c r="F8" s="191">
        <f>IFERROR(VLOOKUP($B8,MMWR_TRAD_AGG_RO_COMP[],F$1,0),"ERROR")</f>
        <v>1193</v>
      </c>
      <c r="G8" s="216">
        <f t="shared" si="0"/>
        <v>0.25447952218430037</v>
      </c>
      <c r="H8" s="190">
        <f>IFERROR(VLOOKUP($B8,MMWR_TRAD_AGG_RO_COMP[],H$1,0),"ERROR")</f>
        <v>9251</v>
      </c>
      <c r="I8" s="191">
        <f>IFERROR(VLOOKUP($B8,MMWR_TRAD_AGG_RO_COMP[],I$1,0),"ERROR")</f>
        <v>7741</v>
      </c>
      <c r="J8" s="216">
        <f t="shared" si="1"/>
        <v>0.83677440276726844</v>
      </c>
      <c r="K8" s="204">
        <f>IFERROR(VLOOKUP($B8,MMWR_TRAD_AGG_RO_COMP[],K$1,0),"ERROR")</f>
        <v>1353</v>
      </c>
      <c r="L8" s="205">
        <f>IFERROR(VLOOKUP($B8,MMWR_TRAD_AGG_RO_COMP[],L$1,0),"ERROR")</f>
        <v>1113</v>
      </c>
      <c r="M8" s="216">
        <f t="shared" si="2"/>
        <v>0.82261640798226165</v>
      </c>
      <c r="N8" s="204">
        <f>IFERROR(VLOOKUP($B8,MMWR_TRAD_AGG_RO_COMP[],N$1,0),"ERROR")</f>
        <v>1456</v>
      </c>
      <c r="O8" s="205">
        <f>IFERROR(VLOOKUP($B8,MMWR_TRAD_AGG_RO_COMP[],O$1,0),"ERROR")</f>
        <v>1051</v>
      </c>
      <c r="P8" s="216">
        <f t="shared" si="3"/>
        <v>0.72184065934065933</v>
      </c>
      <c r="Q8" s="201">
        <f>IFERROR(VLOOKUP($B8,MMWR_TRAD_AGG_RO_COMP[],Q$1,0),"ERROR")</f>
        <v>0</v>
      </c>
      <c r="R8" s="201">
        <f>IFERROR(VLOOKUP($B8,MMWR_TRAD_AGG_RO_COMP[],R$1,0),"ERROR")</f>
        <v>5</v>
      </c>
      <c r="S8" s="201">
        <f>IFERROR(VLOOKUP($B8,MMWR_APP_RO[],S$1,0),"ERROR")</f>
        <v>5694</v>
      </c>
      <c r="T8" s="25"/>
    </row>
    <row r="9" spans="1:20" x14ac:dyDescent="0.2">
      <c r="A9" s="107"/>
      <c r="B9" s="108" t="s">
        <v>35</v>
      </c>
      <c r="C9" s="209">
        <f>IFERROR(VLOOKUP($B9,MMWR_TRAD_AGG_RO_COMP[],C$1,0),"ERROR")</f>
        <v>4305</v>
      </c>
      <c r="D9" s="198">
        <f>IFERROR(VLOOKUP($B9,MMWR_TRAD_AGG_RO_COMP[],D$1,0),"ERROR")</f>
        <v>612.10917537750004</v>
      </c>
      <c r="E9" s="195">
        <f>IFERROR(VLOOKUP($B9,MMWR_TRAD_AGG_RO_COMP[],E$1,0),"ERROR")</f>
        <v>3558</v>
      </c>
      <c r="F9" s="191">
        <f>IFERROR(VLOOKUP($B9,MMWR_TRAD_AGG_RO_COMP[],F$1,0),"ERROR")</f>
        <v>901</v>
      </c>
      <c r="G9" s="216">
        <f t="shared" si="0"/>
        <v>0.25323215289488477</v>
      </c>
      <c r="H9" s="190">
        <f>IFERROR(VLOOKUP($B9,MMWR_TRAD_AGG_RO_COMP[],H$1,0),"ERROR")</f>
        <v>5733</v>
      </c>
      <c r="I9" s="191">
        <f>IFERROR(VLOOKUP($B9,MMWR_TRAD_AGG_RO_COMP[],I$1,0),"ERROR")</f>
        <v>4479</v>
      </c>
      <c r="J9" s="216">
        <f t="shared" si="1"/>
        <v>0.78126635269492417</v>
      </c>
      <c r="K9" s="204">
        <f>IFERROR(VLOOKUP($B9,MMWR_TRAD_AGG_RO_COMP[],K$1,0),"ERROR")</f>
        <v>2716</v>
      </c>
      <c r="L9" s="205">
        <f>IFERROR(VLOOKUP($B9,MMWR_TRAD_AGG_RO_COMP[],L$1,0),"ERROR")</f>
        <v>2103</v>
      </c>
      <c r="M9" s="216">
        <f t="shared" si="2"/>
        <v>0.77430044182621505</v>
      </c>
      <c r="N9" s="204">
        <f>IFERROR(VLOOKUP($B9,MMWR_TRAD_AGG_RO_COMP[],N$1,0),"ERROR")</f>
        <v>791</v>
      </c>
      <c r="O9" s="205">
        <f>IFERROR(VLOOKUP($B9,MMWR_TRAD_AGG_RO_COMP[],O$1,0),"ERROR")</f>
        <v>644</v>
      </c>
      <c r="P9" s="216">
        <f t="shared" si="3"/>
        <v>0.81415929203539827</v>
      </c>
      <c r="Q9" s="201">
        <f>IFERROR(VLOOKUP($B9,MMWR_TRAD_AGG_RO_COMP[],Q$1,0),"ERROR")</f>
        <v>0</v>
      </c>
      <c r="R9" s="201">
        <f>IFERROR(VLOOKUP($B9,MMWR_TRAD_AGG_RO_COMP[],R$1,0),"ERROR")</f>
        <v>1</v>
      </c>
      <c r="S9" s="201">
        <f>IFERROR(VLOOKUP($B9,MMWR_APP_RO[],S$1,0),"ERROR")</f>
        <v>3276</v>
      </c>
      <c r="T9" s="25"/>
    </row>
    <row r="10" spans="1:20" x14ac:dyDescent="0.2">
      <c r="A10" s="107"/>
      <c r="B10" s="108" t="s">
        <v>24</v>
      </c>
      <c r="C10" s="209">
        <f>IFERROR(VLOOKUP($B10,MMWR_TRAD_AGG_RO_COMP[],C$1,0),"ERROR")</f>
        <v>1205</v>
      </c>
      <c r="D10" s="198">
        <f>IFERROR(VLOOKUP($B10,MMWR_TRAD_AGG_RO_COMP[],D$1,0),"ERROR")</f>
        <v>170.96348547720001</v>
      </c>
      <c r="E10" s="195">
        <f>IFERROR(VLOOKUP($B10,MMWR_TRAD_AGG_RO_COMP[],E$1,0),"ERROR")</f>
        <v>3912</v>
      </c>
      <c r="F10" s="191">
        <f>IFERROR(VLOOKUP($B10,MMWR_TRAD_AGG_RO_COMP[],F$1,0),"ERROR")</f>
        <v>751</v>
      </c>
      <c r="G10" s="216">
        <f t="shared" si="0"/>
        <v>0.19197341513292435</v>
      </c>
      <c r="H10" s="190">
        <f>IFERROR(VLOOKUP($B10,MMWR_TRAD_AGG_RO_COMP[],H$1,0),"ERROR")</f>
        <v>2356</v>
      </c>
      <c r="I10" s="191">
        <f>IFERROR(VLOOKUP($B10,MMWR_TRAD_AGG_RO_COMP[],I$1,0),"ERROR")</f>
        <v>932</v>
      </c>
      <c r="J10" s="216">
        <f t="shared" si="1"/>
        <v>0.39558573853989815</v>
      </c>
      <c r="K10" s="204">
        <f>IFERROR(VLOOKUP($B10,MMWR_TRAD_AGG_RO_COMP[],K$1,0),"ERROR")</f>
        <v>968</v>
      </c>
      <c r="L10" s="205">
        <f>IFERROR(VLOOKUP($B10,MMWR_TRAD_AGG_RO_COMP[],L$1,0),"ERROR")</f>
        <v>479</v>
      </c>
      <c r="M10" s="216">
        <f t="shared" si="2"/>
        <v>0.49483471074380164</v>
      </c>
      <c r="N10" s="204">
        <f>IFERROR(VLOOKUP($B10,MMWR_TRAD_AGG_RO_COMP[],N$1,0),"ERROR")</f>
        <v>492</v>
      </c>
      <c r="O10" s="205">
        <f>IFERROR(VLOOKUP($B10,MMWR_TRAD_AGG_RO_COMP[],O$1,0),"ERROR")</f>
        <v>259</v>
      </c>
      <c r="P10" s="216">
        <f t="shared" si="3"/>
        <v>0.52642276422764223</v>
      </c>
      <c r="Q10" s="201">
        <f>IFERROR(VLOOKUP($B10,MMWR_TRAD_AGG_RO_COMP[],Q$1,0),"ERROR")</f>
        <v>0</v>
      </c>
      <c r="R10" s="201">
        <f>IFERROR(VLOOKUP($B10,MMWR_TRAD_AGG_RO_COMP[],R$1,0),"ERROR")</f>
        <v>0</v>
      </c>
      <c r="S10" s="201">
        <f>IFERROR(VLOOKUP($B10,MMWR_APP_RO[],S$1,0),"ERROR")</f>
        <v>1886</v>
      </c>
      <c r="T10" s="25"/>
    </row>
    <row r="11" spans="1:20" x14ac:dyDescent="0.2">
      <c r="A11" s="107"/>
      <c r="B11" s="108" t="s">
        <v>44</v>
      </c>
      <c r="C11" s="209">
        <f>IFERROR(VLOOKUP($B11,MMWR_TRAD_AGG_RO_COMP[],C$1,0),"ERROR")</f>
        <v>1140</v>
      </c>
      <c r="D11" s="198">
        <f>IFERROR(VLOOKUP($B11,MMWR_TRAD_AGG_RO_COMP[],D$1,0),"ERROR")</f>
        <v>313.31666666669997</v>
      </c>
      <c r="E11" s="195">
        <f>IFERROR(VLOOKUP($B11,MMWR_TRAD_AGG_RO_COMP[],E$1,0),"ERROR")</f>
        <v>1955</v>
      </c>
      <c r="F11" s="191">
        <f>IFERROR(VLOOKUP($B11,MMWR_TRAD_AGG_RO_COMP[],F$1,0),"ERROR")</f>
        <v>487</v>
      </c>
      <c r="G11" s="216">
        <f t="shared" si="0"/>
        <v>0.24910485933503837</v>
      </c>
      <c r="H11" s="190">
        <f>IFERROR(VLOOKUP($B11,MMWR_TRAD_AGG_RO_COMP[],H$1,0),"ERROR")</f>
        <v>2767</v>
      </c>
      <c r="I11" s="191">
        <f>IFERROR(VLOOKUP($B11,MMWR_TRAD_AGG_RO_COMP[],I$1,0),"ERROR")</f>
        <v>1958</v>
      </c>
      <c r="J11" s="216">
        <f t="shared" si="1"/>
        <v>0.70762558727864111</v>
      </c>
      <c r="K11" s="204">
        <f>IFERROR(VLOOKUP($B11,MMWR_TRAD_AGG_RO_COMP[],K$1,0),"ERROR")</f>
        <v>510</v>
      </c>
      <c r="L11" s="205">
        <f>IFERROR(VLOOKUP($B11,MMWR_TRAD_AGG_RO_COMP[],L$1,0),"ERROR")</f>
        <v>318</v>
      </c>
      <c r="M11" s="216">
        <f t="shared" si="2"/>
        <v>0.62352941176470589</v>
      </c>
      <c r="N11" s="204">
        <f>IFERROR(VLOOKUP($B11,MMWR_TRAD_AGG_RO_COMP[],N$1,0),"ERROR")</f>
        <v>808</v>
      </c>
      <c r="O11" s="205">
        <f>IFERROR(VLOOKUP($B11,MMWR_TRAD_AGG_RO_COMP[],O$1,0),"ERROR")</f>
        <v>573</v>
      </c>
      <c r="P11" s="216">
        <f t="shared" si="3"/>
        <v>0.70915841584158412</v>
      </c>
      <c r="Q11" s="201">
        <f>IFERROR(VLOOKUP($B11,MMWR_TRAD_AGG_RO_COMP[],Q$1,0),"ERROR")</f>
        <v>0</v>
      </c>
      <c r="R11" s="201">
        <f>IFERROR(VLOOKUP($B11,MMWR_TRAD_AGG_RO_COMP[],R$1,0),"ERROR")</f>
        <v>6</v>
      </c>
      <c r="S11" s="201">
        <f>IFERROR(VLOOKUP($B11,MMWR_APP_RO[],S$1,0),"ERROR")</f>
        <v>1096</v>
      </c>
      <c r="T11" s="25"/>
    </row>
    <row r="12" spans="1:20" x14ac:dyDescent="0.2">
      <c r="A12" s="107"/>
      <c r="B12" s="108" t="s">
        <v>47</v>
      </c>
      <c r="C12" s="209">
        <f>IFERROR(VLOOKUP($B12,MMWR_TRAD_AGG_RO_COMP[],C$1,0),"ERROR")</f>
        <v>2055</v>
      </c>
      <c r="D12" s="198">
        <f>IFERROR(VLOOKUP($B12,MMWR_TRAD_AGG_RO_COMP[],D$1,0),"ERROR")</f>
        <v>236.18345498779999</v>
      </c>
      <c r="E12" s="195">
        <f>IFERROR(VLOOKUP($B12,MMWR_TRAD_AGG_RO_COMP[],E$1,0),"ERROR")</f>
        <v>2385</v>
      </c>
      <c r="F12" s="191">
        <f>IFERROR(VLOOKUP($B12,MMWR_TRAD_AGG_RO_COMP[],F$1,0),"ERROR")</f>
        <v>523</v>
      </c>
      <c r="G12" s="216">
        <f t="shared" si="0"/>
        <v>0.21928721174004193</v>
      </c>
      <c r="H12" s="190">
        <f>IFERROR(VLOOKUP($B12,MMWR_TRAD_AGG_RO_COMP[],H$1,0),"ERROR")</f>
        <v>3313</v>
      </c>
      <c r="I12" s="191">
        <f>IFERROR(VLOOKUP($B12,MMWR_TRAD_AGG_RO_COMP[],I$1,0),"ERROR")</f>
        <v>2150</v>
      </c>
      <c r="J12" s="216">
        <f t="shared" si="1"/>
        <v>0.64895864775128287</v>
      </c>
      <c r="K12" s="204">
        <f>IFERROR(VLOOKUP($B12,MMWR_TRAD_AGG_RO_COMP[],K$1,0),"ERROR")</f>
        <v>491</v>
      </c>
      <c r="L12" s="205">
        <f>IFERROR(VLOOKUP($B12,MMWR_TRAD_AGG_RO_COMP[],L$1,0),"ERROR")</f>
        <v>92</v>
      </c>
      <c r="M12" s="216">
        <f t="shared" si="2"/>
        <v>0.18737270875763748</v>
      </c>
      <c r="N12" s="204">
        <f>IFERROR(VLOOKUP($B12,MMWR_TRAD_AGG_RO_COMP[],N$1,0),"ERROR")</f>
        <v>1252</v>
      </c>
      <c r="O12" s="205">
        <f>IFERROR(VLOOKUP($B12,MMWR_TRAD_AGG_RO_COMP[],O$1,0),"ERROR")</f>
        <v>886</v>
      </c>
      <c r="P12" s="216">
        <f t="shared" si="3"/>
        <v>0.707667731629393</v>
      </c>
      <c r="Q12" s="201">
        <f>IFERROR(VLOOKUP($B12,MMWR_TRAD_AGG_RO_COMP[],Q$1,0),"ERROR")</f>
        <v>0</v>
      </c>
      <c r="R12" s="201">
        <f>IFERROR(VLOOKUP($B12,MMWR_TRAD_AGG_RO_COMP[],R$1,0),"ERROR")</f>
        <v>9</v>
      </c>
      <c r="S12" s="201">
        <f>IFERROR(VLOOKUP($B12,MMWR_APP_RO[],S$1,0),"ERROR")</f>
        <v>1946</v>
      </c>
      <c r="T12" s="25"/>
    </row>
    <row r="13" spans="1:20" x14ac:dyDescent="0.2">
      <c r="A13" s="107"/>
      <c r="B13" s="108" t="s">
        <v>54</v>
      </c>
      <c r="C13" s="209">
        <f>IFERROR(VLOOKUP($B13,MMWR_TRAD_AGG_RO_COMP[],C$1,0),"ERROR")</f>
        <v>1378</v>
      </c>
      <c r="D13" s="198">
        <f>IFERROR(VLOOKUP($B13,MMWR_TRAD_AGG_RO_COMP[],D$1,0),"ERROR")</f>
        <v>361.54354136429998</v>
      </c>
      <c r="E13" s="195">
        <f>IFERROR(VLOOKUP($B13,MMWR_TRAD_AGG_RO_COMP[],E$1,0),"ERROR")</f>
        <v>975</v>
      </c>
      <c r="F13" s="191">
        <f>IFERROR(VLOOKUP($B13,MMWR_TRAD_AGG_RO_COMP[],F$1,0),"ERROR")</f>
        <v>219</v>
      </c>
      <c r="G13" s="216">
        <f t="shared" si="0"/>
        <v>0.22461538461538461</v>
      </c>
      <c r="H13" s="190">
        <f>IFERROR(VLOOKUP($B13,MMWR_TRAD_AGG_RO_COMP[],H$1,0),"ERROR")</f>
        <v>1888</v>
      </c>
      <c r="I13" s="191">
        <f>IFERROR(VLOOKUP($B13,MMWR_TRAD_AGG_RO_COMP[],I$1,0),"ERROR")</f>
        <v>1235</v>
      </c>
      <c r="J13" s="216">
        <f t="shared" si="1"/>
        <v>0.6541313559322034</v>
      </c>
      <c r="K13" s="204">
        <f>IFERROR(VLOOKUP($B13,MMWR_TRAD_AGG_RO_COMP[],K$1,0),"ERROR")</f>
        <v>349</v>
      </c>
      <c r="L13" s="205">
        <f>IFERROR(VLOOKUP($B13,MMWR_TRAD_AGG_RO_COMP[],L$1,0),"ERROR")</f>
        <v>336</v>
      </c>
      <c r="M13" s="216">
        <f t="shared" si="2"/>
        <v>0.96275071633237819</v>
      </c>
      <c r="N13" s="204">
        <f>IFERROR(VLOOKUP($B13,MMWR_TRAD_AGG_RO_COMP[],N$1,0),"ERROR")</f>
        <v>86</v>
      </c>
      <c r="O13" s="205">
        <f>IFERROR(VLOOKUP($B13,MMWR_TRAD_AGG_RO_COMP[],O$1,0),"ERROR")</f>
        <v>48</v>
      </c>
      <c r="P13" s="216">
        <f t="shared" si="3"/>
        <v>0.55813953488372092</v>
      </c>
      <c r="Q13" s="201">
        <f>IFERROR(VLOOKUP($B13,MMWR_TRAD_AGG_RO_COMP[],Q$1,0),"ERROR")</f>
        <v>0</v>
      </c>
      <c r="R13" s="201">
        <f>IFERROR(VLOOKUP($B13,MMWR_TRAD_AGG_RO_COMP[],R$1,0),"ERROR")</f>
        <v>1</v>
      </c>
      <c r="S13" s="201">
        <f>IFERROR(VLOOKUP($B13,MMWR_APP_RO[],S$1,0),"ERROR")</f>
        <v>560</v>
      </c>
      <c r="T13" s="25"/>
    </row>
    <row r="14" spans="1:20" x14ac:dyDescent="0.2">
      <c r="A14" s="107"/>
      <c r="B14" s="108" t="s">
        <v>60</v>
      </c>
      <c r="C14" s="209">
        <f>IFERROR(VLOOKUP($B14,MMWR_TRAD_AGG_RO_COMP[],C$1,0),"ERROR")</f>
        <v>3843</v>
      </c>
      <c r="D14" s="198">
        <f>IFERROR(VLOOKUP($B14,MMWR_TRAD_AGG_RO_COMP[],D$1,0),"ERROR")</f>
        <v>309.39734582360001</v>
      </c>
      <c r="E14" s="195">
        <f>IFERROR(VLOOKUP($B14,MMWR_TRAD_AGG_RO_COMP[],E$1,0),"ERROR")</f>
        <v>4544</v>
      </c>
      <c r="F14" s="191">
        <f>IFERROR(VLOOKUP($B14,MMWR_TRAD_AGG_RO_COMP[],F$1,0),"ERROR")</f>
        <v>1304</v>
      </c>
      <c r="G14" s="216">
        <f t="shared" si="0"/>
        <v>0.2869718309859155</v>
      </c>
      <c r="H14" s="190">
        <f>IFERROR(VLOOKUP($B14,MMWR_TRAD_AGG_RO_COMP[],H$1,0),"ERROR")</f>
        <v>5261</v>
      </c>
      <c r="I14" s="191">
        <f>IFERROR(VLOOKUP($B14,MMWR_TRAD_AGG_RO_COMP[],I$1,0),"ERROR")</f>
        <v>3598</v>
      </c>
      <c r="J14" s="216">
        <f t="shared" si="1"/>
        <v>0.68390039916365708</v>
      </c>
      <c r="K14" s="204">
        <f>IFERROR(VLOOKUP($B14,MMWR_TRAD_AGG_RO_COMP[],K$1,0),"ERROR")</f>
        <v>3251</v>
      </c>
      <c r="L14" s="205">
        <f>IFERROR(VLOOKUP($B14,MMWR_TRAD_AGG_RO_COMP[],L$1,0),"ERROR")</f>
        <v>2777</v>
      </c>
      <c r="M14" s="216">
        <f t="shared" si="2"/>
        <v>0.85419870808981857</v>
      </c>
      <c r="N14" s="204">
        <f>IFERROR(VLOOKUP($B14,MMWR_TRAD_AGG_RO_COMP[],N$1,0),"ERROR")</f>
        <v>2303</v>
      </c>
      <c r="O14" s="205">
        <f>IFERROR(VLOOKUP($B14,MMWR_TRAD_AGG_RO_COMP[],O$1,0),"ERROR")</f>
        <v>213</v>
      </c>
      <c r="P14" s="216">
        <f t="shared" si="3"/>
        <v>9.2488059053408594E-2</v>
      </c>
      <c r="Q14" s="201">
        <f>IFERROR(VLOOKUP($B14,MMWR_TRAD_AGG_RO_COMP[],Q$1,0),"ERROR")</f>
        <v>0</v>
      </c>
      <c r="R14" s="201">
        <f>IFERROR(VLOOKUP($B14,MMWR_TRAD_AGG_RO_COMP[],R$1,0),"ERROR")</f>
        <v>1</v>
      </c>
      <c r="S14" s="201">
        <f>IFERROR(VLOOKUP($B14,MMWR_APP_RO[],S$1,0),"ERROR")</f>
        <v>3077</v>
      </c>
      <c r="T14" s="25"/>
    </row>
    <row r="15" spans="1:20" x14ac:dyDescent="0.2">
      <c r="A15" s="107"/>
      <c r="B15" s="108" t="s">
        <v>61</v>
      </c>
      <c r="C15" s="209">
        <f>IFERROR(VLOOKUP($B15,MMWR_TRAD_AGG_RO_COMP[],C$1,0),"ERROR")</f>
        <v>876</v>
      </c>
      <c r="D15" s="198">
        <f>IFERROR(VLOOKUP($B15,MMWR_TRAD_AGG_RO_COMP[],D$1,0),"ERROR")</f>
        <v>162.7408675799</v>
      </c>
      <c r="E15" s="195">
        <f>IFERROR(VLOOKUP($B15,MMWR_TRAD_AGG_RO_COMP[],E$1,0),"ERROR")</f>
        <v>2376</v>
      </c>
      <c r="F15" s="191">
        <f>IFERROR(VLOOKUP($B15,MMWR_TRAD_AGG_RO_COMP[],F$1,0),"ERROR")</f>
        <v>550</v>
      </c>
      <c r="G15" s="216">
        <f t="shared" si="0"/>
        <v>0.23148148148148148</v>
      </c>
      <c r="H15" s="190">
        <f>IFERROR(VLOOKUP($B15,MMWR_TRAD_AGG_RO_COMP[],H$1,0),"ERROR")</f>
        <v>1491</v>
      </c>
      <c r="I15" s="191">
        <f>IFERROR(VLOOKUP($B15,MMWR_TRAD_AGG_RO_COMP[],I$1,0),"ERROR")</f>
        <v>814</v>
      </c>
      <c r="J15" s="216">
        <f t="shared" si="1"/>
        <v>0.54594232059020786</v>
      </c>
      <c r="K15" s="204">
        <f>IFERROR(VLOOKUP($B15,MMWR_TRAD_AGG_RO_COMP[],K$1,0),"ERROR")</f>
        <v>744</v>
      </c>
      <c r="L15" s="205">
        <f>IFERROR(VLOOKUP($B15,MMWR_TRAD_AGG_RO_COMP[],L$1,0),"ERROR")</f>
        <v>545</v>
      </c>
      <c r="M15" s="216">
        <f t="shared" si="2"/>
        <v>0.73252688172043012</v>
      </c>
      <c r="N15" s="204">
        <f>IFERROR(VLOOKUP($B15,MMWR_TRAD_AGG_RO_COMP[],N$1,0),"ERROR")</f>
        <v>1531</v>
      </c>
      <c r="O15" s="205">
        <f>IFERROR(VLOOKUP($B15,MMWR_TRAD_AGG_RO_COMP[],O$1,0),"ERROR")</f>
        <v>1134</v>
      </c>
      <c r="P15" s="216">
        <f t="shared" si="3"/>
        <v>0.74069235793598953</v>
      </c>
      <c r="Q15" s="201">
        <f>IFERROR(VLOOKUP($B15,MMWR_TRAD_AGG_RO_COMP[],Q$1,0),"ERROR")</f>
        <v>0</v>
      </c>
      <c r="R15" s="201">
        <f>IFERROR(VLOOKUP($B15,MMWR_TRAD_AGG_RO_COMP[],R$1,0),"ERROR")</f>
        <v>1</v>
      </c>
      <c r="S15" s="201">
        <f>IFERROR(VLOOKUP($B15,MMWR_APP_RO[],S$1,0),"ERROR")</f>
        <v>2557</v>
      </c>
      <c r="T15" s="25"/>
    </row>
    <row r="16" spans="1:20" x14ac:dyDescent="0.2">
      <c r="A16" s="107"/>
      <c r="B16" s="108" t="s">
        <v>63</v>
      </c>
      <c r="C16" s="209">
        <f>IFERROR(VLOOKUP($B16,MMWR_TRAD_AGG_RO_COMP[],C$1,0),"ERROR")</f>
        <v>5858</v>
      </c>
      <c r="D16" s="198">
        <f>IFERROR(VLOOKUP($B16,MMWR_TRAD_AGG_RO_COMP[],D$1,0),"ERROR")</f>
        <v>403.26271765109999</v>
      </c>
      <c r="E16" s="195">
        <f>IFERROR(VLOOKUP($B16,MMWR_TRAD_AGG_RO_COMP[],E$1,0),"ERROR")</f>
        <v>11279</v>
      </c>
      <c r="F16" s="191">
        <f>IFERROR(VLOOKUP($B16,MMWR_TRAD_AGG_RO_COMP[],F$1,0),"ERROR")</f>
        <v>3126</v>
      </c>
      <c r="G16" s="216">
        <f t="shared" si="0"/>
        <v>0.27715222980760706</v>
      </c>
      <c r="H16" s="190">
        <f>IFERROR(VLOOKUP($B16,MMWR_TRAD_AGG_RO_COMP[],H$1,0),"ERROR")</f>
        <v>9139</v>
      </c>
      <c r="I16" s="191">
        <f>IFERROR(VLOOKUP($B16,MMWR_TRAD_AGG_RO_COMP[],I$1,0),"ERROR")</f>
        <v>6804</v>
      </c>
      <c r="J16" s="216">
        <f t="shared" si="1"/>
        <v>0.74450158660684973</v>
      </c>
      <c r="K16" s="204">
        <f>IFERROR(VLOOKUP($B16,MMWR_TRAD_AGG_RO_COMP[],K$1,0),"ERROR")</f>
        <v>2302</v>
      </c>
      <c r="L16" s="205">
        <f>IFERROR(VLOOKUP($B16,MMWR_TRAD_AGG_RO_COMP[],L$1,0),"ERROR")</f>
        <v>872</v>
      </c>
      <c r="M16" s="216">
        <f t="shared" si="2"/>
        <v>0.37880104257167679</v>
      </c>
      <c r="N16" s="204">
        <f>IFERROR(VLOOKUP($B16,MMWR_TRAD_AGG_RO_COMP[],N$1,0),"ERROR")</f>
        <v>7295</v>
      </c>
      <c r="O16" s="205">
        <f>IFERROR(VLOOKUP($B16,MMWR_TRAD_AGG_RO_COMP[],O$1,0),"ERROR")</f>
        <v>6360</v>
      </c>
      <c r="P16" s="216">
        <f t="shared" si="3"/>
        <v>0.87183002056202874</v>
      </c>
      <c r="Q16" s="201">
        <f>IFERROR(VLOOKUP($B16,MMWR_TRAD_AGG_RO_COMP[],Q$1,0),"ERROR")</f>
        <v>12651</v>
      </c>
      <c r="R16" s="201">
        <f>IFERROR(VLOOKUP($B16,MMWR_TRAD_AGG_RO_COMP[],R$1,0),"ERROR")</f>
        <v>0</v>
      </c>
      <c r="S16" s="201">
        <f>IFERROR(VLOOKUP($B16,MMWR_APP_RO[],S$1,0),"ERROR")</f>
        <v>5620</v>
      </c>
      <c r="T16" s="25"/>
    </row>
    <row r="17" spans="1:20" x14ac:dyDescent="0.2">
      <c r="A17" s="107"/>
      <c r="B17" s="108" t="s">
        <v>65</v>
      </c>
      <c r="C17" s="209">
        <f>IFERROR(VLOOKUP($B17,MMWR_TRAD_AGG_RO_COMP[],C$1,0),"ERROR")</f>
        <v>4148</v>
      </c>
      <c r="D17" s="198">
        <f>IFERROR(VLOOKUP($B17,MMWR_TRAD_AGG_RO_COMP[],D$1,0),"ERROR")</f>
        <v>485.84811957570003</v>
      </c>
      <c r="E17" s="195">
        <f>IFERROR(VLOOKUP($B17,MMWR_TRAD_AGG_RO_COMP[],E$1,0),"ERROR")</f>
        <v>4926</v>
      </c>
      <c r="F17" s="191">
        <f>IFERROR(VLOOKUP($B17,MMWR_TRAD_AGG_RO_COMP[],F$1,0),"ERROR")</f>
        <v>1605</v>
      </c>
      <c r="G17" s="216">
        <f t="shared" si="0"/>
        <v>0.32582216808769793</v>
      </c>
      <c r="H17" s="190">
        <f>IFERROR(VLOOKUP($B17,MMWR_TRAD_AGG_RO_COMP[],H$1,0),"ERROR")</f>
        <v>5646</v>
      </c>
      <c r="I17" s="191">
        <f>IFERROR(VLOOKUP($B17,MMWR_TRAD_AGG_RO_COMP[],I$1,0),"ERROR")</f>
        <v>4324</v>
      </c>
      <c r="J17" s="216">
        <f t="shared" si="1"/>
        <v>0.76585193057031531</v>
      </c>
      <c r="K17" s="204">
        <f>IFERROR(VLOOKUP($B17,MMWR_TRAD_AGG_RO_COMP[],K$1,0),"ERROR")</f>
        <v>803</v>
      </c>
      <c r="L17" s="205">
        <f>IFERROR(VLOOKUP($B17,MMWR_TRAD_AGG_RO_COMP[],L$1,0),"ERROR")</f>
        <v>441</v>
      </c>
      <c r="M17" s="216">
        <f t="shared" si="2"/>
        <v>0.54919053549190533</v>
      </c>
      <c r="N17" s="204">
        <f>IFERROR(VLOOKUP($B17,MMWR_TRAD_AGG_RO_COMP[],N$1,0),"ERROR")</f>
        <v>1030</v>
      </c>
      <c r="O17" s="205">
        <f>IFERROR(VLOOKUP($B17,MMWR_TRAD_AGG_RO_COMP[],O$1,0),"ERROR")</f>
        <v>703</v>
      </c>
      <c r="P17" s="216">
        <f t="shared" si="3"/>
        <v>0.68252427184466025</v>
      </c>
      <c r="Q17" s="201">
        <f>IFERROR(VLOOKUP($B17,MMWR_TRAD_AGG_RO_COMP[],Q$1,0),"ERROR")</f>
        <v>0</v>
      </c>
      <c r="R17" s="201">
        <f>IFERROR(VLOOKUP($B17,MMWR_TRAD_AGG_RO_COMP[],R$1,0),"ERROR")</f>
        <v>2</v>
      </c>
      <c r="S17" s="201">
        <f>IFERROR(VLOOKUP($B17,MMWR_APP_RO[],S$1,0),"ERROR")</f>
        <v>5073</v>
      </c>
      <c r="T17" s="25"/>
    </row>
    <row r="18" spans="1:20" x14ac:dyDescent="0.2">
      <c r="A18" s="107"/>
      <c r="B18" s="108" t="s">
        <v>67</v>
      </c>
      <c r="C18" s="209">
        <f>IFERROR(VLOOKUP($B18,MMWR_TRAD_AGG_RO_COMP[],C$1,0),"ERROR")</f>
        <v>878</v>
      </c>
      <c r="D18" s="198">
        <f>IFERROR(VLOOKUP($B18,MMWR_TRAD_AGG_RO_COMP[],D$1,0),"ERROR")</f>
        <v>184.9453302961</v>
      </c>
      <c r="E18" s="195">
        <f>IFERROR(VLOOKUP($B18,MMWR_TRAD_AGG_RO_COMP[],E$1,0),"ERROR")</f>
        <v>1976</v>
      </c>
      <c r="F18" s="191">
        <f>IFERROR(VLOOKUP($B18,MMWR_TRAD_AGG_RO_COMP[],F$1,0),"ERROR")</f>
        <v>405</v>
      </c>
      <c r="G18" s="216">
        <f t="shared" si="0"/>
        <v>0.20495951417004049</v>
      </c>
      <c r="H18" s="190">
        <f>IFERROR(VLOOKUP($B18,MMWR_TRAD_AGG_RO_COMP[],H$1,0),"ERROR")</f>
        <v>3992</v>
      </c>
      <c r="I18" s="191">
        <f>IFERROR(VLOOKUP($B18,MMWR_TRAD_AGG_RO_COMP[],I$1,0),"ERROR")</f>
        <v>1337</v>
      </c>
      <c r="J18" s="216">
        <f t="shared" si="1"/>
        <v>0.33491983967935873</v>
      </c>
      <c r="K18" s="204">
        <f>IFERROR(VLOOKUP($B18,MMWR_TRAD_AGG_RO_COMP[],K$1,0),"ERROR")</f>
        <v>3052</v>
      </c>
      <c r="L18" s="205">
        <f>IFERROR(VLOOKUP($B18,MMWR_TRAD_AGG_RO_COMP[],L$1,0),"ERROR")</f>
        <v>2257</v>
      </c>
      <c r="M18" s="216">
        <f t="shared" si="2"/>
        <v>0.73951507208387945</v>
      </c>
      <c r="N18" s="204">
        <f>IFERROR(VLOOKUP($B18,MMWR_TRAD_AGG_RO_COMP[],N$1,0),"ERROR")</f>
        <v>469</v>
      </c>
      <c r="O18" s="205">
        <f>IFERROR(VLOOKUP($B18,MMWR_TRAD_AGG_RO_COMP[],O$1,0),"ERROR")</f>
        <v>223</v>
      </c>
      <c r="P18" s="216">
        <f t="shared" si="3"/>
        <v>0.47547974413646055</v>
      </c>
      <c r="Q18" s="201">
        <f>IFERROR(VLOOKUP($B18,MMWR_TRAD_AGG_RO_COMP[],Q$1,0),"ERROR")</f>
        <v>0</v>
      </c>
      <c r="R18" s="201">
        <f>IFERROR(VLOOKUP($B18,MMWR_TRAD_AGG_RO_COMP[],R$1,0),"ERROR")</f>
        <v>0</v>
      </c>
      <c r="S18" s="201">
        <f>IFERROR(VLOOKUP($B18,MMWR_APP_RO[],S$1,0),"ERROR")</f>
        <v>379</v>
      </c>
      <c r="T18" s="25"/>
    </row>
    <row r="19" spans="1:20" x14ac:dyDescent="0.2">
      <c r="A19" s="107"/>
      <c r="B19" s="108" t="s">
        <v>69</v>
      </c>
      <c r="C19" s="209">
        <f>IFERROR(VLOOKUP($B19,MMWR_TRAD_AGG_RO_COMP[],C$1,0),"ERROR")</f>
        <v>14676</v>
      </c>
      <c r="D19" s="198">
        <f>IFERROR(VLOOKUP($B19,MMWR_TRAD_AGG_RO_COMP[],D$1,0),"ERROR")</f>
        <v>422.095802671</v>
      </c>
      <c r="E19" s="195">
        <f>IFERROR(VLOOKUP($B19,MMWR_TRAD_AGG_RO_COMP[],E$1,0),"ERROR")</f>
        <v>11451</v>
      </c>
      <c r="F19" s="191">
        <f>IFERROR(VLOOKUP($B19,MMWR_TRAD_AGG_RO_COMP[],F$1,0),"ERROR")</f>
        <v>3144</v>
      </c>
      <c r="G19" s="216">
        <f t="shared" si="0"/>
        <v>0.27456117369662036</v>
      </c>
      <c r="H19" s="190">
        <f>IFERROR(VLOOKUP($B19,MMWR_TRAD_AGG_RO_COMP[],H$1,0),"ERROR")</f>
        <v>17216</v>
      </c>
      <c r="I19" s="191">
        <f>IFERROR(VLOOKUP($B19,MMWR_TRAD_AGG_RO_COMP[],I$1,0),"ERROR")</f>
        <v>11633</v>
      </c>
      <c r="J19" s="216">
        <f t="shared" si="1"/>
        <v>0.67570864312267653</v>
      </c>
      <c r="K19" s="204">
        <f>IFERROR(VLOOKUP($B19,MMWR_TRAD_AGG_RO_COMP[],K$1,0),"ERROR")</f>
        <v>7446</v>
      </c>
      <c r="L19" s="205">
        <f>IFERROR(VLOOKUP($B19,MMWR_TRAD_AGG_RO_COMP[],L$1,0),"ERROR")</f>
        <v>5624</v>
      </c>
      <c r="M19" s="216">
        <f t="shared" si="2"/>
        <v>0.75530486167069566</v>
      </c>
      <c r="N19" s="204">
        <f>IFERROR(VLOOKUP($B19,MMWR_TRAD_AGG_RO_COMP[],N$1,0),"ERROR")</f>
        <v>4459</v>
      </c>
      <c r="O19" s="205">
        <f>IFERROR(VLOOKUP($B19,MMWR_TRAD_AGG_RO_COMP[],O$1,0),"ERROR")</f>
        <v>3813</v>
      </c>
      <c r="P19" s="216">
        <f t="shared" si="3"/>
        <v>0.85512446736936532</v>
      </c>
      <c r="Q19" s="201">
        <f>IFERROR(VLOOKUP($B19,MMWR_TRAD_AGG_RO_COMP[],Q$1,0),"ERROR")</f>
        <v>5</v>
      </c>
      <c r="R19" s="201">
        <f>IFERROR(VLOOKUP($B19,MMWR_TRAD_AGG_RO_COMP[],R$1,0),"ERROR")</f>
        <v>4</v>
      </c>
      <c r="S19" s="201">
        <f>IFERROR(VLOOKUP($B19,MMWR_APP_RO[],S$1,0),"ERROR")</f>
        <v>15410</v>
      </c>
      <c r="T19" s="25"/>
    </row>
    <row r="20" spans="1:20" x14ac:dyDescent="0.2">
      <c r="A20" s="107"/>
      <c r="B20" s="108" t="s">
        <v>78</v>
      </c>
      <c r="C20" s="209">
        <f>IFERROR(VLOOKUP($B20,MMWR_TRAD_AGG_RO_COMP[],C$1,0),"ERROR")</f>
        <v>1362</v>
      </c>
      <c r="D20" s="198">
        <f>IFERROR(VLOOKUP($B20,MMWR_TRAD_AGG_RO_COMP[],D$1,0),"ERROR")</f>
        <v>268.91556534509999</v>
      </c>
      <c r="E20" s="195">
        <f>IFERROR(VLOOKUP($B20,MMWR_TRAD_AGG_RO_COMP[],E$1,0),"ERROR")</f>
        <v>1261</v>
      </c>
      <c r="F20" s="191">
        <f>IFERROR(VLOOKUP($B20,MMWR_TRAD_AGG_RO_COMP[],F$1,0),"ERROR")</f>
        <v>159</v>
      </c>
      <c r="G20" s="216">
        <f t="shared" si="0"/>
        <v>0.1260904044409199</v>
      </c>
      <c r="H20" s="190">
        <f>IFERROR(VLOOKUP($B20,MMWR_TRAD_AGG_RO_COMP[],H$1,0),"ERROR")</f>
        <v>2100</v>
      </c>
      <c r="I20" s="191">
        <f>IFERROR(VLOOKUP($B20,MMWR_TRAD_AGG_RO_COMP[],I$1,0),"ERROR")</f>
        <v>1255</v>
      </c>
      <c r="J20" s="216">
        <f t="shared" si="1"/>
        <v>0.59761904761904761</v>
      </c>
      <c r="K20" s="204">
        <f>IFERROR(VLOOKUP($B20,MMWR_TRAD_AGG_RO_COMP[],K$1,0),"ERROR")</f>
        <v>1072</v>
      </c>
      <c r="L20" s="205">
        <f>IFERROR(VLOOKUP($B20,MMWR_TRAD_AGG_RO_COMP[],L$1,0),"ERROR")</f>
        <v>812</v>
      </c>
      <c r="M20" s="216">
        <f t="shared" si="2"/>
        <v>0.7574626865671642</v>
      </c>
      <c r="N20" s="204">
        <f>IFERROR(VLOOKUP($B20,MMWR_TRAD_AGG_RO_COMP[],N$1,0),"ERROR")</f>
        <v>359</v>
      </c>
      <c r="O20" s="205">
        <f>IFERROR(VLOOKUP($B20,MMWR_TRAD_AGG_RO_COMP[],O$1,0),"ERROR")</f>
        <v>178</v>
      </c>
      <c r="P20" s="216">
        <f t="shared" si="3"/>
        <v>0.49582172701949861</v>
      </c>
      <c r="Q20" s="201">
        <f>IFERROR(VLOOKUP($B20,MMWR_TRAD_AGG_RO_COMP[],Q$1,0),"ERROR")</f>
        <v>1</v>
      </c>
      <c r="R20" s="201">
        <f>IFERROR(VLOOKUP($B20,MMWR_TRAD_AGG_RO_COMP[],R$1,0),"ERROR")</f>
        <v>0</v>
      </c>
      <c r="S20" s="201">
        <f>IFERROR(VLOOKUP($B20,MMWR_APP_RO[],S$1,0),"ERROR")</f>
        <v>406</v>
      </c>
      <c r="T20" s="25"/>
    </row>
    <row r="21" spans="1:20" x14ac:dyDescent="0.2">
      <c r="A21" s="107"/>
      <c r="B21" s="108" t="s">
        <v>431</v>
      </c>
      <c r="C21" s="209">
        <f>IFERROR(VLOOKUP($B21,MMWR_TRAD_AGG_RO_COMP[],C$1,0),"ERROR")</f>
        <v>25211</v>
      </c>
      <c r="D21" s="198">
        <f>IFERROR(VLOOKUP($B21,MMWR_TRAD_AGG_RO_COMP[],D$1,0),"ERROR")</f>
        <v>523.99690611239998</v>
      </c>
      <c r="E21" s="195">
        <f>IFERROR(VLOOKUP($B21,MMWR_TRAD_AGG_RO_COMP[],E$1,0),"ERROR")</f>
        <v>1235</v>
      </c>
      <c r="F21" s="191">
        <f>IFERROR(VLOOKUP($B21,MMWR_TRAD_AGG_RO_COMP[],F$1,0),"ERROR")</f>
        <v>529</v>
      </c>
      <c r="G21" s="216">
        <f t="shared" si="0"/>
        <v>0.42834008097165993</v>
      </c>
      <c r="H21" s="190">
        <f>IFERROR(VLOOKUP($B21,MMWR_TRAD_AGG_RO_COMP[],H$1,0),"ERROR")</f>
        <v>25659</v>
      </c>
      <c r="I21" s="191">
        <f>IFERROR(VLOOKUP($B21,MMWR_TRAD_AGG_RO_COMP[],I$1,0),"ERROR")</f>
        <v>24717</v>
      </c>
      <c r="J21" s="216">
        <f t="shared" si="1"/>
        <v>0.9632877352975564</v>
      </c>
      <c r="K21" s="204">
        <f>IFERROR(VLOOKUP($B21,MMWR_TRAD_AGG_RO_COMP[],K$1,0),"ERROR")</f>
        <v>1079</v>
      </c>
      <c r="L21" s="205">
        <f>IFERROR(VLOOKUP($B21,MMWR_TRAD_AGG_RO_COMP[],L$1,0),"ERROR")</f>
        <v>659</v>
      </c>
      <c r="M21" s="216">
        <f t="shared" si="2"/>
        <v>0.61075069508804447</v>
      </c>
      <c r="N21" s="204">
        <f>IFERROR(VLOOKUP($B21,MMWR_TRAD_AGG_RO_COMP[],N$1,0),"ERROR")</f>
        <v>1338</v>
      </c>
      <c r="O21" s="205">
        <f>IFERROR(VLOOKUP($B21,MMWR_TRAD_AGG_RO_COMP[],O$1,0),"ERROR")</f>
        <v>1230</v>
      </c>
      <c r="P21" s="216">
        <f t="shared" si="3"/>
        <v>0.91928251121076232</v>
      </c>
      <c r="Q21" s="201">
        <f>IFERROR(VLOOKUP($B21,MMWR_TRAD_AGG_RO_COMP[],Q$1,0),"ERROR")</f>
        <v>0</v>
      </c>
      <c r="R21" s="201">
        <f>IFERROR(VLOOKUP($B21,MMWR_TRAD_AGG_RO_COMP[],R$1,0),"ERROR")</f>
        <v>0</v>
      </c>
      <c r="S21" s="201">
        <f>IFERROR(VLOOKUP($B21,MMWR_APP_RO[],S$1,0),"ERROR")</f>
        <v>21</v>
      </c>
      <c r="T21" s="25"/>
    </row>
    <row r="22" spans="1:20" x14ac:dyDescent="0.2">
      <c r="A22" s="107"/>
      <c r="B22" s="108" t="s">
        <v>135</v>
      </c>
      <c r="C22" s="209">
        <f>IFERROR(VLOOKUP($B22,MMWR_TRAD_AGG_RO_COMP[],C$1,0),"ERROR")</f>
        <v>545</v>
      </c>
      <c r="D22" s="198">
        <f>IFERROR(VLOOKUP($B22,MMWR_TRAD_AGG_RO_COMP[],D$1,0),"ERROR")</f>
        <v>380.12110091739999</v>
      </c>
      <c r="E22" s="195">
        <f>IFERROR(VLOOKUP($B22,MMWR_TRAD_AGG_RO_COMP[],E$1,0),"ERROR")</f>
        <v>498</v>
      </c>
      <c r="F22" s="191">
        <f>IFERROR(VLOOKUP($B22,MMWR_TRAD_AGG_RO_COMP[],F$1,0),"ERROR")</f>
        <v>137</v>
      </c>
      <c r="G22" s="216">
        <f t="shared" si="0"/>
        <v>0.27510040160642568</v>
      </c>
      <c r="H22" s="190">
        <f>IFERROR(VLOOKUP($B22,MMWR_TRAD_AGG_RO_COMP[],H$1,0),"ERROR")</f>
        <v>764</v>
      </c>
      <c r="I22" s="191">
        <f>IFERROR(VLOOKUP($B22,MMWR_TRAD_AGG_RO_COMP[],I$1,0),"ERROR")</f>
        <v>484</v>
      </c>
      <c r="J22" s="216">
        <f t="shared" si="1"/>
        <v>0.63350785340314131</v>
      </c>
      <c r="K22" s="204">
        <f>IFERROR(VLOOKUP($B22,MMWR_TRAD_AGG_RO_COMP[],K$1,0),"ERROR")</f>
        <v>158</v>
      </c>
      <c r="L22" s="205">
        <f>IFERROR(VLOOKUP($B22,MMWR_TRAD_AGG_RO_COMP[],L$1,0),"ERROR")</f>
        <v>72</v>
      </c>
      <c r="M22" s="216">
        <f t="shared" si="2"/>
        <v>0.45569620253164556</v>
      </c>
      <c r="N22" s="204">
        <f>IFERROR(VLOOKUP($B22,MMWR_TRAD_AGG_RO_COMP[],N$1,0),"ERROR")</f>
        <v>126</v>
      </c>
      <c r="O22" s="205">
        <f>IFERROR(VLOOKUP($B22,MMWR_TRAD_AGG_RO_COMP[],O$1,0),"ERROR")</f>
        <v>70</v>
      </c>
      <c r="P22" s="216">
        <f t="shared" si="3"/>
        <v>0.55555555555555558</v>
      </c>
      <c r="Q22" s="201">
        <f>IFERROR(VLOOKUP($B22,MMWR_TRAD_AGG_RO_COMP[],Q$1,0),"ERROR")</f>
        <v>0</v>
      </c>
      <c r="R22" s="201">
        <f>IFERROR(VLOOKUP($B22,MMWR_TRAD_AGG_RO_COMP[],R$1,0),"ERROR")</f>
        <v>1</v>
      </c>
      <c r="S22" s="201">
        <f>IFERROR(VLOOKUP($B22,MMWR_APP_RO[],S$1,0),"ERROR")</f>
        <v>101</v>
      </c>
      <c r="T22" s="25"/>
    </row>
    <row r="23" spans="1:20" x14ac:dyDescent="0.2">
      <c r="A23" s="107"/>
      <c r="B23" s="108" t="s">
        <v>82</v>
      </c>
      <c r="C23" s="209">
        <f>IFERROR(VLOOKUP($B23,MMWR_TRAD_AGG_RO_COMP[],C$1,0),"ERROR")</f>
        <v>624</v>
      </c>
      <c r="D23" s="198">
        <f>IFERROR(VLOOKUP($B23,MMWR_TRAD_AGG_RO_COMP[],D$1,0),"ERROR")</f>
        <v>398.04967948720002</v>
      </c>
      <c r="E23" s="195">
        <f>IFERROR(VLOOKUP($B23,MMWR_TRAD_AGG_RO_COMP[],E$1,0),"ERROR")</f>
        <v>699</v>
      </c>
      <c r="F23" s="191">
        <f>IFERROR(VLOOKUP($B23,MMWR_TRAD_AGG_RO_COMP[],F$1,0),"ERROR")</f>
        <v>195</v>
      </c>
      <c r="G23" s="216">
        <f t="shared" si="0"/>
        <v>0.27896995708154504</v>
      </c>
      <c r="H23" s="190">
        <f>IFERROR(VLOOKUP($B23,MMWR_TRAD_AGG_RO_COMP[],H$1,0),"ERROR")</f>
        <v>689</v>
      </c>
      <c r="I23" s="191">
        <f>IFERROR(VLOOKUP($B23,MMWR_TRAD_AGG_RO_COMP[],I$1,0),"ERROR")</f>
        <v>536</v>
      </c>
      <c r="J23" s="216">
        <f t="shared" si="1"/>
        <v>0.77793904208998543</v>
      </c>
      <c r="K23" s="204">
        <f>IFERROR(VLOOKUP($B23,MMWR_TRAD_AGG_RO_COMP[],K$1,0),"ERROR")</f>
        <v>52</v>
      </c>
      <c r="L23" s="205">
        <f>IFERROR(VLOOKUP($B23,MMWR_TRAD_AGG_RO_COMP[],L$1,0),"ERROR")</f>
        <v>15</v>
      </c>
      <c r="M23" s="216">
        <f t="shared" si="2"/>
        <v>0.28846153846153844</v>
      </c>
      <c r="N23" s="204">
        <f>IFERROR(VLOOKUP($B23,MMWR_TRAD_AGG_RO_COMP[],N$1,0),"ERROR")</f>
        <v>139</v>
      </c>
      <c r="O23" s="205">
        <f>IFERROR(VLOOKUP($B23,MMWR_TRAD_AGG_RO_COMP[],O$1,0),"ERROR")</f>
        <v>68</v>
      </c>
      <c r="P23" s="216">
        <f t="shared" si="3"/>
        <v>0.48920863309352519</v>
      </c>
      <c r="Q23" s="201">
        <f>IFERROR(VLOOKUP($B23,MMWR_TRAD_AGG_RO_COMP[],Q$1,0),"ERROR")</f>
        <v>0</v>
      </c>
      <c r="R23" s="201">
        <f>IFERROR(VLOOKUP($B23,MMWR_TRAD_AGG_RO_COMP[],R$1,0),"ERROR")</f>
        <v>0</v>
      </c>
      <c r="S23" s="201">
        <f>IFERROR(VLOOKUP($B23,MMWR_APP_RO[],S$1,0),"ERROR")</f>
        <v>182</v>
      </c>
      <c r="T23" s="25"/>
    </row>
    <row r="24" spans="1:20" x14ac:dyDescent="0.2">
      <c r="A24" s="92"/>
      <c r="B24" s="116" t="s">
        <v>83</v>
      </c>
      <c r="C24" s="210">
        <f>IFERROR(VLOOKUP($B24,MMWR_TRAD_AGG_RO_COMP[],C$1,0),"ERROR")</f>
        <v>19076</v>
      </c>
      <c r="D24" s="199">
        <f>IFERROR(VLOOKUP($B24,MMWR_TRAD_AGG_RO_COMP[],D$1,0),"ERROR")</f>
        <v>326.6187880059</v>
      </c>
      <c r="E24" s="196">
        <f>IFERROR(VLOOKUP($B24,MMWR_TRAD_AGG_RO_COMP[],E$1,0),"ERROR")</f>
        <v>18626</v>
      </c>
      <c r="F24" s="193">
        <f>IFERROR(VLOOKUP($B24,MMWR_TRAD_AGG_RO_COMP[],F$1,0),"ERROR")</f>
        <v>5100</v>
      </c>
      <c r="G24" s="217">
        <f t="shared" si="0"/>
        <v>0.27381080210458497</v>
      </c>
      <c r="H24" s="192">
        <f>IFERROR(VLOOKUP($B24,MMWR_TRAD_AGG_RO_COMP[],H$1,0),"ERROR")</f>
        <v>31098</v>
      </c>
      <c r="I24" s="193">
        <f>IFERROR(VLOOKUP($B24,MMWR_TRAD_AGG_RO_COMP[],I$1,0),"ERROR")</f>
        <v>20218</v>
      </c>
      <c r="J24" s="217">
        <f t="shared" si="1"/>
        <v>0.65013827255772072</v>
      </c>
      <c r="K24" s="206">
        <f>IFERROR(VLOOKUP($B24,MMWR_TRAD_AGG_RO_COMP[],K$1,0),"ERROR")</f>
        <v>11909</v>
      </c>
      <c r="L24" s="207">
        <f>IFERROR(VLOOKUP($B24,MMWR_TRAD_AGG_RO_COMP[],L$1,0),"ERROR")</f>
        <v>7516</v>
      </c>
      <c r="M24" s="217">
        <f t="shared" si="2"/>
        <v>0.63111932152153838</v>
      </c>
      <c r="N24" s="206">
        <f>IFERROR(VLOOKUP($B24,MMWR_TRAD_AGG_RO_COMP[],N$1,0),"ERROR")</f>
        <v>3895</v>
      </c>
      <c r="O24" s="207">
        <f>IFERROR(VLOOKUP($B24,MMWR_TRAD_AGG_RO_COMP[],O$1,0),"ERROR")</f>
        <v>2673</v>
      </c>
      <c r="P24" s="217">
        <f t="shared" si="3"/>
        <v>0.68626444159178435</v>
      </c>
      <c r="Q24" s="202">
        <f>IFERROR(VLOOKUP($B24,MMWR_TRAD_AGG_RO_COMP[],Q$1,0),"ERROR")</f>
        <v>1</v>
      </c>
      <c r="R24" s="202">
        <f>IFERROR(VLOOKUP($B24,MMWR_TRAD_AGG_RO_COMP[],R$1,0),"ERROR")</f>
        <v>21</v>
      </c>
      <c r="S24" s="201">
        <f>IFERROR(VLOOKUP($B24,MMWR_APP_RO[],S$1,0),"ERROR")</f>
        <v>9102</v>
      </c>
      <c r="T24" s="25"/>
    </row>
    <row r="25" spans="1:20" x14ac:dyDescent="0.2">
      <c r="A25" s="107"/>
      <c r="B25" s="101" t="s">
        <v>391</v>
      </c>
      <c r="C25" s="212">
        <f>IFERROR(VLOOKUP($B25,MMWR_TRAD_AGG_DISTRICT_COMP[],C$1,0),"ERROR")</f>
        <v>37635</v>
      </c>
      <c r="D25" s="197">
        <f>IFERROR(VLOOKUP($B25,MMWR_TRAD_AGG_DISTRICT_COMP[],D$1,0),"ERROR")</f>
        <v>349.80185997080002</v>
      </c>
      <c r="E25" s="213">
        <f>IFERROR(VLOOKUP($B25,MMWR_TRAD_AGG_DISTRICT_COMP[],E$1,0),"ERROR")</f>
        <v>54600</v>
      </c>
      <c r="F25" s="218">
        <f>IFERROR(VLOOKUP($B25,MMWR_TRAD_AGG_DISTRICT_COMP[],F$1,0),"ERROR")</f>
        <v>12125</v>
      </c>
      <c r="G25" s="214">
        <f t="shared" si="0"/>
        <v>0.22206959706959706</v>
      </c>
      <c r="H25" s="218">
        <f>IFERROR(VLOOKUP($B25,MMWR_TRAD_AGG_DISTRICT_COMP[],H$1,0),"ERROR")</f>
        <v>63392</v>
      </c>
      <c r="I25" s="218">
        <f>IFERROR(VLOOKUP($B25,MMWR_TRAD_AGG_DISTRICT_COMP[],I$1,0),"ERROR")</f>
        <v>35306</v>
      </c>
      <c r="J25" s="214">
        <f t="shared" si="1"/>
        <v>0.55694724886420999</v>
      </c>
      <c r="K25" s="212">
        <f>IFERROR(VLOOKUP($B25,MMWR_TRAD_AGG_DISTRICT_COMP[],K$1,0),"ERROR")</f>
        <v>13771</v>
      </c>
      <c r="L25" s="212">
        <f>IFERROR(VLOOKUP($B25,MMWR_TRAD_AGG_DISTRICT_COMP[],L$1,0),"ERROR")</f>
        <v>8628</v>
      </c>
      <c r="M25" s="214">
        <f t="shared" si="2"/>
        <v>0.62653402076828113</v>
      </c>
      <c r="N25" s="212">
        <f>IFERROR(VLOOKUP($B25,MMWR_TRAD_AGG_DISTRICT_COMP[],N$1,0),"ERROR")</f>
        <v>14849</v>
      </c>
      <c r="O25" s="212">
        <f>IFERROR(VLOOKUP($B25,MMWR_TRAD_AGG_DISTRICT_COMP[],O$1,0),"ERROR")</f>
        <v>10211</v>
      </c>
      <c r="P25" s="214">
        <f t="shared" si="3"/>
        <v>0.68765573439288841</v>
      </c>
      <c r="Q25" s="212">
        <f>IFERROR(VLOOKUP($B25,MMWR_TRAD_AGG_DISTRICT_COMP[],Q$1,0),"ERROR")</f>
        <v>6382</v>
      </c>
      <c r="R25" s="215">
        <f>IFERROR(VLOOKUP($B25,MMWR_TRAD_AGG_DISTRICT_COMP[],R$1,0),"ERROR")</f>
        <v>1026</v>
      </c>
      <c r="S25" s="215">
        <f>IFERROR(VLOOKUP($B25,MMWR_APP_RO[],S$1,0),"ERROR")</f>
        <v>51386</v>
      </c>
      <c r="T25" s="25"/>
    </row>
    <row r="26" spans="1:20" x14ac:dyDescent="0.2">
      <c r="A26" s="107"/>
      <c r="B26" s="108" t="s">
        <v>37</v>
      </c>
      <c r="C26" s="209">
        <f>IFERROR(VLOOKUP($B26,MMWR_TRAD_AGG_RO_COMP[],C$1,0),"ERROR")</f>
        <v>5589</v>
      </c>
      <c r="D26" s="198">
        <f>IFERROR(VLOOKUP($B26,MMWR_TRAD_AGG_RO_COMP[],D$1,0),"ERROR")</f>
        <v>502.6435856146</v>
      </c>
      <c r="E26" s="195">
        <f>IFERROR(VLOOKUP($B26,MMWR_TRAD_AGG_RO_COMP[],E$1,0),"ERROR")</f>
        <v>6233</v>
      </c>
      <c r="F26" s="191">
        <f>IFERROR(VLOOKUP($B26,MMWR_TRAD_AGG_RO_COMP[],F$1,0),"ERROR")</f>
        <v>1801</v>
      </c>
      <c r="G26" s="216">
        <f t="shared" si="0"/>
        <v>0.28894593293759024</v>
      </c>
      <c r="H26" s="190">
        <f>IFERROR(VLOOKUP($B26,MMWR_TRAD_AGG_RO_COMP[],H$1,0),"ERROR")</f>
        <v>7110</v>
      </c>
      <c r="I26" s="191">
        <f>IFERROR(VLOOKUP($B26,MMWR_TRAD_AGG_RO_COMP[],I$1,0),"ERROR")</f>
        <v>5390</v>
      </c>
      <c r="J26" s="216">
        <f t="shared" si="1"/>
        <v>0.7580872011251758</v>
      </c>
      <c r="K26" s="204">
        <f>IFERROR(VLOOKUP($B26,MMWR_TRAD_AGG_RO_COMP[],K$1,0),"ERROR")</f>
        <v>1781</v>
      </c>
      <c r="L26" s="205">
        <f>IFERROR(VLOOKUP($B26,MMWR_TRAD_AGG_RO_COMP[],L$1,0),"ERROR")</f>
        <v>1478</v>
      </c>
      <c r="M26" s="216">
        <f t="shared" si="2"/>
        <v>0.82987085906793934</v>
      </c>
      <c r="N26" s="204">
        <f>IFERROR(VLOOKUP($B26,MMWR_TRAD_AGG_RO_COMP[],N$1,0),"ERROR")</f>
        <v>1296</v>
      </c>
      <c r="O26" s="205">
        <f>IFERROR(VLOOKUP($B26,MMWR_TRAD_AGG_RO_COMP[],O$1,0),"ERROR")</f>
        <v>678</v>
      </c>
      <c r="P26" s="216">
        <f t="shared" si="3"/>
        <v>0.52314814814814814</v>
      </c>
      <c r="Q26" s="201">
        <f>IFERROR(VLOOKUP($B26,MMWR_TRAD_AGG_RO_COMP[],Q$1,0),"ERROR")</f>
        <v>0</v>
      </c>
      <c r="R26" s="201">
        <f>IFERROR(VLOOKUP($B26,MMWR_TRAD_AGG_RO_COMP[],R$1,0),"ERROR")</f>
        <v>220</v>
      </c>
      <c r="S26" s="201">
        <f>IFERROR(VLOOKUP($B26,MMWR_APP_RO[],S$1,0),"ERROR")</f>
        <v>8258</v>
      </c>
      <c r="T26" s="25"/>
    </row>
    <row r="27" spans="1:20" x14ac:dyDescent="0.2">
      <c r="A27" s="107"/>
      <c r="B27" s="108" t="s">
        <v>38</v>
      </c>
      <c r="C27" s="209">
        <f>IFERROR(VLOOKUP($B27,MMWR_TRAD_AGG_RO_COMP[],C$1,0),"ERROR")</f>
        <v>5325</v>
      </c>
      <c r="D27" s="198">
        <f>IFERROR(VLOOKUP($B27,MMWR_TRAD_AGG_RO_COMP[],D$1,0),"ERROR")</f>
        <v>425.85671361499999</v>
      </c>
      <c r="E27" s="195">
        <f>IFERROR(VLOOKUP($B27,MMWR_TRAD_AGG_RO_COMP[],E$1,0),"ERROR")</f>
        <v>7173</v>
      </c>
      <c r="F27" s="191">
        <f>IFERROR(VLOOKUP($B27,MMWR_TRAD_AGG_RO_COMP[],F$1,0),"ERROR")</f>
        <v>2009</v>
      </c>
      <c r="G27" s="216">
        <f t="shared" si="0"/>
        <v>0.28007807054231143</v>
      </c>
      <c r="H27" s="190">
        <f>IFERROR(VLOOKUP($B27,MMWR_TRAD_AGG_RO_COMP[],H$1,0),"ERROR")</f>
        <v>7654</v>
      </c>
      <c r="I27" s="191">
        <f>IFERROR(VLOOKUP($B27,MMWR_TRAD_AGG_RO_COMP[],I$1,0),"ERROR")</f>
        <v>4858</v>
      </c>
      <c r="J27" s="216">
        <f t="shared" si="1"/>
        <v>0.63470081003396916</v>
      </c>
      <c r="K27" s="204">
        <f>IFERROR(VLOOKUP($B27,MMWR_TRAD_AGG_RO_COMP[],K$1,0),"ERROR")</f>
        <v>1604</v>
      </c>
      <c r="L27" s="205">
        <f>IFERROR(VLOOKUP($B27,MMWR_TRAD_AGG_RO_COMP[],L$1,0),"ERROR")</f>
        <v>796</v>
      </c>
      <c r="M27" s="216">
        <f t="shared" si="2"/>
        <v>0.49625935162094764</v>
      </c>
      <c r="N27" s="204">
        <f>IFERROR(VLOOKUP($B27,MMWR_TRAD_AGG_RO_COMP[],N$1,0),"ERROR")</f>
        <v>3158</v>
      </c>
      <c r="O27" s="205">
        <f>IFERROR(VLOOKUP($B27,MMWR_TRAD_AGG_RO_COMP[],O$1,0),"ERROR")</f>
        <v>2281</v>
      </c>
      <c r="P27" s="216">
        <f t="shared" si="3"/>
        <v>0.72229259024699177</v>
      </c>
      <c r="Q27" s="201">
        <f>IFERROR(VLOOKUP($B27,MMWR_TRAD_AGG_RO_COMP[],Q$1,0),"ERROR")</f>
        <v>0</v>
      </c>
      <c r="R27" s="201">
        <f>IFERROR(VLOOKUP($B27,MMWR_TRAD_AGG_RO_COMP[],R$1,0),"ERROR")</f>
        <v>316</v>
      </c>
      <c r="S27" s="201">
        <f>IFERROR(VLOOKUP($B27,MMWR_APP_RO[],S$1,0),"ERROR")</f>
        <v>13566</v>
      </c>
      <c r="T27" s="25"/>
    </row>
    <row r="28" spans="1:20" x14ac:dyDescent="0.2">
      <c r="A28" s="107"/>
      <c r="B28" s="108" t="s">
        <v>41</v>
      </c>
      <c r="C28" s="209">
        <f>IFERROR(VLOOKUP($B28,MMWR_TRAD_AGG_RO_COMP[],C$1,0),"ERROR")</f>
        <v>961</v>
      </c>
      <c r="D28" s="198">
        <f>IFERROR(VLOOKUP($B28,MMWR_TRAD_AGG_RO_COMP[],D$1,0),"ERROR")</f>
        <v>135.8949011446</v>
      </c>
      <c r="E28" s="195">
        <f>IFERROR(VLOOKUP($B28,MMWR_TRAD_AGG_RO_COMP[],E$1,0),"ERROR")</f>
        <v>2284</v>
      </c>
      <c r="F28" s="191">
        <f>IFERROR(VLOOKUP($B28,MMWR_TRAD_AGG_RO_COMP[],F$1,0),"ERROR")</f>
        <v>416</v>
      </c>
      <c r="G28" s="216">
        <f t="shared" si="0"/>
        <v>0.18213660245183888</v>
      </c>
      <c r="H28" s="190">
        <f>IFERROR(VLOOKUP($B28,MMWR_TRAD_AGG_RO_COMP[],H$1,0),"ERROR")</f>
        <v>1408</v>
      </c>
      <c r="I28" s="191">
        <f>IFERROR(VLOOKUP($B28,MMWR_TRAD_AGG_RO_COMP[],I$1,0),"ERROR")</f>
        <v>524</v>
      </c>
      <c r="J28" s="216">
        <f t="shared" si="1"/>
        <v>0.37215909090909088</v>
      </c>
      <c r="K28" s="204">
        <f>IFERROR(VLOOKUP($B28,MMWR_TRAD_AGG_RO_COMP[],K$1,0),"ERROR")</f>
        <v>314</v>
      </c>
      <c r="L28" s="205">
        <f>IFERROR(VLOOKUP($B28,MMWR_TRAD_AGG_RO_COMP[],L$1,0),"ERROR")</f>
        <v>79</v>
      </c>
      <c r="M28" s="216">
        <f t="shared" si="2"/>
        <v>0.25159235668789809</v>
      </c>
      <c r="N28" s="204">
        <f>IFERROR(VLOOKUP($B28,MMWR_TRAD_AGG_RO_COMP[],N$1,0),"ERROR")</f>
        <v>244</v>
      </c>
      <c r="O28" s="205">
        <f>IFERROR(VLOOKUP($B28,MMWR_TRAD_AGG_RO_COMP[],O$1,0),"ERROR")</f>
        <v>104</v>
      </c>
      <c r="P28" s="216">
        <f t="shared" si="3"/>
        <v>0.42622950819672129</v>
      </c>
      <c r="Q28" s="201">
        <f>IFERROR(VLOOKUP($B28,MMWR_TRAD_AGG_RO_COMP[],Q$1,0),"ERROR")</f>
        <v>0</v>
      </c>
      <c r="R28" s="201">
        <f>IFERROR(VLOOKUP($B28,MMWR_TRAD_AGG_RO_COMP[],R$1,0),"ERROR")</f>
        <v>5</v>
      </c>
      <c r="S28" s="201">
        <f>IFERROR(VLOOKUP($B28,MMWR_APP_RO[],S$1,0),"ERROR")</f>
        <v>1265</v>
      </c>
      <c r="T28" s="25"/>
    </row>
    <row r="29" spans="1:20" x14ac:dyDescent="0.2">
      <c r="A29" s="107"/>
      <c r="B29" s="108" t="s">
        <v>42</v>
      </c>
      <c r="C29" s="209">
        <f>IFERROR(VLOOKUP($B29,MMWR_TRAD_AGG_RO_COMP[],C$1,0),"ERROR")</f>
        <v>2960</v>
      </c>
      <c r="D29" s="198">
        <f>IFERROR(VLOOKUP($B29,MMWR_TRAD_AGG_RO_COMP[],D$1,0),"ERROR")</f>
        <v>309.12972972969999</v>
      </c>
      <c r="E29" s="195">
        <f>IFERROR(VLOOKUP($B29,MMWR_TRAD_AGG_RO_COMP[],E$1,0),"ERROR")</f>
        <v>6799</v>
      </c>
      <c r="F29" s="191">
        <f>IFERROR(VLOOKUP($B29,MMWR_TRAD_AGG_RO_COMP[],F$1,0),"ERROR")</f>
        <v>1709</v>
      </c>
      <c r="G29" s="216">
        <f t="shared" si="0"/>
        <v>0.25136049419032208</v>
      </c>
      <c r="H29" s="190">
        <f>IFERROR(VLOOKUP($B29,MMWR_TRAD_AGG_RO_COMP[],H$1,0),"ERROR")</f>
        <v>7797</v>
      </c>
      <c r="I29" s="191">
        <f>IFERROR(VLOOKUP($B29,MMWR_TRAD_AGG_RO_COMP[],I$1,0),"ERROR")</f>
        <v>3773</v>
      </c>
      <c r="J29" s="216">
        <f t="shared" si="1"/>
        <v>0.48390406566628191</v>
      </c>
      <c r="K29" s="204">
        <f>IFERROR(VLOOKUP($B29,MMWR_TRAD_AGG_RO_COMP[],K$1,0),"ERROR")</f>
        <v>1538</v>
      </c>
      <c r="L29" s="205">
        <f>IFERROR(VLOOKUP($B29,MMWR_TRAD_AGG_RO_COMP[],L$1,0),"ERROR")</f>
        <v>1169</v>
      </c>
      <c r="M29" s="216">
        <f t="shared" si="2"/>
        <v>0.76007802340702213</v>
      </c>
      <c r="N29" s="204">
        <f>IFERROR(VLOOKUP($B29,MMWR_TRAD_AGG_RO_COMP[],N$1,0),"ERROR")</f>
        <v>1090</v>
      </c>
      <c r="O29" s="205">
        <f>IFERROR(VLOOKUP($B29,MMWR_TRAD_AGG_RO_COMP[],O$1,0),"ERROR")</f>
        <v>459</v>
      </c>
      <c r="P29" s="216">
        <f t="shared" si="3"/>
        <v>0.42110091743119266</v>
      </c>
      <c r="Q29" s="201">
        <f>IFERROR(VLOOKUP($B29,MMWR_TRAD_AGG_RO_COMP[],Q$1,0),"ERROR")</f>
        <v>2</v>
      </c>
      <c r="R29" s="201">
        <f>IFERROR(VLOOKUP($B29,MMWR_TRAD_AGG_RO_COMP[],R$1,0),"ERROR")</f>
        <v>196</v>
      </c>
      <c r="S29" s="201">
        <f>IFERROR(VLOOKUP($B29,MMWR_APP_RO[],S$1,0),"ERROR")</f>
        <v>5392</v>
      </c>
      <c r="T29" s="25"/>
    </row>
    <row r="30" spans="1:20" x14ac:dyDescent="0.2">
      <c r="A30" s="107"/>
      <c r="B30" s="108" t="s">
        <v>43</v>
      </c>
      <c r="C30" s="209">
        <f>IFERROR(VLOOKUP($B30,MMWR_TRAD_AGG_RO_COMP[],C$1,0),"ERROR")</f>
        <v>89</v>
      </c>
      <c r="D30" s="198">
        <f>IFERROR(VLOOKUP($B30,MMWR_TRAD_AGG_RO_COMP[],D$1,0),"ERROR")</f>
        <v>84.303370786499997</v>
      </c>
      <c r="E30" s="195">
        <f>IFERROR(VLOOKUP($B30,MMWR_TRAD_AGG_RO_COMP[],E$1,0),"ERROR")</f>
        <v>875</v>
      </c>
      <c r="F30" s="191">
        <f>IFERROR(VLOOKUP($B30,MMWR_TRAD_AGG_RO_COMP[],F$1,0),"ERROR")</f>
        <v>146</v>
      </c>
      <c r="G30" s="216">
        <f t="shared" si="0"/>
        <v>0.16685714285714287</v>
      </c>
      <c r="H30" s="190">
        <f>IFERROR(VLOOKUP($B30,MMWR_TRAD_AGG_RO_COMP[],H$1,0),"ERROR")</f>
        <v>216</v>
      </c>
      <c r="I30" s="191">
        <f>IFERROR(VLOOKUP($B30,MMWR_TRAD_AGG_RO_COMP[],I$1,0),"ERROR")</f>
        <v>16</v>
      </c>
      <c r="J30" s="216">
        <f t="shared" si="1"/>
        <v>7.407407407407407E-2</v>
      </c>
      <c r="K30" s="204">
        <f>IFERROR(VLOOKUP($B30,MMWR_TRAD_AGG_RO_COMP[],K$1,0),"ERROR")</f>
        <v>97</v>
      </c>
      <c r="L30" s="205">
        <f>IFERROR(VLOOKUP($B30,MMWR_TRAD_AGG_RO_COMP[],L$1,0),"ERROR")</f>
        <v>39</v>
      </c>
      <c r="M30" s="216">
        <f t="shared" si="2"/>
        <v>0.40206185567010311</v>
      </c>
      <c r="N30" s="204">
        <f>IFERROR(VLOOKUP($B30,MMWR_TRAD_AGG_RO_COMP[],N$1,0),"ERROR")</f>
        <v>71</v>
      </c>
      <c r="O30" s="205">
        <f>IFERROR(VLOOKUP($B30,MMWR_TRAD_AGG_RO_COMP[],O$1,0),"ERROR")</f>
        <v>39</v>
      </c>
      <c r="P30" s="216">
        <f t="shared" si="3"/>
        <v>0.54929577464788737</v>
      </c>
      <c r="Q30" s="201">
        <f>IFERROR(VLOOKUP($B30,MMWR_TRAD_AGG_RO_COMP[],Q$1,0),"ERROR")</f>
        <v>0</v>
      </c>
      <c r="R30" s="201">
        <f>IFERROR(VLOOKUP($B30,MMWR_TRAD_AGG_RO_COMP[],R$1,0),"ERROR")</f>
        <v>2</v>
      </c>
      <c r="S30" s="201">
        <f>IFERROR(VLOOKUP($B30,MMWR_APP_RO[],S$1,0),"ERROR")</f>
        <v>613</v>
      </c>
      <c r="T30" s="25"/>
    </row>
    <row r="31" spans="1:20" x14ac:dyDescent="0.2">
      <c r="A31" s="107"/>
      <c r="B31" s="108" t="s">
        <v>48</v>
      </c>
      <c r="C31" s="209">
        <f>IFERROR(VLOOKUP($B31,MMWR_TRAD_AGG_RO_COMP[],C$1,0),"ERROR")</f>
        <v>7138</v>
      </c>
      <c r="D31" s="198">
        <f>IFERROR(VLOOKUP($B31,MMWR_TRAD_AGG_RO_COMP[],D$1,0),"ERROR")</f>
        <v>561.64836088540005</v>
      </c>
      <c r="E31" s="195">
        <f>IFERROR(VLOOKUP($B31,MMWR_TRAD_AGG_RO_COMP[],E$1,0),"ERROR")</f>
        <v>4763</v>
      </c>
      <c r="F31" s="191">
        <f>IFERROR(VLOOKUP($B31,MMWR_TRAD_AGG_RO_COMP[],F$1,0),"ERROR")</f>
        <v>1053</v>
      </c>
      <c r="G31" s="216">
        <f t="shared" si="0"/>
        <v>0.22107915179508714</v>
      </c>
      <c r="H31" s="190">
        <f>IFERROR(VLOOKUP($B31,MMWR_TRAD_AGG_RO_COMP[],H$1,0),"ERROR")</f>
        <v>10798</v>
      </c>
      <c r="I31" s="191">
        <f>IFERROR(VLOOKUP($B31,MMWR_TRAD_AGG_RO_COMP[],I$1,0),"ERROR")</f>
        <v>8316</v>
      </c>
      <c r="J31" s="216">
        <f t="shared" si="1"/>
        <v>0.77014261900351921</v>
      </c>
      <c r="K31" s="204">
        <f>IFERROR(VLOOKUP($B31,MMWR_TRAD_AGG_RO_COMP[],K$1,0),"ERROR")</f>
        <v>1932</v>
      </c>
      <c r="L31" s="205">
        <f>IFERROR(VLOOKUP($B31,MMWR_TRAD_AGG_RO_COMP[],L$1,0),"ERROR")</f>
        <v>1369</v>
      </c>
      <c r="M31" s="216">
        <f t="shared" si="2"/>
        <v>0.70859213250517594</v>
      </c>
      <c r="N31" s="204">
        <f>IFERROR(VLOOKUP($B31,MMWR_TRAD_AGG_RO_COMP[],N$1,0),"ERROR")</f>
        <v>1895</v>
      </c>
      <c r="O31" s="205">
        <f>IFERROR(VLOOKUP($B31,MMWR_TRAD_AGG_RO_COMP[],O$1,0),"ERROR")</f>
        <v>1419</v>
      </c>
      <c r="P31" s="216">
        <f t="shared" si="3"/>
        <v>0.74881266490765175</v>
      </c>
      <c r="Q31" s="201">
        <f>IFERROR(VLOOKUP($B31,MMWR_TRAD_AGG_RO_COMP[],Q$1,0),"ERROR")</f>
        <v>1</v>
      </c>
      <c r="R31" s="201">
        <f>IFERROR(VLOOKUP($B31,MMWR_TRAD_AGG_RO_COMP[],R$1,0),"ERROR")</f>
        <v>205</v>
      </c>
      <c r="S31" s="201">
        <f>IFERROR(VLOOKUP($B31,MMWR_APP_RO[],S$1,0),"ERROR")</f>
        <v>8311</v>
      </c>
      <c r="T31" s="25"/>
    </row>
    <row r="32" spans="1:20" x14ac:dyDescent="0.2">
      <c r="A32" s="107"/>
      <c r="B32" s="108" t="s">
        <v>50</v>
      </c>
      <c r="C32" s="209">
        <f>IFERROR(VLOOKUP($B32,MMWR_TRAD_AGG_RO_COMP[],C$1,0),"ERROR")</f>
        <v>1866</v>
      </c>
      <c r="D32" s="198">
        <f>IFERROR(VLOOKUP($B32,MMWR_TRAD_AGG_RO_COMP[],D$1,0),"ERROR")</f>
        <v>136.74276527329999</v>
      </c>
      <c r="E32" s="195">
        <f>IFERROR(VLOOKUP($B32,MMWR_TRAD_AGG_RO_COMP[],E$1,0),"ERROR")</f>
        <v>2144</v>
      </c>
      <c r="F32" s="191">
        <f>IFERROR(VLOOKUP($B32,MMWR_TRAD_AGG_RO_COMP[],F$1,0),"ERROR")</f>
        <v>301</v>
      </c>
      <c r="G32" s="216">
        <f t="shared" si="0"/>
        <v>0.14039179104477612</v>
      </c>
      <c r="H32" s="190">
        <f>IFERROR(VLOOKUP($B32,MMWR_TRAD_AGG_RO_COMP[],H$1,0),"ERROR")</f>
        <v>3070</v>
      </c>
      <c r="I32" s="191">
        <f>IFERROR(VLOOKUP($B32,MMWR_TRAD_AGG_RO_COMP[],I$1,0),"ERROR")</f>
        <v>1268</v>
      </c>
      <c r="J32" s="216">
        <f t="shared" si="1"/>
        <v>0.41302931596091202</v>
      </c>
      <c r="K32" s="204">
        <f>IFERROR(VLOOKUP($B32,MMWR_TRAD_AGG_RO_COMP[],K$1,0),"ERROR")</f>
        <v>821</v>
      </c>
      <c r="L32" s="205">
        <f>IFERROR(VLOOKUP($B32,MMWR_TRAD_AGG_RO_COMP[],L$1,0),"ERROR")</f>
        <v>596</v>
      </c>
      <c r="M32" s="216">
        <f t="shared" si="2"/>
        <v>0.72594397076735684</v>
      </c>
      <c r="N32" s="204">
        <f>IFERROR(VLOOKUP($B32,MMWR_TRAD_AGG_RO_COMP[],N$1,0),"ERROR")</f>
        <v>637</v>
      </c>
      <c r="O32" s="205">
        <f>IFERROR(VLOOKUP($B32,MMWR_TRAD_AGG_RO_COMP[],O$1,0),"ERROR")</f>
        <v>312</v>
      </c>
      <c r="P32" s="216">
        <f t="shared" si="3"/>
        <v>0.48979591836734693</v>
      </c>
      <c r="Q32" s="201">
        <f>IFERROR(VLOOKUP($B32,MMWR_TRAD_AGG_RO_COMP[],Q$1,0),"ERROR")</f>
        <v>2</v>
      </c>
      <c r="R32" s="201">
        <f>IFERROR(VLOOKUP($B32,MMWR_TRAD_AGG_RO_COMP[],R$1,0),"ERROR")</f>
        <v>16</v>
      </c>
      <c r="S32" s="201">
        <f>IFERROR(VLOOKUP($B32,MMWR_APP_RO[],S$1,0),"ERROR")</f>
        <v>1081</v>
      </c>
      <c r="T32" s="25"/>
    </row>
    <row r="33" spans="1:20" x14ac:dyDescent="0.2">
      <c r="A33" s="107"/>
      <c r="B33" s="108" t="s">
        <v>56</v>
      </c>
      <c r="C33" s="209">
        <f>IFERROR(VLOOKUP($B33,MMWR_TRAD_AGG_RO_COMP[],C$1,0),"ERROR")</f>
        <v>4508</v>
      </c>
      <c r="D33" s="198">
        <f>IFERROR(VLOOKUP($B33,MMWR_TRAD_AGG_RO_COMP[],D$1,0),"ERROR")</f>
        <v>203.97027506649999</v>
      </c>
      <c r="E33" s="195">
        <f>IFERROR(VLOOKUP($B33,MMWR_TRAD_AGG_RO_COMP[],E$1,0),"ERROR")</f>
        <v>6077</v>
      </c>
      <c r="F33" s="191">
        <f>IFERROR(VLOOKUP($B33,MMWR_TRAD_AGG_RO_COMP[],F$1,0),"ERROR")</f>
        <v>1214</v>
      </c>
      <c r="G33" s="216">
        <f t="shared" si="0"/>
        <v>0.19976962316932698</v>
      </c>
      <c r="H33" s="190">
        <f>IFERROR(VLOOKUP($B33,MMWR_TRAD_AGG_RO_COMP[],H$1,0),"ERROR")</f>
        <v>5960</v>
      </c>
      <c r="I33" s="191">
        <f>IFERROR(VLOOKUP($B33,MMWR_TRAD_AGG_RO_COMP[],I$1,0),"ERROR")</f>
        <v>2893</v>
      </c>
      <c r="J33" s="216">
        <f t="shared" si="1"/>
        <v>0.4854026845637584</v>
      </c>
      <c r="K33" s="204">
        <f>IFERROR(VLOOKUP($B33,MMWR_TRAD_AGG_RO_COMP[],K$1,0),"ERROR")</f>
        <v>582</v>
      </c>
      <c r="L33" s="205">
        <f>IFERROR(VLOOKUP($B33,MMWR_TRAD_AGG_RO_COMP[],L$1,0),"ERROR")</f>
        <v>414</v>
      </c>
      <c r="M33" s="216">
        <f t="shared" si="2"/>
        <v>0.71134020618556704</v>
      </c>
      <c r="N33" s="204">
        <f>IFERROR(VLOOKUP($B33,MMWR_TRAD_AGG_RO_COMP[],N$1,0),"ERROR")</f>
        <v>613</v>
      </c>
      <c r="O33" s="205">
        <f>IFERROR(VLOOKUP($B33,MMWR_TRAD_AGG_RO_COMP[],O$1,0),"ERROR")</f>
        <v>312</v>
      </c>
      <c r="P33" s="216">
        <f t="shared" si="3"/>
        <v>0.50897226753670477</v>
      </c>
      <c r="Q33" s="201">
        <f>IFERROR(VLOOKUP($B33,MMWR_TRAD_AGG_RO_COMP[],Q$1,0),"ERROR")</f>
        <v>6352</v>
      </c>
      <c r="R33" s="201">
        <f>IFERROR(VLOOKUP($B33,MMWR_TRAD_AGG_RO_COMP[],R$1,0),"ERROR")</f>
        <v>0</v>
      </c>
      <c r="S33" s="201">
        <f>IFERROR(VLOOKUP($B33,MMWR_APP_RO[],S$1,0),"ERROR")</f>
        <v>3252</v>
      </c>
      <c r="T33" s="25"/>
    </row>
    <row r="34" spans="1:20" x14ac:dyDescent="0.2">
      <c r="A34" s="107"/>
      <c r="B34" s="108" t="s">
        <v>74</v>
      </c>
      <c r="C34" s="209">
        <f>IFERROR(VLOOKUP($B34,MMWR_TRAD_AGG_RO_COMP[],C$1,0),"ERROR")</f>
        <v>287</v>
      </c>
      <c r="D34" s="198">
        <f>IFERROR(VLOOKUP($B34,MMWR_TRAD_AGG_RO_COMP[],D$1,0),"ERROR")</f>
        <v>114.0662020906</v>
      </c>
      <c r="E34" s="195">
        <f>IFERROR(VLOOKUP($B34,MMWR_TRAD_AGG_RO_COMP[],E$1,0),"ERROR")</f>
        <v>836</v>
      </c>
      <c r="F34" s="191">
        <f>IFERROR(VLOOKUP($B34,MMWR_TRAD_AGG_RO_COMP[],F$1,0),"ERROR")</f>
        <v>158</v>
      </c>
      <c r="G34" s="216">
        <f t="shared" si="0"/>
        <v>0.18899521531100477</v>
      </c>
      <c r="H34" s="190">
        <f>IFERROR(VLOOKUP($B34,MMWR_TRAD_AGG_RO_COMP[],H$1,0),"ERROR")</f>
        <v>510</v>
      </c>
      <c r="I34" s="191">
        <f>IFERROR(VLOOKUP($B34,MMWR_TRAD_AGG_RO_COMP[],I$1,0),"ERROR")</f>
        <v>129</v>
      </c>
      <c r="J34" s="216">
        <f t="shared" si="1"/>
        <v>0.25294117647058822</v>
      </c>
      <c r="K34" s="204">
        <f>IFERROR(VLOOKUP($B34,MMWR_TRAD_AGG_RO_COMP[],K$1,0),"ERROR")</f>
        <v>373</v>
      </c>
      <c r="L34" s="205">
        <f>IFERROR(VLOOKUP($B34,MMWR_TRAD_AGG_RO_COMP[],L$1,0),"ERROR")</f>
        <v>148</v>
      </c>
      <c r="M34" s="216">
        <f t="shared" si="2"/>
        <v>0.39678284182305629</v>
      </c>
      <c r="N34" s="204">
        <f>IFERROR(VLOOKUP($B34,MMWR_TRAD_AGG_RO_COMP[],N$1,0),"ERROR")</f>
        <v>48</v>
      </c>
      <c r="O34" s="205">
        <f>IFERROR(VLOOKUP($B34,MMWR_TRAD_AGG_RO_COMP[],O$1,0),"ERROR")</f>
        <v>14</v>
      </c>
      <c r="P34" s="216">
        <f t="shared" si="3"/>
        <v>0.29166666666666669</v>
      </c>
      <c r="Q34" s="201">
        <f>IFERROR(VLOOKUP($B34,MMWR_TRAD_AGG_RO_COMP[],Q$1,0),"ERROR")</f>
        <v>0</v>
      </c>
      <c r="R34" s="201">
        <f>IFERROR(VLOOKUP($B34,MMWR_TRAD_AGG_RO_COMP[],R$1,0),"ERROR")</f>
        <v>1</v>
      </c>
      <c r="S34" s="201">
        <f>IFERROR(VLOOKUP($B34,MMWR_APP_RO[],S$1,0),"ERROR")</f>
        <v>213</v>
      </c>
      <c r="T34" s="25"/>
    </row>
    <row r="35" spans="1:20" x14ac:dyDescent="0.2">
      <c r="A35" s="107"/>
      <c r="B35" s="108" t="s">
        <v>75</v>
      </c>
      <c r="C35" s="209">
        <f>IFERROR(VLOOKUP($B35,MMWR_TRAD_AGG_RO_COMP[],C$1,0),"ERROR")</f>
        <v>4398</v>
      </c>
      <c r="D35" s="198">
        <f>IFERROR(VLOOKUP($B35,MMWR_TRAD_AGG_RO_COMP[],D$1,0),"ERROR")</f>
        <v>244.83583447020001</v>
      </c>
      <c r="E35" s="195">
        <f>IFERROR(VLOOKUP($B35,MMWR_TRAD_AGG_RO_COMP[],E$1,0),"ERROR")</f>
        <v>5912</v>
      </c>
      <c r="F35" s="191">
        <f>IFERROR(VLOOKUP($B35,MMWR_TRAD_AGG_RO_COMP[],F$1,0),"ERROR")</f>
        <v>1253</v>
      </c>
      <c r="G35" s="216">
        <f t="shared" si="0"/>
        <v>0.21194181326116374</v>
      </c>
      <c r="H35" s="190">
        <f>IFERROR(VLOOKUP($B35,MMWR_TRAD_AGG_RO_COMP[],H$1,0),"ERROR")</f>
        <v>6012</v>
      </c>
      <c r="I35" s="191">
        <f>IFERROR(VLOOKUP($B35,MMWR_TRAD_AGG_RO_COMP[],I$1,0),"ERROR")</f>
        <v>3591</v>
      </c>
      <c r="J35" s="216">
        <f t="shared" si="1"/>
        <v>0.59730538922155685</v>
      </c>
      <c r="K35" s="204">
        <f>IFERROR(VLOOKUP($B35,MMWR_TRAD_AGG_RO_COMP[],K$1,0),"ERROR")</f>
        <v>2281</v>
      </c>
      <c r="L35" s="205">
        <f>IFERROR(VLOOKUP($B35,MMWR_TRAD_AGG_RO_COMP[],L$1,0),"ERROR")</f>
        <v>1764</v>
      </c>
      <c r="M35" s="216">
        <f t="shared" si="2"/>
        <v>0.77334502411223149</v>
      </c>
      <c r="N35" s="204">
        <f>IFERROR(VLOOKUP($B35,MMWR_TRAD_AGG_RO_COMP[],N$1,0),"ERROR")</f>
        <v>4389</v>
      </c>
      <c r="O35" s="205">
        <f>IFERROR(VLOOKUP($B35,MMWR_TRAD_AGG_RO_COMP[],O$1,0),"ERROR")</f>
        <v>3890</v>
      </c>
      <c r="P35" s="216">
        <f t="shared" si="3"/>
        <v>0.88630667578036004</v>
      </c>
      <c r="Q35" s="201">
        <f>IFERROR(VLOOKUP($B35,MMWR_TRAD_AGG_RO_COMP[],Q$1,0),"ERROR")</f>
        <v>0</v>
      </c>
      <c r="R35" s="201">
        <f>IFERROR(VLOOKUP($B35,MMWR_TRAD_AGG_RO_COMP[],R$1,0),"ERROR")</f>
        <v>60</v>
      </c>
      <c r="S35" s="201">
        <f>IFERROR(VLOOKUP($B35,MMWR_APP_RO[],S$1,0),"ERROR")</f>
        <v>6445</v>
      </c>
      <c r="T35" s="25"/>
    </row>
    <row r="36" spans="1:20" x14ac:dyDescent="0.2">
      <c r="A36" s="28"/>
      <c r="B36" s="108" t="s">
        <v>76</v>
      </c>
      <c r="C36" s="219">
        <f>IFERROR(VLOOKUP($B36,MMWR_TRAD_AGG_RO_COMP[],C$1,0),"ERROR")</f>
        <v>2839</v>
      </c>
      <c r="D36" s="220">
        <f>IFERROR(VLOOKUP($B36,MMWR_TRAD_AGG_RO_COMP[],D$1,0),"ERROR")</f>
        <v>149.9094751673</v>
      </c>
      <c r="E36" s="221">
        <f>IFERROR(VLOOKUP($B36,MMWR_TRAD_AGG_RO_COMP[],E$1,0),"ERROR")</f>
        <v>9035</v>
      </c>
      <c r="F36" s="222">
        <f>IFERROR(VLOOKUP($B36,MMWR_TRAD_AGG_RO_COMP[],F$1,0),"ERROR")</f>
        <v>1588</v>
      </c>
      <c r="G36" s="223">
        <f t="shared" si="0"/>
        <v>0.17576092971776425</v>
      </c>
      <c r="H36" s="224">
        <f>IFERROR(VLOOKUP($B36,MMWR_TRAD_AGG_RO_COMP[],H$1,0),"ERROR")</f>
        <v>10468</v>
      </c>
      <c r="I36" s="222">
        <f>IFERROR(VLOOKUP($B36,MMWR_TRAD_AGG_RO_COMP[],I$1,0),"ERROR")</f>
        <v>3310</v>
      </c>
      <c r="J36" s="223">
        <f t="shared" si="1"/>
        <v>0.31620175773786779</v>
      </c>
      <c r="K36" s="225">
        <f>IFERROR(VLOOKUP($B36,MMWR_TRAD_AGG_RO_COMP[],K$1,0),"ERROR")</f>
        <v>1384</v>
      </c>
      <c r="L36" s="226">
        <f>IFERROR(VLOOKUP($B36,MMWR_TRAD_AGG_RO_COMP[],L$1,0),"ERROR")</f>
        <v>317</v>
      </c>
      <c r="M36" s="223">
        <f t="shared" si="2"/>
        <v>0.22904624277456648</v>
      </c>
      <c r="N36" s="225">
        <f>IFERROR(VLOOKUP($B36,MMWR_TRAD_AGG_RO_COMP[],N$1,0),"ERROR")</f>
        <v>1195</v>
      </c>
      <c r="O36" s="226">
        <f>IFERROR(VLOOKUP($B36,MMWR_TRAD_AGG_RO_COMP[],O$1,0),"ERROR")</f>
        <v>598</v>
      </c>
      <c r="P36" s="223">
        <f t="shared" si="3"/>
        <v>0.50041841004184096</v>
      </c>
      <c r="Q36" s="227">
        <f>IFERROR(VLOOKUP($B36,MMWR_TRAD_AGG_RO_COMP[],Q$1,0),"ERROR")</f>
        <v>25</v>
      </c>
      <c r="R36" s="227">
        <f>IFERROR(VLOOKUP($B36,MMWR_TRAD_AGG_RO_COMP[],R$1,0),"ERROR")</f>
        <v>0</v>
      </c>
      <c r="S36" s="201">
        <f>IFERROR(VLOOKUP($B36,MMWR_APP_RO[],S$1,0),"ERROR")</f>
        <v>1789</v>
      </c>
      <c r="T36" s="28"/>
    </row>
    <row r="37" spans="1:20" x14ac:dyDescent="0.2">
      <c r="A37" s="28"/>
      <c r="B37" s="116" t="s">
        <v>81</v>
      </c>
      <c r="C37" s="228">
        <f>IFERROR(VLOOKUP($B37,MMWR_TRAD_AGG_RO_COMP[],C$1,0),"ERROR")</f>
        <v>1675</v>
      </c>
      <c r="D37" s="229">
        <f>IFERROR(VLOOKUP($B37,MMWR_TRAD_AGG_RO_COMP[],D$1,0),"ERROR")</f>
        <v>188.58805970149999</v>
      </c>
      <c r="E37" s="230">
        <f>IFERROR(VLOOKUP($B37,MMWR_TRAD_AGG_RO_COMP[],E$1,0),"ERROR")</f>
        <v>2469</v>
      </c>
      <c r="F37" s="231">
        <f>IFERROR(VLOOKUP($B37,MMWR_TRAD_AGG_RO_COMP[],F$1,0),"ERROR")</f>
        <v>477</v>
      </c>
      <c r="G37" s="232">
        <f t="shared" si="0"/>
        <v>0.19319562575941676</v>
      </c>
      <c r="H37" s="233">
        <f>IFERROR(VLOOKUP($B37,MMWR_TRAD_AGG_RO_COMP[],H$1,0),"ERROR")</f>
        <v>2389</v>
      </c>
      <c r="I37" s="231">
        <f>IFERROR(VLOOKUP($B37,MMWR_TRAD_AGG_RO_COMP[],I$1,0),"ERROR")</f>
        <v>1238</v>
      </c>
      <c r="J37" s="232">
        <f t="shared" si="1"/>
        <v>0.51820845542067806</v>
      </c>
      <c r="K37" s="234">
        <f>IFERROR(VLOOKUP($B37,MMWR_TRAD_AGG_RO_COMP[],K$1,0),"ERROR")</f>
        <v>1064</v>
      </c>
      <c r="L37" s="235">
        <f>IFERROR(VLOOKUP($B37,MMWR_TRAD_AGG_RO_COMP[],L$1,0),"ERROR")</f>
        <v>459</v>
      </c>
      <c r="M37" s="232">
        <f t="shared" si="2"/>
        <v>0.43139097744360905</v>
      </c>
      <c r="N37" s="234">
        <f>IFERROR(VLOOKUP($B37,MMWR_TRAD_AGG_RO_COMP[],N$1,0),"ERROR")</f>
        <v>213</v>
      </c>
      <c r="O37" s="235">
        <f>IFERROR(VLOOKUP($B37,MMWR_TRAD_AGG_RO_COMP[],O$1,0),"ERROR")</f>
        <v>105</v>
      </c>
      <c r="P37" s="232">
        <f t="shared" si="3"/>
        <v>0.49295774647887325</v>
      </c>
      <c r="Q37" s="236">
        <f>IFERROR(VLOOKUP($B37,MMWR_TRAD_AGG_RO_COMP[],Q$1,0),"ERROR")</f>
        <v>0</v>
      </c>
      <c r="R37" s="236">
        <f>IFERROR(VLOOKUP($B37,MMWR_TRAD_AGG_RO_COMP[],R$1,0),"ERROR")</f>
        <v>5</v>
      </c>
      <c r="S37" s="201">
        <f>IFERROR(VLOOKUP($B37,MMWR_APP_RO[],S$1,0),"ERROR")</f>
        <v>1201</v>
      </c>
      <c r="T37" s="28"/>
    </row>
    <row r="38" spans="1:20" x14ac:dyDescent="0.2">
      <c r="A38" s="28"/>
      <c r="B38" s="101" t="s">
        <v>386</v>
      </c>
      <c r="C38" s="212">
        <f>IFERROR(VLOOKUP($B38,MMWR_TRAD_AGG_DISTRICT_COMP[],C$1,0),"ERROR")</f>
        <v>53517</v>
      </c>
      <c r="D38" s="197">
        <f>IFERROR(VLOOKUP($B38,MMWR_TRAD_AGG_DISTRICT_COMP[],D$1,0),"ERROR")</f>
        <v>369.88347627860003</v>
      </c>
      <c r="E38" s="213">
        <f>IFERROR(VLOOKUP($B38,MMWR_TRAD_AGG_DISTRICT_COMP[],E$1,0),"ERROR")</f>
        <v>64133</v>
      </c>
      <c r="F38" s="218">
        <f>IFERROR(VLOOKUP($B38,MMWR_TRAD_AGG_DISTRICT_COMP[],F$1,0),"ERROR")</f>
        <v>15379</v>
      </c>
      <c r="G38" s="214">
        <f t="shared" si="0"/>
        <v>0.23979854365147427</v>
      </c>
      <c r="H38" s="218">
        <f>IFERROR(VLOOKUP($B38,MMWR_TRAD_AGG_DISTRICT_COMP[],H$1,0),"ERROR")</f>
        <v>81801</v>
      </c>
      <c r="I38" s="218">
        <f>IFERROR(VLOOKUP($B38,MMWR_TRAD_AGG_DISTRICT_COMP[],I$1,0),"ERROR")</f>
        <v>52537</v>
      </c>
      <c r="J38" s="214">
        <f t="shared" si="1"/>
        <v>0.64225376217894647</v>
      </c>
      <c r="K38" s="212">
        <f>IFERROR(VLOOKUP($B38,MMWR_TRAD_AGG_DISTRICT_COMP[],K$1,0),"ERROR")</f>
        <v>20054</v>
      </c>
      <c r="L38" s="212">
        <f>IFERROR(VLOOKUP($B38,MMWR_TRAD_AGG_DISTRICT_COMP[],L$1,0),"ERROR")</f>
        <v>13197</v>
      </c>
      <c r="M38" s="214">
        <f t="shared" si="2"/>
        <v>0.65807320235364519</v>
      </c>
      <c r="N38" s="212">
        <f>IFERROR(VLOOKUP($B38,MMWR_TRAD_AGG_DISTRICT_COMP[],N$1,0),"ERROR")</f>
        <v>16943</v>
      </c>
      <c r="O38" s="212">
        <f>IFERROR(VLOOKUP($B38,MMWR_TRAD_AGG_DISTRICT_COMP[],O$1,0),"ERROR")</f>
        <v>9056</v>
      </c>
      <c r="P38" s="214">
        <f t="shared" si="3"/>
        <v>0.53449802278226999</v>
      </c>
      <c r="Q38" s="212">
        <f>IFERROR(VLOOKUP($B38,MMWR_TRAD_AGG_DISTRICT_COMP[],Q$1,0),"ERROR")</f>
        <v>55</v>
      </c>
      <c r="R38" s="215">
        <f>IFERROR(VLOOKUP($B38,MMWR_TRAD_AGG_DISTRICT_COMP[],R$1,0),"ERROR")</f>
        <v>1125</v>
      </c>
      <c r="S38" s="215">
        <f>IFERROR(VLOOKUP($B38,MMWR_APP_RO[],S$1,0),"ERROR")</f>
        <v>68109</v>
      </c>
      <c r="T38" s="28"/>
    </row>
    <row r="39" spans="1:20" x14ac:dyDescent="0.2">
      <c r="A39" s="28"/>
      <c r="B39" s="108" t="s">
        <v>36</v>
      </c>
      <c r="C39" s="219">
        <f>IFERROR(VLOOKUP($B39,MMWR_TRAD_AGG_RO_COMP[],C$1,0),"ERROR")</f>
        <v>323</v>
      </c>
      <c r="D39" s="220">
        <f>IFERROR(VLOOKUP($B39,MMWR_TRAD_AGG_RO_COMP[],D$1,0),"ERROR")</f>
        <v>276.52012383900001</v>
      </c>
      <c r="E39" s="221">
        <f>IFERROR(VLOOKUP($B39,MMWR_TRAD_AGG_RO_COMP[],E$1,0),"ERROR")</f>
        <v>807</v>
      </c>
      <c r="F39" s="222">
        <f>IFERROR(VLOOKUP($B39,MMWR_TRAD_AGG_RO_COMP[],F$1,0),"ERROR")</f>
        <v>97</v>
      </c>
      <c r="G39" s="223">
        <f t="shared" si="0"/>
        <v>0.12019826517967781</v>
      </c>
      <c r="H39" s="224">
        <f>IFERROR(VLOOKUP($B39,MMWR_TRAD_AGG_RO_COMP[],H$1,0),"ERROR")</f>
        <v>546</v>
      </c>
      <c r="I39" s="222">
        <f>IFERROR(VLOOKUP($B39,MMWR_TRAD_AGG_RO_COMP[],I$1,0),"ERROR")</f>
        <v>316</v>
      </c>
      <c r="J39" s="223">
        <f t="shared" si="1"/>
        <v>0.57875457875457881</v>
      </c>
      <c r="K39" s="225">
        <f>IFERROR(VLOOKUP($B39,MMWR_TRAD_AGG_RO_COMP[],K$1,0),"ERROR")</f>
        <v>136</v>
      </c>
      <c r="L39" s="226">
        <f>IFERROR(VLOOKUP($B39,MMWR_TRAD_AGG_RO_COMP[],L$1,0),"ERROR")</f>
        <v>54</v>
      </c>
      <c r="M39" s="223">
        <f t="shared" si="2"/>
        <v>0.39705882352941174</v>
      </c>
      <c r="N39" s="225">
        <f>IFERROR(VLOOKUP($B39,MMWR_TRAD_AGG_RO_COMP[],N$1,0),"ERROR")</f>
        <v>95</v>
      </c>
      <c r="O39" s="226">
        <f>IFERROR(VLOOKUP($B39,MMWR_TRAD_AGG_RO_COMP[],O$1,0),"ERROR")</f>
        <v>36</v>
      </c>
      <c r="P39" s="223">
        <f t="shared" si="3"/>
        <v>0.37894736842105264</v>
      </c>
      <c r="Q39" s="227">
        <f>IFERROR(VLOOKUP($B39,MMWR_TRAD_AGG_RO_COMP[],Q$1,0),"ERROR")</f>
        <v>2</v>
      </c>
      <c r="R39" s="227">
        <f>IFERROR(VLOOKUP($B39,MMWR_TRAD_AGG_RO_COMP[],R$1,0),"ERROR")</f>
        <v>4</v>
      </c>
      <c r="S39" s="201">
        <f>IFERROR(VLOOKUP($B39,MMWR_APP_RO[],S$1,0),"ERROR")</f>
        <v>249</v>
      </c>
      <c r="T39" s="28"/>
    </row>
    <row r="40" spans="1:20" x14ac:dyDescent="0.2">
      <c r="A40" s="28"/>
      <c r="B40" s="108" t="s">
        <v>40</v>
      </c>
      <c r="C40" s="219">
        <f>IFERROR(VLOOKUP($B40,MMWR_TRAD_AGG_RO_COMP[],C$1,0),"ERROR")</f>
        <v>7659</v>
      </c>
      <c r="D40" s="220">
        <f>IFERROR(VLOOKUP($B40,MMWR_TRAD_AGG_RO_COMP[],D$1,0),"ERROR")</f>
        <v>498.41245593420001</v>
      </c>
      <c r="E40" s="221">
        <f>IFERROR(VLOOKUP($B40,MMWR_TRAD_AGG_RO_COMP[],E$1,0),"ERROR")</f>
        <v>8311</v>
      </c>
      <c r="F40" s="222">
        <f>IFERROR(VLOOKUP($B40,MMWR_TRAD_AGG_RO_COMP[],F$1,0),"ERROR")</f>
        <v>2710</v>
      </c>
      <c r="G40" s="223">
        <f t="shared" si="0"/>
        <v>0.32607387799302129</v>
      </c>
      <c r="H40" s="224">
        <f>IFERROR(VLOOKUP($B40,MMWR_TRAD_AGG_RO_COMP[],H$1,0),"ERROR")</f>
        <v>9953</v>
      </c>
      <c r="I40" s="222">
        <f>IFERROR(VLOOKUP($B40,MMWR_TRAD_AGG_RO_COMP[],I$1,0),"ERROR")</f>
        <v>7534</v>
      </c>
      <c r="J40" s="223">
        <f t="shared" si="1"/>
        <v>0.75695770119561945</v>
      </c>
      <c r="K40" s="225">
        <f>IFERROR(VLOOKUP($B40,MMWR_TRAD_AGG_RO_COMP[],K$1,0),"ERROR")</f>
        <v>3119</v>
      </c>
      <c r="L40" s="226">
        <f>IFERROR(VLOOKUP($B40,MMWR_TRAD_AGG_RO_COMP[],L$1,0),"ERROR")</f>
        <v>2160</v>
      </c>
      <c r="M40" s="223">
        <f t="shared" si="2"/>
        <v>0.6925296569413274</v>
      </c>
      <c r="N40" s="225">
        <f>IFERROR(VLOOKUP($B40,MMWR_TRAD_AGG_RO_COMP[],N$1,0),"ERROR")</f>
        <v>799</v>
      </c>
      <c r="O40" s="226">
        <f>IFERROR(VLOOKUP($B40,MMWR_TRAD_AGG_RO_COMP[],O$1,0),"ERROR")</f>
        <v>411</v>
      </c>
      <c r="P40" s="223">
        <f t="shared" si="3"/>
        <v>0.5143929912390488</v>
      </c>
      <c r="Q40" s="227">
        <f>IFERROR(VLOOKUP($B40,MMWR_TRAD_AGG_RO_COMP[],Q$1,0),"ERROR")</f>
        <v>0</v>
      </c>
      <c r="R40" s="227">
        <f>IFERROR(VLOOKUP($B40,MMWR_TRAD_AGG_RO_COMP[],R$1,0),"ERROR")</f>
        <v>55</v>
      </c>
      <c r="S40" s="201">
        <f>IFERROR(VLOOKUP($B40,MMWR_APP_RO[],S$1,0),"ERROR")</f>
        <v>6392</v>
      </c>
      <c r="T40" s="28"/>
    </row>
    <row r="41" spans="1:20" x14ac:dyDescent="0.2">
      <c r="A41" s="28"/>
      <c r="B41" s="108" t="s">
        <v>181</v>
      </c>
      <c r="C41" s="219">
        <f>IFERROR(VLOOKUP($B41,MMWR_TRAD_AGG_RO_COMP[],C$1,0),"ERROR")</f>
        <v>480</v>
      </c>
      <c r="D41" s="220">
        <f>IFERROR(VLOOKUP($B41,MMWR_TRAD_AGG_RO_COMP[],D$1,0),"ERROR")</f>
        <v>154.21875</v>
      </c>
      <c r="E41" s="221">
        <f>IFERROR(VLOOKUP($B41,MMWR_TRAD_AGG_RO_COMP[],E$1,0),"ERROR")</f>
        <v>583</v>
      </c>
      <c r="F41" s="222">
        <f>IFERROR(VLOOKUP($B41,MMWR_TRAD_AGG_RO_COMP[],F$1,0),"ERROR")</f>
        <v>51</v>
      </c>
      <c r="G41" s="223">
        <f t="shared" si="0"/>
        <v>8.7478559176672382E-2</v>
      </c>
      <c r="H41" s="224">
        <f>IFERROR(VLOOKUP($B41,MMWR_TRAD_AGG_RO_COMP[],H$1,0),"ERROR")</f>
        <v>657</v>
      </c>
      <c r="I41" s="222">
        <f>IFERROR(VLOOKUP($B41,MMWR_TRAD_AGG_RO_COMP[],I$1,0),"ERROR")</f>
        <v>219</v>
      </c>
      <c r="J41" s="223">
        <f t="shared" si="1"/>
        <v>0.33333333333333331</v>
      </c>
      <c r="K41" s="225">
        <f>IFERROR(VLOOKUP($B41,MMWR_TRAD_AGG_RO_COMP[],K$1,0),"ERROR")</f>
        <v>449</v>
      </c>
      <c r="L41" s="226">
        <f>IFERROR(VLOOKUP($B41,MMWR_TRAD_AGG_RO_COMP[],L$1,0),"ERROR")</f>
        <v>133</v>
      </c>
      <c r="M41" s="223">
        <f t="shared" si="2"/>
        <v>0.29621380846325168</v>
      </c>
      <c r="N41" s="225">
        <f>IFERROR(VLOOKUP($B41,MMWR_TRAD_AGG_RO_COMP[],N$1,0),"ERROR")</f>
        <v>167</v>
      </c>
      <c r="O41" s="226">
        <f>IFERROR(VLOOKUP($B41,MMWR_TRAD_AGG_RO_COMP[],O$1,0),"ERROR")</f>
        <v>70</v>
      </c>
      <c r="P41" s="223">
        <f t="shared" si="3"/>
        <v>0.41916167664670656</v>
      </c>
      <c r="Q41" s="227">
        <f>IFERROR(VLOOKUP($B41,MMWR_TRAD_AGG_RO_COMP[],Q$1,0),"ERROR")</f>
        <v>0</v>
      </c>
      <c r="R41" s="227">
        <f>IFERROR(VLOOKUP($B41,MMWR_TRAD_AGG_RO_COMP[],R$1,0),"ERROR")</f>
        <v>3</v>
      </c>
      <c r="S41" s="201">
        <f>IFERROR(VLOOKUP($B41,MMWR_APP_RO[],S$1,0),"ERROR")</f>
        <v>360</v>
      </c>
      <c r="T41" s="28"/>
    </row>
    <row r="42" spans="1:20" x14ac:dyDescent="0.2">
      <c r="A42" s="28"/>
      <c r="B42" s="108" t="s">
        <v>46</v>
      </c>
      <c r="C42" s="219">
        <f>IFERROR(VLOOKUP($B42,MMWR_TRAD_AGG_RO_COMP[],C$1,0),"ERROR")</f>
        <v>13349</v>
      </c>
      <c r="D42" s="220">
        <f>IFERROR(VLOOKUP($B42,MMWR_TRAD_AGG_RO_COMP[],D$1,0),"ERROR")</f>
        <v>352.73975578699998</v>
      </c>
      <c r="E42" s="221">
        <f>IFERROR(VLOOKUP($B42,MMWR_TRAD_AGG_RO_COMP[],E$1,0),"ERROR")</f>
        <v>15735</v>
      </c>
      <c r="F42" s="222">
        <f>IFERROR(VLOOKUP($B42,MMWR_TRAD_AGG_RO_COMP[],F$1,0),"ERROR")</f>
        <v>3924</v>
      </c>
      <c r="G42" s="223">
        <f t="shared" si="0"/>
        <v>0.24938036224976168</v>
      </c>
      <c r="H42" s="224">
        <f>IFERROR(VLOOKUP($B42,MMWR_TRAD_AGG_RO_COMP[],H$1,0),"ERROR")</f>
        <v>17565</v>
      </c>
      <c r="I42" s="222">
        <f>IFERROR(VLOOKUP($B42,MMWR_TRAD_AGG_RO_COMP[],I$1,0),"ERROR")</f>
        <v>12315</v>
      </c>
      <c r="J42" s="223">
        <f t="shared" si="1"/>
        <v>0.7011101622544833</v>
      </c>
      <c r="K42" s="225">
        <f>IFERROR(VLOOKUP($B42,MMWR_TRAD_AGG_RO_COMP[],K$1,0),"ERROR")</f>
        <v>3188</v>
      </c>
      <c r="L42" s="226">
        <f>IFERROR(VLOOKUP($B42,MMWR_TRAD_AGG_RO_COMP[],L$1,0),"ERROR")</f>
        <v>1879</v>
      </c>
      <c r="M42" s="223">
        <f t="shared" si="2"/>
        <v>0.58939774153074032</v>
      </c>
      <c r="N42" s="225">
        <f>IFERROR(VLOOKUP($B42,MMWR_TRAD_AGG_RO_COMP[],N$1,0),"ERROR")</f>
        <v>3409</v>
      </c>
      <c r="O42" s="226">
        <f>IFERROR(VLOOKUP($B42,MMWR_TRAD_AGG_RO_COMP[],O$1,0),"ERROR")</f>
        <v>2541</v>
      </c>
      <c r="P42" s="223">
        <f t="shared" si="3"/>
        <v>0.74537987679671458</v>
      </c>
      <c r="Q42" s="227">
        <f>IFERROR(VLOOKUP($B42,MMWR_TRAD_AGG_RO_COMP[],Q$1,0),"ERROR")</f>
        <v>1</v>
      </c>
      <c r="R42" s="227">
        <f>IFERROR(VLOOKUP($B42,MMWR_TRAD_AGG_RO_COMP[],R$1,0),"ERROR")</f>
        <v>229</v>
      </c>
      <c r="S42" s="201">
        <f>IFERROR(VLOOKUP($B42,MMWR_APP_RO[],S$1,0),"ERROR")</f>
        <v>20787</v>
      </c>
      <c r="T42" s="28"/>
    </row>
    <row r="43" spans="1:20" x14ac:dyDescent="0.2">
      <c r="A43" s="28"/>
      <c r="B43" s="108" t="s">
        <v>49</v>
      </c>
      <c r="C43" s="219">
        <f>IFERROR(VLOOKUP($B43,MMWR_TRAD_AGG_RO_COMP[],C$1,0),"ERROR")</f>
        <v>3929</v>
      </c>
      <c r="D43" s="220">
        <f>IFERROR(VLOOKUP($B43,MMWR_TRAD_AGG_RO_COMP[],D$1,0),"ERROR")</f>
        <v>416.18299821839997</v>
      </c>
      <c r="E43" s="221">
        <f>IFERROR(VLOOKUP($B43,MMWR_TRAD_AGG_RO_COMP[],E$1,0),"ERROR")</f>
        <v>4109</v>
      </c>
      <c r="F43" s="222">
        <f>IFERROR(VLOOKUP($B43,MMWR_TRAD_AGG_RO_COMP[],F$1,0),"ERROR")</f>
        <v>1356</v>
      </c>
      <c r="G43" s="223">
        <f t="shared" si="0"/>
        <v>0.33000730104648335</v>
      </c>
      <c r="H43" s="224">
        <f>IFERROR(VLOOKUP($B43,MMWR_TRAD_AGG_RO_COMP[],H$1,0),"ERROR")</f>
        <v>6060</v>
      </c>
      <c r="I43" s="222">
        <f>IFERROR(VLOOKUP($B43,MMWR_TRAD_AGG_RO_COMP[],I$1,0),"ERROR")</f>
        <v>4520</v>
      </c>
      <c r="J43" s="223">
        <f t="shared" si="1"/>
        <v>0.74587458745874591</v>
      </c>
      <c r="K43" s="225">
        <f>IFERROR(VLOOKUP($B43,MMWR_TRAD_AGG_RO_COMP[],K$1,0),"ERROR")</f>
        <v>2113</v>
      </c>
      <c r="L43" s="226">
        <f>IFERROR(VLOOKUP($B43,MMWR_TRAD_AGG_RO_COMP[],L$1,0),"ERROR")</f>
        <v>1619</v>
      </c>
      <c r="M43" s="223">
        <f t="shared" si="2"/>
        <v>0.76620918125887361</v>
      </c>
      <c r="N43" s="225">
        <f>IFERROR(VLOOKUP($B43,MMWR_TRAD_AGG_RO_COMP[],N$1,0),"ERROR")</f>
        <v>2022</v>
      </c>
      <c r="O43" s="226">
        <f>IFERROR(VLOOKUP($B43,MMWR_TRAD_AGG_RO_COMP[],O$1,0),"ERROR")</f>
        <v>1653</v>
      </c>
      <c r="P43" s="223">
        <f t="shared" si="3"/>
        <v>0.81750741839762608</v>
      </c>
      <c r="Q43" s="227">
        <f>IFERROR(VLOOKUP($B43,MMWR_TRAD_AGG_RO_COMP[],Q$1,0),"ERROR")</f>
        <v>46</v>
      </c>
      <c r="R43" s="227">
        <f>IFERROR(VLOOKUP($B43,MMWR_TRAD_AGG_RO_COMP[],R$1,0),"ERROR")</f>
        <v>195</v>
      </c>
      <c r="S43" s="201">
        <f>IFERROR(VLOOKUP($B43,MMWR_APP_RO[],S$1,0),"ERROR")</f>
        <v>4644</v>
      </c>
      <c r="T43" s="28"/>
    </row>
    <row r="44" spans="1:20" x14ac:dyDescent="0.2">
      <c r="A44" s="28"/>
      <c r="B44" s="108" t="s">
        <v>51</v>
      </c>
      <c r="C44" s="219">
        <f>IFERROR(VLOOKUP($B44,MMWR_TRAD_AGG_RO_COMP[],C$1,0),"ERROR")</f>
        <v>4086</v>
      </c>
      <c r="D44" s="220">
        <f>IFERROR(VLOOKUP($B44,MMWR_TRAD_AGG_RO_COMP[],D$1,0),"ERROR")</f>
        <v>382.26186979929997</v>
      </c>
      <c r="E44" s="221">
        <f>IFERROR(VLOOKUP($B44,MMWR_TRAD_AGG_RO_COMP[],E$1,0),"ERROR")</f>
        <v>3392</v>
      </c>
      <c r="F44" s="222">
        <f>IFERROR(VLOOKUP($B44,MMWR_TRAD_AGG_RO_COMP[],F$1,0),"ERROR")</f>
        <v>579</v>
      </c>
      <c r="G44" s="223">
        <f t="shared" si="0"/>
        <v>0.17069575471698112</v>
      </c>
      <c r="H44" s="224">
        <f>IFERROR(VLOOKUP($B44,MMWR_TRAD_AGG_RO_COMP[],H$1,0),"ERROR")</f>
        <v>7742</v>
      </c>
      <c r="I44" s="222">
        <f>IFERROR(VLOOKUP($B44,MMWR_TRAD_AGG_RO_COMP[],I$1,0),"ERROR")</f>
        <v>4321</v>
      </c>
      <c r="J44" s="223">
        <f t="shared" si="1"/>
        <v>0.55812451562903642</v>
      </c>
      <c r="K44" s="225">
        <f>IFERROR(VLOOKUP($B44,MMWR_TRAD_AGG_RO_COMP[],K$1,0),"ERROR")</f>
        <v>4081</v>
      </c>
      <c r="L44" s="226">
        <f>IFERROR(VLOOKUP($B44,MMWR_TRAD_AGG_RO_COMP[],L$1,0),"ERROR")</f>
        <v>3340</v>
      </c>
      <c r="M44" s="223">
        <f t="shared" si="2"/>
        <v>0.81842685616270527</v>
      </c>
      <c r="N44" s="225">
        <f>IFERROR(VLOOKUP($B44,MMWR_TRAD_AGG_RO_COMP[],N$1,0),"ERROR")</f>
        <v>1433</v>
      </c>
      <c r="O44" s="226">
        <f>IFERROR(VLOOKUP($B44,MMWR_TRAD_AGG_RO_COMP[],O$1,0),"ERROR")</f>
        <v>751</v>
      </c>
      <c r="P44" s="223">
        <f t="shared" si="3"/>
        <v>0.52407536636427077</v>
      </c>
      <c r="Q44" s="227">
        <f>IFERROR(VLOOKUP($B44,MMWR_TRAD_AGG_RO_COMP[],Q$1,0),"ERROR")</f>
        <v>2</v>
      </c>
      <c r="R44" s="227">
        <f>IFERROR(VLOOKUP($B44,MMWR_TRAD_AGG_RO_COMP[],R$1,0),"ERROR")</f>
        <v>101</v>
      </c>
      <c r="S44" s="201">
        <f>IFERROR(VLOOKUP($B44,MMWR_APP_RO[],S$1,0),"ERROR")</f>
        <v>5298</v>
      </c>
      <c r="T44" s="28"/>
    </row>
    <row r="45" spans="1:20" x14ac:dyDescent="0.2">
      <c r="A45" s="28"/>
      <c r="B45" s="108" t="s">
        <v>27</v>
      </c>
      <c r="C45" s="219">
        <f>IFERROR(VLOOKUP($B45,MMWR_TRAD_AGG_RO_COMP[],C$1,0),"ERROR")</f>
        <v>1392</v>
      </c>
      <c r="D45" s="220">
        <f>IFERROR(VLOOKUP($B45,MMWR_TRAD_AGG_RO_COMP[],D$1,0),"ERROR")</f>
        <v>102.6623563218</v>
      </c>
      <c r="E45" s="221">
        <f>IFERROR(VLOOKUP($B45,MMWR_TRAD_AGG_RO_COMP[],E$1,0),"ERROR")</f>
        <v>5586</v>
      </c>
      <c r="F45" s="222">
        <f>IFERROR(VLOOKUP($B45,MMWR_TRAD_AGG_RO_COMP[],F$1,0),"ERROR")</f>
        <v>928</v>
      </c>
      <c r="G45" s="223">
        <f t="shared" si="0"/>
        <v>0.16612960973863231</v>
      </c>
      <c r="H45" s="224">
        <f>IFERROR(VLOOKUP($B45,MMWR_TRAD_AGG_RO_COMP[],H$1,0),"ERROR")</f>
        <v>6956</v>
      </c>
      <c r="I45" s="222">
        <f>IFERROR(VLOOKUP($B45,MMWR_TRAD_AGG_RO_COMP[],I$1,0),"ERROR")</f>
        <v>2665</v>
      </c>
      <c r="J45" s="223">
        <f t="shared" si="1"/>
        <v>0.38312248418631395</v>
      </c>
      <c r="K45" s="225">
        <f>IFERROR(VLOOKUP($B45,MMWR_TRAD_AGG_RO_COMP[],K$1,0),"ERROR")</f>
        <v>1335</v>
      </c>
      <c r="L45" s="226">
        <f>IFERROR(VLOOKUP($B45,MMWR_TRAD_AGG_RO_COMP[],L$1,0),"ERROR")</f>
        <v>552</v>
      </c>
      <c r="M45" s="223">
        <f t="shared" si="2"/>
        <v>0.41348314606741571</v>
      </c>
      <c r="N45" s="225">
        <f>IFERROR(VLOOKUP($B45,MMWR_TRAD_AGG_RO_COMP[],N$1,0),"ERROR")</f>
        <v>1438</v>
      </c>
      <c r="O45" s="226">
        <f>IFERROR(VLOOKUP($B45,MMWR_TRAD_AGG_RO_COMP[],O$1,0),"ERROR")</f>
        <v>643</v>
      </c>
      <c r="P45" s="223">
        <f t="shared" si="3"/>
        <v>0.44714881780250348</v>
      </c>
      <c r="Q45" s="227">
        <f>IFERROR(VLOOKUP($B45,MMWR_TRAD_AGG_RO_COMP[],Q$1,0),"ERROR")</f>
        <v>0</v>
      </c>
      <c r="R45" s="227">
        <f>IFERROR(VLOOKUP($B45,MMWR_TRAD_AGG_RO_COMP[],R$1,0),"ERROR")</f>
        <v>70</v>
      </c>
      <c r="S45" s="201">
        <f>IFERROR(VLOOKUP($B45,MMWR_APP_RO[],S$1,0),"ERROR")</f>
        <v>4416</v>
      </c>
      <c r="T45" s="28"/>
    </row>
    <row r="46" spans="1:20" x14ac:dyDescent="0.2">
      <c r="A46" s="28"/>
      <c r="B46" s="108" t="s">
        <v>59</v>
      </c>
      <c r="C46" s="219">
        <f>IFERROR(VLOOKUP($B46,MMWR_TRAD_AGG_RO_COMP[],C$1,0),"ERROR")</f>
        <v>4378</v>
      </c>
      <c r="D46" s="220">
        <f>IFERROR(VLOOKUP($B46,MMWR_TRAD_AGG_RO_COMP[],D$1,0),"ERROR")</f>
        <v>448.22864321610001</v>
      </c>
      <c r="E46" s="221">
        <f>IFERROR(VLOOKUP($B46,MMWR_TRAD_AGG_RO_COMP[],E$1,0),"ERROR")</f>
        <v>5582</v>
      </c>
      <c r="F46" s="222">
        <f>IFERROR(VLOOKUP($B46,MMWR_TRAD_AGG_RO_COMP[],F$1,0),"ERROR")</f>
        <v>1472</v>
      </c>
      <c r="G46" s="223">
        <f t="shared" si="0"/>
        <v>0.26370476531709064</v>
      </c>
      <c r="H46" s="224">
        <f>IFERROR(VLOOKUP($B46,MMWR_TRAD_AGG_RO_COMP[],H$1,0),"ERROR")</f>
        <v>5695</v>
      </c>
      <c r="I46" s="222">
        <f>IFERROR(VLOOKUP($B46,MMWR_TRAD_AGG_RO_COMP[],I$1,0),"ERROR")</f>
        <v>4053</v>
      </c>
      <c r="J46" s="223">
        <f t="shared" si="1"/>
        <v>0.71167690956979812</v>
      </c>
      <c r="K46" s="225">
        <f>IFERROR(VLOOKUP($B46,MMWR_TRAD_AGG_RO_COMP[],K$1,0),"ERROR")</f>
        <v>976</v>
      </c>
      <c r="L46" s="226">
        <f>IFERROR(VLOOKUP($B46,MMWR_TRAD_AGG_RO_COMP[],L$1,0),"ERROR")</f>
        <v>617</v>
      </c>
      <c r="M46" s="223">
        <f t="shared" si="2"/>
        <v>0.63217213114754101</v>
      </c>
      <c r="N46" s="225">
        <f>IFERROR(VLOOKUP($B46,MMWR_TRAD_AGG_RO_COMP[],N$1,0),"ERROR")</f>
        <v>1312</v>
      </c>
      <c r="O46" s="226">
        <f>IFERROR(VLOOKUP($B46,MMWR_TRAD_AGG_RO_COMP[],O$1,0),"ERROR")</f>
        <v>890</v>
      </c>
      <c r="P46" s="223">
        <f t="shared" si="3"/>
        <v>0.67835365853658536</v>
      </c>
      <c r="Q46" s="227">
        <f>IFERROR(VLOOKUP($B46,MMWR_TRAD_AGG_RO_COMP[],Q$1,0),"ERROR")</f>
        <v>2</v>
      </c>
      <c r="R46" s="227">
        <f>IFERROR(VLOOKUP($B46,MMWR_TRAD_AGG_RO_COMP[],R$1,0),"ERROR")</f>
        <v>253</v>
      </c>
      <c r="S46" s="201">
        <f>IFERROR(VLOOKUP($B46,MMWR_APP_RO[],S$1,0),"ERROR")</f>
        <v>5768</v>
      </c>
      <c r="T46" s="28"/>
    </row>
    <row r="47" spans="1:20" x14ac:dyDescent="0.2">
      <c r="A47" s="28"/>
      <c r="B47" s="108" t="s">
        <v>70</v>
      </c>
      <c r="C47" s="219">
        <f>IFERROR(VLOOKUP($B47,MMWR_TRAD_AGG_RO_COMP[],C$1,0),"ERROR")</f>
        <v>6365</v>
      </c>
      <c r="D47" s="220">
        <f>IFERROR(VLOOKUP($B47,MMWR_TRAD_AGG_RO_COMP[],D$1,0),"ERROR")</f>
        <v>272.22010997640001</v>
      </c>
      <c r="E47" s="221">
        <f>IFERROR(VLOOKUP($B47,MMWR_TRAD_AGG_RO_COMP[],E$1,0),"ERROR")</f>
        <v>2288</v>
      </c>
      <c r="F47" s="222">
        <f>IFERROR(VLOOKUP($B47,MMWR_TRAD_AGG_RO_COMP[],F$1,0),"ERROR")</f>
        <v>595</v>
      </c>
      <c r="G47" s="223">
        <f t="shared" si="0"/>
        <v>0.26005244755244755</v>
      </c>
      <c r="H47" s="224">
        <f>IFERROR(VLOOKUP($B47,MMWR_TRAD_AGG_RO_COMP[],H$1,0),"ERROR")</f>
        <v>12855</v>
      </c>
      <c r="I47" s="222">
        <f>IFERROR(VLOOKUP($B47,MMWR_TRAD_AGG_RO_COMP[],I$1,0),"ERROR")</f>
        <v>7693</v>
      </c>
      <c r="J47" s="223">
        <f t="shared" si="1"/>
        <v>0.59844418514196807</v>
      </c>
      <c r="K47" s="225">
        <f>IFERROR(VLOOKUP($B47,MMWR_TRAD_AGG_RO_COMP[],K$1,0),"ERROR")</f>
        <v>1178</v>
      </c>
      <c r="L47" s="226">
        <f>IFERROR(VLOOKUP($B47,MMWR_TRAD_AGG_RO_COMP[],L$1,0),"ERROR")</f>
        <v>636</v>
      </c>
      <c r="M47" s="223">
        <f t="shared" si="2"/>
        <v>0.53989813242784379</v>
      </c>
      <c r="N47" s="225">
        <f>IFERROR(VLOOKUP($B47,MMWR_TRAD_AGG_RO_COMP[],N$1,0),"ERROR")</f>
        <v>345</v>
      </c>
      <c r="O47" s="226">
        <f>IFERROR(VLOOKUP($B47,MMWR_TRAD_AGG_RO_COMP[],O$1,0),"ERROR")</f>
        <v>130</v>
      </c>
      <c r="P47" s="223">
        <f t="shared" si="3"/>
        <v>0.37681159420289856</v>
      </c>
      <c r="Q47" s="227">
        <f>IFERROR(VLOOKUP($B47,MMWR_TRAD_AGG_RO_COMP[],Q$1,0),"ERROR")</f>
        <v>0</v>
      </c>
      <c r="R47" s="227">
        <f>IFERROR(VLOOKUP($B47,MMWR_TRAD_AGG_RO_COMP[],R$1,0),"ERROR")</f>
        <v>1</v>
      </c>
      <c r="S47" s="201">
        <f>IFERROR(VLOOKUP($B47,MMWR_APP_RO[],S$1,0),"ERROR")</f>
        <v>752</v>
      </c>
      <c r="T47" s="28"/>
    </row>
    <row r="48" spans="1:20" x14ac:dyDescent="0.2">
      <c r="A48" s="28"/>
      <c r="B48" s="116" t="s">
        <v>79</v>
      </c>
      <c r="C48" s="228">
        <f>IFERROR(VLOOKUP($B48,MMWR_TRAD_AGG_RO_COMP[],C$1,0),"ERROR")</f>
        <v>11556</v>
      </c>
      <c r="D48" s="229">
        <f>IFERROR(VLOOKUP($B48,MMWR_TRAD_AGG_RO_COMP[],D$1,0),"ERROR")</f>
        <v>352.25095188649999</v>
      </c>
      <c r="E48" s="230">
        <f>IFERROR(VLOOKUP($B48,MMWR_TRAD_AGG_RO_COMP[],E$1,0),"ERROR")</f>
        <v>17740</v>
      </c>
      <c r="F48" s="231">
        <f>IFERROR(VLOOKUP($B48,MMWR_TRAD_AGG_RO_COMP[],F$1,0),"ERROR")</f>
        <v>3667</v>
      </c>
      <c r="G48" s="232">
        <f t="shared" si="0"/>
        <v>0.20670800450958288</v>
      </c>
      <c r="H48" s="233">
        <f>IFERROR(VLOOKUP($B48,MMWR_TRAD_AGG_RO_COMP[],H$1,0),"ERROR")</f>
        <v>13772</v>
      </c>
      <c r="I48" s="231">
        <f>IFERROR(VLOOKUP($B48,MMWR_TRAD_AGG_RO_COMP[],I$1,0),"ERROR")</f>
        <v>8901</v>
      </c>
      <c r="J48" s="232">
        <f t="shared" si="1"/>
        <v>0.64631135637525416</v>
      </c>
      <c r="K48" s="234">
        <f>IFERROR(VLOOKUP($B48,MMWR_TRAD_AGG_RO_COMP[],K$1,0),"ERROR")</f>
        <v>3479</v>
      </c>
      <c r="L48" s="235">
        <f>IFERROR(VLOOKUP($B48,MMWR_TRAD_AGG_RO_COMP[],L$1,0),"ERROR")</f>
        <v>2207</v>
      </c>
      <c r="M48" s="232">
        <f t="shared" si="2"/>
        <v>0.63437769473986783</v>
      </c>
      <c r="N48" s="234">
        <f>IFERROR(VLOOKUP($B48,MMWR_TRAD_AGG_RO_COMP[],N$1,0),"ERROR")</f>
        <v>5923</v>
      </c>
      <c r="O48" s="235">
        <f>IFERROR(VLOOKUP($B48,MMWR_TRAD_AGG_RO_COMP[],O$1,0),"ERROR")</f>
        <v>1931</v>
      </c>
      <c r="P48" s="232">
        <f t="shared" si="3"/>
        <v>0.32601722100287017</v>
      </c>
      <c r="Q48" s="236">
        <f>IFERROR(VLOOKUP($B48,MMWR_TRAD_AGG_RO_COMP[],Q$1,0),"ERROR")</f>
        <v>2</v>
      </c>
      <c r="R48" s="236">
        <f>IFERROR(VLOOKUP($B48,MMWR_TRAD_AGG_RO_COMP[],R$1,0),"ERROR")</f>
        <v>214</v>
      </c>
      <c r="S48" s="201">
        <f>IFERROR(VLOOKUP($B48,MMWR_APP_RO[],S$1,0),"ERROR")</f>
        <v>19443</v>
      </c>
      <c r="T48" s="28"/>
    </row>
    <row r="49" spans="1:20" x14ac:dyDescent="0.2">
      <c r="A49" s="28"/>
      <c r="B49" s="101" t="s">
        <v>405</v>
      </c>
      <c r="C49" s="212">
        <f>IFERROR(VLOOKUP($B49,MMWR_TRAD_AGG_DISTRICT_COMP[],C$1,0),"ERROR")</f>
        <v>55848</v>
      </c>
      <c r="D49" s="197">
        <f>IFERROR(VLOOKUP($B49,MMWR_TRAD_AGG_DISTRICT_COMP[],D$1,0),"ERROR")</f>
        <v>382.97881750469998</v>
      </c>
      <c r="E49" s="213">
        <f>IFERROR(VLOOKUP($B49,MMWR_TRAD_AGG_DISTRICT_COMP[],E$1,0),"ERROR")</f>
        <v>59134</v>
      </c>
      <c r="F49" s="218">
        <f>IFERROR(VLOOKUP($B49,MMWR_TRAD_AGG_DISTRICT_COMP[],F$1,0),"ERROR")</f>
        <v>13652</v>
      </c>
      <c r="G49" s="214">
        <f t="shared" si="0"/>
        <v>0.23086549193357458</v>
      </c>
      <c r="H49" s="218">
        <f>IFERROR(VLOOKUP($B49,MMWR_TRAD_AGG_DISTRICT_COMP[],H$1,0),"ERROR")</f>
        <v>80958</v>
      </c>
      <c r="I49" s="218">
        <f>IFERROR(VLOOKUP($B49,MMWR_TRAD_AGG_DISTRICT_COMP[],I$1,0),"ERROR")</f>
        <v>55419</v>
      </c>
      <c r="J49" s="214">
        <f t="shared" si="1"/>
        <v>0.68454013192025498</v>
      </c>
      <c r="K49" s="212">
        <f>IFERROR(VLOOKUP($B49,MMWR_TRAD_AGG_DISTRICT_COMP[],K$1,0),"ERROR")</f>
        <v>23999</v>
      </c>
      <c r="L49" s="212">
        <f>IFERROR(VLOOKUP($B49,MMWR_TRAD_AGG_DISTRICT_COMP[],L$1,0),"ERROR")</f>
        <v>17260</v>
      </c>
      <c r="M49" s="214">
        <f t="shared" si="2"/>
        <v>0.71919663319304972</v>
      </c>
      <c r="N49" s="212">
        <f>IFERROR(VLOOKUP($B49,MMWR_TRAD_AGG_DISTRICT_COMP[],N$1,0),"ERROR")</f>
        <v>19454</v>
      </c>
      <c r="O49" s="212">
        <f>IFERROR(VLOOKUP($B49,MMWR_TRAD_AGG_DISTRICT_COMP[],O$1,0),"ERROR")</f>
        <v>14094</v>
      </c>
      <c r="P49" s="214">
        <f t="shared" si="3"/>
        <v>0.72447825639971219</v>
      </c>
      <c r="Q49" s="212">
        <f>IFERROR(VLOOKUP($B49,MMWR_TRAD_AGG_DISTRICT_COMP[],Q$1,0),"ERROR")</f>
        <v>416</v>
      </c>
      <c r="R49" s="215">
        <f>IFERROR(VLOOKUP($B49,MMWR_TRAD_AGG_DISTRICT_COMP[],R$1,0),"ERROR")</f>
        <v>702</v>
      </c>
      <c r="S49" s="215">
        <f>IFERROR(VLOOKUP($B49,MMWR_APP_RO[],S$1,0),"ERROR")</f>
        <v>44122</v>
      </c>
      <c r="T49" s="28"/>
    </row>
    <row r="50" spans="1:20" x14ac:dyDescent="0.2">
      <c r="A50" s="28"/>
      <c r="B50" s="108" t="s">
        <v>31</v>
      </c>
      <c r="C50" s="219">
        <f>IFERROR(VLOOKUP($B50,MMWR_TRAD_AGG_RO_COMP[],C$1,0),"ERROR")</f>
        <v>982</v>
      </c>
      <c r="D50" s="220">
        <f>IFERROR(VLOOKUP($B50,MMWR_TRAD_AGG_RO_COMP[],D$1,0),"ERROR")</f>
        <v>138.24541751530001</v>
      </c>
      <c r="E50" s="221">
        <f>IFERROR(VLOOKUP($B50,MMWR_TRAD_AGG_RO_COMP[],E$1,0),"ERROR")</f>
        <v>2775</v>
      </c>
      <c r="F50" s="222">
        <f>IFERROR(VLOOKUP($B50,MMWR_TRAD_AGG_RO_COMP[],F$1,0),"ERROR")</f>
        <v>723</v>
      </c>
      <c r="G50" s="223">
        <f t="shared" si="0"/>
        <v>0.26054054054054054</v>
      </c>
      <c r="H50" s="224">
        <f>IFERROR(VLOOKUP($B50,MMWR_TRAD_AGG_RO_COMP[],H$1,0),"ERROR")</f>
        <v>1423</v>
      </c>
      <c r="I50" s="222">
        <f>IFERROR(VLOOKUP($B50,MMWR_TRAD_AGG_RO_COMP[],I$1,0),"ERROR")</f>
        <v>463</v>
      </c>
      <c r="J50" s="223">
        <f t="shared" si="1"/>
        <v>0.3253689388615601</v>
      </c>
      <c r="K50" s="225">
        <f>IFERROR(VLOOKUP($B50,MMWR_TRAD_AGG_RO_COMP[],K$1,0),"ERROR")</f>
        <v>333</v>
      </c>
      <c r="L50" s="226">
        <f>IFERROR(VLOOKUP($B50,MMWR_TRAD_AGG_RO_COMP[],L$1,0),"ERROR")</f>
        <v>96</v>
      </c>
      <c r="M50" s="223">
        <f t="shared" si="2"/>
        <v>0.28828828828828829</v>
      </c>
      <c r="N50" s="225">
        <f>IFERROR(VLOOKUP($B50,MMWR_TRAD_AGG_RO_COMP[],N$1,0),"ERROR")</f>
        <v>444</v>
      </c>
      <c r="O50" s="226">
        <f>IFERROR(VLOOKUP($B50,MMWR_TRAD_AGG_RO_COMP[],O$1,0),"ERROR")</f>
        <v>274</v>
      </c>
      <c r="P50" s="223">
        <f t="shared" si="3"/>
        <v>0.61711711711711714</v>
      </c>
      <c r="Q50" s="227">
        <f>IFERROR(VLOOKUP($B50,MMWR_TRAD_AGG_RO_COMP[],Q$1,0),"ERROR")</f>
        <v>0</v>
      </c>
      <c r="R50" s="227">
        <f>IFERROR(VLOOKUP($B50,MMWR_TRAD_AGG_RO_COMP[],R$1,0),"ERROR")</f>
        <v>11</v>
      </c>
      <c r="S50" s="201">
        <f>IFERROR(VLOOKUP($B50,MMWR_APP_RO[],S$1,0),"ERROR")</f>
        <v>1727</v>
      </c>
      <c r="T50" s="28"/>
    </row>
    <row r="51" spans="1:20" x14ac:dyDescent="0.2">
      <c r="A51" s="28"/>
      <c r="B51" s="108" t="s">
        <v>32</v>
      </c>
      <c r="C51" s="219">
        <f>IFERROR(VLOOKUP($B51,MMWR_TRAD_AGG_RO_COMP[],C$1,0),"ERROR")</f>
        <v>2021</v>
      </c>
      <c r="D51" s="220">
        <f>IFERROR(VLOOKUP($B51,MMWR_TRAD_AGG_RO_COMP[],D$1,0),"ERROR")</f>
        <v>470.99851558630002</v>
      </c>
      <c r="E51" s="221">
        <f>IFERROR(VLOOKUP($B51,MMWR_TRAD_AGG_RO_COMP[],E$1,0),"ERROR")</f>
        <v>1201</v>
      </c>
      <c r="F51" s="222">
        <f>IFERROR(VLOOKUP($B51,MMWR_TRAD_AGG_RO_COMP[],F$1,0),"ERROR")</f>
        <v>368</v>
      </c>
      <c r="G51" s="223">
        <f t="shared" si="0"/>
        <v>0.30641132389675269</v>
      </c>
      <c r="H51" s="224">
        <f>IFERROR(VLOOKUP($B51,MMWR_TRAD_AGG_RO_COMP[],H$1,0),"ERROR")</f>
        <v>2746</v>
      </c>
      <c r="I51" s="222">
        <f>IFERROR(VLOOKUP($B51,MMWR_TRAD_AGG_RO_COMP[],I$1,0),"ERROR")</f>
        <v>2068</v>
      </c>
      <c r="J51" s="223">
        <f t="shared" si="1"/>
        <v>0.75309541150764747</v>
      </c>
      <c r="K51" s="225">
        <f>IFERROR(VLOOKUP($B51,MMWR_TRAD_AGG_RO_COMP[],K$1,0),"ERROR")</f>
        <v>2120</v>
      </c>
      <c r="L51" s="226">
        <f>IFERROR(VLOOKUP($B51,MMWR_TRAD_AGG_RO_COMP[],L$1,0),"ERROR")</f>
        <v>1759</v>
      </c>
      <c r="M51" s="223">
        <f t="shared" si="2"/>
        <v>0.82971698113207548</v>
      </c>
      <c r="N51" s="225">
        <f>IFERROR(VLOOKUP($B51,MMWR_TRAD_AGG_RO_COMP[],N$1,0),"ERROR")</f>
        <v>535</v>
      </c>
      <c r="O51" s="226">
        <f>IFERROR(VLOOKUP($B51,MMWR_TRAD_AGG_RO_COMP[],O$1,0),"ERROR")</f>
        <v>261</v>
      </c>
      <c r="P51" s="223">
        <f t="shared" si="3"/>
        <v>0.48785046728971965</v>
      </c>
      <c r="Q51" s="227">
        <f>IFERROR(VLOOKUP($B51,MMWR_TRAD_AGG_RO_COMP[],Q$1,0),"ERROR")</f>
        <v>0</v>
      </c>
      <c r="R51" s="227">
        <f>IFERROR(VLOOKUP($B51,MMWR_TRAD_AGG_RO_COMP[],R$1,0),"ERROR")</f>
        <v>2</v>
      </c>
      <c r="S51" s="201">
        <f>IFERROR(VLOOKUP($B51,MMWR_APP_RO[],S$1,0),"ERROR")</f>
        <v>216</v>
      </c>
      <c r="T51" s="28"/>
    </row>
    <row r="52" spans="1:20" x14ac:dyDescent="0.2">
      <c r="A52" s="28"/>
      <c r="B52" s="108" t="s">
        <v>34</v>
      </c>
      <c r="C52" s="219">
        <f>IFERROR(VLOOKUP($B52,MMWR_TRAD_AGG_RO_COMP[],C$1,0),"ERROR")</f>
        <v>162</v>
      </c>
      <c r="D52" s="220">
        <f>IFERROR(VLOOKUP($B52,MMWR_TRAD_AGG_RO_COMP[],D$1,0),"ERROR")</f>
        <v>80.685185185199998</v>
      </c>
      <c r="E52" s="221">
        <f>IFERROR(VLOOKUP($B52,MMWR_TRAD_AGG_RO_COMP[],E$1,0),"ERROR")</f>
        <v>1326</v>
      </c>
      <c r="F52" s="222">
        <f>IFERROR(VLOOKUP($B52,MMWR_TRAD_AGG_RO_COMP[],F$1,0),"ERROR")</f>
        <v>282</v>
      </c>
      <c r="G52" s="223">
        <f t="shared" si="0"/>
        <v>0.21266968325791855</v>
      </c>
      <c r="H52" s="224">
        <f>IFERROR(VLOOKUP($B52,MMWR_TRAD_AGG_RO_COMP[],H$1,0),"ERROR")</f>
        <v>348</v>
      </c>
      <c r="I52" s="222">
        <f>IFERROR(VLOOKUP($B52,MMWR_TRAD_AGG_RO_COMP[],I$1,0),"ERROR")</f>
        <v>51</v>
      </c>
      <c r="J52" s="223">
        <f t="shared" si="1"/>
        <v>0.14655172413793102</v>
      </c>
      <c r="K52" s="225">
        <f>IFERROR(VLOOKUP($B52,MMWR_TRAD_AGG_RO_COMP[],K$1,0),"ERROR")</f>
        <v>219</v>
      </c>
      <c r="L52" s="226">
        <f>IFERROR(VLOOKUP($B52,MMWR_TRAD_AGG_RO_COMP[],L$1,0),"ERROR")</f>
        <v>22</v>
      </c>
      <c r="M52" s="223">
        <f t="shared" si="2"/>
        <v>0.1004566210045662</v>
      </c>
      <c r="N52" s="225">
        <f>IFERROR(VLOOKUP($B52,MMWR_TRAD_AGG_RO_COMP[],N$1,0),"ERROR")</f>
        <v>180</v>
      </c>
      <c r="O52" s="226">
        <f>IFERROR(VLOOKUP($B52,MMWR_TRAD_AGG_RO_COMP[],O$1,0),"ERROR")</f>
        <v>57</v>
      </c>
      <c r="P52" s="223">
        <f t="shared" si="3"/>
        <v>0.31666666666666665</v>
      </c>
      <c r="Q52" s="227">
        <f>IFERROR(VLOOKUP($B52,MMWR_TRAD_AGG_RO_COMP[],Q$1,0),"ERROR")</f>
        <v>0</v>
      </c>
      <c r="R52" s="227">
        <f>IFERROR(VLOOKUP($B52,MMWR_TRAD_AGG_RO_COMP[],R$1,0),"ERROR")</f>
        <v>2</v>
      </c>
      <c r="S52" s="201">
        <f>IFERROR(VLOOKUP($B52,MMWR_APP_RO[],S$1,0),"ERROR")</f>
        <v>939</v>
      </c>
      <c r="T52" s="28"/>
    </row>
    <row r="53" spans="1:20" x14ac:dyDescent="0.2">
      <c r="A53" s="28"/>
      <c r="B53" s="108" t="s">
        <v>45</v>
      </c>
      <c r="C53" s="219">
        <f>IFERROR(VLOOKUP($B53,MMWR_TRAD_AGG_RO_COMP[],C$1,0),"ERROR")</f>
        <v>1551</v>
      </c>
      <c r="D53" s="220">
        <f>IFERROR(VLOOKUP($B53,MMWR_TRAD_AGG_RO_COMP[],D$1,0),"ERROR")</f>
        <v>270.20889748550002</v>
      </c>
      <c r="E53" s="221">
        <f>IFERROR(VLOOKUP($B53,MMWR_TRAD_AGG_RO_COMP[],E$1,0),"ERROR")</f>
        <v>2006</v>
      </c>
      <c r="F53" s="222">
        <f>IFERROR(VLOOKUP($B53,MMWR_TRAD_AGG_RO_COMP[],F$1,0),"ERROR")</f>
        <v>457</v>
      </c>
      <c r="G53" s="223">
        <f t="shared" si="0"/>
        <v>0.22781655034895315</v>
      </c>
      <c r="H53" s="224">
        <f>IFERROR(VLOOKUP($B53,MMWR_TRAD_AGG_RO_COMP[],H$1,0),"ERROR")</f>
        <v>1927</v>
      </c>
      <c r="I53" s="222">
        <f>IFERROR(VLOOKUP($B53,MMWR_TRAD_AGG_RO_COMP[],I$1,0),"ERROR")</f>
        <v>1344</v>
      </c>
      <c r="J53" s="223">
        <f t="shared" si="1"/>
        <v>0.6974571873378308</v>
      </c>
      <c r="K53" s="225">
        <f>IFERROR(VLOOKUP($B53,MMWR_TRAD_AGG_RO_COMP[],K$1,0),"ERROR")</f>
        <v>980</v>
      </c>
      <c r="L53" s="226">
        <f>IFERROR(VLOOKUP($B53,MMWR_TRAD_AGG_RO_COMP[],L$1,0),"ERROR")</f>
        <v>542</v>
      </c>
      <c r="M53" s="223">
        <f t="shared" si="2"/>
        <v>0.55306122448979589</v>
      </c>
      <c r="N53" s="225">
        <f>IFERROR(VLOOKUP($B53,MMWR_TRAD_AGG_RO_COMP[],N$1,0),"ERROR")</f>
        <v>289</v>
      </c>
      <c r="O53" s="226">
        <f>IFERROR(VLOOKUP($B53,MMWR_TRAD_AGG_RO_COMP[],O$1,0),"ERROR")</f>
        <v>99</v>
      </c>
      <c r="P53" s="223">
        <f t="shared" si="3"/>
        <v>0.34256055363321797</v>
      </c>
      <c r="Q53" s="227">
        <f>IFERROR(VLOOKUP($B53,MMWR_TRAD_AGG_RO_COMP[],Q$1,0),"ERROR")</f>
        <v>0</v>
      </c>
      <c r="R53" s="227">
        <f>IFERROR(VLOOKUP($B53,MMWR_TRAD_AGG_RO_COMP[],R$1,0),"ERROR")</f>
        <v>1</v>
      </c>
      <c r="S53" s="201">
        <f>IFERROR(VLOOKUP($B53,MMWR_APP_RO[],S$1,0),"ERROR")</f>
        <v>1462</v>
      </c>
      <c r="T53" s="28"/>
    </row>
    <row r="54" spans="1:20" x14ac:dyDescent="0.2">
      <c r="A54" s="28"/>
      <c r="B54" s="108" t="s">
        <v>52</v>
      </c>
      <c r="C54" s="219">
        <f>IFERROR(VLOOKUP($B54,MMWR_TRAD_AGG_RO_COMP[],C$1,0),"ERROR")</f>
        <v>7445</v>
      </c>
      <c r="D54" s="220">
        <f>IFERROR(VLOOKUP($B54,MMWR_TRAD_AGG_RO_COMP[],D$1,0),"ERROR")</f>
        <v>392.52034922770002</v>
      </c>
      <c r="E54" s="221">
        <f>IFERROR(VLOOKUP($B54,MMWR_TRAD_AGG_RO_COMP[],E$1,0),"ERROR")</f>
        <v>9313</v>
      </c>
      <c r="F54" s="222">
        <f>IFERROR(VLOOKUP($B54,MMWR_TRAD_AGG_RO_COMP[],F$1,0),"ERROR")</f>
        <v>2061</v>
      </c>
      <c r="G54" s="223">
        <f t="shared" si="0"/>
        <v>0.22130355417158809</v>
      </c>
      <c r="H54" s="224">
        <f>IFERROR(VLOOKUP($B54,MMWR_TRAD_AGG_RO_COMP[],H$1,0),"ERROR")</f>
        <v>8926</v>
      </c>
      <c r="I54" s="222">
        <f>IFERROR(VLOOKUP($B54,MMWR_TRAD_AGG_RO_COMP[],I$1,0),"ERROR")</f>
        <v>6416</v>
      </c>
      <c r="J54" s="223">
        <f t="shared" si="1"/>
        <v>0.71879901411606539</v>
      </c>
      <c r="K54" s="225">
        <f>IFERROR(VLOOKUP($B54,MMWR_TRAD_AGG_RO_COMP[],K$1,0),"ERROR")</f>
        <v>1040</v>
      </c>
      <c r="L54" s="226">
        <f>IFERROR(VLOOKUP($B54,MMWR_TRAD_AGG_RO_COMP[],L$1,0),"ERROR")</f>
        <v>878</v>
      </c>
      <c r="M54" s="223">
        <f t="shared" si="2"/>
        <v>0.84423076923076923</v>
      </c>
      <c r="N54" s="225">
        <f>IFERROR(VLOOKUP($B54,MMWR_TRAD_AGG_RO_COMP[],N$1,0),"ERROR")</f>
        <v>3924</v>
      </c>
      <c r="O54" s="226">
        <f>IFERROR(VLOOKUP($B54,MMWR_TRAD_AGG_RO_COMP[],O$1,0),"ERROR")</f>
        <v>3291</v>
      </c>
      <c r="P54" s="223">
        <f t="shared" si="3"/>
        <v>0.83868501529051986</v>
      </c>
      <c r="Q54" s="227">
        <f>IFERROR(VLOOKUP($B54,MMWR_TRAD_AGG_RO_COMP[],Q$1,0),"ERROR")</f>
        <v>4</v>
      </c>
      <c r="R54" s="227">
        <f>IFERROR(VLOOKUP($B54,MMWR_TRAD_AGG_RO_COMP[],R$1,0),"ERROR")</f>
        <v>30</v>
      </c>
      <c r="S54" s="201">
        <f>IFERROR(VLOOKUP($B54,MMWR_APP_RO[],S$1,0),"ERROR")</f>
        <v>4883</v>
      </c>
      <c r="T54" s="28"/>
    </row>
    <row r="55" spans="1:20" x14ac:dyDescent="0.2">
      <c r="A55" s="28"/>
      <c r="B55" s="108" t="s">
        <v>55</v>
      </c>
      <c r="C55" s="219">
        <f>IFERROR(VLOOKUP($B55,MMWR_TRAD_AGG_RO_COMP[],C$1,0),"ERROR")</f>
        <v>753</v>
      </c>
      <c r="D55" s="220">
        <f>IFERROR(VLOOKUP($B55,MMWR_TRAD_AGG_RO_COMP[],D$1,0),"ERROR")</f>
        <v>184.24966799469999</v>
      </c>
      <c r="E55" s="221">
        <f>IFERROR(VLOOKUP($B55,MMWR_TRAD_AGG_RO_COMP[],E$1,0),"ERROR")</f>
        <v>834</v>
      </c>
      <c r="F55" s="222">
        <f>IFERROR(VLOOKUP($B55,MMWR_TRAD_AGG_RO_COMP[],F$1,0),"ERROR")</f>
        <v>229</v>
      </c>
      <c r="G55" s="223">
        <f t="shared" si="0"/>
        <v>0.27458033573141488</v>
      </c>
      <c r="H55" s="224">
        <f>IFERROR(VLOOKUP($B55,MMWR_TRAD_AGG_RO_COMP[],H$1,0),"ERROR")</f>
        <v>893</v>
      </c>
      <c r="I55" s="222">
        <f>IFERROR(VLOOKUP($B55,MMWR_TRAD_AGG_RO_COMP[],I$1,0),"ERROR")</f>
        <v>526</v>
      </c>
      <c r="J55" s="223">
        <f t="shared" si="1"/>
        <v>0.58902575587905937</v>
      </c>
      <c r="K55" s="225">
        <f>IFERROR(VLOOKUP($B55,MMWR_TRAD_AGG_RO_COMP[],K$1,0),"ERROR")</f>
        <v>266</v>
      </c>
      <c r="L55" s="226">
        <f>IFERROR(VLOOKUP($B55,MMWR_TRAD_AGG_RO_COMP[],L$1,0),"ERROR")</f>
        <v>102</v>
      </c>
      <c r="M55" s="223">
        <f t="shared" si="2"/>
        <v>0.38345864661654133</v>
      </c>
      <c r="N55" s="225">
        <f>IFERROR(VLOOKUP($B55,MMWR_TRAD_AGG_RO_COMP[],N$1,0),"ERROR")</f>
        <v>902</v>
      </c>
      <c r="O55" s="226">
        <f>IFERROR(VLOOKUP($B55,MMWR_TRAD_AGG_RO_COMP[],O$1,0),"ERROR")</f>
        <v>551</v>
      </c>
      <c r="P55" s="223">
        <f t="shared" si="3"/>
        <v>0.61086474501108645</v>
      </c>
      <c r="Q55" s="227">
        <f>IFERROR(VLOOKUP($B55,MMWR_TRAD_AGG_RO_COMP[],Q$1,0),"ERROR")</f>
        <v>409</v>
      </c>
      <c r="R55" s="227">
        <f>IFERROR(VLOOKUP($B55,MMWR_TRAD_AGG_RO_COMP[],R$1,0),"ERROR")</f>
        <v>153</v>
      </c>
      <c r="S55" s="201">
        <f>IFERROR(VLOOKUP($B55,MMWR_APP_RO[],S$1,0),"ERROR")</f>
        <v>958</v>
      </c>
      <c r="T55" s="28"/>
    </row>
    <row r="56" spans="1:20" x14ac:dyDescent="0.2">
      <c r="A56" s="28"/>
      <c r="B56" s="108" t="s">
        <v>62</v>
      </c>
      <c r="C56" s="219">
        <f>IFERROR(VLOOKUP($B56,MMWR_TRAD_AGG_RO_COMP[],C$1,0),"ERROR")</f>
        <v>11296</v>
      </c>
      <c r="D56" s="220">
        <f>IFERROR(VLOOKUP($B56,MMWR_TRAD_AGG_RO_COMP[],D$1,0),"ERROR")</f>
        <v>417.90925991500001</v>
      </c>
      <c r="E56" s="221">
        <f>IFERROR(VLOOKUP($B56,MMWR_TRAD_AGG_RO_COMP[],E$1,0),"ERROR")</f>
        <v>11212</v>
      </c>
      <c r="F56" s="222">
        <f>IFERROR(VLOOKUP($B56,MMWR_TRAD_AGG_RO_COMP[],F$1,0),"ERROR")</f>
        <v>3165</v>
      </c>
      <c r="G56" s="223">
        <f t="shared" si="0"/>
        <v>0.28228683553335709</v>
      </c>
      <c r="H56" s="224">
        <f>IFERROR(VLOOKUP($B56,MMWR_TRAD_AGG_RO_COMP[],H$1,0),"ERROR")</f>
        <v>14644</v>
      </c>
      <c r="I56" s="222">
        <f>IFERROR(VLOOKUP($B56,MMWR_TRAD_AGG_RO_COMP[],I$1,0),"ERROR")</f>
        <v>11253</v>
      </c>
      <c r="J56" s="223">
        <f t="shared" si="1"/>
        <v>0.76843758535919149</v>
      </c>
      <c r="K56" s="225">
        <f>IFERROR(VLOOKUP($B56,MMWR_TRAD_AGG_RO_COMP[],K$1,0),"ERROR")</f>
        <v>4519</v>
      </c>
      <c r="L56" s="226">
        <f>IFERROR(VLOOKUP($B56,MMWR_TRAD_AGG_RO_COMP[],L$1,0),"ERROR")</f>
        <v>3713</v>
      </c>
      <c r="M56" s="223">
        <f t="shared" si="2"/>
        <v>0.82164195618499669</v>
      </c>
      <c r="N56" s="225">
        <f>IFERROR(VLOOKUP($B56,MMWR_TRAD_AGG_RO_COMP[],N$1,0),"ERROR")</f>
        <v>2316</v>
      </c>
      <c r="O56" s="226">
        <f>IFERROR(VLOOKUP($B56,MMWR_TRAD_AGG_RO_COMP[],O$1,0),"ERROR")</f>
        <v>1822</v>
      </c>
      <c r="P56" s="223">
        <f t="shared" si="3"/>
        <v>0.78670120898100171</v>
      </c>
      <c r="Q56" s="227">
        <f>IFERROR(VLOOKUP($B56,MMWR_TRAD_AGG_RO_COMP[],Q$1,0),"ERROR")</f>
        <v>0</v>
      </c>
      <c r="R56" s="227">
        <f>IFERROR(VLOOKUP($B56,MMWR_TRAD_AGG_RO_COMP[],R$1,0),"ERROR")</f>
        <v>29</v>
      </c>
      <c r="S56" s="201">
        <f>IFERROR(VLOOKUP($B56,MMWR_APP_RO[],S$1,0),"ERROR")</f>
        <v>8643</v>
      </c>
      <c r="T56" s="28"/>
    </row>
    <row r="57" spans="1:20" x14ac:dyDescent="0.2">
      <c r="A57" s="28"/>
      <c r="B57" s="108" t="s">
        <v>64</v>
      </c>
      <c r="C57" s="219">
        <f>IFERROR(VLOOKUP($B57,MMWR_TRAD_AGG_RO_COMP[],C$1,0),"ERROR")</f>
        <v>4002</v>
      </c>
      <c r="D57" s="220">
        <f>IFERROR(VLOOKUP($B57,MMWR_TRAD_AGG_RO_COMP[],D$1,0),"ERROR")</f>
        <v>262.25537231380002</v>
      </c>
      <c r="E57" s="221">
        <f>IFERROR(VLOOKUP($B57,MMWR_TRAD_AGG_RO_COMP[],E$1,0),"ERROR")</f>
        <v>4129</v>
      </c>
      <c r="F57" s="222">
        <f>IFERROR(VLOOKUP($B57,MMWR_TRAD_AGG_RO_COMP[],F$1,0),"ERROR")</f>
        <v>975</v>
      </c>
      <c r="G57" s="223">
        <f t="shared" si="0"/>
        <v>0.23613465730201016</v>
      </c>
      <c r="H57" s="224">
        <f>IFERROR(VLOOKUP($B57,MMWR_TRAD_AGG_RO_COMP[],H$1,0),"ERROR")</f>
        <v>4907</v>
      </c>
      <c r="I57" s="222">
        <f>IFERROR(VLOOKUP($B57,MMWR_TRAD_AGG_RO_COMP[],I$1,0),"ERROR")</f>
        <v>2944</v>
      </c>
      <c r="J57" s="223">
        <f t="shared" si="1"/>
        <v>0.59995924189932748</v>
      </c>
      <c r="K57" s="225">
        <f>IFERROR(VLOOKUP($B57,MMWR_TRAD_AGG_RO_COMP[],K$1,0),"ERROR")</f>
        <v>1050</v>
      </c>
      <c r="L57" s="226">
        <f>IFERROR(VLOOKUP($B57,MMWR_TRAD_AGG_RO_COMP[],L$1,0),"ERROR")</f>
        <v>309</v>
      </c>
      <c r="M57" s="223">
        <f t="shared" si="2"/>
        <v>0.29428571428571426</v>
      </c>
      <c r="N57" s="225">
        <f>IFERROR(VLOOKUP($B57,MMWR_TRAD_AGG_RO_COMP[],N$1,0),"ERROR")</f>
        <v>1167</v>
      </c>
      <c r="O57" s="226">
        <f>IFERROR(VLOOKUP($B57,MMWR_TRAD_AGG_RO_COMP[],O$1,0),"ERROR")</f>
        <v>684</v>
      </c>
      <c r="P57" s="223">
        <f t="shared" si="3"/>
        <v>0.58611825192802058</v>
      </c>
      <c r="Q57" s="227">
        <f>IFERROR(VLOOKUP($B57,MMWR_TRAD_AGG_RO_COMP[],Q$1,0),"ERROR")</f>
        <v>0</v>
      </c>
      <c r="R57" s="227">
        <f>IFERROR(VLOOKUP($B57,MMWR_TRAD_AGG_RO_COMP[],R$1,0),"ERROR")</f>
        <v>66</v>
      </c>
      <c r="S57" s="201">
        <f>IFERROR(VLOOKUP($B57,MMWR_APP_RO[],S$1,0),"ERROR")</f>
        <v>7202</v>
      </c>
      <c r="T57" s="28"/>
    </row>
    <row r="58" spans="1:20" x14ac:dyDescent="0.2">
      <c r="A58" s="28"/>
      <c r="B58" s="108" t="s">
        <v>66</v>
      </c>
      <c r="C58" s="219">
        <f>IFERROR(VLOOKUP($B58,MMWR_TRAD_AGG_RO_COMP[],C$1,0),"ERROR")</f>
        <v>6674</v>
      </c>
      <c r="D58" s="220">
        <f>IFERROR(VLOOKUP($B58,MMWR_TRAD_AGG_RO_COMP[],D$1,0),"ERROR")</f>
        <v>458.00854060530003</v>
      </c>
      <c r="E58" s="221">
        <f>IFERROR(VLOOKUP($B58,MMWR_TRAD_AGG_RO_COMP[],E$1,0),"ERROR")</f>
        <v>4405</v>
      </c>
      <c r="F58" s="222">
        <f>IFERROR(VLOOKUP($B58,MMWR_TRAD_AGG_RO_COMP[],F$1,0),"ERROR")</f>
        <v>1163</v>
      </c>
      <c r="G58" s="223">
        <f t="shared" si="0"/>
        <v>0.26401816118047672</v>
      </c>
      <c r="H58" s="224">
        <f>IFERROR(VLOOKUP($B58,MMWR_TRAD_AGG_RO_COMP[],H$1,0),"ERROR")</f>
        <v>8203</v>
      </c>
      <c r="I58" s="222">
        <f>IFERROR(VLOOKUP($B58,MMWR_TRAD_AGG_RO_COMP[],I$1,0),"ERROR")</f>
        <v>6302</v>
      </c>
      <c r="J58" s="223">
        <f t="shared" si="1"/>
        <v>0.7682555162745337</v>
      </c>
      <c r="K58" s="225">
        <f>IFERROR(VLOOKUP($B58,MMWR_TRAD_AGG_RO_COMP[],K$1,0),"ERROR")</f>
        <v>2942</v>
      </c>
      <c r="L58" s="226">
        <f>IFERROR(VLOOKUP($B58,MMWR_TRAD_AGG_RO_COMP[],L$1,0),"ERROR")</f>
        <v>2754</v>
      </c>
      <c r="M58" s="223">
        <f t="shared" si="2"/>
        <v>0.93609789259007481</v>
      </c>
      <c r="N58" s="225">
        <f>IFERROR(VLOOKUP($B58,MMWR_TRAD_AGG_RO_COMP[],N$1,0),"ERROR")</f>
        <v>1952</v>
      </c>
      <c r="O58" s="226">
        <f>IFERROR(VLOOKUP($B58,MMWR_TRAD_AGG_RO_COMP[],O$1,0),"ERROR")</f>
        <v>1158</v>
      </c>
      <c r="P58" s="223">
        <f t="shared" si="3"/>
        <v>0.59323770491803274</v>
      </c>
      <c r="Q58" s="227">
        <f>IFERROR(VLOOKUP($B58,MMWR_TRAD_AGG_RO_COMP[],Q$1,0),"ERROR")</f>
        <v>1</v>
      </c>
      <c r="R58" s="227">
        <f>IFERROR(VLOOKUP($B58,MMWR_TRAD_AGG_RO_COMP[],R$1,0),"ERROR")</f>
        <v>79</v>
      </c>
      <c r="S58" s="201">
        <f>IFERROR(VLOOKUP($B58,MMWR_APP_RO[],S$1,0),"ERROR")</f>
        <v>5450</v>
      </c>
      <c r="T58" s="28"/>
    </row>
    <row r="59" spans="1:20" x14ac:dyDescent="0.2">
      <c r="A59" s="28"/>
      <c r="B59" s="108" t="s">
        <v>68</v>
      </c>
      <c r="C59" s="219">
        <f>IFERROR(VLOOKUP($B59,MMWR_TRAD_AGG_RO_COMP[],C$1,0),"ERROR")</f>
        <v>2881</v>
      </c>
      <c r="D59" s="220">
        <f>IFERROR(VLOOKUP($B59,MMWR_TRAD_AGG_RO_COMP[],D$1,0),"ERROR")</f>
        <v>434.70010413049999</v>
      </c>
      <c r="E59" s="221">
        <f>IFERROR(VLOOKUP($B59,MMWR_TRAD_AGG_RO_COMP[],E$1,0),"ERROR")</f>
        <v>3369</v>
      </c>
      <c r="F59" s="222">
        <f>IFERROR(VLOOKUP($B59,MMWR_TRAD_AGG_RO_COMP[],F$1,0),"ERROR")</f>
        <v>820</v>
      </c>
      <c r="G59" s="223">
        <f t="shared" si="0"/>
        <v>0.24339566636984269</v>
      </c>
      <c r="H59" s="224">
        <f>IFERROR(VLOOKUP($B59,MMWR_TRAD_AGG_RO_COMP[],H$1,0),"ERROR")</f>
        <v>3439</v>
      </c>
      <c r="I59" s="222">
        <f>IFERROR(VLOOKUP($B59,MMWR_TRAD_AGG_RO_COMP[],I$1,0),"ERROR")</f>
        <v>2460</v>
      </c>
      <c r="J59" s="223">
        <f t="shared" si="1"/>
        <v>0.71532422215760394</v>
      </c>
      <c r="K59" s="225">
        <f>IFERROR(VLOOKUP($B59,MMWR_TRAD_AGG_RO_COMP[],K$1,0),"ERROR")</f>
        <v>550</v>
      </c>
      <c r="L59" s="226">
        <f>IFERROR(VLOOKUP($B59,MMWR_TRAD_AGG_RO_COMP[],L$1,0),"ERROR")</f>
        <v>375</v>
      </c>
      <c r="M59" s="223">
        <f t="shared" si="2"/>
        <v>0.68181818181818177</v>
      </c>
      <c r="N59" s="225">
        <f>IFERROR(VLOOKUP($B59,MMWR_TRAD_AGG_RO_COMP[],N$1,0),"ERROR")</f>
        <v>1153</v>
      </c>
      <c r="O59" s="226">
        <f>IFERROR(VLOOKUP($B59,MMWR_TRAD_AGG_RO_COMP[],O$1,0),"ERROR")</f>
        <v>861</v>
      </c>
      <c r="P59" s="223">
        <f t="shared" si="3"/>
        <v>0.74674761491760622</v>
      </c>
      <c r="Q59" s="227">
        <f>IFERROR(VLOOKUP($B59,MMWR_TRAD_AGG_RO_COMP[],Q$1,0),"ERROR")</f>
        <v>0</v>
      </c>
      <c r="R59" s="227">
        <f>IFERROR(VLOOKUP($B59,MMWR_TRAD_AGG_RO_COMP[],R$1,0),"ERROR")</f>
        <v>121</v>
      </c>
      <c r="S59" s="201">
        <f>IFERROR(VLOOKUP($B59,MMWR_APP_RO[],S$1,0),"ERROR")</f>
        <v>3075</v>
      </c>
      <c r="T59" s="28"/>
    </row>
    <row r="60" spans="1:20" x14ac:dyDescent="0.2">
      <c r="A60" s="28"/>
      <c r="B60" s="108" t="s">
        <v>71</v>
      </c>
      <c r="C60" s="219">
        <f>IFERROR(VLOOKUP($B60,MMWR_TRAD_AGG_RO_COMP[],C$1,0),"ERROR")</f>
        <v>6988</v>
      </c>
      <c r="D60" s="220">
        <f>IFERROR(VLOOKUP($B60,MMWR_TRAD_AGG_RO_COMP[],D$1,0),"ERROR")</f>
        <v>349.89553520319998</v>
      </c>
      <c r="E60" s="221">
        <f>IFERROR(VLOOKUP($B60,MMWR_TRAD_AGG_RO_COMP[],E$1,0),"ERROR")</f>
        <v>11225</v>
      </c>
      <c r="F60" s="222">
        <f>IFERROR(VLOOKUP($B60,MMWR_TRAD_AGG_RO_COMP[],F$1,0),"ERROR")</f>
        <v>2178</v>
      </c>
      <c r="G60" s="223">
        <f t="shared" si="0"/>
        <v>0.19403118040089087</v>
      </c>
      <c r="H60" s="224">
        <f>IFERROR(VLOOKUP($B60,MMWR_TRAD_AGG_RO_COMP[],H$1,0),"ERROR")</f>
        <v>17513</v>
      </c>
      <c r="I60" s="222">
        <f>IFERROR(VLOOKUP($B60,MMWR_TRAD_AGG_RO_COMP[],I$1,0),"ERROR")</f>
        <v>10147</v>
      </c>
      <c r="J60" s="223">
        <f t="shared" si="1"/>
        <v>0.57939816136584255</v>
      </c>
      <c r="K60" s="225">
        <f>IFERROR(VLOOKUP($B60,MMWR_TRAD_AGG_RO_COMP[],K$1,0),"ERROR")</f>
        <v>4874</v>
      </c>
      <c r="L60" s="226">
        <f>IFERROR(VLOOKUP($B60,MMWR_TRAD_AGG_RO_COMP[],L$1,0),"ERROR")</f>
        <v>2948</v>
      </c>
      <c r="M60" s="223">
        <f t="shared" si="2"/>
        <v>0.6048420188756668</v>
      </c>
      <c r="N60" s="225">
        <f>IFERROR(VLOOKUP($B60,MMWR_TRAD_AGG_RO_COMP[],N$1,0),"ERROR")</f>
        <v>2312</v>
      </c>
      <c r="O60" s="226">
        <f>IFERROR(VLOOKUP($B60,MMWR_TRAD_AGG_RO_COMP[],O$1,0),"ERROR")</f>
        <v>1488</v>
      </c>
      <c r="P60" s="223">
        <f t="shared" si="3"/>
        <v>0.643598615916955</v>
      </c>
      <c r="Q60" s="227">
        <f>IFERROR(VLOOKUP($B60,MMWR_TRAD_AGG_RO_COMP[],Q$1,0),"ERROR")</f>
        <v>0</v>
      </c>
      <c r="R60" s="227">
        <f>IFERROR(VLOOKUP($B60,MMWR_TRAD_AGG_RO_COMP[],R$1,0),"ERROR")</f>
        <v>59</v>
      </c>
      <c r="S60" s="201">
        <f>IFERROR(VLOOKUP($B60,MMWR_APP_RO[],S$1,0),"ERROR")</f>
        <v>4378</v>
      </c>
      <c r="T60" s="28"/>
    </row>
    <row r="61" spans="1:20" x14ac:dyDescent="0.2">
      <c r="A61" s="28"/>
      <c r="B61" s="116" t="s">
        <v>73</v>
      </c>
      <c r="C61" s="228">
        <f>IFERROR(VLOOKUP($B61,MMWR_TRAD_AGG_RO_COMP[],C$1,0),"ERROR")</f>
        <v>11093</v>
      </c>
      <c r="D61" s="229">
        <f>IFERROR(VLOOKUP($B61,MMWR_TRAD_AGG_RO_COMP[],D$1,0),"ERROR")</f>
        <v>386.12620571529999</v>
      </c>
      <c r="E61" s="230">
        <f>IFERROR(VLOOKUP($B61,MMWR_TRAD_AGG_RO_COMP[],E$1,0),"ERROR")</f>
        <v>7339</v>
      </c>
      <c r="F61" s="231">
        <f>IFERROR(VLOOKUP($B61,MMWR_TRAD_AGG_RO_COMP[],F$1,0),"ERROR")</f>
        <v>1231</v>
      </c>
      <c r="G61" s="232">
        <f t="shared" si="0"/>
        <v>0.16773402370895218</v>
      </c>
      <c r="H61" s="233">
        <f>IFERROR(VLOOKUP($B61,MMWR_TRAD_AGG_RO_COMP[],H$1,0),"ERROR")</f>
        <v>15989</v>
      </c>
      <c r="I61" s="231">
        <f>IFERROR(VLOOKUP($B61,MMWR_TRAD_AGG_RO_COMP[],I$1,0),"ERROR")</f>
        <v>11445</v>
      </c>
      <c r="J61" s="232">
        <f t="shared" si="1"/>
        <v>0.71580461567327536</v>
      </c>
      <c r="K61" s="234">
        <f>IFERROR(VLOOKUP($B61,MMWR_TRAD_AGG_RO_COMP[],K$1,0),"ERROR")</f>
        <v>5106</v>
      </c>
      <c r="L61" s="235">
        <f>IFERROR(VLOOKUP($B61,MMWR_TRAD_AGG_RO_COMP[],L$1,0),"ERROR")</f>
        <v>3762</v>
      </c>
      <c r="M61" s="232">
        <f t="shared" si="2"/>
        <v>0.736780258519389</v>
      </c>
      <c r="N61" s="234">
        <f>IFERROR(VLOOKUP($B61,MMWR_TRAD_AGG_RO_COMP[],N$1,0),"ERROR")</f>
        <v>4280</v>
      </c>
      <c r="O61" s="235">
        <f>IFERROR(VLOOKUP($B61,MMWR_TRAD_AGG_RO_COMP[],O$1,0),"ERROR")</f>
        <v>3548</v>
      </c>
      <c r="P61" s="232">
        <f t="shared" si="3"/>
        <v>0.82897196261682238</v>
      </c>
      <c r="Q61" s="236">
        <f>IFERROR(VLOOKUP($B61,MMWR_TRAD_AGG_RO_COMP[],Q$1,0),"ERROR")</f>
        <v>2</v>
      </c>
      <c r="R61" s="236">
        <f>IFERROR(VLOOKUP($B61,MMWR_TRAD_AGG_RO_COMP[],R$1,0),"ERROR")</f>
        <v>149</v>
      </c>
      <c r="S61" s="201">
        <f>IFERROR(VLOOKUP($B61,MMWR_APP_RO[],S$1,0),"ERROR")</f>
        <v>5189</v>
      </c>
      <c r="T61" s="28"/>
    </row>
    <row r="62" spans="1:20" x14ac:dyDescent="0.2">
      <c r="A62" s="28"/>
      <c r="B62" s="101" t="s">
        <v>381</v>
      </c>
      <c r="C62" s="212">
        <f>IFERROR(VLOOKUP($B62,MMWR_TRAD_AGG_DISTRICT_COMP[],C$1,0),"ERROR")</f>
        <v>64649</v>
      </c>
      <c r="D62" s="197">
        <f>IFERROR(VLOOKUP($B62,MMWR_TRAD_AGG_DISTRICT_COMP[],D$1,0),"ERROR")</f>
        <v>346.77939333939997</v>
      </c>
      <c r="E62" s="213">
        <f>IFERROR(VLOOKUP($B62,MMWR_TRAD_AGG_DISTRICT_COMP[],E$1,0),"ERROR")</f>
        <v>68809</v>
      </c>
      <c r="F62" s="218">
        <f>IFERROR(VLOOKUP($B62,MMWR_TRAD_AGG_DISTRICT_COMP[],F$1,0),"ERROR")</f>
        <v>18083</v>
      </c>
      <c r="G62" s="214">
        <f t="shared" si="0"/>
        <v>0.26279992442849048</v>
      </c>
      <c r="H62" s="218">
        <f>IFERROR(VLOOKUP($B62,MMWR_TRAD_AGG_DISTRICT_COMP[],H$1,0),"ERROR")</f>
        <v>88984</v>
      </c>
      <c r="I62" s="218">
        <f>IFERROR(VLOOKUP($B62,MMWR_TRAD_AGG_DISTRICT_COMP[],I$1,0),"ERROR")</f>
        <v>60594</v>
      </c>
      <c r="J62" s="214">
        <f t="shared" si="1"/>
        <v>0.68095387934909646</v>
      </c>
      <c r="K62" s="212">
        <f>IFERROR(VLOOKUP($B62,MMWR_TRAD_AGG_DISTRICT_COMP[],K$1,0),"ERROR")</f>
        <v>26516</v>
      </c>
      <c r="L62" s="212">
        <f>IFERROR(VLOOKUP($B62,MMWR_TRAD_AGG_DISTRICT_COMP[],L$1,0),"ERROR")</f>
        <v>17993</v>
      </c>
      <c r="M62" s="214">
        <f t="shared" si="2"/>
        <v>0.6785714285714286</v>
      </c>
      <c r="N62" s="212">
        <f>IFERROR(VLOOKUP($B62,MMWR_TRAD_AGG_DISTRICT_COMP[],N$1,0),"ERROR")</f>
        <v>30399</v>
      </c>
      <c r="O62" s="212">
        <f>IFERROR(VLOOKUP($B62,MMWR_TRAD_AGG_DISTRICT_COMP[],O$1,0),"ERROR")</f>
        <v>22382</v>
      </c>
      <c r="P62" s="214">
        <f t="shared" si="3"/>
        <v>0.73627421954669559</v>
      </c>
      <c r="Q62" s="212">
        <f>IFERROR(VLOOKUP($B62,MMWR_TRAD_AGG_DISTRICT_COMP[],Q$1,0),"ERROR")</f>
        <v>149</v>
      </c>
      <c r="R62" s="215">
        <f>IFERROR(VLOOKUP($B62,MMWR_TRAD_AGG_DISTRICT_COMP[],R$1,0),"ERROR")</f>
        <v>1225</v>
      </c>
      <c r="S62" s="215">
        <f>IFERROR(VLOOKUP($B62,MMWR_APP_RO[],S$1,0),"ERROR")</f>
        <v>88638</v>
      </c>
      <c r="T62" s="28"/>
    </row>
    <row r="63" spans="1:20" x14ac:dyDescent="0.2">
      <c r="A63" s="28"/>
      <c r="B63" s="108" t="s">
        <v>25</v>
      </c>
      <c r="C63" s="219">
        <f>IFERROR(VLOOKUP($B63,MMWR_TRAD_AGG_RO_COMP[],C$1,0),"ERROR")</f>
        <v>13110</v>
      </c>
      <c r="D63" s="220">
        <f>IFERROR(VLOOKUP($B63,MMWR_TRAD_AGG_RO_COMP[],D$1,0),"ERROR")</f>
        <v>350.3512585812</v>
      </c>
      <c r="E63" s="221">
        <f>IFERROR(VLOOKUP($B63,MMWR_TRAD_AGG_RO_COMP[],E$1,0),"ERROR")</f>
        <v>16315</v>
      </c>
      <c r="F63" s="222">
        <f>IFERROR(VLOOKUP($B63,MMWR_TRAD_AGG_RO_COMP[],F$1,0),"ERROR")</f>
        <v>4467</v>
      </c>
      <c r="G63" s="223">
        <f t="shared" si="0"/>
        <v>0.27379711921544592</v>
      </c>
      <c r="H63" s="224">
        <f>IFERROR(VLOOKUP($B63,MMWR_TRAD_AGG_RO_COMP[],H$1,0),"ERROR")</f>
        <v>18541</v>
      </c>
      <c r="I63" s="222">
        <f>IFERROR(VLOOKUP($B63,MMWR_TRAD_AGG_RO_COMP[],I$1,0),"ERROR")</f>
        <v>13439</v>
      </c>
      <c r="J63" s="223">
        <f t="shared" si="1"/>
        <v>0.72482606116174964</v>
      </c>
      <c r="K63" s="225">
        <f>IFERROR(VLOOKUP($B63,MMWR_TRAD_AGG_RO_COMP[],K$1,0),"ERROR")</f>
        <v>7430</v>
      </c>
      <c r="L63" s="226">
        <f>IFERROR(VLOOKUP($B63,MMWR_TRAD_AGG_RO_COMP[],L$1,0),"ERROR")</f>
        <v>4954</v>
      </c>
      <c r="M63" s="223">
        <f t="shared" si="2"/>
        <v>0.66675639300134593</v>
      </c>
      <c r="N63" s="225">
        <f>IFERROR(VLOOKUP($B63,MMWR_TRAD_AGG_RO_COMP[],N$1,0),"ERROR")</f>
        <v>10840</v>
      </c>
      <c r="O63" s="226">
        <f>IFERROR(VLOOKUP($B63,MMWR_TRAD_AGG_RO_COMP[],O$1,0),"ERROR")</f>
        <v>10055</v>
      </c>
      <c r="P63" s="223">
        <f t="shared" si="3"/>
        <v>0.92758302583025831</v>
      </c>
      <c r="Q63" s="227">
        <f>IFERROR(VLOOKUP($B63,MMWR_TRAD_AGG_RO_COMP[],Q$1,0),"ERROR")</f>
        <v>64</v>
      </c>
      <c r="R63" s="227">
        <f>IFERROR(VLOOKUP($B63,MMWR_TRAD_AGG_RO_COMP[],R$1,0),"ERROR")</f>
        <v>7</v>
      </c>
      <c r="S63" s="201">
        <f>IFERROR(VLOOKUP($B63,MMWR_APP_RO[],S$1,0),"ERROR")</f>
        <v>17662</v>
      </c>
      <c r="T63" s="28"/>
    </row>
    <row r="64" spans="1:20" x14ac:dyDescent="0.2">
      <c r="A64" s="28"/>
      <c r="B64" s="108" t="s">
        <v>39</v>
      </c>
      <c r="C64" s="219">
        <f>IFERROR(VLOOKUP($B64,MMWR_TRAD_AGG_RO_COMP[],C$1,0),"ERROR")</f>
        <v>9859</v>
      </c>
      <c r="D64" s="220">
        <f>IFERROR(VLOOKUP($B64,MMWR_TRAD_AGG_RO_COMP[],D$1,0),"ERROR")</f>
        <v>288.0357034182</v>
      </c>
      <c r="E64" s="221">
        <f>IFERROR(VLOOKUP($B64,MMWR_TRAD_AGG_RO_COMP[],E$1,0),"ERROR")</f>
        <v>8805</v>
      </c>
      <c r="F64" s="222">
        <f>IFERROR(VLOOKUP($B64,MMWR_TRAD_AGG_RO_COMP[],F$1,0),"ERROR")</f>
        <v>2436</v>
      </c>
      <c r="G64" s="223">
        <f t="shared" si="0"/>
        <v>0.27666098807495743</v>
      </c>
      <c r="H64" s="224">
        <f>IFERROR(VLOOKUP($B64,MMWR_TRAD_AGG_RO_COMP[],H$1,0),"ERROR")</f>
        <v>16139</v>
      </c>
      <c r="I64" s="222">
        <f>IFERROR(VLOOKUP($B64,MMWR_TRAD_AGG_RO_COMP[],I$1,0),"ERROR")</f>
        <v>10712</v>
      </c>
      <c r="J64" s="223">
        <f t="shared" si="1"/>
        <v>0.66373381250387264</v>
      </c>
      <c r="K64" s="225">
        <f>IFERROR(VLOOKUP($B64,MMWR_TRAD_AGG_RO_COMP[],K$1,0),"ERROR")</f>
        <v>2948</v>
      </c>
      <c r="L64" s="226">
        <f>IFERROR(VLOOKUP($B64,MMWR_TRAD_AGG_RO_COMP[],L$1,0),"ERROR")</f>
        <v>1895</v>
      </c>
      <c r="M64" s="223">
        <f t="shared" si="2"/>
        <v>0.64280868385346002</v>
      </c>
      <c r="N64" s="225">
        <f>IFERROR(VLOOKUP($B64,MMWR_TRAD_AGG_RO_COMP[],N$1,0),"ERROR")</f>
        <v>1342</v>
      </c>
      <c r="O64" s="226">
        <f>IFERROR(VLOOKUP($B64,MMWR_TRAD_AGG_RO_COMP[],O$1,0),"ERROR")</f>
        <v>518</v>
      </c>
      <c r="P64" s="223">
        <f t="shared" si="3"/>
        <v>0.38599105812220569</v>
      </c>
      <c r="Q64" s="227">
        <f>IFERROR(VLOOKUP($B64,MMWR_TRAD_AGG_RO_COMP[],Q$1,0),"ERROR")</f>
        <v>0</v>
      </c>
      <c r="R64" s="227">
        <f>IFERROR(VLOOKUP($B64,MMWR_TRAD_AGG_RO_COMP[],R$1,0),"ERROR")</f>
        <v>55</v>
      </c>
      <c r="S64" s="201">
        <f>IFERROR(VLOOKUP($B64,MMWR_APP_RO[],S$1,0),"ERROR")</f>
        <v>13068</v>
      </c>
      <c r="T64" s="28"/>
    </row>
    <row r="65" spans="1:20" x14ac:dyDescent="0.2">
      <c r="A65" s="28"/>
      <c r="B65" s="108" t="s">
        <v>53</v>
      </c>
      <c r="C65" s="219">
        <f>IFERROR(VLOOKUP($B65,MMWR_TRAD_AGG_RO_COMP[],C$1,0),"ERROR")</f>
        <v>7530</v>
      </c>
      <c r="D65" s="220">
        <f>IFERROR(VLOOKUP($B65,MMWR_TRAD_AGG_RO_COMP[],D$1,0),"ERROR")</f>
        <v>507.016998672</v>
      </c>
      <c r="E65" s="221">
        <f>IFERROR(VLOOKUP($B65,MMWR_TRAD_AGG_RO_COMP[],E$1,0),"ERROR")</f>
        <v>3936</v>
      </c>
      <c r="F65" s="222">
        <f>IFERROR(VLOOKUP($B65,MMWR_TRAD_AGG_RO_COMP[],F$1,0),"ERROR")</f>
        <v>959</v>
      </c>
      <c r="G65" s="223">
        <f t="shared" si="0"/>
        <v>0.24364837398373984</v>
      </c>
      <c r="H65" s="224">
        <f>IFERROR(VLOOKUP($B65,MMWR_TRAD_AGG_RO_COMP[],H$1,0),"ERROR")</f>
        <v>11269</v>
      </c>
      <c r="I65" s="222">
        <f>IFERROR(VLOOKUP($B65,MMWR_TRAD_AGG_RO_COMP[],I$1,0),"ERROR")</f>
        <v>7979</v>
      </c>
      <c r="J65" s="223">
        <f t="shared" si="1"/>
        <v>0.70804862898216347</v>
      </c>
      <c r="K65" s="225">
        <f>IFERROR(VLOOKUP($B65,MMWR_TRAD_AGG_RO_COMP[],K$1,0),"ERROR")</f>
        <v>3270</v>
      </c>
      <c r="L65" s="226">
        <f>IFERROR(VLOOKUP($B65,MMWR_TRAD_AGG_RO_COMP[],L$1,0),"ERROR")</f>
        <v>2794</v>
      </c>
      <c r="M65" s="223">
        <f t="shared" si="2"/>
        <v>0.85443425076452595</v>
      </c>
      <c r="N65" s="225">
        <f>IFERROR(VLOOKUP($B65,MMWR_TRAD_AGG_RO_COMP[],N$1,0),"ERROR")</f>
        <v>1217</v>
      </c>
      <c r="O65" s="226">
        <f>IFERROR(VLOOKUP($B65,MMWR_TRAD_AGG_RO_COMP[],O$1,0),"ERROR")</f>
        <v>559</v>
      </c>
      <c r="P65" s="223">
        <f t="shared" si="3"/>
        <v>0.45932621199671325</v>
      </c>
      <c r="Q65" s="227">
        <f>IFERROR(VLOOKUP($B65,MMWR_TRAD_AGG_RO_COMP[],Q$1,0),"ERROR")</f>
        <v>78</v>
      </c>
      <c r="R65" s="227">
        <f>IFERROR(VLOOKUP($B65,MMWR_TRAD_AGG_RO_COMP[],R$1,0),"ERROR")</f>
        <v>275</v>
      </c>
      <c r="S65" s="201">
        <f>IFERROR(VLOOKUP($B65,MMWR_APP_RO[],S$1,0),"ERROR")</f>
        <v>4884</v>
      </c>
      <c r="T65" s="28"/>
    </row>
    <row r="66" spans="1:20" x14ac:dyDescent="0.2">
      <c r="A66" s="28"/>
      <c r="B66" s="108" t="s">
        <v>57</v>
      </c>
      <c r="C66" s="219">
        <f>IFERROR(VLOOKUP($B66,MMWR_TRAD_AGG_RO_COMP[],C$1,0),"ERROR")</f>
        <v>12242</v>
      </c>
      <c r="D66" s="220">
        <f>IFERROR(VLOOKUP($B66,MMWR_TRAD_AGG_RO_COMP[],D$1,0),"ERROR")</f>
        <v>382.17505309590001</v>
      </c>
      <c r="E66" s="221">
        <f>IFERROR(VLOOKUP($B66,MMWR_TRAD_AGG_RO_COMP[],E$1,0),"ERROR")</f>
        <v>7141</v>
      </c>
      <c r="F66" s="222">
        <f>IFERROR(VLOOKUP($B66,MMWR_TRAD_AGG_RO_COMP[],F$1,0),"ERROR")</f>
        <v>1641</v>
      </c>
      <c r="G66" s="223">
        <f t="shared" si="0"/>
        <v>0.22979974793446295</v>
      </c>
      <c r="H66" s="224">
        <f>IFERROR(VLOOKUP($B66,MMWR_TRAD_AGG_RO_COMP[],H$1,0),"ERROR")</f>
        <v>13582</v>
      </c>
      <c r="I66" s="222">
        <f>IFERROR(VLOOKUP($B66,MMWR_TRAD_AGG_RO_COMP[],I$1,0),"ERROR")</f>
        <v>10089</v>
      </c>
      <c r="J66" s="223">
        <f t="shared" si="1"/>
        <v>0.74282138123987629</v>
      </c>
      <c r="K66" s="225">
        <f>IFERROR(VLOOKUP($B66,MMWR_TRAD_AGG_RO_COMP[],K$1,0),"ERROR")</f>
        <v>4612</v>
      </c>
      <c r="L66" s="226">
        <f>IFERROR(VLOOKUP($B66,MMWR_TRAD_AGG_RO_COMP[],L$1,0),"ERROR")</f>
        <v>3721</v>
      </c>
      <c r="M66" s="223">
        <f t="shared" si="2"/>
        <v>0.80680832610581088</v>
      </c>
      <c r="N66" s="225">
        <f>IFERROR(VLOOKUP($B66,MMWR_TRAD_AGG_RO_COMP[],N$1,0),"ERROR")</f>
        <v>1749</v>
      </c>
      <c r="O66" s="226">
        <f>IFERROR(VLOOKUP($B66,MMWR_TRAD_AGG_RO_COMP[],O$1,0),"ERROR")</f>
        <v>1097</v>
      </c>
      <c r="P66" s="223">
        <f t="shared" si="3"/>
        <v>0.62721555174385368</v>
      </c>
      <c r="Q66" s="227">
        <f>IFERROR(VLOOKUP($B66,MMWR_TRAD_AGG_RO_COMP[],Q$1,0),"ERROR")</f>
        <v>0</v>
      </c>
      <c r="R66" s="227">
        <f>IFERROR(VLOOKUP($B66,MMWR_TRAD_AGG_RO_COMP[],R$1,0),"ERROR")</f>
        <v>371</v>
      </c>
      <c r="S66" s="201">
        <f>IFERROR(VLOOKUP($B66,MMWR_APP_RO[],S$1,0),"ERROR")</f>
        <v>10277</v>
      </c>
      <c r="T66" s="28"/>
    </row>
    <row r="67" spans="1:20" x14ac:dyDescent="0.2">
      <c r="A67" s="28"/>
      <c r="B67" s="108" t="s">
        <v>58</v>
      </c>
      <c r="C67" s="219">
        <f>IFERROR(VLOOKUP($B67,MMWR_TRAD_AGG_RO_COMP[],C$1,0),"ERROR")</f>
        <v>4507</v>
      </c>
      <c r="D67" s="220">
        <f>IFERROR(VLOOKUP($B67,MMWR_TRAD_AGG_RO_COMP[],D$1,0),"ERROR")</f>
        <v>225.97426225870001</v>
      </c>
      <c r="E67" s="221">
        <f>IFERROR(VLOOKUP($B67,MMWR_TRAD_AGG_RO_COMP[],E$1,0),"ERROR")</f>
        <v>9799</v>
      </c>
      <c r="F67" s="222">
        <f>IFERROR(VLOOKUP($B67,MMWR_TRAD_AGG_RO_COMP[],F$1,0),"ERROR")</f>
        <v>2327</v>
      </c>
      <c r="G67" s="223">
        <f t="shared" si="0"/>
        <v>0.23747321155219919</v>
      </c>
      <c r="H67" s="224">
        <f>IFERROR(VLOOKUP($B67,MMWR_TRAD_AGG_RO_COMP[],H$1,0),"ERROR")</f>
        <v>7492</v>
      </c>
      <c r="I67" s="222">
        <f>IFERROR(VLOOKUP($B67,MMWR_TRAD_AGG_RO_COMP[],I$1,0),"ERROR")</f>
        <v>3651</v>
      </c>
      <c r="J67" s="223">
        <f t="shared" si="1"/>
        <v>0.4873198077949813</v>
      </c>
      <c r="K67" s="225">
        <f>IFERROR(VLOOKUP($B67,MMWR_TRAD_AGG_RO_COMP[],K$1,0),"ERROR")</f>
        <v>2918</v>
      </c>
      <c r="L67" s="226">
        <f>IFERROR(VLOOKUP($B67,MMWR_TRAD_AGG_RO_COMP[],L$1,0),"ERROR")</f>
        <v>1649</v>
      </c>
      <c r="M67" s="223">
        <f t="shared" si="2"/>
        <v>0.56511309115832764</v>
      </c>
      <c r="N67" s="225">
        <f>IFERROR(VLOOKUP($B67,MMWR_TRAD_AGG_RO_COMP[],N$1,0),"ERROR")</f>
        <v>1711</v>
      </c>
      <c r="O67" s="226">
        <f>IFERROR(VLOOKUP($B67,MMWR_TRAD_AGG_RO_COMP[],O$1,0),"ERROR")</f>
        <v>1098</v>
      </c>
      <c r="P67" s="223">
        <f t="shared" si="3"/>
        <v>0.6417299824663939</v>
      </c>
      <c r="Q67" s="227">
        <f>IFERROR(VLOOKUP($B67,MMWR_TRAD_AGG_RO_COMP[],Q$1,0),"ERROR")</f>
        <v>1</v>
      </c>
      <c r="R67" s="227">
        <f>IFERROR(VLOOKUP($B67,MMWR_TRAD_AGG_RO_COMP[],R$1,0),"ERROR")</f>
        <v>261</v>
      </c>
      <c r="S67" s="201">
        <f>IFERROR(VLOOKUP($B67,MMWR_APP_RO[],S$1,0),"ERROR")</f>
        <v>6544</v>
      </c>
      <c r="T67" s="28"/>
    </row>
    <row r="68" spans="1:20" x14ac:dyDescent="0.2">
      <c r="A68" s="28"/>
      <c r="B68" s="108" t="s">
        <v>72</v>
      </c>
      <c r="C68" s="219">
        <f>IFERROR(VLOOKUP($B68,MMWR_TRAD_AGG_RO_COMP[],C$1,0),"ERROR")</f>
        <v>1518</v>
      </c>
      <c r="D68" s="220">
        <f>IFERROR(VLOOKUP($B68,MMWR_TRAD_AGG_RO_COMP[],D$1,0),"ERROR")</f>
        <v>312.67391304350002</v>
      </c>
      <c r="E68" s="221">
        <f>IFERROR(VLOOKUP($B68,MMWR_TRAD_AGG_RO_COMP[],E$1,0),"ERROR")</f>
        <v>3077</v>
      </c>
      <c r="F68" s="222">
        <f>IFERROR(VLOOKUP($B68,MMWR_TRAD_AGG_RO_COMP[],F$1,0),"ERROR")</f>
        <v>906</v>
      </c>
      <c r="G68" s="223">
        <f t="shared" si="0"/>
        <v>0.29444263893402667</v>
      </c>
      <c r="H68" s="224">
        <f>IFERROR(VLOOKUP($B68,MMWR_TRAD_AGG_RO_COMP[],H$1,0),"ERROR")</f>
        <v>2506</v>
      </c>
      <c r="I68" s="222">
        <f>IFERROR(VLOOKUP($B68,MMWR_TRAD_AGG_RO_COMP[],I$1,0),"ERROR")</f>
        <v>1847</v>
      </c>
      <c r="J68" s="223">
        <f t="shared" si="1"/>
        <v>0.73703112529928172</v>
      </c>
      <c r="K68" s="225">
        <f>IFERROR(VLOOKUP($B68,MMWR_TRAD_AGG_RO_COMP[],K$1,0),"ERROR")</f>
        <v>836</v>
      </c>
      <c r="L68" s="226">
        <f>IFERROR(VLOOKUP($B68,MMWR_TRAD_AGG_RO_COMP[],L$1,0),"ERROR")</f>
        <v>606</v>
      </c>
      <c r="M68" s="223">
        <f t="shared" si="2"/>
        <v>0.72488038277511957</v>
      </c>
      <c r="N68" s="225">
        <f>IFERROR(VLOOKUP($B68,MMWR_TRAD_AGG_RO_COMP[],N$1,0),"ERROR")</f>
        <v>1101</v>
      </c>
      <c r="O68" s="226">
        <f>IFERROR(VLOOKUP($B68,MMWR_TRAD_AGG_RO_COMP[],O$1,0),"ERROR")</f>
        <v>807</v>
      </c>
      <c r="P68" s="223">
        <f t="shared" si="3"/>
        <v>0.73297002724795646</v>
      </c>
      <c r="Q68" s="227">
        <f>IFERROR(VLOOKUP($B68,MMWR_TRAD_AGG_RO_COMP[],Q$1,0),"ERROR")</f>
        <v>0</v>
      </c>
      <c r="R68" s="227">
        <f>IFERROR(VLOOKUP($B68,MMWR_TRAD_AGG_RO_COMP[],R$1,0),"ERROR")</f>
        <v>3</v>
      </c>
      <c r="S68" s="201">
        <f>IFERROR(VLOOKUP($B68,MMWR_APP_RO[],S$1,0),"ERROR")</f>
        <v>5873</v>
      </c>
      <c r="T68" s="28"/>
    </row>
    <row r="69" spans="1:20" x14ac:dyDescent="0.2">
      <c r="A69" s="28"/>
      <c r="B69" s="116" t="s">
        <v>77</v>
      </c>
      <c r="C69" s="228">
        <f>IFERROR(VLOOKUP($B69,MMWR_TRAD_AGG_RO_COMP[],C$1,0),"ERROR")</f>
        <v>15883</v>
      </c>
      <c r="D69" s="229">
        <f>IFERROR(VLOOKUP($B69,MMWR_TRAD_AGG_RO_COMP[],D$1,0),"ERROR")</f>
        <v>314.58553170059997</v>
      </c>
      <c r="E69" s="230">
        <f>IFERROR(VLOOKUP($B69,MMWR_TRAD_AGG_RO_COMP[],E$1,0),"ERROR")</f>
        <v>19736</v>
      </c>
      <c r="F69" s="231">
        <f>IFERROR(VLOOKUP($B69,MMWR_TRAD_AGG_RO_COMP[],F$1,0),"ERROR")</f>
        <v>5347</v>
      </c>
      <c r="G69" s="232">
        <f t="shared" si="0"/>
        <v>0.2709262261856506</v>
      </c>
      <c r="H69" s="233">
        <f>IFERROR(VLOOKUP($B69,MMWR_TRAD_AGG_RO_COMP[],H$1,0),"ERROR")</f>
        <v>19455</v>
      </c>
      <c r="I69" s="231">
        <f>IFERROR(VLOOKUP($B69,MMWR_TRAD_AGG_RO_COMP[],I$1,0),"ERROR")</f>
        <v>12877</v>
      </c>
      <c r="J69" s="232">
        <f t="shared" si="1"/>
        <v>0.66188640452325875</v>
      </c>
      <c r="K69" s="234">
        <f>IFERROR(VLOOKUP($B69,MMWR_TRAD_AGG_RO_COMP[],K$1,0),"ERROR")</f>
        <v>4502</v>
      </c>
      <c r="L69" s="235">
        <f>IFERROR(VLOOKUP($B69,MMWR_TRAD_AGG_RO_COMP[],L$1,0),"ERROR")</f>
        <v>2374</v>
      </c>
      <c r="M69" s="232">
        <f t="shared" si="2"/>
        <v>0.52732119058196358</v>
      </c>
      <c r="N69" s="234">
        <f>IFERROR(VLOOKUP($B69,MMWR_TRAD_AGG_RO_COMP[],N$1,0),"ERROR")</f>
        <v>12439</v>
      </c>
      <c r="O69" s="235">
        <f>IFERROR(VLOOKUP($B69,MMWR_TRAD_AGG_RO_COMP[],O$1,0),"ERROR")</f>
        <v>8248</v>
      </c>
      <c r="P69" s="232">
        <f t="shared" si="3"/>
        <v>0.66307580995256854</v>
      </c>
      <c r="Q69" s="236">
        <f>IFERROR(VLOOKUP($B69,MMWR_TRAD_AGG_RO_COMP[],Q$1,0),"ERROR")</f>
        <v>6</v>
      </c>
      <c r="R69" s="236">
        <f>IFERROR(VLOOKUP($B69,MMWR_TRAD_AGG_RO_COMP[],R$1,0),"ERROR")</f>
        <v>253</v>
      </c>
      <c r="S69" s="201">
        <f>IFERROR(VLOOKUP($B69,MMWR_APP_RO[],S$1,0),"ERROR")</f>
        <v>30330</v>
      </c>
      <c r="T69" s="28"/>
    </row>
    <row r="70" spans="1:20" x14ac:dyDescent="0.2">
      <c r="A70" s="28"/>
      <c r="B70" s="101" t="s">
        <v>8</v>
      </c>
      <c r="C70" s="212">
        <f>IFERROR(VLOOKUP($B70,MMWR_TRAD_AGG_RO_COMP[],C$1,0),"ERROR")</f>
        <v>64</v>
      </c>
      <c r="D70" s="197">
        <f>IFERROR(VLOOKUP($B70,MMWR_TRAD_AGG_RO_COMP[],D$1,0),"ERROR")</f>
        <v>1016.265625</v>
      </c>
      <c r="E70" s="213">
        <f>IFERROR(VLOOKUP($B70,MMWR_TRAD_AGG_RO_COMP[],E$1,0),"ERROR")</f>
        <v>46</v>
      </c>
      <c r="F70" s="218">
        <f>IFERROR(VLOOKUP($B70,MMWR_TRAD_AGG_RO_COMP[],F$1,0),"ERROR")</f>
        <v>2</v>
      </c>
      <c r="G70" s="214">
        <f>IFERROR(F70/E70,"0%")</f>
        <v>4.3478260869565216E-2</v>
      </c>
      <c r="H70" s="218">
        <f>IFERROR(VLOOKUP($B70,MMWR_TRAD_AGG_RO_COMP[],H$1,0),"ERROR")</f>
        <v>68</v>
      </c>
      <c r="I70" s="218">
        <f>IFERROR(VLOOKUP($B70,MMWR_TRAD_AGG_RO_COMP[],I$1,0),"ERROR")</f>
        <v>61</v>
      </c>
      <c r="J70" s="214">
        <f>IFERROR(I70/H70,"0%")</f>
        <v>0.8970588235294118</v>
      </c>
      <c r="K70" s="212">
        <f>IFERROR(VLOOKUP($B70,MMWR_TRAD_AGG_RO_COMP[],K$1,0),"ERROR")</f>
        <v>10</v>
      </c>
      <c r="L70" s="212">
        <f>IFERROR(VLOOKUP($B70,MMWR_TRAD_AGG_RO_COMP[],L$1,0),"ERROR")</f>
        <v>8</v>
      </c>
      <c r="M70" s="214">
        <f>IFERROR(L70/K70,"0%")</f>
        <v>0.8</v>
      </c>
      <c r="N70" s="212">
        <f>IFERROR(VLOOKUP($B70,MMWR_TRAD_AGG_RO_COMP[],N$1,0),"ERROR")</f>
        <v>50354</v>
      </c>
      <c r="O70" s="212">
        <f>IFERROR(VLOOKUP($B70,MMWR_TRAD_AGG_RO_COMP[],O$1,0),"ERROR")</f>
        <v>28306</v>
      </c>
      <c r="P70" s="214">
        <f>IFERROR(O70/N70,"0%")</f>
        <v>0.562140048456925</v>
      </c>
      <c r="Q70" s="212">
        <f>IFERROR(VLOOKUP($B70,MMWR_TRAD_AGG_RO_COMP[],Q$1,0),"ERROR")</f>
        <v>0</v>
      </c>
      <c r="R70" s="215">
        <f>IFERROR(VLOOKUP($B70,MMWR_TRAD_AGG_RO_COMP[],R$1,0),"ERROR")</f>
        <v>1</v>
      </c>
      <c r="S70" s="215">
        <f>IFERROR(VLOOKUP($B70,MMWR_APP_RO[],S$1,0),"ERROR")</f>
        <v>10931</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488</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489</v>
      </c>
      <c r="T74" s="28"/>
    </row>
    <row r="75" spans="1:20" x14ac:dyDescent="0.2">
      <c r="A75" s="25"/>
      <c r="B75" s="101" t="s">
        <v>463</v>
      </c>
      <c r="C75" s="237">
        <f>IFERROR(VLOOKUP($B75,MMWR_TRAD_AGG_RO_PEN[],C$1,0),"ERROR")</f>
        <v>24937</v>
      </c>
      <c r="D75" s="238">
        <f>IFERROR(VLOOKUP($B75,MMWR_TRAD_AGG_RO_PEN[],D$1,0),"ERROR")</f>
        <v>74.2781008141</v>
      </c>
      <c r="E75" s="237">
        <f>IFERROR(VLOOKUP($B75,MMWR_TRAD_AGG_RO_PEN[],E$1,0),"ERROR")</f>
        <v>32386</v>
      </c>
      <c r="F75" s="237">
        <f>IFERROR(VLOOKUP($B75,MMWR_TRAD_AGG_RO_PEN[],F$1,0),"ERROR")</f>
        <v>5689</v>
      </c>
      <c r="G75" s="239">
        <f>IFERROR(F75/E75,"0%")</f>
        <v>0.17566232322608535</v>
      </c>
      <c r="H75" s="237">
        <f>IFERROR(VLOOKUP($B75,MMWR_TRAD_AGG_RO_PEN[],H$1,0),"ERROR")</f>
        <v>32801</v>
      </c>
      <c r="I75" s="237">
        <f>IFERROR(VLOOKUP($B75,MMWR_TRAD_AGG_RO_PEN[],I$1,0),"ERROR")</f>
        <v>6751</v>
      </c>
      <c r="J75" s="239">
        <f>IFERROR(I75/H75,"0%")</f>
        <v>0.20581689582634677</v>
      </c>
      <c r="K75" s="237">
        <f>IFERROR(VLOOKUP($B75,MMWR_TRAD_AGG_RO_PEN[],K$1,0),"ERROR")</f>
        <v>357</v>
      </c>
      <c r="L75" s="237">
        <f>IFERROR(VLOOKUP($B75,MMWR_TRAD_AGG_RO_PEN[],L$1,0),"ERROR")</f>
        <v>327</v>
      </c>
      <c r="M75" s="239">
        <f>IFERROR(L75/K75,"0%")</f>
        <v>0.91596638655462181</v>
      </c>
      <c r="N75" s="237">
        <f>IFERROR(VLOOKUP($B75,MMWR_TRAD_AGG_RO_PEN[],N$1,0),"ERROR")</f>
        <v>1664</v>
      </c>
      <c r="O75" s="237">
        <f>IFERROR(VLOOKUP($B75,MMWR_TRAD_AGG_RO_PEN[],O$1,0),"ERROR")</f>
        <v>559</v>
      </c>
      <c r="P75" s="239">
        <f>IFERROR(O75/N75,"0%")</f>
        <v>0.3359375</v>
      </c>
      <c r="Q75" s="237">
        <f>IFERROR(VLOOKUP($B75,MMWR_TRAD_AGG_RO_PEN[],Q$1,0),"ERROR")</f>
        <v>9595</v>
      </c>
      <c r="R75" s="240">
        <f>IFERROR(VLOOKUP($B75,MMWR_TRAD_AGG_RO_PEN[],R$1,0),"ERROR")</f>
        <v>6041</v>
      </c>
      <c r="S75" s="240">
        <f>IFERROR(VLOOKUP($B75,MMWR_APP_RO[],S$1,0),"ERROR")</f>
        <v>7151</v>
      </c>
      <c r="T75" s="28"/>
    </row>
    <row r="76" spans="1:20" x14ac:dyDescent="0.2">
      <c r="A76" s="107"/>
      <c r="B76" s="122" t="s">
        <v>210</v>
      </c>
      <c r="C76" s="241">
        <f>IFERROR(VLOOKUP($B76,MMWR_TRAD_AGG_RO_PEN[],C$1,0),"ERROR")</f>
        <v>14963</v>
      </c>
      <c r="D76" s="242">
        <f>IFERROR(VLOOKUP($B76,MMWR_TRAD_AGG_RO_PEN[],D$1,0),"ERROR")</f>
        <v>93.249883044800001</v>
      </c>
      <c r="E76" s="241">
        <f>IFERROR(VLOOKUP($B76,MMWR_TRAD_AGG_RO_PEN[],E$1,0),"ERROR")</f>
        <v>18344</v>
      </c>
      <c r="F76" s="241">
        <f>IFERROR(VLOOKUP($B76,MMWR_TRAD_AGG_RO_PEN[],F$1,0),"ERROR")</f>
        <v>4404</v>
      </c>
      <c r="G76" s="223">
        <f>IFERROR(F76/E76,"0%")</f>
        <v>0.24007849978194504</v>
      </c>
      <c r="H76" s="241">
        <f>IFERROR(VLOOKUP($B76,MMWR_TRAD_AGG_RO_PEN[],H$1,0),"ERROR")</f>
        <v>19101</v>
      </c>
      <c r="I76" s="241">
        <f>IFERROR(VLOOKUP($B76,MMWR_TRAD_AGG_RO_PEN[],I$1,0),"ERROR")</f>
        <v>5977</v>
      </c>
      <c r="J76" s="223">
        <f>IFERROR(I76/H76,"0%")</f>
        <v>0.31291555415946809</v>
      </c>
      <c r="K76" s="241">
        <f>IFERROR(VLOOKUP($B76,MMWR_TRAD_AGG_RO_PEN[],K$1,0),"ERROR")</f>
        <v>97</v>
      </c>
      <c r="L76" s="241">
        <f>IFERROR(VLOOKUP($B76,MMWR_TRAD_AGG_RO_PEN[],L$1,0),"ERROR")</f>
        <v>93</v>
      </c>
      <c r="M76" s="223">
        <f>IFERROR(L76/K76,"0%")</f>
        <v>0.95876288659793818</v>
      </c>
      <c r="N76" s="241">
        <f>IFERROR(VLOOKUP($B76,MMWR_TRAD_AGG_RO_PEN[],N$1,0),"ERROR")</f>
        <v>850</v>
      </c>
      <c r="O76" s="241">
        <f>IFERROR(VLOOKUP($B76,MMWR_TRAD_AGG_RO_PEN[],O$1,0),"ERROR")</f>
        <v>260</v>
      </c>
      <c r="P76" s="223">
        <f>IFERROR(O76/N76,"0%")</f>
        <v>0.30588235294117649</v>
      </c>
      <c r="Q76" s="241">
        <f>IFERROR(VLOOKUP($B76,MMWR_TRAD_AGG_RO_PEN[],Q$1,0),"ERROR")</f>
        <v>1488</v>
      </c>
      <c r="R76" s="241">
        <f>IFERROR(VLOOKUP($B76,MMWR_TRAD_AGG_RO_PEN[],R$1,0),"ERROR")</f>
        <v>4268</v>
      </c>
      <c r="S76" s="243">
        <f>IFERROR(VLOOKUP($B76,MMWR_APP_RO[],S$1,0),"ERROR")</f>
        <v>2690</v>
      </c>
      <c r="T76" s="28"/>
    </row>
    <row r="77" spans="1:20" x14ac:dyDescent="0.2">
      <c r="A77" s="107"/>
      <c r="B77" s="122" t="s">
        <v>209</v>
      </c>
      <c r="C77" s="241">
        <f>IFERROR(VLOOKUP($B77,MMWR_TRAD_AGG_RO_PEN[],C$1,0),"ERROR")</f>
        <v>6242</v>
      </c>
      <c r="D77" s="242">
        <f>IFERROR(VLOOKUP($B77,MMWR_TRAD_AGG_RO_PEN[],D$1,0),"ERROR")</f>
        <v>45.949855815399999</v>
      </c>
      <c r="E77" s="241">
        <f>IFERROR(VLOOKUP($B77,MMWR_TRAD_AGG_RO_PEN[],E$1,0),"ERROR")</f>
        <v>7630</v>
      </c>
      <c r="F77" s="241">
        <f>IFERROR(VLOOKUP($B77,MMWR_TRAD_AGG_RO_PEN[],F$1,0),"ERROR")</f>
        <v>898</v>
      </c>
      <c r="G77" s="223">
        <f>IFERROR(F77/E77,"0%")</f>
        <v>0.11769331585845347</v>
      </c>
      <c r="H77" s="241">
        <f>IFERROR(VLOOKUP($B77,MMWR_TRAD_AGG_RO_PEN[],H$1,0),"ERROR")</f>
        <v>8307</v>
      </c>
      <c r="I77" s="241">
        <f>IFERROR(VLOOKUP($B77,MMWR_TRAD_AGG_RO_PEN[],I$1,0),"ERROR")</f>
        <v>353</v>
      </c>
      <c r="J77" s="223">
        <f>IFERROR(I77/H77,"0%")</f>
        <v>4.2494281930901649E-2</v>
      </c>
      <c r="K77" s="241">
        <f>IFERROR(VLOOKUP($B77,MMWR_TRAD_AGG_RO_PEN[],K$1,0),"ERROR")</f>
        <v>3</v>
      </c>
      <c r="L77" s="241">
        <f>IFERROR(VLOOKUP($B77,MMWR_TRAD_AGG_RO_PEN[],L$1,0),"ERROR")</f>
        <v>3</v>
      </c>
      <c r="M77" s="223">
        <f>IFERROR(L77/K77,"0%")</f>
        <v>1</v>
      </c>
      <c r="N77" s="241">
        <f>IFERROR(VLOOKUP($B77,MMWR_TRAD_AGG_RO_PEN[],N$1,0),"ERROR")</f>
        <v>432</v>
      </c>
      <c r="O77" s="241">
        <f>IFERROR(VLOOKUP($B77,MMWR_TRAD_AGG_RO_PEN[],O$1,0),"ERROR")</f>
        <v>84</v>
      </c>
      <c r="P77" s="223">
        <f>IFERROR(O77/N77,"0%")</f>
        <v>0.19444444444444445</v>
      </c>
      <c r="Q77" s="241">
        <f>IFERROR(VLOOKUP($B77,MMWR_TRAD_AGG_RO_PEN[],Q$1,0),"ERROR")</f>
        <v>1018</v>
      </c>
      <c r="R77" s="241">
        <f>IFERROR(VLOOKUP($B77,MMWR_TRAD_AGG_RO_PEN[],R$1,0),"ERROR")</f>
        <v>786</v>
      </c>
      <c r="S77" s="243">
        <f>IFERROR(VLOOKUP($B77,MMWR_APP_RO[],S$1,0),"ERROR")</f>
        <v>2669</v>
      </c>
      <c r="T77" s="28"/>
    </row>
    <row r="78" spans="1:20" x14ac:dyDescent="0.2">
      <c r="A78" s="107"/>
      <c r="B78" s="122" t="s">
        <v>212</v>
      </c>
      <c r="C78" s="241">
        <f>IFERROR(VLOOKUP($B78,MMWR_TRAD_AGG_RO_PEN[],C$1,0),"ERROR")</f>
        <v>3732</v>
      </c>
      <c r="D78" s="242">
        <f>IFERROR(VLOOKUP($B78,MMWR_TRAD_AGG_RO_PEN[],D$1,0),"ERROR")</f>
        <v>45.593783494100002</v>
      </c>
      <c r="E78" s="241">
        <f>IFERROR(VLOOKUP($B78,MMWR_TRAD_AGG_RO_PEN[],E$1,0),"ERROR")</f>
        <v>6129</v>
      </c>
      <c r="F78" s="241">
        <f>IFERROR(VLOOKUP($B78,MMWR_TRAD_AGG_RO_PEN[],F$1,0),"ERROR")</f>
        <v>260</v>
      </c>
      <c r="G78" s="223">
        <f>IFERROR(F78/E78,"0%")</f>
        <v>4.2421275901452116E-2</v>
      </c>
      <c r="H78" s="241">
        <f>IFERROR(VLOOKUP($B78,MMWR_TRAD_AGG_RO_PEN[],H$1,0),"ERROR")</f>
        <v>4888</v>
      </c>
      <c r="I78" s="241">
        <f>IFERROR(VLOOKUP($B78,MMWR_TRAD_AGG_RO_PEN[],I$1,0),"ERROR")</f>
        <v>75</v>
      </c>
      <c r="J78" s="223">
        <f>IFERROR(I78/H78,"0%")</f>
        <v>1.5343698854337152E-2</v>
      </c>
      <c r="K78" s="241">
        <f>IFERROR(VLOOKUP($B78,MMWR_TRAD_AGG_RO_PEN[],K$1,0),"ERROR")</f>
        <v>37</v>
      </c>
      <c r="L78" s="241">
        <f>IFERROR(VLOOKUP($B78,MMWR_TRAD_AGG_RO_PEN[],L$1,0),"ERROR")</f>
        <v>14</v>
      </c>
      <c r="M78" s="223">
        <f>IFERROR(L78/K78,"0%")</f>
        <v>0.3783783783783784</v>
      </c>
      <c r="N78" s="241">
        <f>IFERROR(VLOOKUP($B78,MMWR_TRAD_AGG_RO_PEN[],N$1,0),"ERROR")</f>
        <v>207</v>
      </c>
      <c r="O78" s="241">
        <f>IFERROR(VLOOKUP($B78,MMWR_TRAD_AGG_RO_PEN[],O$1,0),"ERROR")</f>
        <v>75</v>
      </c>
      <c r="P78" s="223">
        <f>IFERROR(O78/N78,"0%")</f>
        <v>0.36231884057971014</v>
      </c>
      <c r="Q78" s="241">
        <f>IFERROR(VLOOKUP($B78,MMWR_TRAD_AGG_RO_PEN[],Q$1,0),"ERROR")</f>
        <v>7082</v>
      </c>
      <c r="R78" s="241">
        <f>IFERROR(VLOOKUP($B78,MMWR_TRAD_AGG_RO_PEN[],R$1,0),"ERROR")</f>
        <v>987</v>
      </c>
      <c r="S78" s="243">
        <f>IFERROR(VLOOKUP($B78,MMWR_APP_RO[],S$1,0),"ERROR")</f>
        <v>1792</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283</v>
      </c>
      <c r="F79" s="218">
        <f>IFERROR(VLOOKUP($B79,MMWR_TRAD_AGG_RO_PEN[],F$1,0),"ERROR")</f>
        <v>127</v>
      </c>
      <c r="G79" s="214">
        <f>IFERROR(F79/E79,"0%")</f>
        <v>0.44876325088339225</v>
      </c>
      <c r="H79" s="218">
        <f>IFERROR(VLOOKUP($B79,MMWR_TRAD_AGG_RO_PEN[],H$1,0),"ERROR")</f>
        <v>505</v>
      </c>
      <c r="I79" s="218">
        <f>IFERROR(VLOOKUP($B79,MMWR_TRAD_AGG_RO_PEN[],I$1,0),"ERROR")</f>
        <v>346</v>
      </c>
      <c r="J79" s="214">
        <f>IFERROR(I79/H79,"0%")</f>
        <v>0.6851485148514852</v>
      </c>
      <c r="K79" s="218">
        <f>IFERROR(VLOOKUP($B79,MMWR_TRAD_AGG_RO_PEN[],K$1,0),"ERROR")</f>
        <v>220</v>
      </c>
      <c r="L79" s="218">
        <f>IFERROR(VLOOKUP($B79,MMWR_TRAD_AGG_RO_PEN[],L$1,0),"ERROR")</f>
        <v>217</v>
      </c>
      <c r="M79" s="214">
        <f>IFERROR(L79/K79,"0%")</f>
        <v>0.98636363636363633</v>
      </c>
      <c r="N79" s="218">
        <f>IFERROR(VLOOKUP($B79,MMWR_TRAD_AGG_RO_PEN[],N$1,0),"ERROR")</f>
        <v>175</v>
      </c>
      <c r="O79" s="218">
        <f>IFERROR(VLOOKUP($B79,MMWR_TRAD_AGG_RO_PEN[],O$1,0),"ERROR")</f>
        <v>140</v>
      </c>
      <c r="P79" s="214">
        <f>IFERROR(O79/N79,"0%")</f>
        <v>0.8</v>
      </c>
      <c r="Q79" s="218">
        <f>IFERROR(VLOOKUP($B79,MMWR_TRAD_AGG_RO_PEN[],Q$1,0),"ERROR")</f>
        <v>7</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FEBRUARY 20,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489</v>
      </c>
      <c r="T4" s="28"/>
    </row>
    <row r="5" spans="1:20" s="123" customFormat="1" ht="26.25" x14ac:dyDescent="0.4">
      <c r="A5" s="25"/>
      <c r="B5" s="124"/>
      <c r="C5" s="453" t="s">
        <v>487</v>
      </c>
      <c r="D5" s="454"/>
      <c r="E5" s="454"/>
      <c r="F5" s="454"/>
      <c r="G5" s="454"/>
      <c r="H5" s="454"/>
      <c r="I5" s="454"/>
      <c r="J5" s="454"/>
      <c r="K5" s="454"/>
      <c r="L5" s="454"/>
      <c r="M5" s="454"/>
      <c r="N5" s="454"/>
      <c r="O5" s="454"/>
      <c r="P5" s="454"/>
      <c r="Q5" s="454"/>
      <c r="R5" s="454"/>
      <c r="S5" s="455"/>
      <c r="T5" s="28"/>
    </row>
    <row r="6" spans="1:20" s="123" customFormat="1" x14ac:dyDescent="0.2">
      <c r="A6" s="92"/>
      <c r="B6" s="125" t="s">
        <v>462</v>
      </c>
      <c r="C6" s="94">
        <f>IFERROR(VLOOKUP($B6,MMWR_TRAD_AGG_ST_DISTRICT_COMP[],C$1,0),"ERROR")</f>
        <v>306838</v>
      </c>
      <c r="D6" s="95">
        <f>IFERROR(VLOOKUP($B6,MMWR_TRAD_AGG_ST_DISTRICT_COMP[],D$1,0),"ERROR")</f>
        <v>388.20848134850002</v>
      </c>
      <c r="E6" s="96">
        <f>IFERROR(VLOOKUP($B6,MMWR_TRAD_AGG_ST_DISTRICT_COMP[],E$1,0),"ERROR")</f>
        <v>323066</v>
      </c>
      <c r="F6" s="97">
        <f>IFERROR(VLOOKUP($B6,MMWR_TRAD_AGG_ST_DISTRICT_COMP[],F$1,0),"ERROR")</f>
        <v>79569</v>
      </c>
      <c r="G6" s="98">
        <f t="shared" ref="G6:G37" si="0">IFERROR(F6/E6,"0%")</f>
        <v>0.24629332706010537</v>
      </c>
      <c r="H6" s="96">
        <f>IFERROR(VLOOKUP($B6,MMWR_TRAD_AGG_ST_DISTRICT_COMP[],H$1,0),"ERROR")</f>
        <v>443566</v>
      </c>
      <c r="I6" s="97">
        <f>IFERROR(VLOOKUP($B6,MMWR_TRAD_AGG_ST_DISTRICT_COMP[],I$1,0),"ERROR")</f>
        <v>298132</v>
      </c>
      <c r="J6" s="99">
        <f t="shared" ref="J6:J37" si="1">IFERROR(I6/H6,"0%")</f>
        <v>0.67212545596371231</v>
      </c>
      <c r="K6" s="96">
        <f>IFERROR(VLOOKUP($B6,MMWR_TRAD_AGG_ST_DISTRICT_COMP[],K$1,0),"ERROR")</f>
        <v>122605</v>
      </c>
      <c r="L6" s="97">
        <f>IFERROR(VLOOKUP($B6,MMWR_TRAD_AGG_ST_DISTRICT_COMP[],L$1,0),"ERROR")</f>
        <v>83117</v>
      </c>
      <c r="M6" s="99">
        <f t="shared" ref="M6:M37" si="2">IFERROR(L6/K6,"0%")</f>
        <v>0.67792504383997387</v>
      </c>
      <c r="N6" s="96">
        <f>IFERROR(VLOOKUP($B6,MMWR_TRAD_AGG_ST_DISTRICT_COMP[],N$1,0),"ERROR")</f>
        <v>159828</v>
      </c>
      <c r="O6" s="97">
        <f>IFERROR(VLOOKUP($B6,MMWR_TRAD_AGG_ST_DISTRICT_COMP[],O$1,0),"ERROR")</f>
        <v>104175</v>
      </c>
      <c r="P6" s="99">
        <f t="shared" ref="P6:P37" si="3">IFERROR(O6/N6,"0%")</f>
        <v>0.651794429011187</v>
      </c>
      <c r="Q6" s="100">
        <f>IFERROR(VLOOKUP($B6,MMWR_TRAD_AGG_ST_DISTRICT_COMP[],Q$1,0),"ERROR")</f>
        <v>19660</v>
      </c>
      <c r="R6" s="100">
        <f>IFERROR(VLOOKUP($B6,MMWR_TRAD_AGG_ST_DISTRICT_COMP[],R$1,0),"ERROR")</f>
        <v>4131</v>
      </c>
      <c r="S6" s="100">
        <f>S7+S23+S36+S46+S56+S64</f>
        <v>314916</v>
      </c>
      <c r="T6" s="28"/>
    </row>
    <row r="7" spans="1:20" s="123" customFormat="1" x14ac:dyDescent="0.2">
      <c r="A7" s="92"/>
      <c r="B7" s="126" t="s">
        <v>370</v>
      </c>
      <c r="C7" s="102">
        <f>IF(SUM(C8:C22)&lt;&gt;VLOOKUP($B7,MMWR_TRAD_AGG_ST_DISTRICT_COMP[],C$1,0),"ERROR",
VLOOKUP($B7,MMWR_TRAD_AGG_ST_DISTRICT_COMP[],C$1,0))</f>
        <v>69986</v>
      </c>
      <c r="D7" s="103">
        <f>IFERROR(VLOOKUP($B7,MMWR_TRAD_AGG_ST_DISTRICT_COMP[],D$1,0),"ERROR")</f>
        <v>414.6703197782</v>
      </c>
      <c r="E7" s="102">
        <f>IF(SUM(E8:E22)&lt;&gt;VLOOKUP($B7,MMWR_TRAD_AGG_ST_DISTRICT_COMP[],E$1,0),"ERROR",
VLOOKUP($B7,MMWR_TRAD_AGG_ST_DISTRICT_COMP[],E$1,0))</f>
        <v>70445</v>
      </c>
      <c r="F7" s="102">
        <f>IFERROR(VLOOKUP($B7,MMWR_TRAD_AGG_ST_DISTRICT_COMP[],F$1,0),"ERROR")</f>
        <v>18394</v>
      </c>
      <c r="G7" s="104">
        <f t="shared" si="0"/>
        <v>0.26111150542976791</v>
      </c>
      <c r="H7" s="102">
        <f>IF(SUM(H8:H22)&lt;&gt;VLOOKUP($B7,MMWR_TRAD_AGG_ST_DISTRICT_COMP[],H$1,0),"ERROR",
VLOOKUP($B7,MMWR_TRAD_AGG_ST_DISTRICT_COMP[],H$1,0))</f>
        <v>100439</v>
      </c>
      <c r="I7" s="102">
        <f>IF(SUM(I8:I22)&lt;&gt;VLOOKUP($B7,MMWR_TRAD_AGG_ST_DISTRICT_COMP[],I$1,0),"ERROR",
VLOOKUP($B7,MMWR_TRAD_AGG_ST_DISTRICT_COMP[],I$1,0))</f>
        <v>68856</v>
      </c>
      <c r="J7" s="105">
        <f t="shared" si="1"/>
        <v>0.68555043359651135</v>
      </c>
      <c r="K7" s="102">
        <f>IF(SUM(K8:K22)&lt;&gt;VLOOKUP($B7,MMWR_TRAD_AGG_ST_DISTRICT_COMP[],K$1,0),"ERROR",
VLOOKUP($B7,MMWR_TRAD_AGG_ST_DISTRICT_COMP[],K$1,0))</f>
        <v>34677</v>
      </c>
      <c r="L7" s="102">
        <f>IF(SUM(L8:L22)&lt;&gt;VLOOKUP($B7,MMWR_TRAD_AGG_ST_DISTRICT_COMP[],L$1,0),"ERROR",
VLOOKUP($B7,MMWR_TRAD_AGG_ST_DISTRICT_COMP[],L$1,0))</f>
        <v>24392</v>
      </c>
      <c r="M7" s="105">
        <f t="shared" si="2"/>
        <v>0.70340571560400267</v>
      </c>
      <c r="N7" s="102">
        <f>IF(SUM(N8:N22)&lt;&gt;VLOOKUP($B7,MMWR_TRAD_AGG_ST_DISTRICT_COMP[],N$1,0),"ERROR",
VLOOKUP($B7,MMWR_TRAD_AGG_ST_DISTRICT_COMP[],N$1,0))</f>
        <v>35085</v>
      </c>
      <c r="O7" s="102">
        <f>IF(SUM(O8:O22)&lt;&gt;VLOOKUP($B7,MMWR_TRAD_AGG_ST_DISTRICT_COMP[],O$1,0),"ERROR",
VLOOKUP($B7,MMWR_TRAD_AGG_ST_DISTRICT_COMP[],O$1,0))</f>
        <v>23476</v>
      </c>
      <c r="P7" s="105">
        <f t="shared" si="3"/>
        <v>0.66911785663388912</v>
      </c>
      <c r="Q7" s="102">
        <f>IF(SUM(Q8:Q22)&lt;&gt;VLOOKUP($B7,MMWR_TRAD_AGG_ST_DISTRICT_COMP[],Q$1,0),"ERROR",
VLOOKUP($B7,MMWR_TRAD_AGG_ST_DISTRICT_COMP[],Q$1,0))</f>
        <v>8456</v>
      </c>
      <c r="R7" s="106">
        <f>IFERROR(VLOOKUP($B7,MMWR_TRAD_AGG_ST_DISTRICT_COMP[],R$1,0),"ERROR")</f>
        <v>138</v>
      </c>
      <c r="S7" s="106">
        <f>SUM(S8:S22)</f>
        <v>57146</v>
      </c>
      <c r="T7" s="28"/>
    </row>
    <row r="8" spans="1:20" s="123" customFormat="1" x14ac:dyDescent="0.2">
      <c r="A8" s="107"/>
      <c r="B8" s="127" t="s">
        <v>374</v>
      </c>
      <c r="C8" s="109">
        <f>IFERROR(VLOOKUP($B8,MMWR_TRAD_AGG_STATE_COMP[],C$1,0),"ERROR")</f>
        <v>1312</v>
      </c>
      <c r="D8" s="110">
        <f>IFERROR(VLOOKUP($B8,MMWR_TRAD_AGG_STATE_COMP[],D$1,0),"ERROR")</f>
        <v>323.03582317069998</v>
      </c>
      <c r="E8" s="111">
        <f>IFERROR(VLOOKUP($B8,MMWR_TRAD_AGG_STATE_COMP[],E$1,0),"ERROR")</f>
        <v>2055</v>
      </c>
      <c r="F8" s="112">
        <f>IFERROR(VLOOKUP($B8,MMWR_TRAD_AGG_STATE_COMP[],F$1,0),"ERROR")</f>
        <v>501</v>
      </c>
      <c r="G8" s="113">
        <f t="shared" si="0"/>
        <v>0.24379562043795622</v>
      </c>
      <c r="H8" s="111">
        <f>IFERROR(VLOOKUP($B8,MMWR_TRAD_AGG_STATE_COMP[],H$1,0),"ERROR")</f>
        <v>2903</v>
      </c>
      <c r="I8" s="112">
        <f>IFERROR(VLOOKUP($B8,MMWR_TRAD_AGG_STATE_COMP[],I$1,0),"ERROR")</f>
        <v>2053</v>
      </c>
      <c r="J8" s="114">
        <f t="shared" si="1"/>
        <v>0.70719944884602137</v>
      </c>
      <c r="K8" s="111">
        <f>IFERROR(VLOOKUP($B8,MMWR_TRAD_AGG_STATE_COMP[],K$1,0),"ERROR")</f>
        <v>568</v>
      </c>
      <c r="L8" s="112">
        <f>IFERROR(VLOOKUP($B8,MMWR_TRAD_AGG_STATE_COMP[],L$1,0),"ERROR")</f>
        <v>370</v>
      </c>
      <c r="M8" s="114">
        <f t="shared" si="2"/>
        <v>0.65140845070422537</v>
      </c>
      <c r="N8" s="111">
        <f>IFERROR(VLOOKUP($B8,MMWR_TRAD_AGG_STATE_COMP[],N$1,0),"ERROR")</f>
        <v>1021</v>
      </c>
      <c r="O8" s="112">
        <f>IFERROR(VLOOKUP($B8,MMWR_TRAD_AGG_STATE_COMP[],O$1,0),"ERROR")</f>
        <v>718</v>
      </c>
      <c r="P8" s="114">
        <f t="shared" si="3"/>
        <v>0.70323212536728696</v>
      </c>
      <c r="Q8" s="115">
        <f>IFERROR(VLOOKUP($B8,MMWR_TRAD_AGG_STATE_COMP[],Q$1,0),"ERROR")</f>
        <v>297</v>
      </c>
      <c r="R8" s="115">
        <f>IFERROR(VLOOKUP($B8,MMWR_TRAD_AGG_STATE_COMP[],R$1,0),"ERROR")</f>
        <v>6</v>
      </c>
      <c r="S8" s="115">
        <f>IFERROR(VLOOKUP($B8,MMWR_APP_STATE_COMP[],S$1,0),"ERROR")</f>
        <v>1222</v>
      </c>
      <c r="T8" s="28"/>
    </row>
    <row r="9" spans="1:20" s="123" customFormat="1" x14ac:dyDescent="0.2">
      <c r="A9" s="107"/>
      <c r="B9" s="127" t="s">
        <v>424</v>
      </c>
      <c r="C9" s="109">
        <f>IFERROR(VLOOKUP($B9,MMWR_TRAD_AGG_STATE_COMP[],C$1,0),"ERROR")</f>
        <v>851</v>
      </c>
      <c r="D9" s="110">
        <f>IFERROR(VLOOKUP($B9,MMWR_TRAD_AGG_STATE_COMP[],D$1,0),"ERROR")</f>
        <v>414.34077555819999</v>
      </c>
      <c r="E9" s="111">
        <f>IFERROR(VLOOKUP($B9,MMWR_TRAD_AGG_STATE_COMP[],E$1,0),"ERROR")</f>
        <v>881</v>
      </c>
      <c r="F9" s="112">
        <f>IFERROR(VLOOKUP($B9,MMWR_TRAD_AGG_STATE_COMP[],F$1,0),"ERROR")</f>
        <v>245</v>
      </c>
      <c r="G9" s="113">
        <f t="shared" si="0"/>
        <v>0.27809307604994327</v>
      </c>
      <c r="H9" s="111">
        <f>IFERROR(VLOOKUP($B9,MMWR_TRAD_AGG_STATE_COMP[],H$1,0),"ERROR")</f>
        <v>1120</v>
      </c>
      <c r="I9" s="112">
        <f>IFERROR(VLOOKUP($B9,MMWR_TRAD_AGG_STATE_COMP[],I$1,0),"ERROR")</f>
        <v>800</v>
      </c>
      <c r="J9" s="114">
        <f t="shared" si="1"/>
        <v>0.7142857142857143</v>
      </c>
      <c r="K9" s="111">
        <f>IFERROR(VLOOKUP($B9,MMWR_TRAD_AGG_STATE_COMP[],K$1,0),"ERROR")</f>
        <v>239</v>
      </c>
      <c r="L9" s="112">
        <f>IFERROR(VLOOKUP($B9,MMWR_TRAD_AGG_STATE_COMP[],L$1,0),"ERROR")</f>
        <v>144</v>
      </c>
      <c r="M9" s="114">
        <f t="shared" si="2"/>
        <v>0.60251046025104604</v>
      </c>
      <c r="N9" s="111">
        <f>IFERROR(VLOOKUP($B9,MMWR_TRAD_AGG_STATE_COMP[],N$1,0),"ERROR")</f>
        <v>340</v>
      </c>
      <c r="O9" s="112">
        <f>IFERROR(VLOOKUP($B9,MMWR_TRAD_AGG_STATE_COMP[],O$1,0),"ERROR")</f>
        <v>203</v>
      </c>
      <c r="P9" s="114">
        <f t="shared" si="3"/>
        <v>0.59705882352941175</v>
      </c>
      <c r="Q9" s="115">
        <f>IFERROR(VLOOKUP($B9,MMWR_TRAD_AGG_STATE_COMP[],Q$1,0),"ERROR")</f>
        <v>82</v>
      </c>
      <c r="R9" s="115">
        <f>IFERROR(VLOOKUP($B9,MMWR_TRAD_AGG_STATE_COMP[],R$1,0),"ERROR")</f>
        <v>1</v>
      </c>
      <c r="S9" s="115">
        <f>IFERROR(VLOOKUP($B9,MMWR_APP_STATE_COMP[],S$1,0),"ERROR")</f>
        <v>607</v>
      </c>
      <c r="T9" s="28"/>
    </row>
    <row r="10" spans="1:20" s="123" customFormat="1" x14ac:dyDescent="0.2">
      <c r="A10" s="107"/>
      <c r="B10" s="127" t="s">
        <v>415</v>
      </c>
      <c r="C10" s="109">
        <f>IFERROR(VLOOKUP($B10,MMWR_TRAD_AGG_STATE_COMP[],C$1,0),"ERROR")</f>
        <v>473</v>
      </c>
      <c r="D10" s="110">
        <f>IFERROR(VLOOKUP($B10,MMWR_TRAD_AGG_STATE_COMP[],D$1,0),"ERROR")</f>
        <v>519.69978858349998</v>
      </c>
      <c r="E10" s="111">
        <f>IFERROR(VLOOKUP($B10,MMWR_TRAD_AGG_STATE_COMP[],E$1,0),"ERROR")</f>
        <v>419</v>
      </c>
      <c r="F10" s="112">
        <f>IFERROR(VLOOKUP($B10,MMWR_TRAD_AGG_STATE_COMP[],F$1,0),"ERROR")</f>
        <v>118</v>
      </c>
      <c r="G10" s="113">
        <f t="shared" si="0"/>
        <v>0.28162291169451076</v>
      </c>
      <c r="H10" s="111">
        <f>IFERROR(VLOOKUP($B10,MMWR_TRAD_AGG_STATE_COMP[],H$1,0),"ERROR")</f>
        <v>652</v>
      </c>
      <c r="I10" s="112">
        <f>IFERROR(VLOOKUP($B10,MMWR_TRAD_AGG_STATE_COMP[],I$1,0),"ERROR")</f>
        <v>474</v>
      </c>
      <c r="J10" s="114">
        <f t="shared" si="1"/>
        <v>0.72699386503067487</v>
      </c>
      <c r="K10" s="111">
        <f>IFERROR(VLOOKUP($B10,MMWR_TRAD_AGG_STATE_COMP[],K$1,0),"ERROR")</f>
        <v>214</v>
      </c>
      <c r="L10" s="112">
        <f>IFERROR(VLOOKUP($B10,MMWR_TRAD_AGG_STATE_COMP[],L$1,0),"ERROR")</f>
        <v>162</v>
      </c>
      <c r="M10" s="114">
        <f t="shared" si="2"/>
        <v>0.7570093457943925</v>
      </c>
      <c r="N10" s="111">
        <f>IFERROR(VLOOKUP($B10,MMWR_TRAD_AGG_STATE_COMP[],N$1,0),"ERROR")</f>
        <v>342</v>
      </c>
      <c r="O10" s="112">
        <f>IFERROR(VLOOKUP($B10,MMWR_TRAD_AGG_STATE_COMP[],O$1,0),"ERROR")</f>
        <v>254</v>
      </c>
      <c r="P10" s="114">
        <f t="shared" si="3"/>
        <v>0.74269005847953218</v>
      </c>
      <c r="Q10" s="115">
        <f>IFERROR(VLOOKUP($B10,MMWR_TRAD_AGG_STATE_COMP[],Q$1,0),"ERROR")</f>
        <v>30</v>
      </c>
      <c r="R10" s="115">
        <f>IFERROR(VLOOKUP($B10,MMWR_TRAD_AGG_STATE_COMP[],R$1,0),"ERROR")</f>
        <v>0</v>
      </c>
      <c r="S10" s="115">
        <f>IFERROR(VLOOKUP($B10,MMWR_APP_STATE_COMP[],S$1,0),"ERROR")</f>
        <v>584</v>
      </c>
      <c r="T10" s="28"/>
    </row>
    <row r="11" spans="1:20" s="123" customFormat="1" x14ac:dyDescent="0.2">
      <c r="A11" s="107"/>
      <c r="B11" s="127" t="s">
        <v>417</v>
      </c>
      <c r="C11" s="109">
        <f>IFERROR(VLOOKUP($B11,MMWR_TRAD_AGG_STATE_COMP[],C$1,0),"ERROR")</f>
        <v>1322</v>
      </c>
      <c r="D11" s="110">
        <f>IFERROR(VLOOKUP($B11,MMWR_TRAD_AGG_STATE_COMP[],D$1,0),"ERROR")</f>
        <v>307.60363086230001</v>
      </c>
      <c r="E11" s="111">
        <f>IFERROR(VLOOKUP($B11,MMWR_TRAD_AGG_STATE_COMP[],E$1,0),"ERROR")</f>
        <v>1379</v>
      </c>
      <c r="F11" s="112">
        <f>IFERROR(VLOOKUP($B11,MMWR_TRAD_AGG_STATE_COMP[],F$1,0),"ERROR")</f>
        <v>185</v>
      </c>
      <c r="G11" s="113">
        <f t="shared" si="0"/>
        <v>0.13415518491660625</v>
      </c>
      <c r="H11" s="111">
        <f>IFERROR(VLOOKUP($B11,MMWR_TRAD_AGG_STATE_COMP[],H$1,0),"ERROR")</f>
        <v>2012</v>
      </c>
      <c r="I11" s="112">
        <f>IFERROR(VLOOKUP($B11,MMWR_TRAD_AGG_STATE_COMP[],I$1,0),"ERROR")</f>
        <v>1169</v>
      </c>
      <c r="J11" s="114">
        <f t="shared" si="1"/>
        <v>0.58101391650099399</v>
      </c>
      <c r="K11" s="111">
        <f>IFERROR(VLOOKUP($B11,MMWR_TRAD_AGG_STATE_COMP[],K$1,0),"ERROR")</f>
        <v>1013</v>
      </c>
      <c r="L11" s="112">
        <f>IFERROR(VLOOKUP($B11,MMWR_TRAD_AGG_STATE_COMP[],L$1,0),"ERROR")</f>
        <v>769</v>
      </c>
      <c r="M11" s="114">
        <f t="shared" si="2"/>
        <v>0.75913129318854888</v>
      </c>
      <c r="N11" s="111">
        <f>IFERROR(VLOOKUP($B11,MMWR_TRAD_AGG_STATE_COMP[],N$1,0),"ERROR")</f>
        <v>366</v>
      </c>
      <c r="O11" s="112">
        <f>IFERROR(VLOOKUP($B11,MMWR_TRAD_AGG_STATE_COMP[],O$1,0),"ERROR")</f>
        <v>236</v>
      </c>
      <c r="P11" s="114">
        <f t="shared" si="3"/>
        <v>0.64480874316939896</v>
      </c>
      <c r="Q11" s="115">
        <f>IFERROR(VLOOKUP($B11,MMWR_TRAD_AGG_STATE_COMP[],Q$1,0),"ERROR")</f>
        <v>353</v>
      </c>
      <c r="R11" s="115">
        <f>IFERROR(VLOOKUP($B11,MMWR_TRAD_AGG_STATE_COMP[],R$1,0),"ERROR")</f>
        <v>3</v>
      </c>
      <c r="S11" s="115">
        <f>IFERROR(VLOOKUP($B11,MMWR_APP_STATE_COMP[],S$1,0),"ERROR")</f>
        <v>441</v>
      </c>
      <c r="T11" s="28"/>
    </row>
    <row r="12" spans="1:20" s="123" customFormat="1" x14ac:dyDescent="0.2">
      <c r="A12" s="107"/>
      <c r="B12" s="127" t="s">
        <v>377</v>
      </c>
      <c r="C12" s="109">
        <f>IFERROR(VLOOKUP($B12,MMWR_TRAD_AGG_STATE_COMP[],C$1,0),"ERROR")</f>
        <v>8305</v>
      </c>
      <c r="D12" s="110">
        <f>IFERROR(VLOOKUP($B12,MMWR_TRAD_AGG_STATE_COMP[],D$1,0),"ERROR")</f>
        <v>646.37134256469994</v>
      </c>
      <c r="E12" s="111">
        <f>IFERROR(VLOOKUP($B12,MMWR_TRAD_AGG_STATE_COMP[],E$1,0),"ERROR")</f>
        <v>5667</v>
      </c>
      <c r="F12" s="112">
        <f>IFERROR(VLOOKUP($B12,MMWR_TRAD_AGG_STATE_COMP[],F$1,0),"ERROR")</f>
        <v>1475</v>
      </c>
      <c r="G12" s="113">
        <f t="shared" si="0"/>
        <v>0.26027880712899243</v>
      </c>
      <c r="H12" s="111">
        <f>IFERROR(VLOOKUP($B12,MMWR_TRAD_AGG_STATE_COMP[],H$1,0),"ERROR")</f>
        <v>11316</v>
      </c>
      <c r="I12" s="112">
        <f>IFERROR(VLOOKUP($B12,MMWR_TRAD_AGG_STATE_COMP[],I$1,0),"ERROR")</f>
        <v>8403</v>
      </c>
      <c r="J12" s="114">
        <f t="shared" si="1"/>
        <v>0.74257688229056207</v>
      </c>
      <c r="K12" s="111">
        <f>IFERROR(VLOOKUP($B12,MMWR_TRAD_AGG_STATE_COMP[],K$1,0),"ERROR")</f>
        <v>2975</v>
      </c>
      <c r="L12" s="112">
        <f>IFERROR(VLOOKUP($B12,MMWR_TRAD_AGG_STATE_COMP[],L$1,0),"ERROR")</f>
        <v>2292</v>
      </c>
      <c r="M12" s="114">
        <f t="shared" si="2"/>
        <v>0.77042016806722691</v>
      </c>
      <c r="N12" s="111">
        <f>IFERROR(VLOOKUP($B12,MMWR_TRAD_AGG_STATE_COMP[],N$1,0),"ERROR")</f>
        <v>2999</v>
      </c>
      <c r="O12" s="112">
        <f>IFERROR(VLOOKUP($B12,MMWR_TRAD_AGG_STATE_COMP[],O$1,0),"ERROR")</f>
        <v>1932</v>
      </c>
      <c r="P12" s="114">
        <f t="shared" si="3"/>
        <v>0.644214738246082</v>
      </c>
      <c r="Q12" s="115">
        <f>IFERROR(VLOOKUP($B12,MMWR_TRAD_AGG_STATE_COMP[],Q$1,0),"ERROR")</f>
        <v>414</v>
      </c>
      <c r="R12" s="115">
        <f>IFERROR(VLOOKUP($B12,MMWR_TRAD_AGG_STATE_COMP[],R$1,0),"ERROR")</f>
        <v>6</v>
      </c>
      <c r="S12" s="115">
        <f>IFERROR(VLOOKUP($B12,MMWR_APP_STATE_COMP[],S$1,0),"ERROR")</f>
        <v>5686</v>
      </c>
      <c r="T12" s="28"/>
    </row>
    <row r="13" spans="1:20" s="123" customFormat="1" x14ac:dyDescent="0.2">
      <c r="A13" s="107"/>
      <c r="B13" s="127" t="s">
        <v>372</v>
      </c>
      <c r="C13" s="109">
        <f>IFERROR(VLOOKUP($B13,MMWR_TRAD_AGG_STATE_COMP[],C$1,0),"ERROR")</f>
        <v>4532</v>
      </c>
      <c r="D13" s="110">
        <f>IFERROR(VLOOKUP($B13,MMWR_TRAD_AGG_STATE_COMP[],D$1,0),"ERROR")</f>
        <v>566.81707855249999</v>
      </c>
      <c r="E13" s="111">
        <f>IFERROR(VLOOKUP($B13,MMWR_TRAD_AGG_STATE_COMP[],E$1,0),"ERROR")</f>
        <v>4502</v>
      </c>
      <c r="F13" s="112">
        <f>IFERROR(VLOOKUP($B13,MMWR_TRAD_AGG_STATE_COMP[],F$1,0),"ERROR")</f>
        <v>1142</v>
      </c>
      <c r="G13" s="113">
        <f t="shared" si="0"/>
        <v>0.25366503776099514</v>
      </c>
      <c r="H13" s="111">
        <f>IFERROR(VLOOKUP($B13,MMWR_TRAD_AGG_STATE_COMP[],H$1,0),"ERROR")</f>
        <v>6621</v>
      </c>
      <c r="I13" s="112">
        <f>IFERROR(VLOOKUP($B13,MMWR_TRAD_AGG_STATE_COMP[],I$1,0),"ERROR")</f>
        <v>5075</v>
      </c>
      <c r="J13" s="114">
        <f t="shared" si="1"/>
        <v>0.76650052862105422</v>
      </c>
      <c r="K13" s="111">
        <f>IFERROR(VLOOKUP($B13,MMWR_TRAD_AGG_STATE_COMP[],K$1,0),"ERROR")</f>
        <v>3026</v>
      </c>
      <c r="L13" s="112">
        <f>IFERROR(VLOOKUP($B13,MMWR_TRAD_AGG_STATE_COMP[],L$1,0),"ERROR")</f>
        <v>2360</v>
      </c>
      <c r="M13" s="114">
        <f t="shared" si="2"/>
        <v>0.77990746860541971</v>
      </c>
      <c r="N13" s="111">
        <f>IFERROR(VLOOKUP($B13,MMWR_TRAD_AGG_STATE_COMP[],N$1,0),"ERROR")</f>
        <v>1421</v>
      </c>
      <c r="O13" s="112">
        <f>IFERROR(VLOOKUP($B13,MMWR_TRAD_AGG_STATE_COMP[],O$1,0),"ERROR")</f>
        <v>1024</v>
      </c>
      <c r="P13" s="114">
        <f t="shared" si="3"/>
        <v>0.72061928219563687</v>
      </c>
      <c r="Q13" s="115">
        <f>IFERROR(VLOOKUP($B13,MMWR_TRAD_AGG_STATE_COMP[],Q$1,0),"ERROR")</f>
        <v>743</v>
      </c>
      <c r="R13" s="115">
        <f>IFERROR(VLOOKUP($B13,MMWR_TRAD_AGG_STATE_COMP[],R$1,0),"ERROR")</f>
        <v>10</v>
      </c>
      <c r="S13" s="115">
        <f>IFERROR(VLOOKUP($B13,MMWR_APP_STATE_COMP[],S$1,0),"ERROR")</f>
        <v>3390</v>
      </c>
      <c r="T13" s="28"/>
    </row>
    <row r="14" spans="1:20" s="123" customFormat="1" x14ac:dyDescent="0.2">
      <c r="A14" s="107"/>
      <c r="B14" s="127" t="s">
        <v>416</v>
      </c>
      <c r="C14" s="109">
        <f>IFERROR(VLOOKUP($B14,MMWR_TRAD_AGG_STATE_COMP[],C$1,0),"ERROR")</f>
        <v>1448</v>
      </c>
      <c r="D14" s="110">
        <f>IFERROR(VLOOKUP($B14,MMWR_TRAD_AGG_STATE_COMP[],D$1,0),"ERROR")</f>
        <v>369.61533149169998</v>
      </c>
      <c r="E14" s="111">
        <f>IFERROR(VLOOKUP($B14,MMWR_TRAD_AGG_STATE_COMP[],E$1,0),"ERROR")</f>
        <v>1128</v>
      </c>
      <c r="F14" s="112">
        <f>IFERROR(VLOOKUP($B14,MMWR_TRAD_AGG_STATE_COMP[],F$1,0),"ERROR")</f>
        <v>277</v>
      </c>
      <c r="G14" s="113">
        <f t="shared" si="0"/>
        <v>0.24556737588652483</v>
      </c>
      <c r="H14" s="111">
        <f>IFERROR(VLOOKUP($B14,MMWR_TRAD_AGG_STATE_COMP[],H$1,0),"ERROR")</f>
        <v>2134</v>
      </c>
      <c r="I14" s="112">
        <f>IFERROR(VLOOKUP($B14,MMWR_TRAD_AGG_STATE_COMP[],I$1,0),"ERROR")</f>
        <v>1407</v>
      </c>
      <c r="J14" s="114">
        <f t="shared" si="1"/>
        <v>0.65932521087160267</v>
      </c>
      <c r="K14" s="111">
        <f>IFERROR(VLOOKUP($B14,MMWR_TRAD_AGG_STATE_COMP[],K$1,0),"ERROR")</f>
        <v>472</v>
      </c>
      <c r="L14" s="112">
        <f>IFERROR(VLOOKUP($B14,MMWR_TRAD_AGG_STATE_COMP[],L$1,0),"ERROR")</f>
        <v>402</v>
      </c>
      <c r="M14" s="114">
        <f t="shared" si="2"/>
        <v>0.85169491525423724</v>
      </c>
      <c r="N14" s="111">
        <f>IFERROR(VLOOKUP($B14,MMWR_TRAD_AGG_STATE_COMP[],N$1,0),"ERROR")</f>
        <v>237</v>
      </c>
      <c r="O14" s="112">
        <f>IFERROR(VLOOKUP($B14,MMWR_TRAD_AGG_STATE_COMP[],O$1,0),"ERROR")</f>
        <v>134</v>
      </c>
      <c r="P14" s="114">
        <f t="shared" si="3"/>
        <v>0.56540084388185652</v>
      </c>
      <c r="Q14" s="115">
        <f>IFERROR(VLOOKUP($B14,MMWR_TRAD_AGG_STATE_COMP[],Q$1,0),"ERROR")</f>
        <v>156</v>
      </c>
      <c r="R14" s="115">
        <f>IFERROR(VLOOKUP($B14,MMWR_TRAD_AGG_STATE_COMP[],R$1,0),"ERROR")</f>
        <v>4</v>
      </c>
      <c r="S14" s="115">
        <f>IFERROR(VLOOKUP($B14,MMWR_APP_STATE_COMP[],S$1,0),"ERROR")</f>
        <v>619</v>
      </c>
      <c r="T14" s="28"/>
    </row>
    <row r="15" spans="1:20" s="123" customFormat="1" x14ac:dyDescent="0.2">
      <c r="A15" s="107"/>
      <c r="B15" s="127" t="s">
        <v>375</v>
      </c>
      <c r="C15" s="109">
        <f>IFERROR(VLOOKUP($B15,MMWR_TRAD_AGG_STATE_COMP[],C$1,0),"ERROR")</f>
        <v>2419</v>
      </c>
      <c r="D15" s="110">
        <f>IFERROR(VLOOKUP($B15,MMWR_TRAD_AGG_STATE_COMP[],D$1,0),"ERROR")</f>
        <v>321.86688714339999</v>
      </c>
      <c r="E15" s="111">
        <f>IFERROR(VLOOKUP($B15,MMWR_TRAD_AGG_STATE_COMP[],E$1,0),"ERROR")</f>
        <v>3888</v>
      </c>
      <c r="F15" s="112">
        <f>IFERROR(VLOOKUP($B15,MMWR_TRAD_AGG_STATE_COMP[],F$1,0),"ERROR")</f>
        <v>1026</v>
      </c>
      <c r="G15" s="113">
        <f t="shared" si="0"/>
        <v>0.2638888888888889</v>
      </c>
      <c r="H15" s="111">
        <f>IFERROR(VLOOKUP($B15,MMWR_TRAD_AGG_STATE_COMP[],H$1,0),"ERROR")</f>
        <v>3863</v>
      </c>
      <c r="I15" s="112">
        <f>IFERROR(VLOOKUP($B15,MMWR_TRAD_AGG_STATE_COMP[],I$1,0),"ERROR")</f>
        <v>2492</v>
      </c>
      <c r="J15" s="114">
        <f t="shared" si="1"/>
        <v>0.64509448615066012</v>
      </c>
      <c r="K15" s="111">
        <f>IFERROR(VLOOKUP($B15,MMWR_TRAD_AGG_STATE_COMP[],K$1,0),"ERROR")</f>
        <v>1313</v>
      </c>
      <c r="L15" s="112">
        <f>IFERROR(VLOOKUP($B15,MMWR_TRAD_AGG_STATE_COMP[],L$1,0),"ERROR")</f>
        <v>887</v>
      </c>
      <c r="M15" s="114">
        <f t="shared" si="2"/>
        <v>0.67555217060167561</v>
      </c>
      <c r="N15" s="111">
        <f>IFERROR(VLOOKUP($B15,MMWR_TRAD_AGG_STATE_COMP[],N$1,0),"ERROR")</f>
        <v>2182</v>
      </c>
      <c r="O15" s="112">
        <f>IFERROR(VLOOKUP($B15,MMWR_TRAD_AGG_STATE_COMP[],O$1,0),"ERROR")</f>
        <v>1555</v>
      </c>
      <c r="P15" s="114">
        <f t="shared" si="3"/>
        <v>0.71264894592117323</v>
      </c>
      <c r="Q15" s="115">
        <f>IFERROR(VLOOKUP($B15,MMWR_TRAD_AGG_STATE_COMP[],Q$1,0),"ERROR")</f>
        <v>690</v>
      </c>
      <c r="R15" s="115">
        <f>IFERROR(VLOOKUP($B15,MMWR_TRAD_AGG_STATE_COMP[],R$1,0),"ERROR")</f>
        <v>4</v>
      </c>
      <c r="S15" s="115">
        <f>IFERROR(VLOOKUP($B15,MMWR_APP_STATE_COMP[],S$1,0),"ERROR")</f>
        <v>4107</v>
      </c>
      <c r="T15" s="28"/>
    </row>
    <row r="16" spans="1:20" s="123" customFormat="1" x14ac:dyDescent="0.2">
      <c r="A16" s="107"/>
      <c r="B16" s="127" t="s">
        <v>60</v>
      </c>
      <c r="C16" s="109">
        <f>IFERROR(VLOOKUP($B16,MMWR_TRAD_AGG_STATE_COMP[],C$1,0),"ERROR")</f>
        <v>5598</v>
      </c>
      <c r="D16" s="110">
        <f>IFERROR(VLOOKUP($B16,MMWR_TRAD_AGG_STATE_COMP[],D$1,0),"ERROR")</f>
        <v>300.54340836009999</v>
      </c>
      <c r="E16" s="111">
        <f>IFERROR(VLOOKUP($B16,MMWR_TRAD_AGG_STATE_COMP[],E$1,0),"ERROR")</f>
        <v>8783</v>
      </c>
      <c r="F16" s="112">
        <f>IFERROR(VLOOKUP($B16,MMWR_TRAD_AGG_STATE_COMP[],F$1,0),"ERROR")</f>
        <v>2100</v>
      </c>
      <c r="G16" s="113">
        <f t="shared" si="0"/>
        <v>0.23909825799840601</v>
      </c>
      <c r="H16" s="111">
        <f>IFERROR(VLOOKUP($B16,MMWR_TRAD_AGG_STATE_COMP[],H$1,0),"ERROR")</f>
        <v>9091</v>
      </c>
      <c r="I16" s="112">
        <f>IFERROR(VLOOKUP($B16,MMWR_TRAD_AGG_STATE_COMP[],I$1,0),"ERROR")</f>
        <v>5400</v>
      </c>
      <c r="J16" s="114">
        <f t="shared" si="1"/>
        <v>0.59399406005939936</v>
      </c>
      <c r="K16" s="111">
        <f>IFERROR(VLOOKUP($B16,MMWR_TRAD_AGG_STATE_COMP[],K$1,0),"ERROR")</f>
        <v>4053</v>
      </c>
      <c r="L16" s="112">
        <f>IFERROR(VLOOKUP($B16,MMWR_TRAD_AGG_STATE_COMP[],L$1,0),"ERROR")</f>
        <v>3002</v>
      </c>
      <c r="M16" s="114">
        <f t="shared" si="2"/>
        <v>0.74068591167036768</v>
      </c>
      <c r="N16" s="111">
        <f>IFERROR(VLOOKUP($B16,MMWR_TRAD_AGG_STATE_COMP[],N$1,0),"ERROR")</f>
        <v>4240</v>
      </c>
      <c r="O16" s="112">
        <f>IFERROR(VLOOKUP($B16,MMWR_TRAD_AGG_STATE_COMP[],O$1,0),"ERROR")</f>
        <v>1620</v>
      </c>
      <c r="P16" s="114">
        <f t="shared" si="3"/>
        <v>0.38207547169811323</v>
      </c>
      <c r="Q16" s="115">
        <f>IFERROR(VLOOKUP($B16,MMWR_TRAD_AGG_STATE_COMP[],Q$1,0),"ERROR")</f>
        <v>1506</v>
      </c>
      <c r="R16" s="115">
        <f>IFERROR(VLOOKUP($B16,MMWR_TRAD_AGG_STATE_COMP[],R$1,0),"ERROR")</f>
        <v>8</v>
      </c>
      <c r="S16" s="115">
        <f>IFERROR(VLOOKUP($B16,MMWR_APP_STATE_COMP[],S$1,0),"ERROR")</f>
        <v>5347</v>
      </c>
      <c r="T16" s="28"/>
    </row>
    <row r="17" spans="1:20" s="123" customFormat="1" x14ac:dyDescent="0.2">
      <c r="A17" s="107"/>
      <c r="B17" s="127" t="s">
        <v>383</v>
      </c>
      <c r="C17" s="109">
        <f>IFERROR(VLOOKUP($B17,MMWR_TRAD_AGG_STATE_COMP[],C$1,0),"ERROR")</f>
        <v>16473</v>
      </c>
      <c r="D17" s="110">
        <f>IFERROR(VLOOKUP($B17,MMWR_TRAD_AGG_STATE_COMP[],D$1,0),"ERROR")</f>
        <v>316.3105688096</v>
      </c>
      <c r="E17" s="111">
        <f>IFERROR(VLOOKUP($B17,MMWR_TRAD_AGG_STATE_COMP[],E$1,0),"ERROR")</f>
        <v>17360</v>
      </c>
      <c r="F17" s="112">
        <f>IFERROR(VLOOKUP($B17,MMWR_TRAD_AGG_STATE_COMP[],F$1,0),"ERROR")</f>
        <v>4618</v>
      </c>
      <c r="G17" s="113">
        <f t="shared" si="0"/>
        <v>0.26601382488479264</v>
      </c>
      <c r="H17" s="111">
        <f>IFERROR(VLOOKUP($B17,MMWR_TRAD_AGG_STATE_COMP[],H$1,0),"ERROR")</f>
        <v>22215</v>
      </c>
      <c r="I17" s="112">
        <f>IFERROR(VLOOKUP($B17,MMWR_TRAD_AGG_STATE_COMP[],I$1,0),"ERROR")</f>
        <v>14928</v>
      </c>
      <c r="J17" s="114">
        <f t="shared" si="1"/>
        <v>0.67197839297771778</v>
      </c>
      <c r="K17" s="111">
        <f>IFERROR(VLOOKUP($B17,MMWR_TRAD_AGG_STATE_COMP[],K$1,0),"ERROR")</f>
        <v>9482</v>
      </c>
      <c r="L17" s="112">
        <f>IFERROR(VLOOKUP($B17,MMWR_TRAD_AGG_STATE_COMP[],L$1,0),"ERROR")</f>
        <v>6117</v>
      </c>
      <c r="M17" s="114">
        <f t="shared" si="2"/>
        <v>0.64511706391056745</v>
      </c>
      <c r="N17" s="111">
        <f>IFERROR(VLOOKUP($B17,MMWR_TRAD_AGG_STATE_COMP[],N$1,0),"ERROR")</f>
        <v>6790</v>
      </c>
      <c r="O17" s="112">
        <f>IFERROR(VLOOKUP($B17,MMWR_TRAD_AGG_STATE_COMP[],O$1,0),"ERROR")</f>
        <v>4278</v>
      </c>
      <c r="P17" s="114">
        <f t="shared" si="3"/>
        <v>0.63004418262150219</v>
      </c>
      <c r="Q17" s="115">
        <f>IFERROR(VLOOKUP($B17,MMWR_TRAD_AGG_STATE_COMP[],Q$1,0),"ERROR")</f>
        <v>1216</v>
      </c>
      <c r="R17" s="115">
        <f>IFERROR(VLOOKUP($B17,MMWR_TRAD_AGG_STATE_COMP[],R$1,0),"ERROR")</f>
        <v>50</v>
      </c>
      <c r="S17" s="115">
        <f>IFERROR(VLOOKUP($B17,MMWR_APP_STATE_COMP[],S$1,0),"ERROR")</f>
        <v>10086</v>
      </c>
      <c r="T17" s="28"/>
    </row>
    <row r="18" spans="1:20" s="123" customFormat="1" x14ac:dyDescent="0.2">
      <c r="A18" s="107"/>
      <c r="B18" s="127" t="s">
        <v>376</v>
      </c>
      <c r="C18" s="109">
        <f>IFERROR(VLOOKUP($B18,MMWR_TRAD_AGG_STATE_COMP[],C$1,0),"ERROR")</f>
        <v>7569</v>
      </c>
      <c r="D18" s="110">
        <f>IFERROR(VLOOKUP($B18,MMWR_TRAD_AGG_STATE_COMP[],D$1,0),"ERROR")</f>
        <v>453.25234509180001</v>
      </c>
      <c r="E18" s="111">
        <f>IFERROR(VLOOKUP($B18,MMWR_TRAD_AGG_STATE_COMP[],E$1,0),"ERROR")</f>
        <v>8629</v>
      </c>
      <c r="F18" s="112">
        <f>IFERROR(VLOOKUP($B18,MMWR_TRAD_AGG_STATE_COMP[],F$1,0),"ERROR")</f>
        <v>2523</v>
      </c>
      <c r="G18" s="113">
        <f t="shared" si="0"/>
        <v>0.29238613976127015</v>
      </c>
      <c r="H18" s="111">
        <f>IFERROR(VLOOKUP($B18,MMWR_TRAD_AGG_STATE_COMP[],H$1,0),"ERROR")</f>
        <v>11674</v>
      </c>
      <c r="I18" s="112">
        <f>IFERROR(VLOOKUP($B18,MMWR_TRAD_AGG_STATE_COMP[],I$1,0),"ERROR")</f>
        <v>8632</v>
      </c>
      <c r="J18" s="114">
        <f t="shared" si="1"/>
        <v>0.73942093541202669</v>
      </c>
      <c r="K18" s="111">
        <f>IFERROR(VLOOKUP($B18,MMWR_TRAD_AGG_STATE_COMP[],K$1,0),"ERROR")</f>
        <v>2023</v>
      </c>
      <c r="L18" s="112">
        <f>IFERROR(VLOOKUP($B18,MMWR_TRAD_AGG_STATE_COMP[],L$1,0),"ERROR")</f>
        <v>1273</v>
      </c>
      <c r="M18" s="114">
        <f t="shared" si="2"/>
        <v>0.62926347009391992</v>
      </c>
      <c r="N18" s="111">
        <f>IFERROR(VLOOKUP($B18,MMWR_TRAD_AGG_STATE_COMP[],N$1,0),"ERROR")</f>
        <v>6477</v>
      </c>
      <c r="O18" s="112">
        <f>IFERROR(VLOOKUP($B18,MMWR_TRAD_AGG_STATE_COMP[],O$1,0),"ERROR")</f>
        <v>5135</v>
      </c>
      <c r="P18" s="114">
        <f t="shared" si="3"/>
        <v>0.79280531110081831</v>
      </c>
      <c r="Q18" s="115">
        <f>IFERROR(VLOOKUP($B18,MMWR_TRAD_AGG_STATE_COMP[],Q$1,0),"ERROR")</f>
        <v>1432</v>
      </c>
      <c r="R18" s="115">
        <f>IFERROR(VLOOKUP($B18,MMWR_TRAD_AGG_STATE_COMP[],R$1,0),"ERROR")</f>
        <v>12</v>
      </c>
      <c r="S18" s="115">
        <f>IFERROR(VLOOKUP($B18,MMWR_APP_STATE_COMP[],S$1,0),"ERROR")</f>
        <v>7170</v>
      </c>
      <c r="T18" s="28"/>
    </row>
    <row r="19" spans="1:20" s="123" customFormat="1" x14ac:dyDescent="0.2">
      <c r="A19" s="107"/>
      <c r="B19" s="127" t="s">
        <v>373</v>
      </c>
      <c r="C19" s="109">
        <f>IFERROR(VLOOKUP($B19,MMWR_TRAD_AGG_STATE_COMP[],C$1,0),"ERROR")</f>
        <v>310</v>
      </c>
      <c r="D19" s="110">
        <f>IFERROR(VLOOKUP($B19,MMWR_TRAD_AGG_STATE_COMP[],D$1,0),"ERROR")</f>
        <v>264.63225806449998</v>
      </c>
      <c r="E19" s="111">
        <f>IFERROR(VLOOKUP($B19,MMWR_TRAD_AGG_STATE_COMP[],E$1,0),"ERROR")</f>
        <v>817</v>
      </c>
      <c r="F19" s="112">
        <f>IFERROR(VLOOKUP($B19,MMWR_TRAD_AGG_STATE_COMP[],F$1,0),"ERROR")</f>
        <v>198</v>
      </c>
      <c r="G19" s="113">
        <f t="shared" si="0"/>
        <v>0.24235006119951041</v>
      </c>
      <c r="H19" s="111">
        <f>IFERROR(VLOOKUP($B19,MMWR_TRAD_AGG_STATE_COMP[],H$1,0),"ERROR")</f>
        <v>637</v>
      </c>
      <c r="I19" s="112">
        <f>IFERROR(VLOOKUP($B19,MMWR_TRAD_AGG_STATE_COMP[],I$1,0),"ERROR")</f>
        <v>334</v>
      </c>
      <c r="J19" s="114">
        <f t="shared" si="1"/>
        <v>0.52433281004709575</v>
      </c>
      <c r="K19" s="111">
        <f>IFERROR(VLOOKUP($B19,MMWR_TRAD_AGG_STATE_COMP[],K$1,0),"ERROR")</f>
        <v>273</v>
      </c>
      <c r="L19" s="112">
        <f>IFERROR(VLOOKUP($B19,MMWR_TRAD_AGG_STATE_COMP[],L$1,0),"ERROR")</f>
        <v>172</v>
      </c>
      <c r="M19" s="114">
        <f t="shared" si="2"/>
        <v>0.63003663003663002</v>
      </c>
      <c r="N19" s="111">
        <f>IFERROR(VLOOKUP($B19,MMWR_TRAD_AGG_STATE_COMP[],N$1,0),"ERROR")</f>
        <v>205</v>
      </c>
      <c r="O19" s="112">
        <f>IFERROR(VLOOKUP($B19,MMWR_TRAD_AGG_STATE_COMP[],O$1,0),"ERROR")</f>
        <v>111</v>
      </c>
      <c r="P19" s="114">
        <f t="shared" si="3"/>
        <v>0.54146341463414638</v>
      </c>
      <c r="Q19" s="115">
        <f>IFERROR(VLOOKUP($B19,MMWR_TRAD_AGG_STATE_COMP[],Q$1,0),"ERROR")</f>
        <v>208</v>
      </c>
      <c r="R19" s="115">
        <f>IFERROR(VLOOKUP($B19,MMWR_TRAD_AGG_STATE_COMP[],R$1,0),"ERROR")</f>
        <v>2</v>
      </c>
      <c r="S19" s="115">
        <f>IFERROR(VLOOKUP($B19,MMWR_APP_STATE_COMP[],S$1,0),"ERROR")</f>
        <v>281</v>
      </c>
      <c r="T19" s="28"/>
    </row>
    <row r="20" spans="1:20" s="123" customFormat="1" x14ac:dyDescent="0.2">
      <c r="A20" s="107"/>
      <c r="B20" s="127" t="s">
        <v>418</v>
      </c>
      <c r="C20" s="109">
        <f>IFERROR(VLOOKUP($B20,MMWR_TRAD_AGG_STATE_COMP[],C$1,0),"ERROR")</f>
        <v>504</v>
      </c>
      <c r="D20" s="110">
        <f>IFERROR(VLOOKUP($B20,MMWR_TRAD_AGG_STATE_COMP[],D$1,0),"ERROR")</f>
        <v>375.14682539680001</v>
      </c>
      <c r="E20" s="111">
        <f>IFERROR(VLOOKUP($B20,MMWR_TRAD_AGG_STATE_COMP[],E$1,0),"ERROR")</f>
        <v>474</v>
      </c>
      <c r="F20" s="112">
        <f>IFERROR(VLOOKUP($B20,MMWR_TRAD_AGG_STATE_COMP[],F$1,0),"ERROR")</f>
        <v>115</v>
      </c>
      <c r="G20" s="113">
        <f t="shared" si="0"/>
        <v>0.24261603375527427</v>
      </c>
      <c r="H20" s="111">
        <f>IFERROR(VLOOKUP($B20,MMWR_TRAD_AGG_STATE_COMP[],H$1,0),"ERROR")</f>
        <v>987</v>
      </c>
      <c r="I20" s="112">
        <f>IFERROR(VLOOKUP($B20,MMWR_TRAD_AGG_STATE_COMP[],I$1,0),"ERROR")</f>
        <v>550</v>
      </c>
      <c r="J20" s="114">
        <f t="shared" si="1"/>
        <v>0.55724417426545081</v>
      </c>
      <c r="K20" s="111">
        <f>IFERROR(VLOOKUP($B20,MMWR_TRAD_AGG_STATE_COMP[],K$1,0),"ERROR")</f>
        <v>251</v>
      </c>
      <c r="L20" s="112">
        <f>IFERROR(VLOOKUP($B20,MMWR_TRAD_AGG_STATE_COMP[],L$1,0),"ERROR")</f>
        <v>147</v>
      </c>
      <c r="M20" s="114">
        <f t="shared" si="2"/>
        <v>0.58565737051792832</v>
      </c>
      <c r="N20" s="111">
        <f>IFERROR(VLOOKUP($B20,MMWR_TRAD_AGG_STATE_COMP[],N$1,0),"ERROR")</f>
        <v>131</v>
      </c>
      <c r="O20" s="112">
        <f>IFERROR(VLOOKUP($B20,MMWR_TRAD_AGG_STATE_COMP[],O$1,0),"ERROR")</f>
        <v>87</v>
      </c>
      <c r="P20" s="114">
        <f t="shared" si="3"/>
        <v>0.66412213740458015</v>
      </c>
      <c r="Q20" s="115">
        <f>IFERROR(VLOOKUP($B20,MMWR_TRAD_AGG_STATE_COMP[],Q$1,0),"ERROR")</f>
        <v>74</v>
      </c>
      <c r="R20" s="115">
        <f>IFERROR(VLOOKUP($B20,MMWR_TRAD_AGG_STATE_COMP[],R$1,0),"ERROR")</f>
        <v>1</v>
      </c>
      <c r="S20" s="115">
        <f>IFERROR(VLOOKUP($B20,MMWR_APP_STATE_COMP[],S$1,0),"ERROR")</f>
        <v>116</v>
      </c>
      <c r="T20" s="28"/>
    </row>
    <row r="21" spans="1:20" s="123" customFormat="1" x14ac:dyDescent="0.2">
      <c r="A21" s="107"/>
      <c r="B21" s="127" t="s">
        <v>379</v>
      </c>
      <c r="C21" s="109">
        <f>IFERROR(VLOOKUP($B21,MMWR_TRAD_AGG_STATE_COMP[],C$1,0),"ERROR")</f>
        <v>16740</v>
      </c>
      <c r="D21" s="110">
        <f>IFERROR(VLOOKUP($B21,MMWR_TRAD_AGG_STATE_COMP[],D$1,0),"ERROR")</f>
        <v>428.31445639190002</v>
      </c>
      <c r="E21" s="111">
        <f>IFERROR(VLOOKUP($B21,MMWR_TRAD_AGG_STATE_COMP[],E$1,0),"ERROR")</f>
        <v>11890</v>
      </c>
      <c r="F21" s="112">
        <f>IFERROR(VLOOKUP($B21,MMWR_TRAD_AGG_STATE_COMP[],F$1,0),"ERROR")</f>
        <v>3281</v>
      </c>
      <c r="G21" s="113">
        <f t="shared" si="0"/>
        <v>0.275946173254836</v>
      </c>
      <c r="H21" s="111">
        <f>IFERROR(VLOOKUP($B21,MMWR_TRAD_AGG_STATE_COMP[],H$1,0),"ERROR")</f>
        <v>21663</v>
      </c>
      <c r="I21" s="112">
        <f>IFERROR(VLOOKUP($B21,MMWR_TRAD_AGG_STATE_COMP[],I$1,0),"ERROR")</f>
        <v>14887</v>
      </c>
      <c r="J21" s="114">
        <f t="shared" si="1"/>
        <v>0.68720860453307486</v>
      </c>
      <c r="K21" s="111">
        <f>IFERROR(VLOOKUP($B21,MMWR_TRAD_AGG_STATE_COMP[],K$1,0),"ERROR")</f>
        <v>8301</v>
      </c>
      <c r="L21" s="112">
        <f>IFERROR(VLOOKUP($B21,MMWR_TRAD_AGG_STATE_COMP[],L$1,0),"ERROR")</f>
        <v>6084</v>
      </c>
      <c r="M21" s="114">
        <f t="shared" si="2"/>
        <v>0.73292374412721362</v>
      </c>
      <c r="N21" s="111">
        <f>IFERROR(VLOOKUP($B21,MMWR_TRAD_AGG_STATE_COMP[],N$1,0),"ERROR")</f>
        <v>7000</v>
      </c>
      <c r="O21" s="112">
        <f>IFERROR(VLOOKUP($B21,MMWR_TRAD_AGG_STATE_COMP[],O$1,0),"ERROR")</f>
        <v>5182</v>
      </c>
      <c r="P21" s="114">
        <f t="shared" si="3"/>
        <v>0.74028571428571432</v>
      </c>
      <c r="Q21" s="115">
        <f>IFERROR(VLOOKUP($B21,MMWR_TRAD_AGG_STATE_COMP[],Q$1,0),"ERROR")</f>
        <v>895</v>
      </c>
      <c r="R21" s="115">
        <f>IFERROR(VLOOKUP($B21,MMWR_TRAD_AGG_STATE_COMP[],R$1,0),"ERROR")</f>
        <v>19</v>
      </c>
      <c r="S21" s="115">
        <f>IFERROR(VLOOKUP($B21,MMWR_APP_STATE_COMP[],S$1,0),"ERROR")</f>
        <v>15187</v>
      </c>
      <c r="T21" s="28"/>
    </row>
    <row r="22" spans="1:20" s="123" customFormat="1" x14ac:dyDescent="0.2">
      <c r="A22" s="107"/>
      <c r="B22" s="127" t="s">
        <v>380</v>
      </c>
      <c r="C22" s="109">
        <f>IFERROR(VLOOKUP($B22,MMWR_TRAD_AGG_STATE_COMP[],C$1,0),"ERROR")</f>
        <v>2130</v>
      </c>
      <c r="D22" s="110">
        <f>IFERROR(VLOOKUP($B22,MMWR_TRAD_AGG_STATE_COMP[],D$1,0),"ERROR")</f>
        <v>270.75352112680002</v>
      </c>
      <c r="E22" s="111">
        <f>IFERROR(VLOOKUP($B22,MMWR_TRAD_AGG_STATE_COMP[],E$1,0),"ERROR")</f>
        <v>2573</v>
      </c>
      <c r="F22" s="112">
        <f>IFERROR(VLOOKUP($B22,MMWR_TRAD_AGG_STATE_COMP[],F$1,0),"ERROR")</f>
        <v>590</v>
      </c>
      <c r="G22" s="113">
        <f t="shared" si="0"/>
        <v>0.22930431403031482</v>
      </c>
      <c r="H22" s="111">
        <f>IFERROR(VLOOKUP($B22,MMWR_TRAD_AGG_STATE_COMP[],H$1,0),"ERROR")</f>
        <v>3551</v>
      </c>
      <c r="I22" s="112">
        <f>IFERROR(VLOOKUP($B22,MMWR_TRAD_AGG_STATE_COMP[],I$1,0),"ERROR")</f>
        <v>2252</v>
      </c>
      <c r="J22" s="114">
        <f t="shared" si="1"/>
        <v>0.63418755280202754</v>
      </c>
      <c r="K22" s="111">
        <f>IFERROR(VLOOKUP($B22,MMWR_TRAD_AGG_STATE_COMP[],K$1,0),"ERROR")</f>
        <v>474</v>
      </c>
      <c r="L22" s="112">
        <f>IFERROR(VLOOKUP($B22,MMWR_TRAD_AGG_STATE_COMP[],L$1,0),"ERROR")</f>
        <v>211</v>
      </c>
      <c r="M22" s="114">
        <f t="shared" si="2"/>
        <v>0.44514767932489452</v>
      </c>
      <c r="N22" s="111">
        <f>IFERROR(VLOOKUP($B22,MMWR_TRAD_AGG_STATE_COMP[],N$1,0),"ERROR")</f>
        <v>1334</v>
      </c>
      <c r="O22" s="112">
        <f>IFERROR(VLOOKUP($B22,MMWR_TRAD_AGG_STATE_COMP[],O$1,0),"ERROR")</f>
        <v>1007</v>
      </c>
      <c r="P22" s="114">
        <f t="shared" si="3"/>
        <v>0.75487256371814093</v>
      </c>
      <c r="Q22" s="115">
        <f>IFERROR(VLOOKUP($B22,MMWR_TRAD_AGG_STATE_COMP[],Q$1,0),"ERROR")</f>
        <v>360</v>
      </c>
      <c r="R22" s="115">
        <f>IFERROR(VLOOKUP($B22,MMWR_TRAD_AGG_STATE_COMP[],R$1,0),"ERROR")</f>
        <v>12</v>
      </c>
      <c r="S22" s="115">
        <f>IFERROR(VLOOKUP($B22,MMWR_APP_STATE_COMP[],S$1,0),"ERROR")</f>
        <v>2303</v>
      </c>
      <c r="T22" s="28"/>
    </row>
    <row r="23" spans="1:20" s="123" customFormat="1" x14ac:dyDescent="0.2">
      <c r="A23" s="107"/>
      <c r="B23" s="126" t="s">
        <v>391</v>
      </c>
      <c r="C23" s="102">
        <f>IF(SUM(C24:C35)&lt;&gt;VLOOKUP($B23,MMWR_TRAD_AGG_ST_DISTRICT_COMP[],C$1,0),"ERROR",
VLOOKUP($B23,MMWR_TRAD_AGG_ST_DISTRICT_COMP[],C$1,0))</f>
        <v>39290</v>
      </c>
      <c r="D23" s="103">
        <f>IFERROR(VLOOKUP($B23,MMWR_TRAD_AGG_ST_DISTRICT_COMP[],D$1,0),"ERROR")</f>
        <v>385.86164418430002</v>
      </c>
      <c r="E23" s="102">
        <f>IF(SUM(E24:E35)&lt;&gt;VLOOKUP($B23,MMWR_TRAD_AGG_ST_DISTRICT_COMP[],E$1,0),"ERROR",
VLOOKUP($B23,MMWR_TRAD_AGG_ST_DISTRICT_COMP[],E$1,0))</f>
        <v>50569</v>
      </c>
      <c r="F23" s="102">
        <f>IF(SUM(F24:F35)&lt;&gt;VLOOKUP($B23,MMWR_TRAD_AGG_ST_DISTRICT_COMP[],F$1,0),"ERROR",
VLOOKUP($B23,MMWR_TRAD_AGG_ST_DISTRICT_COMP[],F$1,0))</f>
        <v>11667</v>
      </c>
      <c r="G23" s="104">
        <f t="shared" si="0"/>
        <v>0.23071446933892306</v>
      </c>
      <c r="H23" s="102">
        <f>IF(SUM(H24:H35)&lt;&gt;VLOOKUP($B23,MMWR_TRAD_AGG_ST_DISTRICT_COMP[],H$1,0),"ERROR",
VLOOKUP($B23,MMWR_TRAD_AGG_ST_DISTRICT_COMP[],H$1,0))</f>
        <v>61698</v>
      </c>
      <c r="I23" s="102">
        <f>IF(SUM(I24:I35)&lt;&gt;VLOOKUP($B23,MMWR_TRAD_AGG_ST_DISTRICT_COMP[],I$1,0),"ERROR",
VLOOKUP($B23,MMWR_TRAD_AGG_ST_DISTRICT_COMP[],I$1,0))</f>
        <v>37803</v>
      </c>
      <c r="J23" s="105">
        <f t="shared" si="1"/>
        <v>0.61271029855100656</v>
      </c>
      <c r="K23" s="102">
        <f>IF(SUM(K24:K35)&lt;&gt;VLOOKUP($B23,MMWR_TRAD_AGG_ST_DISTRICT_COMP[],K$1,0),"ERROR",
VLOOKUP($B23,MMWR_TRAD_AGG_ST_DISTRICT_COMP[],K$1,0))</f>
        <v>13776</v>
      </c>
      <c r="L23" s="102">
        <f>IF(SUM(L24:L35)&lt;&gt;VLOOKUP($B23,MMWR_TRAD_AGG_ST_DISTRICT_COMP[],L$1,0),"ERROR",
VLOOKUP($B23,MMWR_TRAD_AGG_ST_DISTRICT_COMP[],L$1,0))</f>
        <v>9297</v>
      </c>
      <c r="M23" s="105">
        <f t="shared" si="2"/>
        <v>0.6748693379790941</v>
      </c>
      <c r="N23" s="102">
        <f>IF(SUM(N24:N35)&lt;&gt;VLOOKUP($B23,MMWR_TRAD_AGG_ST_DISTRICT_COMP[],N$1,0),"ERROR",
VLOOKUP($B23,MMWR_TRAD_AGG_ST_DISTRICT_COMP[],N$1,0))</f>
        <v>23707</v>
      </c>
      <c r="O23" s="102">
        <f>IF(SUM(O24:O35)&lt;&gt;VLOOKUP($B23,MMWR_TRAD_AGG_ST_DISTRICT_COMP[],O$1,0),"ERROR",
VLOOKUP($B23,MMWR_TRAD_AGG_ST_DISTRICT_COMP[],O$1,0))</f>
        <v>15393</v>
      </c>
      <c r="P23" s="105">
        <f t="shared" si="3"/>
        <v>0.64930189395537186</v>
      </c>
      <c r="Q23" s="102">
        <f>IF(SUM(Q24:Q35)&lt;&gt;VLOOKUP($B23,MMWR_TRAD_AGG_ST_DISTRICT_COMP[],Q$1,0),"ERROR",
VLOOKUP($B23,MMWR_TRAD_AGG_ST_DISTRICT_COMP[],Q$1,0))</f>
        <v>3993</v>
      </c>
      <c r="R23" s="102">
        <f>IF(SUM(R24:R35)&lt;&gt;VLOOKUP($B23,MMWR_TRAD_AGG_ST_DISTRICT_COMP[],R$1,0),"ERROR",
VLOOKUP($B23,MMWR_TRAD_AGG_ST_DISTRICT_COMP[],R$1,0))</f>
        <v>1052</v>
      </c>
      <c r="S23" s="106">
        <f>SUM(S24:S35)</f>
        <v>52787</v>
      </c>
      <c r="T23" s="28"/>
    </row>
    <row r="24" spans="1:20" s="123" customFormat="1" x14ac:dyDescent="0.2">
      <c r="A24" s="92"/>
      <c r="B24" s="127" t="s">
        <v>395</v>
      </c>
      <c r="C24" s="109">
        <f>IFERROR(VLOOKUP($B24,MMWR_TRAD_AGG_STATE_COMP[],C$1,0),"ERROR")</f>
        <v>6699</v>
      </c>
      <c r="D24" s="110">
        <f>IFERROR(VLOOKUP($B24,MMWR_TRAD_AGG_STATE_COMP[],D$1,0),"ERROR")</f>
        <v>481.99328257949998</v>
      </c>
      <c r="E24" s="111">
        <f>IFERROR(VLOOKUP($B24,MMWR_TRAD_AGG_STATE_COMP[],E$1,0),"ERROR")</f>
        <v>7062</v>
      </c>
      <c r="F24" s="112">
        <f>IFERROR(VLOOKUP($B24,MMWR_TRAD_AGG_STATE_COMP[],F$1,0),"ERROR")</f>
        <v>1997</v>
      </c>
      <c r="G24" s="113">
        <f t="shared" si="0"/>
        <v>0.28278108184650241</v>
      </c>
      <c r="H24" s="111">
        <f>IFERROR(VLOOKUP($B24,MMWR_TRAD_AGG_STATE_COMP[],H$1,0),"ERROR")</f>
        <v>9516</v>
      </c>
      <c r="I24" s="112">
        <f>IFERROR(VLOOKUP($B24,MMWR_TRAD_AGG_STATE_COMP[],I$1,0),"ERROR")</f>
        <v>6617</v>
      </c>
      <c r="J24" s="114">
        <f t="shared" si="1"/>
        <v>0.69535519125683065</v>
      </c>
      <c r="K24" s="111">
        <f>IFERROR(VLOOKUP($B24,MMWR_TRAD_AGG_STATE_COMP[],K$1,0),"ERROR")</f>
        <v>2115</v>
      </c>
      <c r="L24" s="112">
        <f>IFERROR(VLOOKUP($B24,MMWR_TRAD_AGG_STATE_COMP[],L$1,0),"ERROR")</f>
        <v>1659</v>
      </c>
      <c r="M24" s="114">
        <f t="shared" si="2"/>
        <v>0.7843971631205674</v>
      </c>
      <c r="N24" s="111">
        <f>IFERROR(VLOOKUP($B24,MMWR_TRAD_AGG_STATE_COMP[],N$1,0),"ERROR")</f>
        <v>2983</v>
      </c>
      <c r="O24" s="112">
        <f>IFERROR(VLOOKUP($B24,MMWR_TRAD_AGG_STATE_COMP[],O$1,0),"ERROR")</f>
        <v>1555</v>
      </c>
      <c r="P24" s="114">
        <f t="shared" si="3"/>
        <v>0.52128729466979551</v>
      </c>
      <c r="Q24" s="115">
        <f>IFERROR(VLOOKUP($B24,MMWR_TRAD_AGG_STATE_COMP[],Q$1,0),"ERROR")</f>
        <v>736</v>
      </c>
      <c r="R24" s="115">
        <f>IFERROR(VLOOKUP($B24,MMWR_TRAD_AGG_STATE_COMP[],R$1,0),"ERROR")</f>
        <v>215</v>
      </c>
      <c r="S24" s="115">
        <f>IFERROR(VLOOKUP($B24,MMWR_APP_STATE_COMP[],S$1,0),"ERROR")</f>
        <v>8429</v>
      </c>
      <c r="T24" s="28"/>
    </row>
    <row r="25" spans="1:20" s="123" customFormat="1" x14ac:dyDescent="0.2">
      <c r="A25" s="107"/>
      <c r="B25" s="127" t="s">
        <v>393</v>
      </c>
      <c r="C25" s="109">
        <f>IFERROR(VLOOKUP($B25,MMWR_TRAD_AGG_STATE_COMP[],C$1,0),"ERROR")</f>
        <v>6712</v>
      </c>
      <c r="D25" s="110">
        <f>IFERROR(VLOOKUP($B25,MMWR_TRAD_AGG_STATE_COMP[],D$1,0),"ERROR")</f>
        <v>608.78635280100002</v>
      </c>
      <c r="E25" s="111">
        <f>IFERROR(VLOOKUP($B25,MMWR_TRAD_AGG_STATE_COMP[],E$1,0),"ERROR")</f>
        <v>5236</v>
      </c>
      <c r="F25" s="112">
        <f>IFERROR(VLOOKUP($B25,MMWR_TRAD_AGG_STATE_COMP[],F$1,0),"ERROR")</f>
        <v>1164</v>
      </c>
      <c r="G25" s="113">
        <f t="shared" si="0"/>
        <v>0.22230710466004583</v>
      </c>
      <c r="H25" s="111">
        <f>IFERROR(VLOOKUP($B25,MMWR_TRAD_AGG_STATE_COMP[],H$1,0),"ERROR")</f>
        <v>10061</v>
      </c>
      <c r="I25" s="112">
        <f>IFERROR(VLOOKUP($B25,MMWR_TRAD_AGG_STATE_COMP[],I$1,0),"ERROR")</f>
        <v>7571</v>
      </c>
      <c r="J25" s="114">
        <f t="shared" si="1"/>
        <v>0.75250969088559783</v>
      </c>
      <c r="K25" s="111">
        <f>IFERROR(VLOOKUP($B25,MMWR_TRAD_AGG_STATE_COMP[],K$1,0),"ERROR")</f>
        <v>2042</v>
      </c>
      <c r="L25" s="112">
        <f>IFERROR(VLOOKUP($B25,MMWR_TRAD_AGG_STATE_COMP[],L$1,0),"ERROR")</f>
        <v>1584</v>
      </c>
      <c r="M25" s="114">
        <f t="shared" si="2"/>
        <v>0.77571008814887366</v>
      </c>
      <c r="N25" s="111">
        <f>IFERROR(VLOOKUP($B25,MMWR_TRAD_AGG_STATE_COMP[],N$1,0),"ERROR")</f>
        <v>2894</v>
      </c>
      <c r="O25" s="112">
        <f>IFERROR(VLOOKUP($B25,MMWR_TRAD_AGG_STATE_COMP[],O$1,0),"ERROR")</f>
        <v>2022</v>
      </c>
      <c r="P25" s="114">
        <f t="shared" si="3"/>
        <v>0.69868693849343466</v>
      </c>
      <c r="Q25" s="115">
        <f>IFERROR(VLOOKUP($B25,MMWR_TRAD_AGG_STATE_COMP[],Q$1,0),"ERROR")</f>
        <v>549</v>
      </c>
      <c r="R25" s="115">
        <f>IFERROR(VLOOKUP($B25,MMWR_TRAD_AGG_STATE_COMP[],R$1,0),"ERROR")</f>
        <v>203</v>
      </c>
      <c r="S25" s="115">
        <f>IFERROR(VLOOKUP($B25,MMWR_APP_STATE_COMP[],S$1,0),"ERROR")</f>
        <v>8194</v>
      </c>
      <c r="T25" s="28"/>
    </row>
    <row r="26" spans="1:20" s="123" customFormat="1" x14ac:dyDescent="0.2">
      <c r="A26" s="107"/>
      <c r="B26" s="127" t="s">
        <v>400</v>
      </c>
      <c r="C26" s="109">
        <f>IFERROR(VLOOKUP($B26,MMWR_TRAD_AGG_STATE_COMP[],C$1,0),"ERROR")</f>
        <v>1280</v>
      </c>
      <c r="D26" s="110">
        <f>IFERROR(VLOOKUP($B26,MMWR_TRAD_AGG_STATE_COMP[],D$1,0),"ERROR")</f>
        <v>211.22109374999999</v>
      </c>
      <c r="E26" s="111">
        <f>IFERROR(VLOOKUP($B26,MMWR_TRAD_AGG_STATE_COMP[],E$1,0),"ERROR")</f>
        <v>2496</v>
      </c>
      <c r="F26" s="112">
        <f>IFERROR(VLOOKUP($B26,MMWR_TRAD_AGG_STATE_COMP[],F$1,0),"ERROR")</f>
        <v>473</v>
      </c>
      <c r="G26" s="113">
        <f t="shared" si="0"/>
        <v>0.18950320512820512</v>
      </c>
      <c r="H26" s="111">
        <f>IFERROR(VLOOKUP($B26,MMWR_TRAD_AGG_STATE_COMP[],H$1,0),"ERROR")</f>
        <v>1876</v>
      </c>
      <c r="I26" s="112">
        <f>IFERROR(VLOOKUP($B26,MMWR_TRAD_AGG_STATE_COMP[],I$1,0),"ERROR")</f>
        <v>889</v>
      </c>
      <c r="J26" s="114">
        <f t="shared" si="1"/>
        <v>0.47388059701492535</v>
      </c>
      <c r="K26" s="111">
        <f>IFERROR(VLOOKUP($B26,MMWR_TRAD_AGG_STATE_COMP[],K$1,0),"ERROR")</f>
        <v>394</v>
      </c>
      <c r="L26" s="112">
        <f>IFERROR(VLOOKUP($B26,MMWR_TRAD_AGG_STATE_COMP[],L$1,0),"ERROR")</f>
        <v>184</v>
      </c>
      <c r="M26" s="114">
        <f t="shared" si="2"/>
        <v>0.46700507614213199</v>
      </c>
      <c r="N26" s="111">
        <f>IFERROR(VLOOKUP($B26,MMWR_TRAD_AGG_STATE_COMP[],N$1,0),"ERROR")</f>
        <v>492</v>
      </c>
      <c r="O26" s="112">
        <f>IFERROR(VLOOKUP($B26,MMWR_TRAD_AGG_STATE_COMP[],O$1,0),"ERROR")</f>
        <v>288</v>
      </c>
      <c r="P26" s="114">
        <f t="shared" si="3"/>
        <v>0.58536585365853655</v>
      </c>
      <c r="Q26" s="115">
        <f>IFERROR(VLOOKUP($B26,MMWR_TRAD_AGG_STATE_COMP[],Q$1,0),"ERROR")</f>
        <v>1</v>
      </c>
      <c r="R26" s="115">
        <f>IFERROR(VLOOKUP($B26,MMWR_TRAD_AGG_STATE_COMP[],R$1,0),"ERROR")</f>
        <v>7</v>
      </c>
      <c r="S26" s="115">
        <f>IFERROR(VLOOKUP($B26,MMWR_APP_STATE_COMP[],S$1,0),"ERROR")</f>
        <v>1376</v>
      </c>
      <c r="T26" s="28"/>
    </row>
    <row r="27" spans="1:20" s="123" customFormat="1" x14ac:dyDescent="0.2">
      <c r="A27" s="107"/>
      <c r="B27" s="127" t="s">
        <v>423</v>
      </c>
      <c r="C27" s="109">
        <f>IFERROR(VLOOKUP($B27,MMWR_TRAD_AGG_STATE_COMP[],C$1,0),"ERROR")</f>
        <v>2015</v>
      </c>
      <c r="D27" s="110">
        <f>IFERROR(VLOOKUP($B27,MMWR_TRAD_AGG_STATE_COMP[],D$1,0),"ERROR")</f>
        <v>247.09776674939999</v>
      </c>
      <c r="E27" s="111">
        <f>IFERROR(VLOOKUP($B27,MMWR_TRAD_AGG_STATE_COMP[],E$1,0),"ERROR")</f>
        <v>2410</v>
      </c>
      <c r="F27" s="112">
        <f>IFERROR(VLOOKUP($B27,MMWR_TRAD_AGG_STATE_COMP[],F$1,0),"ERROR")</f>
        <v>469</v>
      </c>
      <c r="G27" s="113">
        <f t="shared" si="0"/>
        <v>0.19460580912863071</v>
      </c>
      <c r="H27" s="111">
        <f>IFERROR(VLOOKUP($B27,MMWR_TRAD_AGG_STATE_COMP[],H$1,0),"ERROR")</f>
        <v>2996</v>
      </c>
      <c r="I27" s="112">
        <f>IFERROR(VLOOKUP($B27,MMWR_TRAD_AGG_STATE_COMP[],I$1,0),"ERROR")</f>
        <v>1686</v>
      </c>
      <c r="J27" s="114">
        <f t="shared" si="1"/>
        <v>0.56275033377837114</v>
      </c>
      <c r="K27" s="111">
        <f>IFERROR(VLOOKUP($B27,MMWR_TRAD_AGG_STATE_COMP[],K$1,0),"ERROR")</f>
        <v>1067</v>
      </c>
      <c r="L27" s="112">
        <f>IFERROR(VLOOKUP($B27,MMWR_TRAD_AGG_STATE_COMP[],L$1,0),"ERROR")</f>
        <v>481</v>
      </c>
      <c r="M27" s="114">
        <f t="shared" si="2"/>
        <v>0.450796626054358</v>
      </c>
      <c r="N27" s="111">
        <f>IFERROR(VLOOKUP($B27,MMWR_TRAD_AGG_STATE_COMP[],N$1,0),"ERROR")</f>
        <v>626</v>
      </c>
      <c r="O27" s="112">
        <f>IFERROR(VLOOKUP($B27,MMWR_TRAD_AGG_STATE_COMP[],O$1,0),"ERROR")</f>
        <v>357</v>
      </c>
      <c r="P27" s="114">
        <f t="shared" si="3"/>
        <v>0.57028753993610226</v>
      </c>
      <c r="Q27" s="115">
        <f>IFERROR(VLOOKUP($B27,MMWR_TRAD_AGG_STATE_COMP[],Q$1,0),"ERROR")</f>
        <v>12</v>
      </c>
      <c r="R27" s="115">
        <f>IFERROR(VLOOKUP($B27,MMWR_TRAD_AGG_STATE_COMP[],R$1,0),"ERROR")</f>
        <v>13</v>
      </c>
      <c r="S27" s="115">
        <f>IFERROR(VLOOKUP($B27,MMWR_APP_STATE_COMP[],S$1,0),"ERROR")</f>
        <v>1344</v>
      </c>
      <c r="T27" s="28"/>
    </row>
    <row r="28" spans="1:20" s="123" customFormat="1" x14ac:dyDescent="0.2">
      <c r="A28" s="107"/>
      <c r="B28" s="127" t="s">
        <v>396</v>
      </c>
      <c r="C28" s="109">
        <f>IFERROR(VLOOKUP($B28,MMWR_TRAD_AGG_STATE_COMP[],C$1,0),"ERROR")</f>
        <v>3636</v>
      </c>
      <c r="D28" s="110">
        <f>IFERROR(VLOOKUP($B28,MMWR_TRAD_AGG_STATE_COMP[],D$1,0),"ERROR")</f>
        <v>308.40814081410002</v>
      </c>
      <c r="E28" s="111">
        <f>IFERROR(VLOOKUP($B28,MMWR_TRAD_AGG_STATE_COMP[],E$1,0),"ERROR")</f>
        <v>7390</v>
      </c>
      <c r="F28" s="112">
        <f>IFERROR(VLOOKUP($B28,MMWR_TRAD_AGG_STATE_COMP[],F$1,0),"ERROR")</f>
        <v>1849</v>
      </c>
      <c r="G28" s="113">
        <f t="shared" si="0"/>
        <v>0.25020297699594046</v>
      </c>
      <c r="H28" s="111">
        <f>IFERROR(VLOOKUP($B28,MMWR_TRAD_AGG_STATE_COMP[],H$1,0),"ERROR")</f>
        <v>6734</v>
      </c>
      <c r="I28" s="112">
        <f>IFERROR(VLOOKUP($B28,MMWR_TRAD_AGG_STATE_COMP[],I$1,0),"ERROR")</f>
        <v>4294</v>
      </c>
      <c r="J28" s="114">
        <f t="shared" si="1"/>
        <v>0.63765963765963762</v>
      </c>
      <c r="K28" s="111">
        <f>IFERROR(VLOOKUP($B28,MMWR_TRAD_AGG_STATE_COMP[],K$1,0),"ERROR")</f>
        <v>1391</v>
      </c>
      <c r="L28" s="112">
        <f>IFERROR(VLOOKUP($B28,MMWR_TRAD_AGG_STATE_COMP[],L$1,0),"ERROR")</f>
        <v>1033</v>
      </c>
      <c r="M28" s="114">
        <f t="shared" si="2"/>
        <v>0.74263120057512577</v>
      </c>
      <c r="N28" s="111">
        <f>IFERROR(VLOOKUP($B28,MMWR_TRAD_AGG_STATE_COMP[],N$1,0),"ERROR")</f>
        <v>2090</v>
      </c>
      <c r="O28" s="112">
        <f>IFERROR(VLOOKUP($B28,MMWR_TRAD_AGG_STATE_COMP[],O$1,0),"ERROR")</f>
        <v>1154</v>
      </c>
      <c r="P28" s="114">
        <f t="shared" si="3"/>
        <v>0.55215311004784684</v>
      </c>
      <c r="Q28" s="115">
        <f>IFERROR(VLOOKUP($B28,MMWR_TRAD_AGG_STATE_COMP[],Q$1,0),"ERROR")</f>
        <v>690</v>
      </c>
      <c r="R28" s="115">
        <f>IFERROR(VLOOKUP($B28,MMWR_TRAD_AGG_STATE_COMP[],R$1,0),"ERROR")</f>
        <v>194</v>
      </c>
      <c r="S28" s="115">
        <f>IFERROR(VLOOKUP($B28,MMWR_APP_STATE_COMP[],S$1,0),"ERROR")</f>
        <v>5683</v>
      </c>
      <c r="T28" s="28"/>
    </row>
    <row r="29" spans="1:20" s="123" customFormat="1" x14ac:dyDescent="0.2">
      <c r="A29" s="107"/>
      <c r="B29" s="127" t="s">
        <v>402</v>
      </c>
      <c r="C29" s="109">
        <f>IFERROR(VLOOKUP($B29,MMWR_TRAD_AGG_STATE_COMP[],C$1,0),"ERROR")</f>
        <v>1590</v>
      </c>
      <c r="D29" s="110">
        <f>IFERROR(VLOOKUP($B29,MMWR_TRAD_AGG_STATE_COMP[],D$1,0),"ERROR")</f>
        <v>190.21446540880001</v>
      </c>
      <c r="E29" s="111">
        <f>IFERROR(VLOOKUP($B29,MMWR_TRAD_AGG_STATE_COMP[],E$1,0),"ERROR")</f>
        <v>4459</v>
      </c>
      <c r="F29" s="112">
        <f>IFERROR(VLOOKUP($B29,MMWR_TRAD_AGG_STATE_COMP[],F$1,0),"ERROR")</f>
        <v>846</v>
      </c>
      <c r="G29" s="113">
        <f t="shared" si="0"/>
        <v>0.18972863870823053</v>
      </c>
      <c r="H29" s="111">
        <f>IFERROR(VLOOKUP($B29,MMWR_TRAD_AGG_STATE_COMP[],H$1,0),"ERROR")</f>
        <v>2903</v>
      </c>
      <c r="I29" s="112">
        <f>IFERROR(VLOOKUP($B29,MMWR_TRAD_AGG_STATE_COMP[],I$1,0),"ERROR")</f>
        <v>1226</v>
      </c>
      <c r="J29" s="114">
        <f t="shared" si="1"/>
        <v>0.42232173613503271</v>
      </c>
      <c r="K29" s="111">
        <f>IFERROR(VLOOKUP($B29,MMWR_TRAD_AGG_STATE_COMP[],K$1,0),"ERROR")</f>
        <v>683</v>
      </c>
      <c r="L29" s="112">
        <f>IFERROR(VLOOKUP($B29,MMWR_TRAD_AGG_STATE_COMP[],L$1,0),"ERROR")</f>
        <v>253</v>
      </c>
      <c r="M29" s="114">
        <f t="shared" si="2"/>
        <v>0.37042459736456806</v>
      </c>
      <c r="N29" s="111">
        <f>IFERROR(VLOOKUP($B29,MMWR_TRAD_AGG_STATE_COMP[],N$1,0),"ERROR")</f>
        <v>1184</v>
      </c>
      <c r="O29" s="112">
        <f>IFERROR(VLOOKUP($B29,MMWR_TRAD_AGG_STATE_COMP[],O$1,0),"ERROR")</f>
        <v>745</v>
      </c>
      <c r="P29" s="114">
        <f t="shared" si="3"/>
        <v>0.62922297297297303</v>
      </c>
      <c r="Q29" s="115">
        <f>IFERROR(VLOOKUP($B29,MMWR_TRAD_AGG_STATE_COMP[],Q$1,0),"ERROR")</f>
        <v>5</v>
      </c>
      <c r="R29" s="115">
        <f>IFERROR(VLOOKUP($B29,MMWR_TRAD_AGG_STATE_COMP[],R$1,0),"ERROR")</f>
        <v>6</v>
      </c>
      <c r="S29" s="115">
        <f>IFERROR(VLOOKUP($B29,MMWR_APP_STATE_COMP[],S$1,0),"ERROR")</f>
        <v>2185</v>
      </c>
      <c r="T29" s="28"/>
    </row>
    <row r="30" spans="1:20" s="123" customFormat="1" x14ac:dyDescent="0.2">
      <c r="A30" s="107"/>
      <c r="B30" s="127" t="s">
        <v>398</v>
      </c>
      <c r="C30" s="109">
        <f>IFERROR(VLOOKUP($B30,MMWR_TRAD_AGG_STATE_COMP[],C$1,0),"ERROR")</f>
        <v>5179</v>
      </c>
      <c r="D30" s="110">
        <f>IFERROR(VLOOKUP($B30,MMWR_TRAD_AGG_STATE_COMP[],D$1,0),"ERROR")</f>
        <v>273.47460899790002</v>
      </c>
      <c r="E30" s="111">
        <f>IFERROR(VLOOKUP($B30,MMWR_TRAD_AGG_STATE_COMP[],E$1,0),"ERROR")</f>
        <v>6129</v>
      </c>
      <c r="F30" s="112">
        <f>IFERROR(VLOOKUP($B30,MMWR_TRAD_AGG_STATE_COMP[],F$1,0),"ERROR")</f>
        <v>1302</v>
      </c>
      <c r="G30" s="113">
        <f t="shared" si="0"/>
        <v>0.21243269701419482</v>
      </c>
      <c r="H30" s="111">
        <f>IFERROR(VLOOKUP($B30,MMWR_TRAD_AGG_STATE_COMP[],H$1,0),"ERROR")</f>
        <v>7488</v>
      </c>
      <c r="I30" s="112">
        <f>IFERROR(VLOOKUP($B30,MMWR_TRAD_AGG_STATE_COMP[],I$1,0),"ERROR")</f>
        <v>4270</v>
      </c>
      <c r="J30" s="114">
        <f t="shared" si="1"/>
        <v>0.57024572649572647</v>
      </c>
      <c r="K30" s="111">
        <f>IFERROR(VLOOKUP($B30,MMWR_TRAD_AGG_STATE_COMP[],K$1,0),"ERROR")</f>
        <v>2314</v>
      </c>
      <c r="L30" s="112">
        <f>IFERROR(VLOOKUP($B30,MMWR_TRAD_AGG_STATE_COMP[],L$1,0),"ERROR")</f>
        <v>1743</v>
      </c>
      <c r="M30" s="114">
        <f t="shared" si="2"/>
        <v>0.75324114088159033</v>
      </c>
      <c r="N30" s="111">
        <f>IFERROR(VLOOKUP($B30,MMWR_TRAD_AGG_STATE_COMP[],N$1,0),"ERROR")</f>
        <v>7359</v>
      </c>
      <c r="O30" s="112">
        <f>IFERROR(VLOOKUP($B30,MMWR_TRAD_AGG_STATE_COMP[],O$1,0),"ERROR")</f>
        <v>5425</v>
      </c>
      <c r="P30" s="114">
        <f t="shared" si="3"/>
        <v>0.73719255333605105</v>
      </c>
      <c r="Q30" s="115">
        <f>IFERROR(VLOOKUP($B30,MMWR_TRAD_AGG_STATE_COMP[],Q$1,0),"ERROR")</f>
        <v>728</v>
      </c>
      <c r="R30" s="115">
        <f>IFERROR(VLOOKUP($B30,MMWR_TRAD_AGG_STATE_COMP[],R$1,0),"ERROR")</f>
        <v>75</v>
      </c>
      <c r="S30" s="115">
        <f>IFERROR(VLOOKUP($B30,MMWR_APP_STATE_COMP[],S$1,0),"ERROR")</f>
        <v>6790</v>
      </c>
      <c r="T30" s="28"/>
    </row>
    <row r="31" spans="1:20" s="123" customFormat="1" x14ac:dyDescent="0.2">
      <c r="A31" s="107"/>
      <c r="B31" s="127" t="s">
        <v>401</v>
      </c>
      <c r="C31" s="109">
        <f>IFERROR(VLOOKUP($B31,MMWR_TRAD_AGG_STATE_COMP[],C$1,0),"ERROR")</f>
        <v>1297</v>
      </c>
      <c r="D31" s="110">
        <f>IFERROR(VLOOKUP($B31,MMWR_TRAD_AGG_STATE_COMP[],D$1,0),"ERROR")</f>
        <v>233.2120277564</v>
      </c>
      <c r="E31" s="111">
        <f>IFERROR(VLOOKUP($B31,MMWR_TRAD_AGG_STATE_COMP[],E$1,0),"ERROR")</f>
        <v>2181</v>
      </c>
      <c r="F31" s="112">
        <f>IFERROR(VLOOKUP($B31,MMWR_TRAD_AGG_STATE_COMP[],F$1,0),"ERROR")</f>
        <v>318</v>
      </c>
      <c r="G31" s="113">
        <f t="shared" si="0"/>
        <v>0.14580467675378267</v>
      </c>
      <c r="H31" s="111">
        <f>IFERROR(VLOOKUP($B31,MMWR_TRAD_AGG_STATE_COMP[],H$1,0),"ERROR")</f>
        <v>2147</v>
      </c>
      <c r="I31" s="112">
        <f>IFERROR(VLOOKUP($B31,MMWR_TRAD_AGG_STATE_COMP[],I$1,0),"ERROR")</f>
        <v>1160</v>
      </c>
      <c r="J31" s="114">
        <f t="shared" si="1"/>
        <v>0.54028877503493244</v>
      </c>
      <c r="K31" s="111">
        <f>IFERROR(VLOOKUP($B31,MMWR_TRAD_AGG_STATE_COMP[],K$1,0),"ERROR")</f>
        <v>764</v>
      </c>
      <c r="L31" s="112">
        <f>IFERROR(VLOOKUP($B31,MMWR_TRAD_AGG_STATE_COMP[],L$1,0),"ERROR")</f>
        <v>570</v>
      </c>
      <c r="M31" s="114">
        <f t="shared" si="2"/>
        <v>0.74607329842931935</v>
      </c>
      <c r="N31" s="111">
        <f>IFERROR(VLOOKUP($B31,MMWR_TRAD_AGG_STATE_COMP[],N$1,0),"ERROR")</f>
        <v>594</v>
      </c>
      <c r="O31" s="112">
        <f>IFERROR(VLOOKUP($B31,MMWR_TRAD_AGG_STATE_COMP[],O$1,0),"ERROR")</f>
        <v>342</v>
      </c>
      <c r="P31" s="114">
        <f t="shared" si="3"/>
        <v>0.5757575757575758</v>
      </c>
      <c r="Q31" s="115">
        <f>IFERROR(VLOOKUP($B31,MMWR_TRAD_AGG_STATE_COMP[],Q$1,0),"ERROR")</f>
        <v>2</v>
      </c>
      <c r="R31" s="115">
        <f>IFERROR(VLOOKUP($B31,MMWR_TRAD_AGG_STATE_COMP[],R$1,0),"ERROR")</f>
        <v>13</v>
      </c>
      <c r="S31" s="115">
        <f>IFERROR(VLOOKUP($B31,MMWR_APP_STATE_COMP[],S$1,0),"ERROR")</f>
        <v>1209</v>
      </c>
      <c r="T31" s="28"/>
    </row>
    <row r="32" spans="1:20" s="123" customFormat="1" x14ac:dyDescent="0.2">
      <c r="A32" s="107"/>
      <c r="B32" s="127" t="s">
        <v>420</v>
      </c>
      <c r="C32" s="109">
        <f>IFERROR(VLOOKUP($B32,MMWR_TRAD_AGG_STATE_COMP[],C$1,0),"ERROR")</f>
        <v>168</v>
      </c>
      <c r="D32" s="110">
        <f>IFERROR(VLOOKUP($B32,MMWR_TRAD_AGG_STATE_COMP[],D$1,0),"ERROR")</f>
        <v>280.20238095240001</v>
      </c>
      <c r="E32" s="111">
        <f>IFERROR(VLOOKUP($B32,MMWR_TRAD_AGG_STATE_COMP[],E$1,0),"ERROR")</f>
        <v>670</v>
      </c>
      <c r="F32" s="112">
        <f>IFERROR(VLOOKUP($B32,MMWR_TRAD_AGG_STATE_COMP[],F$1,0),"ERROR")</f>
        <v>107</v>
      </c>
      <c r="G32" s="113">
        <f t="shared" si="0"/>
        <v>0.15970149253731344</v>
      </c>
      <c r="H32" s="111">
        <f>IFERROR(VLOOKUP($B32,MMWR_TRAD_AGG_STATE_COMP[],H$1,0),"ERROR")</f>
        <v>339</v>
      </c>
      <c r="I32" s="112">
        <f>IFERROR(VLOOKUP($B32,MMWR_TRAD_AGG_STATE_COMP[],I$1,0),"ERROR")</f>
        <v>142</v>
      </c>
      <c r="J32" s="114">
        <f t="shared" si="1"/>
        <v>0.41887905604719766</v>
      </c>
      <c r="K32" s="111">
        <f>IFERROR(VLOOKUP($B32,MMWR_TRAD_AGG_STATE_COMP[],K$1,0),"ERROR")</f>
        <v>116</v>
      </c>
      <c r="L32" s="112">
        <f>IFERROR(VLOOKUP($B32,MMWR_TRAD_AGG_STATE_COMP[],L$1,0),"ERROR")</f>
        <v>59</v>
      </c>
      <c r="M32" s="114">
        <f t="shared" si="2"/>
        <v>0.50862068965517238</v>
      </c>
      <c r="N32" s="111">
        <f>IFERROR(VLOOKUP($B32,MMWR_TRAD_AGG_STATE_COMP[],N$1,0),"ERROR")</f>
        <v>145</v>
      </c>
      <c r="O32" s="112">
        <f>IFERROR(VLOOKUP($B32,MMWR_TRAD_AGG_STATE_COMP[],O$1,0),"ERROR")</f>
        <v>87</v>
      </c>
      <c r="P32" s="114">
        <f t="shared" si="3"/>
        <v>0.6</v>
      </c>
      <c r="Q32" s="115">
        <f>IFERROR(VLOOKUP($B32,MMWR_TRAD_AGG_STATE_COMP[],Q$1,0),"ERROR")</f>
        <v>0</v>
      </c>
      <c r="R32" s="115">
        <f>IFERROR(VLOOKUP($B32,MMWR_TRAD_AGG_STATE_COMP[],R$1,0),"ERROR")</f>
        <v>0</v>
      </c>
      <c r="S32" s="115">
        <f>IFERROR(VLOOKUP($B32,MMWR_APP_STATE_COMP[],S$1,0),"ERROR")</f>
        <v>474</v>
      </c>
      <c r="T32" s="28"/>
    </row>
    <row r="33" spans="1:20" s="123" customFormat="1" x14ac:dyDescent="0.2">
      <c r="A33" s="107"/>
      <c r="B33" s="127" t="s">
        <v>392</v>
      </c>
      <c r="C33" s="109">
        <f>IFERROR(VLOOKUP($B33,MMWR_TRAD_AGG_STATE_COMP[],C$1,0),"ERROR")</f>
        <v>6459</v>
      </c>
      <c r="D33" s="110">
        <f>IFERROR(VLOOKUP($B33,MMWR_TRAD_AGG_STATE_COMP[],D$1,0),"ERROR")</f>
        <v>421.83201734009998</v>
      </c>
      <c r="E33" s="111">
        <f>IFERROR(VLOOKUP($B33,MMWR_TRAD_AGG_STATE_COMP[],E$1,0),"ERROR")</f>
        <v>7990</v>
      </c>
      <c r="F33" s="112">
        <f>IFERROR(VLOOKUP($B33,MMWR_TRAD_AGG_STATE_COMP[],F$1,0),"ERROR")</f>
        <v>2195</v>
      </c>
      <c r="G33" s="113">
        <f t="shared" si="0"/>
        <v>0.27471839799749687</v>
      </c>
      <c r="H33" s="111">
        <f>IFERROR(VLOOKUP($B33,MMWR_TRAD_AGG_STATE_COMP[],H$1,0),"ERROR")</f>
        <v>11159</v>
      </c>
      <c r="I33" s="112">
        <f>IFERROR(VLOOKUP($B33,MMWR_TRAD_AGG_STATE_COMP[],I$1,0),"ERROR")</f>
        <v>6333</v>
      </c>
      <c r="J33" s="114">
        <f t="shared" si="1"/>
        <v>0.56752397168205038</v>
      </c>
      <c r="K33" s="111">
        <f>IFERROR(VLOOKUP($B33,MMWR_TRAD_AGG_STATE_COMP[],K$1,0),"ERROR")</f>
        <v>1860</v>
      </c>
      <c r="L33" s="112">
        <f>IFERROR(VLOOKUP($B33,MMWR_TRAD_AGG_STATE_COMP[],L$1,0),"ERROR")</f>
        <v>1104</v>
      </c>
      <c r="M33" s="114">
        <f t="shared" si="2"/>
        <v>0.59354838709677415</v>
      </c>
      <c r="N33" s="111">
        <f>IFERROR(VLOOKUP($B33,MMWR_TRAD_AGG_STATE_COMP[],N$1,0),"ERROR")</f>
        <v>4271</v>
      </c>
      <c r="O33" s="112">
        <f>IFERROR(VLOOKUP($B33,MMWR_TRAD_AGG_STATE_COMP[],O$1,0),"ERROR")</f>
        <v>2818</v>
      </c>
      <c r="P33" s="114">
        <f t="shared" si="3"/>
        <v>0.65979864200421445</v>
      </c>
      <c r="Q33" s="115">
        <f>IFERROR(VLOOKUP($B33,MMWR_TRAD_AGG_STATE_COMP[],Q$1,0),"ERROR")</f>
        <v>832</v>
      </c>
      <c r="R33" s="115">
        <f>IFERROR(VLOOKUP($B33,MMWR_TRAD_AGG_STATE_COMP[],R$1,0),"ERROR")</f>
        <v>318</v>
      </c>
      <c r="S33" s="115">
        <f>IFERROR(VLOOKUP($B33,MMWR_APP_STATE_COMP[],S$1,0),"ERROR")</f>
        <v>13555</v>
      </c>
      <c r="T33" s="28"/>
    </row>
    <row r="34" spans="1:20" s="123" customFormat="1" x14ac:dyDescent="0.2">
      <c r="A34" s="107"/>
      <c r="B34" s="127" t="s">
        <v>421</v>
      </c>
      <c r="C34" s="109">
        <f>IFERROR(VLOOKUP($B34,MMWR_TRAD_AGG_STATE_COMP[],C$1,0),"ERROR")</f>
        <v>420</v>
      </c>
      <c r="D34" s="110">
        <f>IFERROR(VLOOKUP($B34,MMWR_TRAD_AGG_STATE_COMP[],D$1,0),"ERROR")</f>
        <v>260.94523809520001</v>
      </c>
      <c r="E34" s="111">
        <f>IFERROR(VLOOKUP($B34,MMWR_TRAD_AGG_STATE_COMP[],E$1,0),"ERROR")</f>
        <v>892</v>
      </c>
      <c r="F34" s="112">
        <f>IFERROR(VLOOKUP($B34,MMWR_TRAD_AGG_STATE_COMP[],F$1,0),"ERROR")</f>
        <v>170</v>
      </c>
      <c r="G34" s="113">
        <f t="shared" si="0"/>
        <v>0.1905829596412556</v>
      </c>
      <c r="H34" s="111">
        <f>IFERROR(VLOOKUP($B34,MMWR_TRAD_AGG_STATE_COMP[],H$1,0),"ERROR")</f>
        <v>709</v>
      </c>
      <c r="I34" s="112">
        <f>IFERROR(VLOOKUP($B34,MMWR_TRAD_AGG_STATE_COMP[],I$1,0),"ERROR")</f>
        <v>324</v>
      </c>
      <c r="J34" s="114">
        <f t="shared" si="1"/>
        <v>0.45698166431593795</v>
      </c>
      <c r="K34" s="111">
        <f>IFERROR(VLOOKUP($B34,MMWR_TRAD_AGG_STATE_COMP[],K$1,0),"ERROR")</f>
        <v>346</v>
      </c>
      <c r="L34" s="112">
        <f>IFERROR(VLOOKUP($B34,MMWR_TRAD_AGG_STATE_COMP[],L$1,0),"ERROR")</f>
        <v>141</v>
      </c>
      <c r="M34" s="114">
        <f t="shared" si="2"/>
        <v>0.40751445086705201</v>
      </c>
      <c r="N34" s="111">
        <f>IFERROR(VLOOKUP($B34,MMWR_TRAD_AGG_STATE_COMP[],N$1,0),"ERROR")</f>
        <v>123</v>
      </c>
      <c r="O34" s="112">
        <f>IFERROR(VLOOKUP($B34,MMWR_TRAD_AGG_STATE_COMP[],O$1,0),"ERROR")</f>
        <v>70</v>
      </c>
      <c r="P34" s="114">
        <f t="shared" si="3"/>
        <v>0.56910569105691056</v>
      </c>
      <c r="Q34" s="115">
        <f>IFERROR(VLOOKUP($B34,MMWR_TRAD_AGG_STATE_COMP[],Q$1,0),"ERROR")</f>
        <v>1</v>
      </c>
      <c r="R34" s="115">
        <f>IFERROR(VLOOKUP($B34,MMWR_TRAD_AGG_STATE_COMP[],R$1,0),"ERROR")</f>
        <v>2</v>
      </c>
      <c r="S34" s="115">
        <f>IFERROR(VLOOKUP($B34,MMWR_APP_STATE_COMP[],S$1,0),"ERROR")</f>
        <v>203</v>
      </c>
      <c r="T34" s="28"/>
    </row>
    <row r="35" spans="1:20" s="123" customFormat="1" x14ac:dyDescent="0.2">
      <c r="A35" s="107"/>
      <c r="B35" s="127" t="s">
        <v>397</v>
      </c>
      <c r="C35" s="109">
        <f>IFERROR(VLOOKUP($B35,MMWR_TRAD_AGG_STATE_COMP[],C$1,0),"ERROR")</f>
        <v>3835</v>
      </c>
      <c r="D35" s="110">
        <f>IFERROR(VLOOKUP($B35,MMWR_TRAD_AGG_STATE_COMP[],D$1,0),"ERROR")</f>
        <v>274.65293350719998</v>
      </c>
      <c r="E35" s="111">
        <f>IFERROR(VLOOKUP($B35,MMWR_TRAD_AGG_STATE_COMP[],E$1,0),"ERROR")</f>
        <v>3654</v>
      </c>
      <c r="F35" s="112">
        <f>IFERROR(VLOOKUP($B35,MMWR_TRAD_AGG_STATE_COMP[],F$1,0),"ERROR")</f>
        <v>777</v>
      </c>
      <c r="G35" s="113">
        <f t="shared" si="0"/>
        <v>0.21264367816091953</v>
      </c>
      <c r="H35" s="111">
        <f>IFERROR(VLOOKUP($B35,MMWR_TRAD_AGG_STATE_COMP[],H$1,0),"ERROR")</f>
        <v>5770</v>
      </c>
      <c r="I35" s="112">
        <f>IFERROR(VLOOKUP($B35,MMWR_TRAD_AGG_STATE_COMP[],I$1,0),"ERROR")</f>
        <v>3291</v>
      </c>
      <c r="J35" s="114">
        <f t="shared" si="1"/>
        <v>0.5703639514731369</v>
      </c>
      <c r="K35" s="111">
        <f>IFERROR(VLOOKUP($B35,MMWR_TRAD_AGG_STATE_COMP[],K$1,0),"ERROR")</f>
        <v>684</v>
      </c>
      <c r="L35" s="112">
        <f>IFERROR(VLOOKUP($B35,MMWR_TRAD_AGG_STATE_COMP[],L$1,0),"ERROR")</f>
        <v>486</v>
      </c>
      <c r="M35" s="114">
        <f t="shared" si="2"/>
        <v>0.71052631578947367</v>
      </c>
      <c r="N35" s="111">
        <f>IFERROR(VLOOKUP($B35,MMWR_TRAD_AGG_STATE_COMP[],N$1,0),"ERROR")</f>
        <v>946</v>
      </c>
      <c r="O35" s="112">
        <f>IFERROR(VLOOKUP($B35,MMWR_TRAD_AGG_STATE_COMP[],O$1,0),"ERROR")</f>
        <v>530</v>
      </c>
      <c r="P35" s="114">
        <f t="shared" si="3"/>
        <v>0.56025369978858353</v>
      </c>
      <c r="Q35" s="115">
        <f>IFERROR(VLOOKUP($B35,MMWR_TRAD_AGG_STATE_COMP[],Q$1,0),"ERROR")</f>
        <v>437</v>
      </c>
      <c r="R35" s="115">
        <f>IFERROR(VLOOKUP($B35,MMWR_TRAD_AGG_STATE_COMP[],R$1,0),"ERROR")</f>
        <v>6</v>
      </c>
      <c r="S35" s="115">
        <f>IFERROR(VLOOKUP($B35,MMWR_APP_STATE_COMP[],S$1,0),"ERROR")</f>
        <v>3345</v>
      </c>
      <c r="T35" s="28"/>
    </row>
    <row r="36" spans="1:20" s="123" customFormat="1" x14ac:dyDescent="0.2">
      <c r="A36" s="28"/>
      <c r="B36" s="126" t="s">
        <v>386</v>
      </c>
      <c r="C36" s="102">
        <f>IF(SUM(C37:C45)&lt;&gt;VLOOKUP($B36,MMWR_TRAD_AGG_ST_DISTRICT_COMP[],C$1,0),"ERROR",
VLOOKUP($B36,MMWR_TRAD_AGG_ST_DISTRICT_COMP[],C$1,0))</f>
        <v>57173</v>
      </c>
      <c r="D36" s="103">
        <f>IFERROR(VLOOKUP($B36,MMWR_TRAD_AGG_ST_DISTRICT_COMP[],D$1,0),"ERROR")</f>
        <v>383.09376803740003</v>
      </c>
      <c r="E36" s="102">
        <f>IFERROR(VLOOKUP($B36,MMWR_TRAD_AGG_ST_DISTRICT_COMP[],E$1,0),"ERROR")</f>
        <v>66405</v>
      </c>
      <c r="F36" s="102">
        <f>IFERROR(VLOOKUP($B36,MMWR_TRAD_AGG_ST_DISTRICT_COMP[],F$1,0),"ERROR")</f>
        <v>15227</v>
      </c>
      <c r="G36" s="104">
        <f t="shared" si="0"/>
        <v>0.22930502221218282</v>
      </c>
      <c r="H36" s="102">
        <f>IFERROR(VLOOKUP($B36,MMWR_TRAD_AGG_ST_DISTRICT_COMP[],H$1,0),"ERROR")</f>
        <v>79981</v>
      </c>
      <c r="I36" s="102">
        <f>IFERROR(VLOOKUP($B36,MMWR_TRAD_AGG_ST_DISTRICT_COMP[],I$1,0),"ERROR")</f>
        <v>53103</v>
      </c>
      <c r="J36" s="105">
        <f t="shared" si="1"/>
        <v>0.66394518698190819</v>
      </c>
      <c r="K36" s="102">
        <f>IFERROR(VLOOKUP($B36,MMWR_TRAD_AGG_ST_DISTRICT_COMP[],K$1,0),"ERROR")</f>
        <v>19132</v>
      </c>
      <c r="L36" s="102">
        <f>IFERROR(VLOOKUP($B36,MMWR_TRAD_AGG_ST_DISTRICT_COMP[],L$1,0),"ERROR")</f>
        <v>12083</v>
      </c>
      <c r="M36" s="105">
        <f t="shared" si="2"/>
        <v>0.63155969057077144</v>
      </c>
      <c r="N36" s="102">
        <f>IFERROR(VLOOKUP($B36,MMWR_TRAD_AGG_ST_DISTRICT_COMP[],N$1,0),"ERROR")</f>
        <v>26833</v>
      </c>
      <c r="O36" s="102">
        <f>IFERROR(VLOOKUP($B36,MMWR_TRAD_AGG_ST_DISTRICT_COMP[],O$1,0),"ERROR")</f>
        <v>15209</v>
      </c>
      <c r="P36" s="105">
        <f t="shared" si="3"/>
        <v>0.56680207207542954</v>
      </c>
      <c r="Q36" s="102">
        <f>IFERROR(VLOOKUP($B36,MMWR_TRAD_AGG_ST_DISTRICT_COMP[],Q$1,0),"ERROR")</f>
        <v>937</v>
      </c>
      <c r="R36" s="106">
        <f>IFERROR(VLOOKUP($B36,MMWR_TRAD_AGG_ST_DISTRICT_COMP[],R$1,0),"ERROR")</f>
        <v>1063</v>
      </c>
      <c r="S36" s="106">
        <f>SUM(S37:S45)</f>
        <v>70103</v>
      </c>
      <c r="T36" s="28"/>
    </row>
    <row r="37" spans="1:20" s="123" customFormat="1" x14ac:dyDescent="0.2">
      <c r="A37" s="28"/>
      <c r="B37" s="127" t="s">
        <v>412</v>
      </c>
      <c r="C37" s="109">
        <f>IFERROR(VLOOKUP($B37,MMWR_TRAD_AGG_STATE_COMP[],C$1,0),"ERROR")</f>
        <v>4292</v>
      </c>
      <c r="D37" s="110">
        <f>IFERROR(VLOOKUP($B37,MMWR_TRAD_AGG_STATE_COMP[],D$1,0),"ERROR")</f>
        <v>384.36952469710002</v>
      </c>
      <c r="E37" s="111">
        <f>IFERROR(VLOOKUP($B37,MMWR_TRAD_AGG_STATE_COMP[],E$1,0),"ERROR")</f>
        <v>3729</v>
      </c>
      <c r="F37" s="112">
        <f>IFERROR(VLOOKUP($B37,MMWR_TRAD_AGG_STATE_COMP[],F$1,0),"ERROR")</f>
        <v>674</v>
      </c>
      <c r="G37" s="113">
        <f t="shared" si="0"/>
        <v>0.18074550817913651</v>
      </c>
      <c r="H37" s="111">
        <f>IFERROR(VLOOKUP($B37,MMWR_TRAD_AGG_STATE_COMP[],H$1,0),"ERROR")</f>
        <v>5890</v>
      </c>
      <c r="I37" s="112">
        <f>IFERROR(VLOOKUP($B37,MMWR_TRAD_AGG_STATE_COMP[],I$1,0),"ERROR")</f>
        <v>4047</v>
      </c>
      <c r="J37" s="114">
        <f t="shared" si="1"/>
        <v>0.68709677419354842</v>
      </c>
      <c r="K37" s="111">
        <f>IFERROR(VLOOKUP($B37,MMWR_TRAD_AGG_STATE_COMP[],K$1,0),"ERROR")</f>
        <v>2028</v>
      </c>
      <c r="L37" s="112">
        <f>IFERROR(VLOOKUP($B37,MMWR_TRAD_AGG_STATE_COMP[],L$1,0),"ERROR")</f>
        <v>1430</v>
      </c>
      <c r="M37" s="114">
        <f t="shared" si="2"/>
        <v>0.70512820512820518</v>
      </c>
      <c r="N37" s="111">
        <f>IFERROR(VLOOKUP($B37,MMWR_TRAD_AGG_STATE_COMP[],N$1,0),"ERROR")</f>
        <v>2200</v>
      </c>
      <c r="O37" s="112">
        <f>IFERROR(VLOOKUP($B37,MMWR_TRAD_AGG_STATE_COMP[],O$1,0),"ERROR")</f>
        <v>1308</v>
      </c>
      <c r="P37" s="114">
        <f t="shared" si="3"/>
        <v>0.5945454545454546</v>
      </c>
      <c r="Q37" s="115">
        <f>IFERROR(VLOOKUP($B37,MMWR_TRAD_AGG_STATE_COMP[],Q$1,0),"ERROR")</f>
        <v>327</v>
      </c>
      <c r="R37" s="115">
        <f>IFERROR(VLOOKUP($B37,MMWR_TRAD_AGG_STATE_COMP[],R$1,0),"ERROR")</f>
        <v>106</v>
      </c>
      <c r="S37" s="115">
        <f>IFERROR(VLOOKUP($B37,MMWR_APP_STATE_COMP[],S$1,0),"ERROR")</f>
        <v>5352</v>
      </c>
      <c r="T37" s="28"/>
    </row>
    <row r="38" spans="1:20" s="123" customFormat="1" x14ac:dyDescent="0.2">
      <c r="A38" s="28"/>
      <c r="B38" s="127" t="s">
        <v>404</v>
      </c>
      <c r="C38" s="109">
        <f>IFERROR(VLOOKUP($B38,MMWR_TRAD_AGG_STATE_COMP[],C$1,0),"ERROR")</f>
        <v>7938</v>
      </c>
      <c r="D38" s="110">
        <f>IFERROR(VLOOKUP($B38,MMWR_TRAD_AGG_STATE_COMP[],D$1,0),"ERROR")</f>
        <v>461.08453010829999</v>
      </c>
      <c r="E38" s="111">
        <f>IFERROR(VLOOKUP($B38,MMWR_TRAD_AGG_STATE_COMP[],E$1,0),"ERROR")</f>
        <v>7104</v>
      </c>
      <c r="F38" s="112">
        <f>IFERROR(VLOOKUP($B38,MMWR_TRAD_AGG_STATE_COMP[],F$1,0),"ERROR")</f>
        <v>1811</v>
      </c>
      <c r="G38" s="113">
        <f t="shared" ref="G38:G64" si="4">IFERROR(F38/E38,"0%")</f>
        <v>0.25492680180180183</v>
      </c>
      <c r="H38" s="111">
        <f>IFERROR(VLOOKUP($B38,MMWR_TRAD_AGG_STATE_COMP[],H$1,0),"ERROR")</f>
        <v>11203</v>
      </c>
      <c r="I38" s="112">
        <f>IFERROR(VLOOKUP($B38,MMWR_TRAD_AGG_STATE_COMP[],I$1,0),"ERROR")</f>
        <v>7713</v>
      </c>
      <c r="J38" s="114">
        <f t="shared" ref="J38:J64" si="5">IFERROR(I38/H38,"0%")</f>
        <v>0.68847630099080603</v>
      </c>
      <c r="K38" s="111">
        <f>IFERROR(VLOOKUP($B38,MMWR_TRAD_AGG_STATE_COMP[],K$1,0),"ERROR")</f>
        <v>3154</v>
      </c>
      <c r="L38" s="112">
        <f>IFERROR(VLOOKUP($B38,MMWR_TRAD_AGG_STATE_COMP[],L$1,0),"ERROR")</f>
        <v>2147</v>
      </c>
      <c r="M38" s="114">
        <f t="shared" ref="M38:M64" si="6">IFERROR(L38/K38,"0%")</f>
        <v>0.68072289156626509</v>
      </c>
      <c r="N38" s="111">
        <f>IFERROR(VLOOKUP($B38,MMWR_TRAD_AGG_STATE_COMP[],N$1,0),"ERROR")</f>
        <v>1686</v>
      </c>
      <c r="O38" s="112">
        <f>IFERROR(VLOOKUP($B38,MMWR_TRAD_AGG_STATE_COMP[],O$1,0),"ERROR")</f>
        <v>959</v>
      </c>
      <c r="P38" s="114">
        <f t="shared" ref="P38:P64" si="7">IFERROR(O38/N38,"0%")</f>
        <v>0.56880189798339265</v>
      </c>
      <c r="Q38" s="115">
        <f>IFERROR(VLOOKUP($B38,MMWR_TRAD_AGG_STATE_COMP[],Q$1,0),"ERROR")</f>
        <v>14</v>
      </c>
      <c r="R38" s="115">
        <f>IFERROR(VLOOKUP($B38,MMWR_TRAD_AGG_STATE_COMP[],R$1,0),"ERROR")</f>
        <v>58</v>
      </c>
      <c r="S38" s="115">
        <f>IFERROR(VLOOKUP($B38,MMWR_APP_STATE_COMP[],S$1,0),"ERROR")</f>
        <v>6502</v>
      </c>
      <c r="T38" s="28"/>
    </row>
    <row r="39" spans="1:20" s="123" customFormat="1" x14ac:dyDescent="0.2">
      <c r="A39" s="28"/>
      <c r="B39" s="127" t="s">
        <v>388</v>
      </c>
      <c r="C39" s="109">
        <f>IFERROR(VLOOKUP($B39,MMWR_TRAD_AGG_STATE_COMP[],C$1,0),"ERROR")</f>
        <v>4999</v>
      </c>
      <c r="D39" s="110">
        <f>IFERROR(VLOOKUP($B39,MMWR_TRAD_AGG_STATE_COMP[],D$1,0),"ERROR")</f>
        <v>443.10242048409998</v>
      </c>
      <c r="E39" s="111">
        <f>IFERROR(VLOOKUP($B39,MMWR_TRAD_AGG_STATE_COMP[],E$1,0),"ERROR")</f>
        <v>5714</v>
      </c>
      <c r="F39" s="112">
        <f>IFERROR(VLOOKUP($B39,MMWR_TRAD_AGG_STATE_COMP[],F$1,0),"ERROR")</f>
        <v>1508</v>
      </c>
      <c r="G39" s="113">
        <f t="shared" si="4"/>
        <v>0.263913195659783</v>
      </c>
      <c r="H39" s="111">
        <f>IFERROR(VLOOKUP($B39,MMWR_TRAD_AGG_STATE_COMP[],H$1,0),"ERROR")</f>
        <v>7547</v>
      </c>
      <c r="I39" s="112">
        <f>IFERROR(VLOOKUP($B39,MMWR_TRAD_AGG_STATE_COMP[],I$1,0),"ERROR")</f>
        <v>5053</v>
      </c>
      <c r="J39" s="114">
        <f t="shared" si="5"/>
        <v>0.66953756459520342</v>
      </c>
      <c r="K39" s="111">
        <f>IFERROR(VLOOKUP($B39,MMWR_TRAD_AGG_STATE_COMP[],K$1,0),"ERROR")</f>
        <v>1748</v>
      </c>
      <c r="L39" s="112">
        <f>IFERROR(VLOOKUP($B39,MMWR_TRAD_AGG_STATE_COMP[],L$1,0),"ERROR")</f>
        <v>1217</v>
      </c>
      <c r="M39" s="114">
        <f t="shared" si="6"/>
        <v>0.69622425629290619</v>
      </c>
      <c r="N39" s="111">
        <f>IFERROR(VLOOKUP($B39,MMWR_TRAD_AGG_STATE_COMP[],N$1,0),"ERROR")</f>
        <v>2221</v>
      </c>
      <c r="O39" s="112">
        <f>IFERROR(VLOOKUP($B39,MMWR_TRAD_AGG_STATE_COMP[],O$1,0),"ERROR")</f>
        <v>1440</v>
      </c>
      <c r="P39" s="114">
        <f t="shared" si="7"/>
        <v>0.64835659612787033</v>
      </c>
      <c r="Q39" s="115">
        <f>IFERROR(VLOOKUP($B39,MMWR_TRAD_AGG_STATE_COMP[],Q$1,0),"ERROR")</f>
        <v>256</v>
      </c>
      <c r="R39" s="115">
        <f>IFERROR(VLOOKUP($B39,MMWR_TRAD_AGG_STATE_COMP[],R$1,0),"ERROR")</f>
        <v>250</v>
      </c>
      <c r="S39" s="115">
        <f>IFERROR(VLOOKUP($B39,MMWR_APP_STATE_COMP[],S$1,0),"ERROR")</f>
        <v>5931</v>
      </c>
      <c r="T39" s="28"/>
    </row>
    <row r="40" spans="1:20" s="123" customFormat="1" x14ac:dyDescent="0.2">
      <c r="A40" s="28"/>
      <c r="B40" s="127" t="s">
        <v>390</v>
      </c>
      <c r="C40" s="109">
        <f>IFERROR(VLOOKUP($B40,MMWR_TRAD_AGG_STATE_COMP[],C$1,0),"ERROR")</f>
        <v>4433</v>
      </c>
      <c r="D40" s="110">
        <f>IFERROR(VLOOKUP($B40,MMWR_TRAD_AGG_STATE_COMP[],D$1,0),"ERROR")</f>
        <v>410.89781186559998</v>
      </c>
      <c r="E40" s="111">
        <f>IFERROR(VLOOKUP($B40,MMWR_TRAD_AGG_STATE_COMP[],E$1,0),"ERROR")</f>
        <v>4394</v>
      </c>
      <c r="F40" s="112">
        <f>IFERROR(VLOOKUP($B40,MMWR_TRAD_AGG_STATE_COMP[],F$1,0),"ERROR")</f>
        <v>1396</v>
      </c>
      <c r="G40" s="113">
        <f t="shared" si="4"/>
        <v>0.31770596267637685</v>
      </c>
      <c r="H40" s="111">
        <f>IFERROR(VLOOKUP($B40,MMWR_TRAD_AGG_STATE_COMP[],H$1,0),"ERROR")</f>
        <v>6627</v>
      </c>
      <c r="I40" s="112">
        <f>IFERROR(VLOOKUP($B40,MMWR_TRAD_AGG_STATE_COMP[],I$1,0),"ERROR")</f>
        <v>4856</v>
      </c>
      <c r="J40" s="114">
        <f t="shared" si="5"/>
        <v>0.73275992153312208</v>
      </c>
      <c r="K40" s="111">
        <f>IFERROR(VLOOKUP($B40,MMWR_TRAD_AGG_STATE_COMP[],K$1,0),"ERROR")</f>
        <v>1412</v>
      </c>
      <c r="L40" s="112">
        <f>IFERROR(VLOOKUP($B40,MMWR_TRAD_AGG_STATE_COMP[],L$1,0),"ERROR")</f>
        <v>961</v>
      </c>
      <c r="M40" s="114">
        <f t="shared" si="6"/>
        <v>0.68059490084985841</v>
      </c>
      <c r="N40" s="111">
        <f>IFERROR(VLOOKUP($B40,MMWR_TRAD_AGG_STATE_COMP[],N$1,0),"ERROR")</f>
        <v>2604</v>
      </c>
      <c r="O40" s="112">
        <f>IFERROR(VLOOKUP($B40,MMWR_TRAD_AGG_STATE_COMP[],O$1,0),"ERROR")</f>
        <v>1941</v>
      </c>
      <c r="P40" s="114">
        <f t="shared" si="7"/>
        <v>0.74539170506912444</v>
      </c>
      <c r="Q40" s="115">
        <f>IFERROR(VLOOKUP($B40,MMWR_TRAD_AGG_STATE_COMP[],Q$1,0),"ERROR")</f>
        <v>302</v>
      </c>
      <c r="R40" s="115">
        <f>IFERROR(VLOOKUP($B40,MMWR_TRAD_AGG_STATE_COMP[],R$1,0),"ERROR")</f>
        <v>157</v>
      </c>
      <c r="S40" s="115">
        <f>IFERROR(VLOOKUP($B40,MMWR_APP_STATE_COMP[],S$1,0),"ERROR")</f>
        <v>4873</v>
      </c>
      <c r="T40" s="28"/>
    </row>
    <row r="41" spans="1:20" s="123" customFormat="1" x14ac:dyDescent="0.2">
      <c r="A41" s="28"/>
      <c r="B41" s="127" t="s">
        <v>419</v>
      </c>
      <c r="C41" s="109">
        <f>IFERROR(VLOOKUP($B41,MMWR_TRAD_AGG_STATE_COMP[],C$1,0),"ERROR")</f>
        <v>769</v>
      </c>
      <c r="D41" s="110">
        <f>IFERROR(VLOOKUP($B41,MMWR_TRAD_AGG_STATE_COMP[],D$1,0),"ERROR")</f>
        <v>270.20936280879999</v>
      </c>
      <c r="E41" s="111">
        <f>IFERROR(VLOOKUP($B41,MMWR_TRAD_AGG_STATE_COMP[],E$1,0),"ERROR")</f>
        <v>687</v>
      </c>
      <c r="F41" s="112">
        <f>IFERROR(VLOOKUP($B41,MMWR_TRAD_AGG_STATE_COMP[],F$1,0),"ERROR")</f>
        <v>74</v>
      </c>
      <c r="G41" s="113">
        <f t="shared" si="4"/>
        <v>0.10771470160116449</v>
      </c>
      <c r="H41" s="111">
        <f>IFERROR(VLOOKUP($B41,MMWR_TRAD_AGG_STATE_COMP[],H$1,0),"ERROR")</f>
        <v>1197</v>
      </c>
      <c r="I41" s="112">
        <f>IFERROR(VLOOKUP($B41,MMWR_TRAD_AGG_STATE_COMP[],I$1,0),"ERROR")</f>
        <v>668</v>
      </c>
      <c r="J41" s="114">
        <f t="shared" si="5"/>
        <v>0.55806182121971593</v>
      </c>
      <c r="K41" s="111">
        <f>IFERROR(VLOOKUP($B41,MMWR_TRAD_AGG_STATE_COMP[],K$1,0),"ERROR")</f>
        <v>455</v>
      </c>
      <c r="L41" s="112">
        <f>IFERROR(VLOOKUP($B41,MMWR_TRAD_AGG_STATE_COMP[],L$1,0),"ERROR")</f>
        <v>197</v>
      </c>
      <c r="M41" s="114">
        <f t="shared" si="6"/>
        <v>0.43296703296703298</v>
      </c>
      <c r="N41" s="111">
        <f>IFERROR(VLOOKUP($B41,MMWR_TRAD_AGG_STATE_COMP[],N$1,0),"ERROR")</f>
        <v>330</v>
      </c>
      <c r="O41" s="112">
        <f>IFERROR(VLOOKUP($B41,MMWR_TRAD_AGG_STATE_COMP[],O$1,0),"ERROR")</f>
        <v>168</v>
      </c>
      <c r="P41" s="114">
        <f t="shared" si="7"/>
        <v>0.50909090909090904</v>
      </c>
      <c r="Q41" s="115">
        <f>IFERROR(VLOOKUP($B41,MMWR_TRAD_AGG_STATE_COMP[],Q$1,0),"ERROR")</f>
        <v>2</v>
      </c>
      <c r="R41" s="115">
        <f>IFERROR(VLOOKUP($B41,MMWR_TRAD_AGG_STATE_COMP[],R$1,0),"ERROR")</f>
        <v>5</v>
      </c>
      <c r="S41" s="115">
        <f>IFERROR(VLOOKUP($B41,MMWR_APP_STATE_COMP[],S$1,0),"ERROR")</f>
        <v>441</v>
      </c>
      <c r="T41" s="28"/>
    </row>
    <row r="42" spans="1:20" s="123" customFormat="1" x14ac:dyDescent="0.2">
      <c r="A42" s="28"/>
      <c r="B42" s="127" t="s">
        <v>413</v>
      </c>
      <c r="C42" s="109">
        <f>IFERROR(VLOOKUP($B42,MMWR_TRAD_AGG_STATE_COMP[],C$1,0),"ERROR")</f>
        <v>2858</v>
      </c>
      <c r="D42" s="110">
        <f>IFERROR(VLOOKUP($B42,MMWR_TRAD_AGG_STATE_COMP[],D$1,0),"ERROR")</f>
        <v>318.99650104969999</v>
      </c>
      <c r="E42" s="111">
        <f>IFERROR(VLOOKUP($B42,MMWR_TRAD_AGG_STATE_COMP[],E$1,0),"ERROR")</f>
        <v>5935</v>
      </c>
      <c r="F42" s="112">
        <f>IFERROR(VLOOKUP($B42,MMWR_TRAD_AGG_STATE_COMP[],F$1,0),"ERROR")</f>
        <v>977</v>
      </c>
      <c r="G42" s="113">
        <f t="shared" si="4"/>
        <v>0.16461668070766639</v>
      </c>
      <c r="H42" s="111">
        <f>IFERROR(VLOOKUP($B42,MMWR_TRAD_AGG_STATE_COMP[],H$1,0),"ERROR")</f>
        <v>4194</v>
      </c>
      <c r="I42" s="112">
        <f>IFERROR(VLOOKUP($B42,MMWR_TRAD_AGG_STATE_COMP[],I$1,0),"ERROR")</f>
        <v>2016</v>
      </c>
      <c r="J42" s="114">
        <f t="shared" si="5"/>
        <v>0.48068669527896996</v>
      </c>
      <c r="K42" s="111">
        <f>IFERROR(VLOOKUP($B42,MMWR_TRAD_AGG_STATE_COMP[],K$1,0),"ERROR")</f>
        <v>1323</v>
      </c>
      <c r="L42" s="112">
        <f>IFERROR(VLOOKUP($B42,MMWR_TRAD_AGG_STATE_COMP[],L$1,0),"ERROR")</f>
        <v>618</v>
      </c>
      <c r="M42" s="114">
        <f t="shared" si="6"/>
        <v>0.46712018140589567</v>
      </c>
      <c r="N42" s="111">
        <f>IFERROR(VLOOKUP($B42,MMWR_TRAD_AGG_STATE_COMP[],N$1,0),"ERROR")</f>
        <v>2581</v>
      </c>
      <c r="O42" s="112">
        <f>IFERROR(VLOOKUP($B42,MMWR_TRAD_AGG_STATE_COMP[],O$1,0),"ERROR")</f>
        <v>1309</v>
      </c>
      <c r="P42" s="114">
        <f t="shared" si="7"/>
        <v>0.50716776443239053</v>
      </c>
      <c r="Q42" s="115">
        <f>IFERROR(VLOOKUP($B42,MMWR_TRAD_AGG_STATE_COMP[],Q$1,0),"ERROR")</f>
        <v>6</v>
      </c>
      <c r="R42" s="115">
        <f>IFERROR(VLOOKUP($B42,MMWR_TRAD_AGG_STATE_COMP[],R$1,0),"ERROR")</f>
        <v>68</v>
      </c>
      <c r="S42" s="115">
        <f>IFERROR(VLOOKUP($B42,MMWR_APP_STATE_COMP[],S$1,0),"ERROR")</f>
        <v>4759</v>
      </c>
      <c r="T42" s="28"/>
    </row>
    <row r="43" spans="1:20" s="123" customFormat="1" x14ac:dyDescent="0.2">
      <c r="A43" s="28"/>
      <c r="B43" s="127" t="s">
        <v>411</v>
      </c>
      <c r="C43" s="109">
        <f>IFERROR(VLOOKUP($B43,MMWR_TRAD_AGG_STATE_COMP[],C$1,0),"ERROR")</f>
        <v>29574</v>
      </c>
      <c r="D43" s="110">
        <f>IFERROR(VLOOKUP($B43,MMWR_TRAD_AGG_STATE_COMP[],D$1,0),"ERROR")</f>
        <v>363.1505376344</v>
      </c>
      <c r="E43" s="111">
        <f>IFERROR(VLOOKUP($B43,MMWR_TRAD_AGG_STATE_COMP[],E$1,0),"ERROR")</f>
        <v>35759</v>
      </c>
      <c r="F43" s="112">
        <f>IFERROR(VLOOKUP($B43,MMWR_TRAD_AGG_STATE_COMP[],F$1,0),"ERROR")</f>
        <v>8074</v>
      </c>
      <c r="G43" s="113">
        <f t="shared" si="4"/>
        <v>0.22578931178164938</v>
      </c>
      <c r="H43" s="111">
        <f>IFERROR(VLOOKUP($B43,MMWR_TRAD_AGG_STATE_COMP[],H$1,0),"ERROR")</f>
        <v>40144</v>
      </c>
      <c r="I43" s="112">
        <f>IFERROR(VLOOKUP($B43,MMWR_TRAD_AGG_STATE_COMP[],I$1,0),"ERROR")</f>
        <v>26750</v>
      </c>
      <c r="J43" s="114">
        <f t="shared" si="5"/>
        <v>0.66635113591072137</v>
      </c>
      <c r="K43" s="111">
        <f>IFERROR(VLOOKUP($B43,MMWR_TRAD_AGG_STATE_COMP[],K$1,0),"ERROR")</f>
        <v>8304</v>
      </c>
      <c r="L43" s="112">
        <f>IFERROR(VLOOKUP($B43,MMWR_TRAD_AGG_STATE_COMP[],L$1,0),"ERROR")</f>
        <v>5101</v>
      </c>
      <c r="M43" s="114">
        <f t="shared" si="6"/>
        <v>0.61428227360308285</v>
      </c>
      <c r="N43" s="111">
        <f>IFERROR(VLOOKUP($B43,MMWR_TRAD_AGG_STATE_COMP[],N$1,0),"ERROR")</f>
        <v>14623</v>
      </c>
      <c r="O43" s="112">
        <f>IFERROR(VLOOKUP($B43,MMWR_TRAD_AGG_STATE_COMP[],O$1,0),"ERROR")</f>
        <v>7781</v>
      </c>
      <c r="P43" s="114">
        <f t="shared" si="7"/>
        <v>0.53210695479723724</v>
      </c>
      <c r="Q43" s="115">
        <f>IFERROR(VLOOKUP($B43,MMWR_TRAD_AGG_STATE_COMP[],Q$1,0),"ERROR")</f>
        <v>27</v>
      </c>
      <c r="R43" s="115">
        <f>IFERROR(VLOOKUP($B43,MMWR_TRAD_AGG_STATE_COMP[],R$1,0),"ERROR")</f>
        <v>416</v>
      </c>
      <c r="S43" s="115">
        <f>IFERROR(VLOOKUP($B43,MMWR_APP_STATE_COMP[],S$1,0),"ERROR")</f>
        <v>41446</v>
      </c>
      <c r="T43" s="28"/>
    </row>
    <row r="44" spans="1:20" s="123" customFormat="1" x14ac:dyDescent="0.2">
      <c r="A44" s="28"/>
      <c r="B44" s="127" t="s">
        <v>407</v>
      </c>
      <c r="C44" s="109">
        <f>IFERROR(VLOOKUP($B44,MMWR_TRAD_AGG_STATE_COMP[],C$1,0),"ERROR")</f>
        <v>1863</v>
      </c>
      <c r="D44" s="110">
        <f>IFERROR(VLOOKUP($B44,MMWR_TRAD_AGG_STATE_COMP[],D$1,0),"ERROR")</f>
        <v>296.53462157809997</v>
      </c>
      <c r="E44" s="111">
        <f>IFERROR(VLOOKUP($B44,MMWR_TRAD_AGG_STATE_COMP[],E$1,0),"ERROR")</f>
        <v>2216</v>
      </c>
      <c r="F44" s="112">
        <f>IFERROR(VLOOKUP($B44,MMWR_TRAD_AGG_STATE_COMP[],F$1,0),"ERROR")</f>
        <v>601</v>
      </c>
      <c r="G44" s="113">
        <f t="shared" si="4"/>
        <v>0.27120938628158847</v>
      </c>
      <c r="H44" s="111">
        <f>IFERROR(VLOOKUP($B44,MMWR_TRAD_AGG_STATE_COMP[],H$1,0),"ERROR")</f>
        <v>2381</v>
      </c>
      <c r="I44" s="112">
        <f>IFERROR(VLOOKUP($B44,MMWR_TRAD_AGG_STATE_COMP[],I$1,0),"ERROR")</f>
        <v>1499</v>
      </c>
      <c r="J44" s="114">
        <f t="shared" si="5"/>
        <v>0.62956740865182692</v>
      </c>
      <c r="K44" s="111">
        <f>IFERROR(VLOOKUP($B44,MMWR_TRAD_AGG_STATE_COMP[],K$1,0),"ERROR")</f>
        <v>547</v>
      </c>
      <c r="L44" s="112">
        <f>IFERROR(VLOOKUP($B44,MMWR_TRAD_AGG_STATE_COMP[],L$1,0),"ERROR")</f>
        <v>327</v>
      </c>
      <c r="M44" s="114">
        <f t="shared" si="6"/>
        <v>0.59780621572212067</v>
      </c>
      <c r="N44" s="111">
        <f>IFERROR(VLOOKUP($B44,MMWR_TRAD_AGG_STATE_COMP[],N$1,0),"ERROR")</f>
        <v>417</v>
      </c>
      <c r="O44" s="112">
        <f>IFERROR(VLOOKUP($B44,MMWR_TRAD_AGG_STATE_COMP[],O$1,0),"ERROR")</f>
        <v>209</v>
      </c>
      <c r="P44" s="114">
        <f t="shared" si="7"/>
        <v>0.50119904076738608</v>
      </c>
      <c r="Q44" s="115">
        <f>IFERROR(VLOOKUP($B44,MMWR_TRAD_AGG_STATE_COMP[],Q$1,0),"ERROR")</f>
        <v>1</v>
      </c>
      <c r="R44" s="115">
        <f>IFERROR(VLOOKUP($B44,MMWR_TRAD_AGG_STATE_COMP[],R$1,0),"ERROR")</f>
        <v>1</v>
      </c>
      <c r="S44" s="115">
        <f>IFERROR(VLOOKUP($B44,MMWR_APP_STATE_COMP[],S$1,0),"ERROR")</f>
        <v>497</v>
      </c>
      <c r="T44" s="28"/>
    </row>
    <row r="45" spans="1:20" s="123" customFormat="1" x14ac:dyDescent="0.2">
      <c r="A45" s="28"/>
      <c r="B45" s="127" t="s">
        <v>422</v>
      </c>
      <c r="C45" s="109">
        <f>IFERROR(VLOOKUP($B45,MMWR_TRAD_AGG_STATE_COMP[],C$1,0),"ERROR")</f>
        <v>447</v>
      </c>
      <c r="D45" s="110">
        <f>IFERROR(VLOOKUP($B45,MMWR_TRAD_AGG_STATE_COMP[],D$1,0),"ERROR")</f>
        <v>323.25950783000002</v>
      </c>
      <c r="E45" s="111">
        <f>IFERROR(VLOOKUP($B45,MMWR_TRAD_AGG_STATE_COMP[],E$1,0),"ERROR")</f>
        <v>867</v>
      </c>
      <c r="F45" s="112">
        <f>IFERROR(VLOOKUP($B45,MMWR_TRAD_AGG_STATE_COMP[],F$1,0),"ERROR")</f>
        <v>112</v>
      </c>
      <c r="G45" s="113">
        <f t="shared" si="4"/>
        <v>0.12918108419838523</v>
      </c>
      <c r="H45" s="111">
        <f>IFERROR(VLOOKUP($B45,MMWR_TRAD_AGG_STATE_COMP[],H$1,0),"ERROR")</f>
        <v>798</v>
      </c>
      <c r="I45" s="112">
        <f>IFERROR(VLOOKUP($B45,MMWR_TRAD_AGG_STATE_COMP[],I$1,0),"ERROR")</f>
        <v>501</v>
      </c>
      <c r="J45" s="114">
        <f t="shared" si="5"/>
        <v>0.6278195488721805</v>
      </c>
      <c r="K45" s="111">
        <f>IFERROR(VLOOKUP($B45,MMWR_TRAD_AGG_STATE_COMP[],K$1,0),"ERROR")</f>
        <v>161</v>
      </c>
      <c r="L45" s="112">
        <f>IFERROR(VLOOKUP($B45,MMWR_TRAD_AGG_STATE_COMP[],L$1,0),"ERROR")</f>
        <v>85</v>
      </c>
      <c r="M45" s="114">
        <f t="shared" si="6"/>
        <v>0.52795031055900621</v>
      </c>
      <c r="N45" s="111">
        <f>IFERROR(VLOOKUP($B45,MMWR_TRAD_AGG_STATE_COMP[],N$1,0),"ERROR")</f>
        <v>171</v>
      </c>
      <c r="O45" s="112">
        <f>IFERROR(VLOOKUP($B45,MMWR_TRAD_AGG_STATE_COMP[],O$1,0),"ERROR")</f>
        <v>94</v>
      </c>
      <c r="P45" s="114">
        <f t="shared" si="7"/>
        <v>0.54970760233918126</v>
      </c>
      <c r="Q45" s="115">
        <f>IFERROR(VLOOKUP($B45,MMWR_TRAD_AGG_STATE_COMP[],Q$1,0),"ERROR")</f>
        <v>2</v>
      </c>
      <c r="R45" s="115">
        <f>IFERROR(VLOOKUP($B45,MMWR_TRAD_AGG_STATE_COMP[],R$1,0),"ERROR")</f>
        <v>2</v>
      </c>
      <c r="S45" s="115">
        <f>IFERROR(VLOOKUP($B45,MMWR_APP_STATE_COMP[],S$1,0),"ERROR")</f>
        <v>302</v>
      </c>
      <c r="T45" s="28"/>
    </row>
    <row r="46" spans="1:20" s="123" customFormat="1" x14ac:dyDescent="0.2">
      <c r="A46" s="28"/>
      <c r="B46" s="126" t="s">
        <v>405</v>
      </c>
      <c r="C46" s="102">
        <f>IFERROR(VLOOKUP($B46,MMWR_TRAD_AGG_ST_DISTRICT_COMP[],C$1,0),"ERROR")</f>
        <v>62927</v>
      </c>
      <c r="D46" s="103">
        <f>IFERROR(VLOOKUP($B46,MMWR_TRAD_AGG_ST_DISTRICT_COMP[],D$1,0),"ERROR")</f>
        <v>392.4430053872</v>
      </c>
      <c r="E46" s="102">
        <f>IFERROR(VLOOKUP($B46,MMWR_TRAD_AGG_ST_DISTRICT_COMP[],E$1,0),"ERROR")</f>
        <v>58459</v>
      </c>
      <c r="F46" s="102">
        <f>IFERROR(VLOOKUP($B46,MMWR_TRAD_AGG_ST_DISTRICT_COMP[],F$1,0),"ERROR")</f>
        <v>13581</v>
      </c>
      <c r="G46" s="104">
        <f t="shared" si="4"/>
        <v>0.23231666638156656</v>
      </c>
      <c r="H46" s="102">
        <f>IFERROR(VLOOKUP($B46,MMWR_TRAD_AGG_ST_DISTRICT_COMP[],H$1,0),"ERROR")</f>
        <v>90296</v>
      </c>
      <c r="I46" s="102">
        <f>IFERROR(VLOOKUP($B46,MMWR_TRAD_AGG_ST_DISTRICT_COMP[],I$1,0),"ERROR")</f>
        <v>63651</v>
      </c>
      <c r="J46" s="105">
        <f t="shared" si="5"/>
        <v>0.7049149463985116</v>
      </c>
      <c r="K46" s="102">
        <f>IFERROR(VLOOKUP($B46,MMWR_TRAD_AGG_ST_DISTRICT_COMP[],K$1,0),"ERROR")</f>
        <v>23646</v>
      </c>
      <c r="L46" s="102">
        <f>IFERROR(VLOOKUP($B46,MMWR_TRAD_AGG_ST_DISTRICT_COMP[],L$1,0),"ERROR")</f>
        <v>16706</v>
      </c>
      <c r="M46" s="105">
        <f t="shared" si="6"/>
        <v>0.7065042713355324</v>
      </c>
      <c r="N46" s="102">
        <f>IFERROR(VLOOKUP($B46,MMWR_TRAD_AGG_ST_DISTRICT_COMP[],N$1,0),"ERROR")</f>
        <v>29902</v>
      </c>
      <c r="O46" s="102">
        <f>IFERROR(VLOOKUP($B46,MMWR_TRAD_AGG_ST_DISTRICT_COMP[],O$1,0),"ERROR")</f>
        <v>19290</v>
      </c>
      <c r="P46" s="105">
        <f t="shared" si="7"/>
        <v>0.64510735067888436</v>
      </c>
      <c r="Q46" s="102">
        <f>IFERROR(VLOOKUP($B46,MMWR_TRAD_AGG_ST_DISTRICT_COMP[],Q$1,0),"ERROR")</f>
        <v>101</v>
      </c>
      <c r="R46" s="106">
        <f>IFERROR(VLOOKUP($B46,MMWR_TRAD_AGG_ST_DISTRICT_COMP[],R$1,0),"ERROR")</f>
        <v>578</v>
      </c>
      <c r="S46" s="106">
        <f>SUM(S47:S55)</f>
        <v>44469</v>
      </c>
      <c r="T46" s="28"/>
    </row>
    <row r="47" spans="1:20" s="123" customFormat="1" x14ac:dyDescent="0.2">
      <c r="A47" s="28"/>
      <c r="B47" s="127" t="s">
        <v>425</v>
      </c>
      <c r="C47" s="109">
        <f>IFERROR(VLOOKUP($B47,MMWR_TRAD_AGG_STATE_COMP[],C$1,0),"ERROR")</f>
        <v>1944</v>
      </c>
      <c r="D47" s="110">
        <f>IFERROR(VLOOKUP($B47,MMWR_TRAD_AGG_STATE_COMP[],D$1,0),"ERROR")</f>
        <v>462.88631687240002</v>
      </c>
      <c r="E47" s="111">
        <f>IFERROR(VLOOKUP($B47,MMWR_TRAD_AGG_STATE_COMP[],E$1,0),"ERROR")</f>
        <v>1225</v>
      </c>
      <c r="F47" s="112">
        <f>IFERROR(VLOOKUP($B47,MMWR_TRAD_AGG_STATE_COMP[],F$1,0),"ERROR")</f>
        <v>345</v>
      </c>
      <c r="G47" s="113">
        <f t="shared" si="4"/>
        <v>0.28163265306122448</v>
      </c>
      <c r="H47" s="111">
        <f>IFERROR(VLOOKUP($B47,MMWR_TRAD_AGG_STATE_COMP[],H$1,0),"ERROR")</f>
        <v>2828</v>
      </c>
      <c r="I47" s="112">
        <f>IFERROR(VLOOKUP($B47,MMWR_TRAD_AGG_STATE_COMP[],I$1,0),"ERROR")</f>
        <v>2098</v>
      </c>
      <c r="J47" s="114">
        <f t="shared" si="5"/>
        <v>0.74186704384724189</v>
      </c>
      <c r="K47" s="111">
        <f>IFERROR(VLOOKUP($B47,MMWR_TRAD_AGG_STATE_COMP[],K$1,0),"ERROR")</f>
        <v>1863</v>
      </c>
      <c r="L47" s="112">
        <f>IFERROR(VLOOKUP($B47,MMWR_TRAD_AGG_STATE_COMP[],L$1,0),"ERROR")</f>
        <v>1495</v>
      </c>
      <c r="M47" s="114">
        <f t="shared" si="6"/>
        <v>0.80246913580246915</v>
      </c>
      <c r="N47" s="111">
        <f>IFERROR(VLOOKUP($B47,MMWR_TRAD_AGG_STATE_COMP[],N$1,0),"ERROR")</f>
        <v>639</v>
      </c>
      <c r="O47" s="112">
        <f>IFERROR(VLOOKUP($B47,MMWR_TRAD_AGG_STATE_COMP[],O$1,0),"ERROR")</f>
        <v>366</v>
      </c>
      <c r="P47" s="114">
        <f t="shared" si="7"/>
        <v>0.57276995305164324</v>
      </c>
      <c r="Q47" s="115">
        <f>IFERROR(VLOOKUP($B47,MMWR_TRAD_AGG_STATE_COMP[],Q$1,0),"ERROR")</f>
        <v>1</v>
      </c>
      <c r="R47" s="115">
        <f>IFERROR(VLOOKUP($B47,MMWR_TRAD_AGG_STATE_COMP[],R$1,0),"ERROR")</f>
        <v>2</v>
      </c>
      <c r="S47" s="115">
        <f>IFERROR(VLOOKUP($B47,MMWR_APP_STATE_COMP[],S$1,0),"ERROR")</f>
        <v>293</v>
      </c>
      <c r="T47" s="28"/>
    </row>
    <row r="48" spans="1:20" s="123" customFormat="1" x14ac:dyDescent="0.2">
      <c r="A48" s="28"/>
      <c r="B48" s="127" t="s">
        <v>427</v>
      </c>
      <c r="C48" s="109">
        <f>IFERROR(VLOOKUP($B48,MMWR_TRAD_AGG_STATE_COMP[],C$1,0),"ERROR")</f>
        <v>5723</v>
      </c>
      <c r="D48" s="110">
        <f>IFERROR(VLOOKUP($B48,MMWR_TRAD_AGG_STATE_COMP[],D$1,0),"ERROR")</f>
        <v>313.02184169140003</v>
      </c>
      <c r="E48" s="111">
        <f>IFERROR(VLOOKUP($B48,MMWR_TRAD_AGG_STATE_COMP[],E$1,0),"ERROR")</f>
        <v>5781</v>
      </c>
      <c r="F48" s="112">
        <f>IFERROR(VLOOKUP($B48,MMWR_TRAD_AGG_STATE_COMP[],F$1,0),"ERROR")</f>
        <v>1403</v>
      </c>
      <c r="G48" s="113">
        <f t="shared" si="4"/>
        <v>0.24269157585192874</v>
      </c>
      <c r="H48" s="111">
        <f>IFERROR(VLOOKUP($B48,MMWR_TRAD_AGG_STATE_COMP[],H$1,0),"ERROR")</f>
        <v>7908</v>
      </c>
      <c r="I48" s="112">
        <f>IFERROR(VLOOKUP($B48,MMWR_TRAD_AGG_STATE_COMP[],I$1,0),"ERROR")</f>
        <v>5176</v>
      </c>
      <c r="J48" s="114">
        <f t="shared" si="5"/>
        <v>0.65452706120384418</v>
      </c>
      <c r="K48" s="111">
        <f>IFERROR(VLOOKUP($B48,MMWR_TRAD_AGG_STATE_COMP[],K$1,0),"ERROR")</f>
        <v>1506</v>
      </c>
      <c r="L48" s="112">
        <f>IFERROR(VLOOKUP($B48,MMWR_TRAD_AGG_STATE_COMP[],L$1,0),"ERROR")</f>
        <v>770</v>
      </c>
      <c r="M48" s="114">
        <f t="shared" si="6"/>
        <v>0.51128818061088976</v>
      </c>
      <c r="N48" s="111">
        <f>IFERROR(VLOOKUP($B48,MMWR_TRAD_AGG_STATE_COMP[],N$1,0),"ERROR")</f>
        <v>2240</v>
      </c>
      <c r="O48" s="112">
        <f>IFERROR(VLOOKUP($B48,MMWR_TRAD_AGG_STATE_COMP[],O$1,0),"ERROR")</f>
        <v>1383</v>
      </c>
      <c r="P48" s="114">
        <f t="shared" si="7"/>
        <v>0.61741071428571426</v>
      </c>
      <c r="Q48" s="115">
        <f>IFERROR(VLOOKUP($B48,MMWR_TRAD_AGG_STATE_COMP[],Q$1,0),"ERROR")</f>
        <v>6</v>
      </c>
      <c r="R48" s="115">
        <f>IFERROR(VLOOKUP($B48,MMWR_TRAD_AGG_STATE_COMP[],R$1,0),"ERROR")</f>
        <v>72</v>
      </c>
      <c r="S48" s="115">
        <f>IFERROR(VLOOKUP($B48,MMWR_APP_STATE_COMP[],S$1,0),"ERROR")</f>
        <v>7330</v>
      </c>
      <c r="T48" s="28"/>
    </row>
    <row r="49" spans="1:20" s="123" customFormat="1" x14ac:dyDescent="0.2">
      <c r="A49" s="28"/>
      <c r="B49" s="127" t="s">
        <v>408</v>
      </c>
      <c r="C49" s="109">
        <f>IFERROR(VLOOKUP($B49,MMWR_TRAD_AGG_STATE_COMP[],C$1,0),"ERROR")</f>
        <v>29278</v>
      </c>
      <c r="D49" s="110">
        <f>IFERROR(VLOOKUP($B49,MMWR_TRAD_AGG_STATE_COMP[],D$1,0),"ERROR")</f>
        <v>397.00915363069998</v>
      </c>
      <c r="E49" s="111">
        <f>IFERROR(VLOOKUP($B49,MMWR_TRAD_AGG_STATE_COMP[],E$1,0),"ERROR")</f>
        <v>31081</v>
      </c>
      <c r="F49" s="112">
        <f>IFERROR(VLOOKUP($B49,MMWR_TRAD_AGG_STATE_COMP[],F$1,0),"ERROR")</f>
        <v>7231</v>
      </c>
      <c r="G49" s="113">
        <f t="shared" si="4"/>
        <v>0.23265017213088382</v>
      </c>
      <c r="H49" s="111">
        <f>IFERROR(VLOOKUP($B49,MMWR_TRAD_AGG_STATE_COMP[],H$1,0),"ERROR")</f>
        <v>42363</v>
      </c>
      <c r="I49" s="112">
        <f>IFERROR(VLOOKUP($B49,MMWR_TRAD_AGG_STATE_COMP[],I$1,0),"ERROR")</f>
        <v>29865</v>
      </c>
      <c r="J49" s="114">
        <f t="shared" si="5"/>
        <v>0.7049784009631046</v>
      </c>
      <c r="K49" s="111">
        <f>IFERROR(VLOOKUP($B49,MMWR_TRAD_AGG_STATE_COMP[],K$1,0),"ERROR")</f>
        <v>9880</v>
      </c>
      <c r="L49" s="112">
        <f>IFERROR(VLOOKUP($B49,MMWR_TRAD_AGG_STATE_COMP[],L$1,0),"ERROR")</f>
        <v>7084</v>
      </c>
      <c r="M49" s="114">
        <f t="shared" si="6"/>
        <v>0.71700404858299593</v>
      </c>
      <c r="N49" s="111">
        <f>IFERROR(VLOOKUP($B49,MMWR_TRAD_AGG_STATE_COMP[],N$1,0),"ERROR")</f>
        <v>14554</v>
      </c>
      <c r="O49" s="112">
        <f>IFERROR(VLOOKUP($B49,MMWR_TRAD_AGG_STATE_COMP[],O$1,0),"ERROR")</f>
        <v>9459</v>
      </c>
      <c r="P49" s="114">
        <f t="shared" si="7"/>
        <v>0.64992441940360035</v>
      </c>
      <c r="Q49" s="115">
        <f>IFERROR(VLOOKUP($B49,MMWR_TRAD_AGG_STATE_COMP[],Q$1,0),"ERROR")</f>
        <v>54</v>
      </c>
      <c r="R49" s="115">
        <f>IFERROR(VLOOKUP($B49,MMWR_TRAD_AGG_STATE_COMP[],R$1,0),"ERROR")</f>
        <v>137</v>
      </c>
      <c r="S49" s="115">
        <f>IFERROR(VLOOKUP($B49,MMWR_APP_STATE_COMP[],S$1,0),"ERROR")</f>
        <v>18674</v>
      </c>
      <c r="T49" s="28"/>
    </row>
    <row r="50" spans="1:20" s="123" customFormat="1" x14ac:dyDescent="0.2">
      <c r="A50" s="28"/>
      <c r="B50" s="127" t="s">
        <v>429</v>
      </c>
      <c r="C50" s="109">
        <f>IFERROR(VLOOKUP($B50,MMWR_TRAD_AGG_STATE_COMP[],C$1,0),"ERROR")</f>
        <v>1592</v>
      </c>
      <c r="D50" s="110">
        <f>IFERROR(VLOOKUP($B50,MMWR_TRAD_AGG_STATE_COMP[],D$1,0),"ERROR")</f>
        <v>315.05904522610001</v>
      </c>
      <c r="E50" s="111">
        <f>IFERROR(VLOOKUP($B50,MMWR_TRAD_AGG_STATE_COMP[],E$1,0),"ERROR")</f>
        <v>1812</v>
      </c>
      <c r="F50" s="112">
        <f>IFERROR(VLOOKUP($B50,MMWR_TRAD_AGG_STATE_COMP[],F$1,0),"ERROR")</f>
        <v>365</v>
      </c>
      <c r="G50" s="113">
        <f t="shared" si="4"/>
        <v>0.20143487858719647</v>
      </c>
      <c r="H50" s="111">
        <f>IFERROR(VLOOKUP($B50,MMWR_TRAD_AGG_STATE_COMP[],H$1,0),"ERROR")</f>
        <v>2214</v>
      </c>
      <c r="I50" s="112">
        <f>IFERROR(VLOOKUP($B50,MMWR_TRAD_AGG_STATE_COMP[],I$1,0),"ERROR")</f>
        <v>1531</v>
      </c>
      <c r="J50" s="114">
        <f t="shared" si="5"/>
        <v>0.6915085817524842</v>
      </c>
      <c r="K50" s="111">
        <f>IFERROR(VLOOKUP($B50,MMWR_TRAD_AGG_STATE_COMP[],K$1,0),"ERROR")</f>
        <v>990</v>
      </c>
      <c r="L50" s="112">
        <f>IFERROR(VLOOKUP($B50,MMWR_TRAD_AGG_STATE_COMP[],L$1,0),"ERROR")</f>
        <v>524</v>
      </c>
      <c r="M50" s="114">
        <f t="shared" si="6"/>
        <v>0.52929292929292926</v>
      </c>
      <c r="N50" s="111">
        <f>IFERROR(VLOOKUP($B50,MMWR_TRAD_AGG_STATE_COMP[],N$1,0),"ERROR")</f>
        <v>593</v>
      </c>
      <c r="O50" s="112">
        <f>IFERROR(VLOOKUP($B50,MMWR_TRAD_AGG_STATE_COMP[],O$1,0),"ERROR")</f>
        <v>297</v>
      </c>
      <c r="P50" s="114">
        <f t="shared" si="7"/>
        <v>0.50084317032040471</v>
      </c>
      <c r="Q50" s="115">
        <f>IFERROR(VLOOKUP($B50,MMWR_TRAD_AGG_STATE_COMP[],Q$1,0),"ERROR")</f>
        <v>5</v>
      </c>
      <c r="R50" s="115">
        <f>IFERROR(VLOOKUP($B50,MMWR_TRAD_AGG_STATE_COMP[],R$1,0),"ERROR")</f>
        <v>5</v>
      </c>
      <c r="S50" s="115">
        <f>IFERROR(VLOOKUP($B50,MMWR_APP_STATE_COMP[],S$1,0),"ERROR")</f>
        <v>1204</v>
      </c>
      <c r="T50" s="28"/>
    </row>
    <row r="51" spans="1:20" s="123" customFormat="1" x14ac:dyDescent="0.2">
      <c r="A51" s="28"/>
      <c r="B51" s="127" t="s">
        <v>409</v>
      </c>
      <c r="C51" s="109">
        <f>IFERROR(VLOOKUP($B51,MMWR_TRAD_AGG_STATE_COMP[],C$1,0),"ERROR")</f>
        <v>657</v>
      </c>
      <c r="D51" s="110">
        <f>IFERROR(VLOOKUP($B51,MMWR_TRAD_AGG_STATE_COMP[],D$1,0),"ERROR")</f>
        <v>321.29680365299998</v>
      </c>
      <c r="E51" s="111">
        <f>IFERROR(VLOOKUP($B51,MMWR_TRAD_AGG_STATE_COMP[],E$1,0),"ERROR")</f>
        <v>1475</v>
      </c>
      <c r="F51" s="112">
        <f>IFERROR(VLOOKUP($B51,MMWR_TRAD_AGG_STATE_COMP[],F$1,0),"ERROR")</f>
        <v>315</v>
      </c>
      <c r="G51" s="113">
        <f t="shared" si="4"/>
        <v>0.2135593220338983</v>
      </c>
      <c r="H51" s="111">
        <f>IFERROR(VLOOKUP($B51,MMWR_TRAD_AGG_STATE_COMP[],H$1,0),"ERROR")</f>
        <v>1035</v>
      </c>
      <c r="I51" s="112">
        <f>IFERROR(VLOOKUP($B51,MMWR_TRAD_AGG_STATE_COMP[],I$1,0),"ERROR")</f>
        <v>591</v>
      </c>
      <c r="J51" s="114">
        <f t="shared" si="5"/>
        <v>0.57101449275362315</v>
      </c>
      <c r="K51" s="111">
        <f>IFERROR(VLOOKUP($B51,MMWR_TRAD_AGG_STATE_COMP[],K$1,0),"ERROR")</f>
        <v>358</v>
      </c>
      <c r="L51" s="112">
        <f>IFERROR(VLOOKUP($B51,MMWR_TRAD_AGG_STATE_COMP[],L$1,0),"ERROR")</f>
        <v>157</v>
      </c>
      <c r="M51" s="114">
        <f t="shared" si="6"/>
        <v>0.43854748603351956</v>
      </c>
      <c r="N51" s="111">
        <f>IFERROR(VLOOKUP($B51,MMWR_TRAD_AGG_STATE_COMP[],N$1,0),"ERROR")</f>
        <v>414</v>
      </c>
      <c r="O51" s="112">
        <f>IFERROR(VLOOKUP($B51,MMWR_TRAD_AGG_STATE_COMP[],O$1,0),"ERROR")</f>
        <v>230</v>
      </c>
      <c r="P51" s="114">
        <f t="shared" si="7"/>
        <v>0.55555555555555558</v>
      </c>
      <c r="Q51" s="115">
        <f>IFERROR(VLOOKUP($B51,MMWR_TRAD_AGG_STATE_COMP[],Q$1,0),"ERROR")</f>
        <v>2</v>
      </c>
      <c r="R51" s="115">
        <f>IFERROR(VLOOKUP($B51,MMWR_TRAD_AGG_STATE_COMP[],R$1,0),"ERROR")</f>
        <v>3</v>
      </c>
      <c r="S51" s="115">
        <f>IFERROR(VLOOKUP($B51,MMWR_APP_STATE_COMP[],S$1,0),"ERROR")</f>
        <v>1022</v>
      </c>
      <c r="T51" s="28"/>
    </row>
    <row r="52" spans="1:20" s="123" customFormat="1" x14ac:dyDescent="0.2">
      <c r="A52" s="28"/>
      <c r="B52" s="127" t="s">
        <v>414</v>
      </c>
      <c r="C52" s="109">
        <f>IFERROR(VLOOKUP($B52,MMWR_TRAD_AGG_STATE_COMP[],C$1,0),"ERROR")</f>
        <v>3586</v>
      </c>
      <c r="D52" s="110">
        <f>IFERROR(VLOOKUP($B52,MMWR_TRAD_AGG_STATE_COMP[],D$1,0),"ERROR")</f>
        <v>425.26993865029999</v>
      </c>
      <c r="E52" s="111">
        <f>IFERROR(VLOOKUP($B52,MMWR_TRAD_AGG_STATE_COMP[],E$1,0),"ERROR")</f>
        <v>3649</v>
      </c>
      <c r="F52" s="112">
        <f>IFERROR(VLOOKUP($B52,MMWR_TRAD_AGG_STATE_COMP[],F$1,0),"ERROR")</f>
        <v>892</v>
      </c>
      <c r="G52" s="113">
        <f t="shared" si="4"/>
        <v>0.24445053439298439</v>
      </c>
      <c r="H52" s="111">
        <f>IFERROR(VLOOKUP($B52,MMWR_TRAD_AGG_STATE_COMP[],H$1,0),"ERROR")</f>
        <v>4881</v>
      </c>
      <c r="I52" s="112">
        <f>IFERROR(VLOOKUP($B52,MMWR_TRAD_AGG_STATE_COMP[],I$1,0),"ERROR")</f>
        <v>3278</v>
      </c>
      <c r="J52" s="114">
        <f t="shared" si="5"/>
        <v>0.67158369186642086</v>
      </c>
      <c r="K52" s="111">
        <f>IFERROR(VLOOKUP($B52,MMWR_TRAD_AGG_STATE_COMP[],K$1,0),"ERROR")</f>
        <v>976</v>
      </c>
      <c r="L52" s="112">
        <f>IFERROR(VLOOKUP($B52,MMWR_TRAD_AGG_STATE_COMP[],L$1,0),"ERROR")</f>
        <v>579</v>
      </c>
      <c r="M52" s="114">
        <f t="shared" si="6"/>
        <v>0.59323770491803274</v>
      </c>
      <c r="N52" s="111">
        <f>IFERROR(VLOOKUP($B52,MMWR_TRAD_AGG_STATE_COMP[],N$1,0),"ERROR")</f>
        <v>1893</v>
      </c>
      <c r="O52" s="112">
        <f>IFERROR(VLOOKUP($B52,MMWR_TRAD_AGG_STATE_COMP[],O$1,0),"ERROR")</f>
        <v>1309</v>
      </c>
      <c r="P52" s="114">
        <f t="shared" si="7"/>
        <v>0.69149498151082933</v>
      </c>
      <c r="Q52" s="115">
        <f>IFERROR(VLOOKUP($B52,MMWR_TRAD_AGG_STATE_COMP[],Q$1,0),"ERROR")</f>
        <v>7</v>
      </c>
      <c r="R52" s="115">
        <f>IFERROR(VLOOKUP($B52,MMWR_TRAD_AGG_STATE_COMP[],R$1,0),"ERROR")</f>
        <v>120</v>
      </c>
      <c r="S52" s="115">
        <f>IFERROR(VLOOKUP($B52,MMWR_APP_STATE_COMP[],S$1,0),"ERROR")</f>
        <v>3159</v>
      </c>
      <c r="T52" s="28"/>
    </row>
    <row r="53" spans="1:20" s="123" customFormat="1" x14ac:dyDescent="0.2">
      <c r="A53" s="28"/>
      <c r="B53" s="127" t="s">
        <v>406</v>
      </c>
      <c r="C53" s="109">
        <f>IFERROR(VLOOKUP($B53,MMWR_TRAD_AGG_STATE_COMP[],C$1,0),"ERROR")</f>
        <v>1425</v>
      </c>
      <c r="D53" s="110">
        <f>IFERROR(VLOOKUP($B53,MMWR_TRAD_AGG_STATE_COMP[],D$1,0),"ERROR")</f>
        <v>236.88912280700001</v>
      </c>
      <c r="E53" s="111">
        <f>IFERROR(VLOOKUP($B53,MMWR_TRAD_AGG_STATE_COMP[],E$1,0),"ERROR")</f>
        <v>2704</v>
      </c>
      <c r="F53" s="112">
        <f>IFERROR(VLOOKUP($B53,MMWR_TRAD_AGG_STATE_COMP[],F$1,0),"ERROR")</f>
        <v>613</v>
      </c>
      <c r="G53" s="113">
        <f t="shared" si="4"/>
        <v>0.22670118343195267</v>
      </c>
      <c r="H53" s="111">
        <f>IFERROR(VLOOKUP($B53,MMWR_TRAD_AGG_STATE_COMP[],H$1,0),"ERROR")</f>
        <v>2230</v>
      </c>
      <c r="I53" s="112">
        <f>IFERROR(VLOOKUP($B53,MMWR_TRAD_AGG_STATE_COMP[],I$1,0),"ERROR")</f>
        <v>1026</v>
      </c>
      <c r="J53" s="114">
        <f t="shared" si="5"/>
        <v>0.46008968609865469</v>
      </c>
      <c r="K53" s="111">
        <f>IFERROR(VLOOKUP($B53,MMWR_TRAD_AGG_STATE_COMP[],K$1,0),"ERROR")</f>
        <v>563</v>
      </c>
      <c r="L53" s="112">
        <f>IFERROR(VLOOKUP($B53,MMWR_TRAD_AGG_STATE_COMP[],L$1,0),"ERROR")</f>
        <v>265</v>
      </c>
      <c r="M53" s="114">
        <f t="shared" si="6"/>
        <v>0.47069271758436942</v>
      </c>
      <c r="N53" s="111">
        <f>IFERROR(VLOOKUP($B53,MMWR_TRAD_AGG_STATE_COMP[],N$1,0),"ERROR")</f>
        <v>842</v>
      </c>
      <c r="O53" s="112">
        <f>IFERROR(VLOOKUP($B53,MMWR_TRAD_AGG_STATE_COMP[],O$1,0),"ERROR")</f>
        <v>519</v>
      </c>
      <c r="P53" s="114">
        <f t="shared" si="7"/>
        <v>0.61638954869358675</v>
      </c>
      <c r="Q53" s="115">
        <f>IFERROR(VLOOKUP($B53,MMWR_TRAD_AGG_STATE_COMP[],Q$1,0),"ERROR")</f>
        <v>6</v>
      </c>
      <c r="R53" s="115">
        <f>IFERROR(VLOOKUP($B53,MMWR_TRAD_AGG_STATE_COMP[],R$1,0),"ERROR")</f>
        <v>15</v>
      </c>
      <c r="S53" s="115">
        <f>IFERROR(VLOOKUP($B53,MMWR_APP_STATE_COMP[],S$1,0),"ERROR")</f>
        <v>1904</v>
      </c>
      <c r="T53" s="28"/>
    </row>
    <row r="54" spans="1:20" s="123" customFormat="1" x14ac:dyDescent="0.2">
      <c r="A54" s="28"/>
      <c r="B54" s="127" t="s">
        <v>410</v>
      </c>
      <c r="C54" s="109">
        <f>IFERROR(VLOOKUP($B54,MMWR_TRAD_AGG_STATE_COMP[],C$1,0),"ERROR")</f>
        <v>7359</v>
      </c>
      <c r="D54" s="110">
        <f>IFERROR(VLOOKUP($B54,MMWR_TRAD_AGG_STATE_COMP[],D$1,0),"ERROR")</f>
        <v>452.63364587580003</v>
      </c>
      <c r="E54" s="111">
        <f>IFERROR(VLOOKUP($B54,MMWR_TRAD_AGG_STATE_COMP[],E$1,0),"ERROR")</f>
        <v>4641</v>
      </c>
      <c r="F54" s="112">
        <f>IFERROR(VLOOKUP($B54,MMWR_TRAD_AGG_STATE_COMP[],F$1,0),"ERROR")</f>
        <v>1231</v>
      </c>
      <c r="G54" s="113">
        <f t="shared" si="4"/>
        <v>0.26524455936220642</v>
      </c>
      <c r="H54" s="111">
        <f>IFERROR(VLOOKUP($B54,MMWR_TRAD_AGG_STATE_COMP[],H$1,0),"ERROR")</f>
        <v>9981</v>
      </c>
      <c r="I54" s="112">
        <f>IFERROR(VLOOKUP($B54,MMWR_TRAD_AGG_STATE_COMP[],I$1,0),"ERROR")</f>
        <v>7721</v>
      </c>
      <c r="J54" s="114">
        <f t="shared" si="5"/>
        <v>0.77356978258691511</v>
      </c>
      <c r="K54" s="111">
        <f>IFERROR(VLOOKUP($B54,MMWR_TRAD_AGG_STATE_COMP[],K$1,0),"ERROR")</f>
        <v>3008</v>
      </c>
      <c r="L54" s="112">
        <f>IFERROR(VLOOKUP($B54,MMWR_TRAD_AGG_STATE_COMP[],L$1,0),"ERROR")</f>
        <v>2680</v>
      </c>
      <c r="M54" s="114">
        <f t="shared" si="6"/>
        <v>0.89095744680851063</v>
      </c>
      <c r="N54" s="111">
        <f>IFERROR(VLOOKUP($B54,MMWR_TRAD_AGG_STATE_COMP[],N$1,0),"ERROR")</f>
        <v>2822</v>
      </c>
      <c r="O54" s="112">
        <f>IFERROR(VLOOKUP($B54,MMWR_TRAD_AGG_STATE_COMP[],O$1,0),"ERROR")</f>
        <v>1647</v>
      </c>
      <c r="P54" s="114">
        <f t="shared" si="7"/>
        <v>0.58362863217576189</v>
      </c>
      <c r="Q54" s="115">
        <f>IFERROR(VLOOKUP($B54,MMWR_TRAD_AGG_STATE_COMP[],Q$1,0),"ERROR")</f>
        <v>8</v>
      </c>
      <c r="R54" s="115">
        <f>IFERROR(VLOOKUP($B54,MMWR_TRAD_AGG_STATE_COMP[],R$1,0),"ERROR")</f>
        <v>82</v>
      </c>
      <c r="S54" s="115">
        <f>IFERROR(VLOOKUP($B54,MMWR_APP_STATE_COMP[],S$1,0),"ERROR")</f>
        <v>5496</v>
      </c>
      <c r="T54" s="28"/>
    </row>
    <row r="55" spans="1:20" s="123" customFormat="1" x14ac:dyDescent="0.2">
      <c r="A55" s="28"/>
      <c r="B55" s="127" t="s">
        <v>80</v>
      </c>
      <c r="C55" s="109">
        <f>IFERROR(VLOOKUP($B55,MMWR_TRAD_AGG_STATE_COMP[],C$1,0),"ERROR")</f>
        <v>11363</v>
      </c>
      <c r="D55" s="110">
        <f>IFERROR(VLOOKUP($B55,MMWR_TRAD_AGG_STATE_COMP[],D$1,0),"ERROR")</f>
        <v>393.7490099446</v>
      </c>
      <c r="E55" s="111">
        <f>IFERROR(VLOOKUP($B55,MMWR_TRAD_AGG_STATE_COMP[],E$1,0),"ERROR")</f>
        <v>6091</v>
      </c>
      <c r="F55" s="112">
        <f>IFERROR(VLOOKUP($B55,MMWR_TRAD_AGG_STATE_COMP[],F$1,0),"ERROR")</f>
        <v>1186</v>
      </c>
      <c r="G55" s="113">
        <f t="shared" si="4"/>
        <v>0.19471351173863077</v>
      </c>
      <c r="H55" s="111">
        <f>IFERROR(VLOOKUP($B55,MMWR_TRAD_AGG_STATE_COMP[],H$1,0),"ERROR")</f>
        <v>16856</v>
      </c>
      <c r="I55" s="112">
        <f>IFERROR(VLOOKUP($B55,MMWR_TRAD_AGG_STATE_COMP[],I$1,0),"ERROR")</f>
        <v>12365</v>
      </c>
      <c r="J55" s="114">
        <f t="shared" si="5"/>
        <v>0.73356668248694823</v>
      </c>
      <c r="K55" s="111">
        <f>IFERROR(VLOOKUP($B55,MMWR_TRAD_AGG_STATE_COMP[],K$1,0),"ERROR")</f>
        <v>4502</v>
      </c>
      <c r="L55" s="112">
        <f>IFERROR(VLOOKUP($B55,MMWR_TRAD_AGG_STATE_COMP[],L$1,0),"ERROR")</f>
        <v>3152</v>
      </c>
      <c r="M55" s="114">
        <f t="shared" si="6"/>
        <v>0.70013327410039983</v>
      </c>
      <c r="N55" s="111">
        <f>IFERROR(VLOOKUP($B55,MMWR_TRAD_AGG_STATE_COMP[],N$1,0),"ERROR")</f>
        <v>5905</v>
      </c>
      <c r="O55" s="112">
        <f>IFERROR(VLOOKUP($B55,MMWR_TRAD_AGG_STATE_COMP[],O$1,0),"ERROR")</f>
        <v>4080</v>
      </c>
      <c r="P55" s="114">
        <f t="shared" si="7"/>
        <v>0.69093988145639285</v>
      </c>
      <c r="Q55" s="115">
        <f>IFERROR(VLOOKUP($B55,MMWR_TRAD_AGG_STATE_COMP[],Q$1,0),"ERROR")</f>
        <v>12</v>
      </c>
      <c r="R55" s="115">
        <f>IFERROR(VLOOKUP($B55,MMWR_TRAD_AGG_STATE_COMP[],R$1,0),"ERROR")</f>
        <v>142</v>
      </c>
      <c r="S55" s="115">
        <f>IFERROR(VLOOKUP($B55,MMWR_APP_STATE_COMP[],S$1,0),"ERROR")</f>
        <v>5387</v>
      </c>
      <c r="T55" s="28"/>
    </row>
    <row r="56" spans="1:20" s="123" customFormat="1" x14ac:dyDescent="0.2">
      <c r="A56" s="28"/>
      <c r="B56" s="126" t="s">
        <v>381</v>
      </c>
      <c r="C56" s="102">
        <f>IFERROR(VLOOKUP($B56,MMWR_TRAD_AGG_ST_DISTRICT_COMP[],C$1,0),"ERROR")</f>
        <v>73440</v>
      </c>
      <c r="D56" s="103">
        <f>IFERROR(VLOOKUP($B56,MMWR_TRAD_AGG_ST_DISTRICT_COMP[],D$1,0),"ERROR")</f>
        <v>364.74474400870002</v>
      </c>
      <c r="E56" s="102">
        <f>IFERROR(VLOOKUP($B56,MMWR_TRAD_AGG_ST_DISTRICT_COMP[],E$1,0),"ERROR")</f>
        <v>73005</v>
      </c>
      <c r="F56" s="102">
        <f>IFERROR(VLOOKUP($B56,MMWR_TRAD_AGG_ST_DISTRICT_COMP[],F$1,0),"ERROR")</f>
        <v>18872</v>
      </c>
      <c r="G56" s="104">
        <f t="shared" si="4"/>
        <v>0.25850284227107734</v>
      </c>
      <c r="H56" s="102">
        <f>IFERROR(VLOOKUP($B56,MMWR_TRAD_AGG_ST_DISTRICT_COMP[],H$1,0),"ERROR")</f>
        <v>105626</v>
      </c>
      <c r="I56" s="102">
        <f>IFERROR(VLOOKUP($B56,MMWR_TRAD_AGG_ST_DISTRICT_COMP[],I$1,0),"ERROR")</f>
        <v>70730</v>
      </c>
      <c r="J56" s="105">
        <f t="shared" si="5"/>
        <v>0.66962679643269651</v>
      </c>
      <c r="K56" s="102">
        <f>IFERROR(VLOOKUP($B56,MMWR_TRAD_AGG_ST_DISTRICT_COMP[],K$1,0),"ERROR")</f>
        <v>29895</v>
      </c>
      <c r="L56" s="102">
        <f>IFERROR(VLOOKUP($B56,MMWR_TRAD_AGG_ST_DISTRICT_COMP[],L$1,0),"ERROR")</f>
        <v>19787</v>
      </c>
      <c r="M56" s="105">
        <f t="shared" si="6"/>
        <v>0.66188325806991133</v>
      </c>
      <c r="N56" s="102">
        <f>IFERROR(VLOOKUP($B56,MMWR_TRAD_AGG_ST_DISTRICT_COMP[],N$1,0),"ERROR")</f>
        <v>42516</v>
      </c>
      <c r="O56" s="102">
        <f>IFERROR(VLOOKUP($B56,MMWR_TRAD_AGG_ST_DISTRICT_COMP[],O$1,0),"ERROR")</f>
        <v>29671</v>
      </c>
      <c r="P56" s="105">
        <f t="shared" si="7"/>
        <v>0.69787844576159563</v>
      </c>
      <c r="Q56" s="102">
        <f>IFERROR(VLOOKUP($B56,MMWR_TRAD_AGG_ST_DISTRICT_COMP[],Q$1,0),"ERROR")</f>
        <v>5719</v>
      </c>
      <c r="R56" s="106">
        <f>IFERROR(VLOOKUP($B56,MMWR_TRAD_AGG_ST_DISTRICT_COMP[],R$1,0),"ERROR")</f>
        <v>1152</v>
      </c>
      <c r="S56" s="106">
        <f>SUM(S57:S63)</f>
        <v>89979</v>
      </c>
      <c r="T56" s="28"/>
    </row>
    <row r="57" spans="1:20" s="123" customFormat="1" x14ac:dyDescent="0.2">
      <c r="A57" s="28"/>
      <c r="B57" s="127" t="s">
        <v>389</v>
      </c>
      <c r="C57" s="109">
        <f>IFERROR(VLOOKUP($B57,MMWR_TRAD_AGG_STATE_COMP[],C$1,0),"ERROR")</f>
        <v>13057</v>
      </c>
      <c r="D57" s="110">
        <f>IFERROR(VLOOKUP($B57,MMWR_TRAD_AGG_STATE_COMP[],D$1,0),"ERROR")</f>
        <v>392.83181435249998</v>
      </c>
      <c r="E57" s="111">
        <f>IFERROR(VLOOKUP($B57,MMWR_TRAD_AGG_STATE_COMP[],E$1,0),"ERROR")</f>
        <v>7478</v>
      </c>
      <c r="F57" s="112">
        <f>IFERROR(VLOOKUP($B57,MMWR_TRAD_AGG_STATE_COMP[],F$1,0),"ERROR")</f>
        <v>1834</v>
      </c>
      <c r="G57" s="113">
        <f t="shared" si="4"/>
        <v>0.24525274137469913</v>
      </c>
      <c r="H57" s="111">
        <f>IFERROR(VLOOKUP($B57,MMWR_TRAD_AGG_STATE_COMP[],H$1,0),"ERROR")</f>
        <v>16731</v>
      </c>
      <c r="I57" s="112">
        <f>IFERROR(VLOOKUP($B57,MMWR_TRAD_AGG_STATE_COMP[],I$1,0),"ERROR")</f>
        <v>11828</v>
      </c>
      <c r="J57" s="114">
        <f t="shared" si="5"/>
        <v>0.70695116848963002</v>
      </c>
      <c r="K57" s="111">
        <f>IFERROR(VLOOKUP($B57,MMWR_TRAD_AGG_STATE_COMP[],K$1,0),"ERROR")</f>
        <v>5133</v>
      </c>
      <c r="L57" s="112">
        <f>IFERROR(VLOOKUP($B57,MMWR_TRAD_AGG_STATE_COMP[],L$1,0),"ERROR")</f>
        <v>3926</v>
      </c>
      <c r="M57" s="114">
        <f t="shared" si="6"/>
        <v>0.76485486070524056</v>
      </c>
      <c r="N57" s="111">
        <f>IFERROR(VLOOKUP($B57,MMWR_TRAD_AGG_STATE_COMP[],N$1,0),"ERROR")</f>
        <v>3464</v>
      </c>
      <c r="O57" s="112">
        <f>IFERROR(VLOOKUP($B57,MMWR_TRAD_AGG_STATE_COMP[],O$1,0),"ERROR")</f>
        <v>2142</v>
      </c>
      <c r="P57" s="114">
        <f t="shared" si="7"/>
        <v>0.61836027713625863</v>
      </c>
      <c r="Q57" s="115">
        <f>IFERROR(VLOOKUP($B57,MMWR_TRAD_AGG_STATE_COMP[],Q$1,0),"ERROR")</f>
        <v>447</v>
      </c>
      <c r="R57" s="115">
        <f>IFERROR(VLOOKUP($B57,MMWR_TRAD_AGG_STATE_COMP[],R$1,0),"ERROR")</f>
        <v>371</v>
      </c>
      <c r="S57" s="115">
        <f>IFERROR(VLOOKUP($B57,MMWR_APP_STATE_COMP[],S$1,0),"ERROR")</f>
        <v>10750</v>
      </c>
      <c r="T57" s="28"/>
    </row>
    <row r="58" spans="1:20" s="123" customFormat="1" x14ac:dyDescent="0.2">
      <c r="A58" s="28"/>
      <c r="B58" s="127" t="s">
        <v>426</v>
      </c>
      <c r="C58" s="109">
        <f>IFERROR(VLOOKUP($B58,MMWR_TRAD_AGG_STATE_COMP[],C$1,0),"ERROR")</f>
        <v>20469</v>
      </c>
      <c r="D58" s="110">
        <f>IFERROR(VLOOKUP($B58,MMWR_TRAD_AGG_STATE_COMP[],D$1,0),"ERROR")</f>
        <v>335.41531095800002</v>
      </c>
      <c r="E58" s="111">
        <f>IFERROR(VLOOKUP($B58,MMWR_TRAD_AGG_STATE_COMP[],E$1,0),"ERROR")</f>
        <v>22044</v>
      </c>
      <c r="F58" s="112">
        <f>IFERROR(VLOOKUP($B58,MMWR_TRAD_AGG_STATE_COMP[],F$1,0),"ERROR")</f>
        <v>5907</v>
      </c>
      <c r="G58" s="113">
        <f t="shared" si="4"/>
        <v>0.2679640718562874</v>
      </c>
      <c r="H58" s="111">
        <f>IFERROR(VLOOKUP($B58,MMWR_TRAD_AGG_STATE_COMP[],H$1,0),"ERROR")</f>
        <v>28525</v>
      </c>
      <c r="I58" s="112">
        <f>IFERROR(VLOOKUP($B58,MMWR_TRAD_AGG_STATE_COMP[],I$1,0),"ERROR")</f>
        <v>18820</v>
      </c>
      <c r="J58" s="114">
        <f t="shared" si="5"/>
        <v>0.65977212971078003</v>
      </c>
      <c r="K58" s="111">
        <f>IFERROR(VLOOKUP($B58,MMWR_TRAD_AGG_STATE_COMP[],K$1,0),"ERROR")</f>
        <v>6946</v>
      </c>
      <c r="L58" s="112">
        <f>IFERROR(VLOOKUP($B58,MMWR_TRAD_AGG_STATE_COMP[],L$1,0),"ERROR")</f>
        <v>3867</v>
      </c>
      <c r="M58" s="114">
        <f t="shared" si="6"/>
        <v>0.55672329398214804</v>
      </c>
      <c r="N58" s="111">
        <f>IFERROR(VLOOKUP($B58,MMWR_TRAD_AGG_STATE_COMP[],N$1,0),"ERROR")</f>
        <v>16801</v>
      </c>
      <c r="O58" s="112">
        <f>IFERROR(VLOOKUP($B58,MMWR_TRAD_AGG_STATE_COMP[],O$1,0),"ERROR")</f>
        <v>11028</v>
      </c>
      <c r="P58" s="114">
        <f t="shared" si="7"/>
        <v>0.65638950062496282</v>
      </c>
      <c r="Q58" s="115">
        <f>IFERROR(VLOOKUP($B58,MMWR_TRAD_AGG_STATE_COMP[],Q$1,0),"ERROR")</f>
        <v>2066</v>
      </c>
      <c r="R58" s="115">
        <f>IFERROR(VLOOKUP($B58,MMWR_TRAD_AGG_STATE_COMP[],R$1,0),"ERROR")</f>
        <v>277</v>
      </c>
      <c r="S58" s="115">
        <f>IFERROR(VLOOKUP($B58,MMWR_APP_STATE_COMP[],S$1,0),"ERROR")</f>
        <v>31167</v>
      </c>
      <c r="T58" s="28"/>
    </row>
    <row r="59" spans="1:20" s="123" customFormat="1" x14ac:dyDescent="0.2">
      <c r="A59" s="28"/>
      <c r="B59" s="127" t="s">
        <v>382</v>
      </c>
      <c r="C59" s="109">
        <f>IFERROR(VLOOKUP($B59,MMWR_TRAD_AGG_STATE_COMP[],C$1,0),"ERROR")</f>
        <v>15769</v>
      </c>
      <c r="D59" s="110">
        <f>IFERROR(VLOOKUP($B59,MMWR_TRAD_AGG_STATE_COMP[],D$1,0),"ERROR")</f>
        <v>355.65235588809998</v>
      </c>
      <c r="E59" s="111">
        <f>IFERROR(VLOOKUP($B59,MMWR_TRAD_AGG_STATE_COMP[],E$1,0),"ERROR")</f>
        <v>17768</v>
      </c>
      <c r="F59" s="112">
        <f>IFERROR(VLOOKUP($B59,MMWR_TRAD_AGG_STATE_COMP[],F$1,0),"ERROR")</f>
        <v>4657</v>
      </c>
      <c r="G59" s="113">
        <f t="shared" si="4"/>
        <v>0.26210040522287259</v>
      </c>
      <c r="H59" s="111">
        <f>IFERROR(VLOOKUP($B59,MMWR_TRAD_AGG_STATE_COMP[],H$1,0),"ERROR")</f>
        <v>22946</v>
      </c>
      <c r="I59" s="112">
        <f>IFERROR(VLOOKUP($B59,MMWR_TRAD_AGG_STATE_COMP[],I$1,0),"ERROR")</f>
        <v>16085</v>
      </c>
      <c r="J59" s="114">
        <f t="shared" si="5"/>
        <v>0.70099363723524799</v>
      </c>
      <c r="K59" s="111">
        <f>IFERROR(VLOOKUP($B59,MMWR_TRAD_AGG_STATE_COMP[],K$1,0),"ERROR")</f>
        <v>8113</v>
      </c>
      <c r="L59" s="112">
        <f>IFERROR(VLOOKUP($B59,MMWR_TRAD_AGG_STATE_COMP[],L$1,0),"ERROR")</f>
        <v>5426</v>
      </c>
      <c r="M59" s="114">
        <f t="shared" si="6"/>
        <v>0.66880315542955748</v>
      </c>
      <c r="N59" s="111">
        <f>IFERROR(VLOOKUP($B59,MMWR_TRAD_AGG_STATE_COMP[],N$1,0),"ERROR")</f>
        <v>13179</v>
      </c>
      <c r="O59" s="112">
        <f>IFERROR(VLOOKUP($B59,MMWR_TRAD_AGG_STATE_COMP[],O$1,0),"ERROR")</f>
        <v>11049</v>
      </c>
      <c r="P59" s="114">
        <f t="shared" si="7"/>
        <v>0.83837923969952199</v>
      </c>
      <c r="Q59" s="115">
        <f>IFERROR(VLOOKUP($B59,MMWR_TRAD_AGG_STATE_COMP[],Q$1,0),"ERROR")</f>
        <v>1018</v>
      </c>
      <c r="R59" s="115">
        <f>IFERROR(VLOOKUP($B59,MMWR_TRAD_AGG_STATE_COMP[],R$1,0),"ERROR")</f>
        <v>28</v>
      </c>
      <c r="S59" s="115">
        <f>IFERROR(VLOOKUP($B59,MMWR_APP_STATE_COMP[],S$1,0),"ERROR")</f>
        <v>18279</v>
      </c>
      <c r="T59" s="28"/>
    </row>
    <row r="60" spans="1:20" s="123" customFormat="1" x14ac:dyDescent="0.2">
      <c r="A60" s="28"/>
      <c r="B60" s="127" t="s">
        <v>394</v>
      </c>
      <c r="C60" s="109">
        <f>IFERROR(VLOOKUP($B60,MMWR_TRAD_AGG_STATE_COMP[],C$1,0),"ERROR")</f>
        <v>6432</v>
      </c>
      <c r="D60" s="110">
        <f>IFERROR(VLOOKUP($B60,MMWR_TRAD_AGG_STATE_COMP[],D$1,0),"ERROR")</f>
        <v>551.15780472639995</v>
      </c>
      <c r="E60" s="111">
        <f>IFERROR(VLOOKUP($B60,MMWR_TRAD_AGG_STATE_COMP[],E$1,0),"ERROR")</f>
        <v>3788</v>
      </c>
      <c r="F60" s="112">
        <f>IFERROR(VLOOKUP($B60,MMWR_TRAD_AGG_STATE_COMP[],F$1,0),"ERROR")</f>
        <v>732</v>
      </c>
      <c r="G60" s="113">
        <f t="shared" si="4"/>
        <v>0.19324181626187961</v>
      </c>
      <c r="H60" s="111">
        <f>IFERROR(VLOOKUP($B60,MMWR_TRAD_AGG_STATE_COMP[],H$1,0),"ERROR")</f>
        <v>9294</v>
      </c>
      <c r="I60" s="112">
        <f>IFERROR(VLOOKUP($B60,MMWR_TRAD_AGG_STATE_COMP[],I$1,0),"ERROR")</f>
        <v>6539</v>
      </c>
      <c r="J60" s="114">
        <f t="shared" si="5"/>
        <v>0.70357219711641916</v>
      </c>
      <c r="K60" s="111">
        <f>IFERROR(VLOOKUP($B60,MMWR_TRAD_AGG_STATE_COMP[],K$1,0),"ERROR")</f>
        <v>2548</v>
      </c>
      <c r="L60" s="112">
        <f>IFERROR(VLOOKUP($B60,MMWR_TRAD_AGG_STATE_COMP[],L$1,0),"ERROR")</f>
        <v>1966</v>
      </c>
      <c r="M60" s="114">
        <f t="shared" si="6"/>
        <v>0.77158555729984302</v>
      </c>
      <c r="N60" s="111">
        <f>IFERROR(VLOOKUP($B60,MMWR_TRAD_AGG_STATE_COMP[],N$1,0),"ERROR")</f>
        <v>1633</v>
      </c>
      <c r="O60" s="112">
        <f>IFERROR(VLOOKUP($B60,MMWR_TRAD_AGG_STATE_COMP[],O$1,0),"ERROR")</f>
        <v>858</v>
      </c>
      <c r="P60" s="114">
        <f t="shared" si="7"/>
        <v>0.52541334966319653</v>
      </c>
      <c r="Q60" s="115">
        <f>IFERROR(VLOOKUP($B60,MMWR_TRAD_AGG_STATE_COMP[],Q$1,0),"ERROR")</f>
        <v>510</v>
      </c>
      <c r="R60" s="115">
        <f>IFERROR(VLOOKUP($B60,MMWR_TRAD_AGG_STATE_COMP[],R$1,0),"ERROR")</f>
        <v>146</v>
      </c>
      <c r="S60" s="115">
        <f>IFERROR(VLOOKUP($B60,MMWR_APP_STATE_COMP[],S$1,0),"ERROR")</f>
        <v>3382</v>
      </c>
      <c r="T60" s="28"/>
    </row>
    <row r="61" spans="1:20" s="123" customFormat="1" x14ac:dyDescent="0.2">
      <c r="A61" s="28"/>
      <c r="B61" s="127" t="s">
        <v>428</v>
      </c>
      <c r="C61" s="109">
        <f>IFERROR(VLOOKUP($B61,MMWR_TRAD_AGG_STATE_COMP[],C$1,0),"ERROR")</f>
        <v>1801</v>
      </c>
      <c r="D61" s="110">
        <f>IFERROR(VLOOKUP($B61,MMWR_TRAD_AGG_STATE_COMP[],D$1,0),"ERROR")</f>
        <v>311.79344808439998</v>
      </c>
      <c r="E61" s="111">
        <f>IFERROR(VLOOKUP($B61,MMWR_TRAD_AGG_STATE_COMP[],E$1,0),"ERROR")</f>
        <v>3139</v>
      </c>
      <c r="F61" s="112">
        <f>IFERROR(VLOOKUP($B61,MMWR_TRAD_AGG_STATE_COMP[],F$1,0),"ERROR")</f>
        <v>902</v>
      </c>
      <c r="G61" s="113">
        <f t="shared" si="4"/>
        <v>0.28735266008282895</v>
      </c>
      <c r="H61" s="111">
        <f>IFERROR(VLOOKUP($B61,MMWR_TRAD_AGG_STATE_COMP[],H$1,0),"ERROR")</f>
        <v>4504</v>
      </c>
      <c r="I61" s="112">
        <f>IFERROR(VLOOKUP($B61,MMWR_TRAD_AGG_STATE_COMP[],I$1,0),"ERROR")</f>
        <v>2332</v>
      </c>
      <c r="J61" s="114">
        <f t="shared" si="5"/>
        <v>0.51776198934280637</v>
      </c>
      <c r="K61" s="111">
        <f>IFERROR(VLOOKUP($B61,MMWR_TRAD_AGG_STATE_COMP[],K$1,0),"ERROR")</f>
        <v>927</v>
      </c>
      <c r="L61" s="112">
        <f>IFERROR(VLOOKUP($B61,MMWR_TRAD_AGG_STATE_COMP[],L$1,0),"ERROR")</f>
        <v>675</v>
      </c>
      <c r="M61" s="114">
        <f t="shared" si="6"/>
        <v>0.72815533980582525</v>
      </c>
      <c r="N61" s="111">
        <f>IFERROR(VLOOKUP($B61,MMWR_TRAD_AGG_STATE_COMP[],N$1,0),"ERROR")</f>
        <v>1617</v>
      </c>
      <c r="O61" s="112">
        <f>IFERROR(VLOOKUP($B61,MMWR_TRAD_AGG_STATE_COMP[],O$1,0),"ERROR")</f>
        <v>1157</v>
      </c>
      <c r="P61" s="114">
        <f t="shared" si="7"/>
        <v>0.71552257266542985</v>
      </c>
      <c r="Q61" s="115">
        <f>IFERROR(VLOOKUP($B61,MMWR_TRAD_AGG_STATE_COMP[],Q$1,0),"ERROR")</f>
        <v>406</v>
      </c>
      <c r="R61" s="115">
        <f>IFERROR(VLOOKUP($B61,MMWR_TRAD_AGG_STATE_COMP[],R$1,0),"ERROR")</f>
        <v>4</v>
      </c>
      <c r="S61" s="115">
        <f>IFERROR(VLOOKUP($B61,MMWR_APP_STATE_COMP[],S$1,0),"ERROR")</f>
        <v>5988</v>
      </c>
      <c r="T61" s="28"/>
    </row>
    <row r="62" spans="1:20" s="123" customFormat="1" x14ac:dyDescent="0.2">
      <c r="A62" s="28"/>
      <c r="B62" s="127" t="s">
        <v>384</v>
      </c>
      <c r="C62" s="109">
        <f>IFERROR(VLOOKUP($B62,MMWR_TRAD_AGG_STATE_COMP[],C$1,0),"ERROR")</f>
        <v>10026</v>
      </c>
      <c r="D62" s="110">
        <f>IFERROR(VLOOKUP($B62,MMWR_TRAD_AGG_STATE_COMP[],D$1,0),"ERROR")</f>
        <v>341.4737682027</v>
      </c>
      <c r="E62" s="111">
        <f>IFERROR(VLOOKUP($B62,MMWR_TRAD_AGG_STATE_COMP[],E$1,0),"ERROR")</f>
        <v>9387</v>
      </c>
      <c r="F62" s="112">
        <f>IFERROR(VLOOKUP($B62,MMWR_TRAD_AGG_STATE_COMP[],F$1,0),"ERROR")</f>
        <v>2659</v>
      </c>
      <c r="G62" s="113">
        <f t="shared" si="4"/>
        <v>0.28326408863321617</v>
      </c>
      <c r="H62" s="111">
        <f>IFERROR(VLOOKUP($B62,MMWR_TRAD_AGG_STATE_COMP[],H$1,0),"ERROR")</f>
        <v>13639</v>
      </c>
      <c r="I62" s="112">
        <f>IFERROR(VLOOKUP($B62,MMWR_TRAD_AGG_STATE_COMP[],I$1,0),"ERROR")</f>
        <v>9854</v>
      </c>
      <c r="J62" s="114">
        <f t="shared" si="5"/>
        <v>0.72248698584940241</v>
      </c>
      <c r="K62" s="111">
        <f>IFERROR(VLOOKUP($B62,MMWR_TRAD_AGG_STATE_COMP[],K$1,0),"ERROR")</f>
        <v>2883</v>
      </c>
      <c r="L62" s="112">
        <f>IFERROR(VLOOKUP($B62,MMWR_TRAD_AGG_STATE_COMP[],L$1,0),"ERROR")</f>
        <v>1705</v>
      </c>
      <c r="M62" s="114">
        <f t="shared" si="6"/>
        <v>0.59139784946236562</v>
      </c>
      <c r="N62" s="111">
        <f>IFERROR(VLOOKUP($B62,MMWR_TRAD_AGG_STATE_COMP[],N$1,0),"ERROR")</f>
        <v>3233</v>
      </c>
      <c r="O62" s="112">
        <f>IFERROR(VLOOKUP($B62,MMWR_TRAD_AGG_STATE_COMP[],O$1,0),"ERROR")</f>
        <v>1809</v>
      </c>
      <c r="P62" s="114">
        <f t="shared" si="7"/>
        <v>0.55954222084751004</v>
      </c>
      <c r="Q62" s="115">
        <f>IFERROR(VLOOKUP($B62,MMWR_TRAD_AGG_STATE_COMP[],Q$1,0),"ERROR")</f>
        <v>657</v>
      </c>
      <c r="R62" s="115">
        <f>IFERROR(VLOOKUP($B62,MMWR_TRAD_AGG_STATE_COMP[],R$1,0),"ERROR")</f>
        <v>63</v>
      </c>
      <c r="S62" s="115">
        <f>IFERROR(VLOOKUP($B62,MMWR_APP_STATE_COMP[],S$1,0),"ERROR")</f>
        <v>13284</v>
      </c>
      <c r="T62" s="28"/>
    </row>
    <row r="63" spans="1:20" s="123" customFormat="1" x14ac:dyDescent="0.2">
      <c r="A63" s="28"/>
      <c r="B63" s="127" t="s">
        <v>385</v>
      </c>
      <c r="C63" s="109">
        <f>IFERROR(VLOOKUP($B63,MMWR_TRAD_AGG_STATE_COMP[],C$1,0),"ERROR")</f>
        <v>5886</v>
      </c>
      <c r="D63" s="110">
        <f>IFERROR(VLOOKUP($B63,MMWR_TRAD_AGG_STATE_COMP[],D$1,0),"ERROR")</f>
        <v>280.92898402989999</v>
      </c>
      <c r="E63" s="111">
        <f>IFERROR(VLOOKUP($B63,MMWR_TRAD_AGG_STATE_COMP[],E$1,0),"ERROR")</f>
        <v>9401</v>
      </c>
      <c r="F63" s="112">
        <f>IFERROR(VLOOKUP($B63,MMWR_TRAD_AGG_STATE_COMP[],F$1,0),"ERROR")</f>
        <v>2181</v>
      </c>
      <c r="G63" s="113">
        <f t="shared" si="4"/>
        <v>0.23199659610679715</v>
      </c>
      <c r="H63" s="111">
        <f>IFERROR(VLOOKUP($B63,MMWR_TRAD_AGG_STATE_COMP[],H$1,0),"ERROR")</f>
        <v>9987</v>
      </c>
      <c r="I63" s="112">
        <f>IFERROR(VLOOKUP($B63,MMWR_TRAD_AGG_STATE_COMP[],I$1,0),"ERROR")</f>
        <v>5272</v>
      </c>
      <c r="J63" s="114">
        <f t="shared" si="5"/>
        <v>0.52788625212776608</v>
      </c>
      <c r="K63" s="111">
        <f>IFERROR(VLOOKUP($B63,MMWR_TRAD_AGG_STATE_COMP[],K$1,0),"ERROR")</f>
        <v>3345</v>
      </c>
      <c r="L63" s="112">
        <f>IFERROR(VLOOKUP($B63,MMWR_TRAD_AGG_STATE_COMP[],L$1,0),"ERROR")</f>
        <v>2222</v>
      </c>
      <c r="M63" s="114">
        <f t="shared" si="6"/>
        <v>0.66427503736920779</v>
      </c>
      <c r="N63" s="111">
        <f>IFERROR(VLOOKUP($B63,MMWR_TRAD_AGG_STATE_COMP[],N$1,0),"ERROR")</f>
        <v>2589</v>
      </c>
      <c r="O63" s="112">
        <f>IFERROR(VLOOKUP($B63,MMWR_TRAD_AGG_STATE_COMP[],O$1,0),"ERROR")</f>
        <v>1628</v>
      </c>
      <c r="P63" s="114">
        <f t="shared" si="7"/>
        <v>0.62881421398223247</v>
      </c>
      <c r="Q63" s="115">
        <f>IFERROR(VLOOKUP($B63,MMWR_TRAD_AGG_STATE_COMP[],Q$1,0),"ERROR")</f>
        <v>615</v>
      </c>
      <c r="R63" s="115">
        <f>IFERROR(VLOOKUP($B63,MMWR_TRAD_AGG_STATE_COMP[],R$1,0),"ERROR")</f>
        <v>263</v>
      </c>
      <c r="S63" s="115">
        <f>IFERROR(VLOOKUP($B63,MMWR_APP_STATE_COMP[],S$1,0),"ERROR")</f>
        <v>7129</v>
      </c>
      <c r="T63" s="28"/>
    </row>
    <row r="64" spans="1:20" s="123" customFormat="1" x14ac:dyDescent="0.2">
      <c r="A64" s="28"/>
      <c r="B64" s="128" t="s">
        <v>8</v>
      </c>
      <c r="C64" s="102">
        <f>IFERROR(VLOOKUP($B64,MMWR_TRAD_AGG_ST_DISTRICT_COMP[],C$1,0),"ERROR")</f>
        <v>4022</v>
      </c>
      <c r="D64" s="103">
        <f>IFERROR(VLOOKUP($B64,MMWR_TRAD_AGG_ST_DISTRICT_COMP[],D$1,0),"ERROR")</f>
        <v>385.56887120840003</v>
      </c>
      <c r="E64" s="102">
        <f>IFERROR(VLOOKUP($B64,MMWR_TRAD_AGG_ST_DISTRICT_COMP[],E$1,0),"ERROR")</f>
        <v>4183</v>
      </c>
      <c r="F64" s="102">
        <f>IFERROR(VLOOKUP($B64,MMWR_TRAD_AGG_ST_DISTRICT_COMP[],F$1,0),"ERROR")</f>
        <v>1828</v>
      </c>
      <c r="G64" s="104">
        <f t="shared" si="4"/>
        <v>0.43700693282333253</v>
      </c>
      <c r="H64" s="102">
        <f>IFERROR(VLOOKUP($B64,MMWR_TRAD_AGG_ST_DISTRICT_COMP[],H$1,0),"ERROR")</f>
        <v>5526</v>
      </c>
      <c r="I64" s="102">
        <f>IFERROR(VLOOKUP($B64,MMWR_TRAD_AGG_ST_DISTRICT_COMP[],I$1,0),"ERROR")</f>
        <v>3989</v>
      </c>
      <c r="J64" s="105">
        <f t="shared" si="5"/>
        <v>0.72186029677886354</v>
      </c>
      <c r="K64" s="102">
        <f>IFERROR(VLOOKUP($B64,MMWR_TRAD_AGG_ST_DISTRICT_COMP[],K$1,0),"ERROR")</f>
        <v>1479</v>
      </c>
      <c r="L64" s="102">
        <f>IFERROR(VLOOKUP($B64,MMWR_TRAD_AGG_ST_DISTRICT_COMP[],L$1,0),"ERROR")</f>
        <v>852</v>
      </c>
      <c r="M64" s="105">
        <f t="shared" si="6"/>
        <v>0.57606490872210958</v>
      </c>
      <c r="N64" s="102">
        <f>IFERROR(VLOOKUP($B64,MMWR_TRAD_AGG_ST_DISTRICT_COMP[],N$1,0),"ERROR")</f>
        <v>1785</v>
      </c>
      <c r="O64" s="102">
        <f>IFERROR(VLOOKUP($B64,MMWR_TRAD_AGG_ST_DISTRICT_COMP[],O$1,0),"ERROR")</f>
        <v>1136</v>
      </c>
      <c r="P64" s="105">
        <f t="shared" si="7"/>
        <v>0.63641456582633049</v>
      </c>
      <c r="Q64" s="102">
        <f>IFERROR(VLOOKUP($B64,MMWR_TRAD_AGG_ST_DISTRICT_COMP[],Q$1,0),"ERROR")</f>
        <v>454</v>
      </c>
      <c r="R64" s="106">
        <f>IFERROR(VLOOKUP($B64,MMWR_TRAD_AGG_ST_DISTRICT_COMP[],R$1,0),"ERROR")</f>
        <v>148</v>
      </c>
      <c r="S64" s="106">
        <f>IFERROR(VLOOKUP($B64,MMWR_APP_STATE_COMP[],S$1,0),"ERROR")</f>
        <v>432</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488</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489</v>
      </c>
      <c r="T68" s="28"/>
    </row>
    <row r="69" spans="1:20" s="123" customFormat="1" x14ac:dyDescent="0.2">
      <c r="A69" s="28"/>
      <c r="B69" s="129" t="s">
        <v>463</v>
      </c>
      <c r="C69" s="119">
        <f>IFERROR(VLOOKUP($B69,MMWR_TRAD_AGG_RO_PEN[],C$1,0),"ERROR")</f>
        <v>24937</v>
      </c>
      <c r="D69" s="120">
        <f>IFERROR(VLOOKUP($B69,MMWR_TRAD_AGG_RO_PEN[],D$1,0),"ERROR")</f>
        <v>74.2781008141</v>
      </c>
      <c r="E69" s="119">
        <f>IFERROR(VLOOKUP($B69,MMWR_TRAD_AGG_RO_PEN[],E$1,0),"ERROR")</f>
        <v>32386</v>
      </c>
      <c r="F69" s="119">
        <f>IFERROR(VLOOKUP($B69,MMWR_TRAD_AGG_RO_PEN[],F$1,0),"ERROR")</f>
        <v>5689</v>
      </c>
      <c r="G69" s="98">
        <f t="shared" ref="G69:G100" si="8">IFERROR(F69/E69,"0%")</f>
        <v>0.17566232322608535</v>
      </c>
      <c r="H69" s="119">
        <f>IFERROR(VLOOKUP($B69,MMWR_TRAD_AGG_RO_PEN[],H$1,0),"ERROR")</f>
        <v>32801</v>
      </c>
      <c r="I69" s="119">
        <f>IFERROR(VLOOKUP($B69,MMWR_TRAD_AGG_RO_PEN[],I$1,0),"ERROR")</f>
        <v>6751</v>
      </c>
      <c r="J69" s="98">
        <f t="shared" ref="J69:J100" si="9">IFERROR(I69/H69,"0%")</f>
        <v>0.20581689582634677</v>
      </c>
      <c r="K69" s="119">
        <f>IFERROR(VLOOKUP($B69,MMWR_TRAD_AGG_RO_PEN[],K$1,0),"ERROR")</f>
        <v>357</v>
      </c>
      <c r="L69" s="119">
        <f>IFERROR(VLOOKUP($B69,MMWR_TRAD_AGG_RO_PEN[],L$1,0),"ERROR")</f>
        <v>327</v>
      </c>
      <c r="M69" s="98">
        <f t="shared" ref="M69:M100" si="10">IFERROR(L69/K69,"0%")</f>
        <v>0.91596638655462181</v>
      </c>
      <c r="N69" s="119">
        <f>IFERROR(VLOOKUP($B69,MMWR_TRAD_AGG_RO_PEN[],N$1,0),"ERROR")</f>
        <v>1664</v>
      </c>
      <c r="O69" s="119">
        <f>IFERROR(VLOOKUP($B69,MMWR_TRAD_AGG_RO_PEN[],O$1,0),"ERROR")</f>
        <v>559</v>
      </c>
      <c r="P69" s="98">
        <f t="shared" ref="P69:P100" si="11">IFERROR(O69/N69,"0%")</f>
        <v>0.3359375</v>
      </c>
      <c r="Q69" s="119">
        <f>IFERROR(VLOOKUP($B69,MMWR_TRAD_AGG_RO_PEN[],Q$1,0),"ERROR")</f>
        <v>9595</v>
      </c>
      <c r="R69" s="121">
        <f>IFERROR(VLOOKUP($B69,MMWR_TRAD_AGG_RO_PEN[],R$1,0),"ERROR")</f>
        <v>6041</v>
      </c>
      <c r="S69" s="121">
        <f>S70+S86+S99+S109+S119+S127</f>
        <v>7100</v>
      </c>
      <c r="T69" s="28"/>
    </row>
    <row r="70" spans="1:20" s="123" customFormat="1" x14ac:dyDescent="0.2">
      <c r="A70" s="28"/>
      <c r="B70" s="126" t="s">
        <v>370</v>
      </c>
      <c r="C70" s="102">
        <f>IFERROR(VLOOKUP($B70,MMWR_TRAD_AGG_ST_DISTRICT_PEN[],C$1,0),"ERROR")</f>
        <v>7808</v>
      </c>
      <c r="D70" s="103">
        <f>IFERROR(VLOOKUP($B70,MMWR_TRAD_AGG_ST_DISTRICT_PEN[],D$1,0),"ERROR")</f>
        <v>93.855917008199995</v>
      </c>
      <c r="E70" s="102">
        <f>IFERROR(VLOOKUP($B70,MMWR_TRAD_AGG_ST_DISTRICT_PEN[],E$1,0),"ERROR")</f>
        <v>10977</v>
      </c>
      <c r="F70" s="102">
        <f>IFERROR(VLOOKUP($B70,MMWR_TRAD_AGG_ST_DISTRICT_PEN[],F$1,0),"ERROR")</f>
        <v>2661</v>
      </c>
      <c r="G70" s="104">
        <f t="shared" si="8"/>
        <v>0.24241596064498497</v>
      </c>
      <c r="H70" s="102">
        <f>IFERROR(VLOOKUP($B70,MMWR_TRAD_AGG_ST_DISTRICT_PEN[],H$1,0),"ERROR")</f>
        <v>10272</v>
      </c>
      <c r="I70" s="102">
        <f>IFERROR(VLOOKUP($B70,MMWR_TRAD_AGG_ST_DISTRICT_PEN[],I$1,0),"ERROR")</f>
        <v>3212</v>
      </c>
      <c r="J70" s="104">
        <f t="shared" si="9"/>
        <v>0.31269470404984423</v>
      </c>
      <c r="K70" s="102">
        <f>IFERROR(VLOOKUP($B70,MMWR_TRAD_AGG_ST_DISTRICT_PEN[],K$1,0),"ERROR")</f>
        <v>222</v>
      </c>
      <c r="L70" s="102">
        <f>IFERROR(VLOOKUP($B70,MMWR_TRAD_AGG_ST_DISTRICT_PEN[],L$1,0),"ERROR")</f>
        <v>215</v>
      </c>
      <c r="M70" s="104">
        <f t="shared" si="10"/>
        <v>0.96846846846846846</v>
      </c>
      <c r="N70" s="102">
        <f>IFERROR(VLOOKUP($B70,MMWR_TRAD_AGG_ST_DISTRICT_PEN[],N$1,0),"ERROR")</f>
        <v>585</v>
      </c>
      <c r="O70" s="102">
        <f>IFERROR(VLOOKUP($B70,MMWR_TRAD_AGG_ST_DISTRICT_PEN[],O$1,0),"ERROR")</f>
        <v>186</v>
      </c>
      <c r="P70" s="104">
        <f t="shared" si="11"/>
        <v>0.31794871794871793</v>
      </c>
      <c r="Q70" s="102">
        <f>IFERROR(VLOOKUP($B70,MMWR_TRAD_AGG_ST_DISTRICT_PEN[],Q$1,0),"ERROR")</f>
        <v>835</v>
      </c>
      <c r="R70" s="106">
        <f>IFERROR(VLOOKUP($B70,MMWR_TRAD_AGG_ST_DISTRICT_PEN[],R$1,0),"ERROR")</f>
        <v>2454</v>
      </c>
      <c r="S70" s="106">
        <f>IFERROR(VLOOKUP($B70,MMWR_APP_STATE_PEN[],S$1,0),"ERROR")</f>
        <v>1406</v>
      </c>
      <c r="T70" s="28"/>
    </row>
    <row r="71" spans="1:20" s="123" customFormat="1" x14ac:dyDescent="0.2">
      <c r="A71" s="28"/>
      <c r="B71" s="127" t="s">
        <v>374</v>
      </c>
      <c r="C71" s="109">
        <f>IFERROR(VLOOKUP($B71,MMWR_TRAD_AGG_STATE_PEN[],C$1,0),"ERROR")</f>
        <v>214</v>
      </c>
      <c r="D71" s="110">
        <f>IFERROR(VLOOKUP($B71,MMWR_TRAD_AGG_STATE_PEN[],D$1,0),"ERROR")</f>
        <v>96.663551401899994</v>
      </c>
      <c r="E71" s="111">
        <f>IFERROR(VLOOKUP($B71,MMWR_TRAD_AGG_STATE_PEN[],E$1,0),"ERROR")</f>
        <v>376</v>
      </c>
      <c r="F71" s="112">
        <f>IFERROR(VLOOKUP($B71,MMWR_TRAD_AGG_STATE_PEN[],F$1,0),"ERROR")</f>
        <v>100</v>
      </c>
      <c r="G71" s="113">
        <f t="shared" si="8"/>
        <v>0.26595744680851063</v>
      </c>
      <c r="H71" s="111">
        <f>IFERROR(VLOOKUP($B71,MMWR_TRAD_AGG_STATE_PEN[],H$1,0),"ERROR")</f>
        <v>292</v>
      </c>
      <c r="I71" s="112">
        <f>IFERROR(VLOOKUP($B71,MMWR_TRAD_AGG_STATE_PEN[],I$1,0),"ERROR")</f>
        <v>81</v>
      </c>
      <c r="J71" s="114">
        <f t="shared" si="9"/>
        <v>0.2773972602739726</v>
      </c>
      <c r="K71" s="111">
        <f>IFERROR(VLOOKUP($B71,MMWR_TRAD_AGG_STATE_PEN[],K$1,0),"ERROR")</f>
        <v>2</v>
      </c>
      <c r="L71" s="112">
        <f>IFERROR(VLOOKUP($B71,MMWR_TRAD_AGG_STATE_PEN[],L$1,0),"ERROR")</f>
        <v>2</v>
      </c>
      <c r="M71" s="114">
        <f t="shared" si="10"/>
        <v>1</v>
      </c>
      <c r="N71" s="111">
        <f>IFERROR(VLOOKUP($B71,MMWR_TRAD_AGG_STATE_PEN[],N$1,0),"ERROR")</f>
        <v>22</v>
      </c>
      <c r="O71" s="112">
        <f>IFERROR(VLOOKUP($B71,MMWR_TRAD_AGG_STATE_PEN[],O$1,0),"ERROR")</f>
        <v>3</v>
      </c>
      <c r="P71" s="114">
        <f t="shared" si="11"/>
        <v>0.13636363636363635</v>
      </c>
      <c r="Q71" s="115">
        <f>IFERROR(VLOOKUP($B71,MMWR_TRAD_AGG_STATE_PEN[],Q$1,0),"ERROR")</f>
        <v>14</v>
      </c>
      <c r="R71" s="115">
        <f>IFERROR(VLOOKUP($B71,MMWR_TRAD_AGG_STATE_PEN[],R$1,0),"ERROR")</f>
        <v>63</v>
      </c>
      <c r="S71" s="115">
        <f>IFERROR(VLOOKUP($B71,MMWR_APP_STATE_PEN[],S$1,0),"ERROR")</f>
        <v>51</v>
      </c>
      <c r="T71" s="28"/>
    </row>
    <row r="72" spans="1:20" s="123" customFormat="1" x14ac:dyDescent="0.2">
      <c r="A72" s="28"/>
      <c r="B72" s="127" t="s">
        <v>424</v>
      </c>
      <c r="C72" s="109">
        <f>IFERROR(VLOOKUP($B72,MMWR_TRAD_AGG_STATE_PEN[],C$1,0),"ERROR")</f>
        <v>55</v>
      </c>
      <c r="D72" s="110">
        <f>IFERROR(VLOOKUP($B72,MMWR_TRAD_AGG_STATE_PEN[],D$1,0),"ERROR")</f>
        <v>96.981818181799994</v>
      </c>
      <c r="E72" s="111">
        <f>IFERROR(VLOOKUP($B72,MMWR_TRAD_AGG_STATE_PEN[],E$1,0),"ERROR")</f>
        <v>105</v>
      </c>
      <c r="F72" s="112">
        <f>IFERROR(VLOOKUP($B72,MMWR_TRAD_AGG_STATE_PEN[],F$1,0),"ERROR")</f>
        <v>26</v>
      </c>
      <c r="G72" s="113">
        <f t="shared" si="8"/>
        <v>0.24761904761904763</v>
      </c>
      <c r="H72" s="111">
        <f>IFERROR(VLOOKUP($B72,MMWR_TRAD_AGG_STATE_PEN[],H$1,0),"ERROR")</f>
        <v>77</v>
      </c>
      <c r="I72" s="112">
        <f>IFERROR(VLOOKUP($B72,MMWR_TRAD_AGG_STATE_PEN[],I$1,0),"ERROR")</f>
        <v>23</v>
      </c>
      <c r="J72" s="114">
        <f t="shared" si="9"/>
        <v>0.29870129870129869</v>
      </c>
      <c r="K72" s="111">
        <f>IFERROR(VLOOKUP($B72,MMWR_TRAD_AGG_STATE_PEN[],K$1,0),"ERROR")</f>
        <v>2</v>
      </c>
      <c r="L72" s="112">
        <f>IFERROR(VLOOKUP($B72,MMWR_TRAD_AGG_STATE_PEN[],L$1,0),"ERROR")</f>
        <v>1</v>
      </c>
      <c r="M72" s="114">
        <f t="shared" si="10"/>
        <v>0.5</v>
      </c>
      <c r="N72" s="111">
        <f>IFERROR(VLOOKUP($B72,MMWR_TRAD_AGG_STATE_PEN[],N$1,0),"ERROR")</f>
        <v>9</v>
      </c>
      <c r="O72" s="112">
        <f>IFERROR(VLOOKUP($B72,MMWR_TRAD_AGG_STATE_PEN[],O$1,0),"ERROR")</f>
        <v>3</v>
      </c>
      <c r="P72" s="114">
        <f t="shared" si="11"/>
        <v>0.33333333333333331</v>
      </c>
      <c r="Q72" s="115">
        <f>IFERROR(VLOOKUP($B72,MMWR_TRAD_AGG_STATE_PEN[],Q$1,0),"ERROR")</f>
        <v>9</v>
      </c>
      <c r="R72" s="115">
        <f>IFERROR(VLOOKUP($B72,MMWR_TRAD_AGG_STATE_PEN[],R$1,0),"ERROR")</f>
        <v>28</v>
      </c>
      <c r="S72" s="115">
        <f>IFERROR(VLOOKUP($B72,MMWR_APP_STATE_PEN[],S$1,0),"ERROR")</f>
        <v>16</v>
      </c>
      <c r="T72" s="28"/>
    </row>
    <row r="73" spans="1:20" s="123" customFormat="1" x14ac:dyDescent="0.2">
      <c r="A73" s="28"/>
      <c r="B73" s="127" t="s">
        <v>415</v>
      </c>
      <c r="C73" s="109">
        <f>IFERROR(VLOOKUP($B73,MMWR_TRAD_AGG_STATE_PEN[],C$1,0),"ERROR")</f>
        <v>43</v>
      </c>
      <c r="D73" s="110">
        <f>IFERROR(VLOOKUP($B73,MMWR_TRAD_AGG_STATE_PEN[],D$1,0),"ERROR")</f>
        <v>116.55813953489999</v>
      </c>
      <c r="E73" s="111">
        <f>IFERROR(VLOOKUP($B73,MMWR_TRAD_AGG_STATE_PEN[],E$1,0),"ERROR")</f>
        <v>64</v>
      </c>
      <c r="F73" s="112">
        <f>IFERROR(VLOOKUP($B73,MMWR_TRAD_AGG_STATE_PEN[],F$1,0),"ERROR")</f>
        <v>14</v>
      </c>
      <c r="G73" s="113">
        <f t="shared" si="8"/>
        <v>0.21875</v>
      </c>
      <c r="H73" s="111">
        <f>IFERROR(VLOOKUP($B73,MMWR_TRAD_AGG_STATE_PEN[],H$1,0),"ERROR")</f>
        <v>58</v>
      </c>
      <c r="I73" s="112">
        <f>IFERROR(VLOOKUP($B73,MMWR_TRAD_AGG_STATE_PEN[],I$1,0),"ERROR")</f>
        <v>23</v>
      </c>
      <c r="J73" s="114">
        <f t="shared" si="9"/>
        <v>0.39655172413793105</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9</v>
      </c>
      <c r="R73" s="115">
        <f>IFERROR(VLOOKUP($B73,MMWR_TRAD_AGG_STATE_PEN[],R$1,0),"ERROR")</f>
        <v>19</v>
      </c>
      <c r="S73" s="115">
        <f>IFERROR(VLOOKUP($B73,MMWR_APP_STATE_PEN[],S$1,0),"ERROR")</f>
        <v>15</v>
      </c>
      <c r="T73" s="28"/>
    </row>
    <row r="74" spans="1:20" s="123" customFormat="1" x14ac:dyDescent="0.2">
      <c r="A74" s="28"/>
      <c r="B74" s="127" t="s">
        <v>417</v>
      </c>
      <c r="C74" s="109">
        <f>IFERROR(VLOOKUP($B74,MMWR_TRAD_AGG_STATE_PEN[],C$1,0),"ERROR")</f>
        <v>144</v>
      </c>
      <c r="D74" s="110">
        <f>IFERROR(VLOOKUP($B74,MMWR_TRAD_AGG_STATE_PEN[],D$1,0),"ERROR")</f>
        <v>95.388888888899999</v>
      </c>
      <c r="E74" s="111">
        <f>IFERROR(VLOOKUP($B74,MMWR_TRAD_AGG_STATE_PEN[],E$1,0),"ERROR")</f>
        <v>151</v>
      </c>
      <c r="F74" s="112">
        <f>IFERROR(VLOOKUP($B74,MMWR_TRAD_AGG_STATE_PEN[],F$1,0),"ERROR")</f>
        <v>26</v>
      </c>
      <c r="G74" s="113">
        <f t="shared" si="8"/>
        <v>0.17218543046357615</v>
      </c>
      <c r="H74" s="111">
        <f>IFERROR(VLOOKUP($B74,MMWR_TRAD_AGG_STATE_PEN[],H$1,0),"ERROR")</f>
        <v>188</v>
      </c>
      <c r="I74" s="112">
        <f>IFERROR(VLOOKUP($B74,MMWR_TRAD_AGG_STATE_PEN[],I$1,0),"ERROR")</f>
        <v>59</v>
      </c>
      <c r="J74" s="114">
        <f t="shared" si="9"/>
        <v>0.31382978723404253</v>
      </c>
      <c r="K74" s="111">
        <f>IFERROR(VLOOKUP($B74,MMWR_TRAD_AGG_STATE_PEN[],K$1,0),"ERROR")</f>
        <v>1</v>
      </c>
      <c r="L74" s="112">
        <f>IFERROR(VLOOKUP($B74,MMWR_TRAD_AGG_STATE_PEN[],L$1,0),"ERROR")</f>
        <v>1</v>
      </c>
      <c r="M74" s="114">
        <f t="shared" si="10"/>
        <v>1</v>
      </c>
      <c r="N74" s="111">
        <f>IFERROR(VLOOKUP($B74,MMWR_TRAD_AGG_STATE_PEN[],N$1,0),"ERROR")</f>
        <v>5</v>
      </c>
      <c r="O74" s="112">
        <f>IFERROR(VLOOKUP($B74,MMWR_TRAD_AGG_STATE_PEN[],O$1,0),"ERROR")</f>
        <v>2</v>
      </c>
      <c r="P74" s="114">
        <f t="shared" si="11"/>
        <v>0.4</v>
      </c>
      <c r="Q74" s="115">
        <f>IFERROR(VLOOKUP($B74,MMWR_TRAD_AGG_STATE_PEN[],Q$1,0),"ERROR")</f>
        <v>20</v>
      </c>
      <c r="R74" s="115">
        <f>IFERROR(VLOOKUP($B74,MMWR_TRAD_AGG_STATE_PEN[],R$1,0),"ERROR")</f>
        <v>34</v>
      </c>
      <c r="S74" s="115">
        <f>IFERROR(VLOOKUP($B74,MMWR_APP_STATE_PEN[],S$1,0),"ERROR")</f>
        <v>22</v>
      </c>
      <c r="T74" s="28"/>
    </row>
    <row r="75" spans="1:20" s="123" customFormat="1" x14ac:dyDescent="0.2">
      <c r="A75" s="28"/>
      <c r="B75" s="127" t="s">
        <v>377</v>
      </c>
      <c r="C75" s="109">
        <f>IFERROR(VLOOKUP($B75,MMWR_TRAD_AGG_STATE_PEN[],C$1,0),"ERROR")</f>
        <v>367</v>
      </c>
      <c r="D75" s="110">
        <f>IFERROR(VLOOKUP($B75,MMWR_TRAD_AGG_STATE_PEN[],D$1,0),"ERROR")</f>
        <v>97.256130790200004</v>
      </c>
      <c r="E75" s="111">
        <f>IFERROR(VLOOKUP($B75,MMWR_TRAD_AGG_STATE_PEN[],E$1,0),"ERROR")</f>
        <v>635</v>
      </c>
      <c r="F75" s="112">
        <f>IFERROR(VLOOKUP($B75,MMWR_TRAD_AGG_STATE_PEN[],F$1,0),"ERROR")</f>
        <v>136</v>
      </c>
      <c r="G75" s="113">
        <f t="shared" si="8"/>
        <v>0.21417322834645669</v>
      </c>
      <c r="H75" s="111">
        <f>IFERROR(VLOOKUP($B75,MMWR_TRAD_AGG_STATE_PEN[],H$1,0),"ERROR")</f>
        <v>486</v>
      </c>
      <c r="I75" s="112">
        <f>IFERROR(VLOOKUP($B75,MMWR_TRAD_AGG_STATE_PEN[],I$1,0),"ERROR")</f>
        <v>159</v>
      </c>
      <c r="J75" s="114">
        <f t="shared" si="9"/>
        <v>0.3271604938271605</v>
      </c>
      <c r="K75" s="111">
        <f>IFERROR(VLOOKUP($B75,MMWR_TRAD_AGG_STATE_PEN[],K$1,0),"ERROR")</f>
        <v>11</v>
      </c>
      <c r="L75" s="112">
        <f>IFERROR(VLOOKUP($B75,MMWR_TRAD_AGG_STATE_PEN[],L$1,0),"ERROR")</f>
        <v>10</v>
      </c>
      <c r="M75" s="114">
        <f t="shared" si="10"/>
        <v>0.90909090909090906</v>
      </c>
      <c r="N75" s="111">
        <f>IFERROR(VLOOKUP($B75,MMWR_TRAD_AGG_STATE_PEN[],N$1,0),"ERROR")</f>
        <v>42</v>
      </c>
      <c r="O75" s="112">
        <f>IFERROR(VLOOKUP($B75,MMWR_TRAD_AGG_STATE_PEN[],O$1,0),"ERROR")</f>
        <v>18</v>
      </c>
      <c r="P75" s="114">
        <f t="shared" si="11"/>
        <v>0.42857142857142855</v>
      </c>
      <c r="Q75" s="115">
        <f>IFERROR(VLOOKUP($B75,MMWR_TRAD_AGG_STATE_PEN[],Q$1,0),"ERROR")</f>
        <v>47</v>
      </c>
      <c r="R75" s="115">
        <f>IFERROR(VLOOKUP($B75,MMWR_TRAD_AGG_STATE_PEN[],R$1,0),"ERROR")</f>
        <v>166</v>
      </c>
      <c r="S75" s="115">
        <f>IFERROR(VLOOKUP($B75,MMWR_APP_STATE_PEN[],S$1,0),"ERROR")</f>
        <v>86</v>
      </c>
      <c r="T75" s="28"/>
    </row>
    <row r="76" spans="1:20" s="123" customFormat="1" x14ac:dyDescent="0.2">
      <c r="A76" s="28"/>
      <c r="B76" s="127" t="s">
        <v>372</v>
      </c>
      <c r="C76" s="109">
        <f>IFERROR(VLOOKUP($B76,MMWR_TRAD_AGG_STATE_PEN[],C$1,0),"ERROR")</f>
        <v>413</v>
      </c>
      <c r="D76" s="110">
        <f>IFERROR(VLOOKUP($B76,MMWR_TRAD_AGG_STATE_PEN[],D$1,0),"ERROR")</f>
        <v>99.552058111400001</v>
      </c>
      <c r="E76" s="111">
        <f>IFERROR(VLOOKUP($B76,MMWR_TRAD_AGG_STATE_PEN[],E$1,0),"ERROR")</f>
        <v>665</v>
      </c>
      <c r="F76" s="112">
        <f>IFERROR(VLOOKUP($B76,MMWR_TRAD_AGG_STATE_PEN[],F$1,0),"ERROR")</f>
        <v>158</v>
      </c>
      <c r="G76" s="113">
        <f t="shared" si="8"/>
        <v>0.23759398496240602</v>
      </c>
      <c r="H76" s="111">
        <f>IFERROR(VLOOKUP($B76,MMWR_TRAD_AGG_STATE_PEN[],H$1,0),"ERROR")</f>
        <v>537</v>
      </c>
      <c r="I76" s="112">
        <f>IFERROR(VLOOKUP($B76,MMWR_TRAD_AGG_STATE_PEN[],I$1,0),"ERROR")</f>
        <v>183</v>
      </c>
      <c r="J76" s="114">
        <f t="shared" si="9"/>
        <v>0.34078212290502791</v>
      </c>
      <c r="K76" s="111">
        <f>IFERROR(VLOOKUP($B76,MMWR_TRAD_AGG_STATE_PEN[],K$1,0),"ERROR")</f>
        <v>2</v>
      </c>
      <c r="L76" s="112">
        <f>IFERROR(VLOOKUP($B76,MMWR_TRAD_AGG_STATE_PEN[],L$1,0),"ERROR")</f>
        <v>2</v>
      </c>
      <c r="M76" s="114">
        <f t="shared" si="10"/>
        <v>1</v>
      </c>
      <c r="N76" s="111">
        <f>IFERROR(VLOOKUP($B76,MMWR_TRAD_AGG_STATE_PEN[],N$1,0),"ERROR")</f>
        <v>37</v>
      </c>
      <c r="O76" s="112">
        <f>IFERROR(VLOOKUP($B76,MMWR_TRAD_AGG_STATE_PEN[],O$1,0),"ERROR")</f>
        <v>10</v>
      </c>
      <c r="P76" s="114">
        <f t="shared" si="11"/>
        <v>0.27027027027027029</v>
      </c>
      <c r="Q76" s="115">
        <f>IFERROR(VLOOKUP($B76,MMWR_TRAD_AGG_STATE_PEN[],Q$1,0),"ERROR")</f>
        <v>45</v>
      </c>
      <c r="R76" s="115">
        <f>IFERROR(VLOOKUP($B76,MMWR_TRAD_AGG_STATE_PEN[],R$1,0),"ERROR")</f>
        <v>160</v>
      </c>
      <c r="S76" s="115">
        <f>IFERROR(VLOOKUP($B76,MMWR_APP_STATE_PEN[],S$1,0),"ERROR")</f>
        <v>104</v>
      </c>
      <c r="T76" s="28"/>
    </row>
    <row r="77" spans="1:20" s="123" customFormat="1" x14ac:dyDescent="0.2">
      <c r="A77" s="28"/>
      <c r="B77" s="127" t="s">
        <v>416</v>
      </c>
      <c r="C77" s="109">
        <f>IFERROR(VLOOKUP($B77,MMWR_TRAD_AGG_STATE_PEN[],C$1,0),"ERROR")</f>
        <v>111</v>
      </c>
      <c r="D77" s="110">
        <f>IFERROR(VLOOKUP($B77,MMWR_TRAD_AGG_STATE_PEN[],D$1,0),"ERROR")</f>
        <v>107.9369369369</v>
      </c>
      <c r="E77" s="111">
        <f>IFERROR(VLOOKUP($B77,MMWR_TRAD_AGG_STATE_PEN[],E$1,0),"ERROR")</f>
        <v>167</v>
      </c>
      <c r="F77" s="112">
        <f>IFERROR(VLOOKUP($B77,MMWR_TRAD_AGG_STATE_PEN[],F$1,0),"ERROR")</f>
        <v>39</v>
      </c>
      <c r="G77" s="113">
        <f t="shared" si="8"/>
        <v>0.23353293413173654</v>
      </c>
      <c r="H77" s="111">
        <f>IFERROR(VLOOKUP($B77,MMWR_TRAD_AGG_STATE_PEN[],H$1,0),"ERROR")</f>
        <v>152</v>
      </c>
      <c r="I77" s="112">
        <f>IFERROR(VLOOKUP($B77,MMWR_TRAD_AGG_STATE_PEN[],I$1,0),"ERROR")</f>
        <v>55</v>
      </c>
      <c r="J77" s="114">
        <f t="shared" si="9"/>
        <v>0.36184210526315791</v>
      </c>
      <c r="K77" s="111">
        <f>IFERROR(VLOOKUP($B77,MMWR_TRAD_AGG_STATE_PEN[],K$1,0),"ERROR")</f>
        <v>0</v>
      </c>
      <c r="L77" s="112">
        <f>IFERROR(VLOOKUP($B77,MMWR_TRAD_AGG_STATE_PEN[],L$1,0),"ERROR")</f>
        <v>0</v>
      </c>
      <c r="M77" s="114" t="str">
        <f t="shared" si="10"/>
        <v>0%</v>
      </c>
      <c r="N77" s="111">
        <f>IFERROR(VLOOKUP($B77,MMWR_TRAD_AGG_STATE_PEN[],N$1,0),"ERROR")</f>
        <v>14</v>
      </c>
      <c r="O77" s="112">
        <f>IFERROR(VLOOKUP($B77,MMWR_TRAD_AGG_STATE_PEN[],O$1,0),"ERROR")</f>
        <v>3</v>
      </c>
      <c r="P77" s="114">
        <f t="shared" si="11"/>
        <v>0.21428571428571427</v>
      </c>
      <c r="Q77" s="115">
        <f>IFERROR(VLOOKUP($B77,MMWR_TRAD_AGG_STATE_PEN[],Q$1,0),"ERROR")</f>
        <v>10</v>
      </c>
      <c r="R77" s="115">
        <f>IFERROR(VLOOKUP($B77,MMWR_TRAD_AGG_STATE_PEN[],R$1,0),"ERROR")</f>
        <v>35</v>
      </c>
      <c r="S77" s="115">
        <f>IFERROR(VLOOKUP($B77,MMWR_APP_STATE_PEN[],S$1,0),"ERROR")</f>
        <v>15</v>
      </c>
      <c r="T77" s="28"/>
    </row>
    <row r="78" spans="1:20" s="123" customFormat="1" x14ac:dyDescent="0.2">
      <c r="A78" s="28"/>
      <c r="B78" s="127" t="s">
        <v>375</v>
      </c>
      <c r="C78" s="109">
        <f>IFERROR(VLOOKUP($B78,MMWR_TRAD_AGG_STATE_PEN[],C$1,0),"ERROR")</f>
        <v>486</v>
      </c>
      <c r="D78" s="110">
        <f>IFERROR(VLOOKUP($B78,MMWR_TRAD_AGG_STATE_PEN[],D$1,0),"ERROR")</f>
        <v>99.343621399200003</v>
      </c>
      <c r="E78" s="111">
        <f>IFERROR(VLOOKUP($B78,MMWR_TRAD_AGG_STATE_PEN[],E$1,0),"ERROR")</f>
        <v>798</v>
      </c>
      <c r="F78" s="112">
        <f>IFERROR(VLOOKUP($B78,MMWR_TRAD_AGG_STATE_PEN[],F$1,0),"ERROR")</f>
        <v>190</v>
      </c>
      <c r="G78" s="113">
        <f t="shared" si="8"/>
        <v>0.23809523809523808</v>
      </c>
      <c r="H78" s="111">
        <f>IFERROR(VLOOKUP($B78,MMWR_TRAD_AGG_STATE_PEN[],H$1,0),"ERROR")</f>
        <v>609</v>
      </c>
      <c r="I78" s="112">
        <f>IFERROR(VLOOKUP($B78,MMWR_TRAD_AGG_STATE_PEN[],I$1,0),"ERROR")</f>
        <v>226</v>
      </c>
      <c r="J78" s="114">
        <f t="shared" si="9"/>
        <v>0.37110016420361247</v>
      </c>
      <c r="K78" s="111">
        <f>IFERROR(VLOOKUP($B78,MMWR_TRAD_AGG_STATE_PEN[],K$1,0),"ERROR")</f>
        <v>3</v>
      </c>
      <c r="L78" s="112">
        <f>IFERROR(VLOOKUP($B78,MMWR_TRAD_AGG_STATE_PEN[],L$1,0),"ERROR")</f>
        <v>3</v>
      </c>
      <c r="M78" s="114">
        <f t="shared" si="10"/>
        <v>1</v>
      </c>
      <c r="N78" s="111">
        <f>IFERROR(VLOOKUP($B78,MMWR_TRAD_AGG_STATE_PEN[],N$1,0),"ERROR")</f>
        <v>40</v>
      </c>
      <c r="O78" s="112">
        <f>IFERROR(VLOOKUP($B78,MMWR_TRAD_AGG_STATE_PEN[],O$1,0),"ERROR")</f>
        <v>11</v>
      </c>
      <c r="P78" s="114">
        <f t="shared" si="11"/>
        <v>0.27500000000000002</v>
      </c>
      <c r="Q78" s="115">
        <f>IFERROR(VLOOKUP($B78,MMWR_TRAD_AGG_STATE_PEN[],Q$1,0),"ERROR")</f>
        <v>53</v>
      </c>
      <c r="R78" s="115">
        <f>IFERROR(VLOOKUP($B78,MMWR_TRAD_AGG_STATE_PEN[],R$1,0),"ERROR")</f>
        <v>199</v>
      </c>
      <c r="S78" s="115">
        <f>IFERROR(VLOOKUP($B78,MMWR_APP_STATE_PEN[],S$1,0),"ERROR")</f>
        <v>167</v>
      </c>
      <c r="T78" s="28"/>
    </row>
    <row r="79" spans="1:20" s="123" customFormat="1" x14ac:dyDescent="0.2">
      <c r="A79" s="28"/>
      <c r="B79" s="127" t="s">
        <v>60</v>
      </c>
      <c r="C79" s="109">
        <f>IFERROR(VLOOKUP($B79,MMWR_TRAD_AGG_STATE_PEN[],C$1,0),"ERROR")</f>
        <v>1301</v>
      </c>
      <c r="D79" s="110">
        <f>IFERROR(VLOOKUP($B79,MMWR_TRAD_AGG_STATE_PEN[],D$1,0),"ERROR")</f>
        <v>98.141429669499999</v>
      </c>
      <c r="E79" s="111">
        <f>IFERROR(VLOOKUP($B79,MMWR_TRAD_AGG_STATE_PEN[],E$1,0),"ERROR")</f>
        <v>2226</v>
      </c>
      <c r="F79" s="112">
        <f>IFERROR(VLOOKUP($B79,MMWR_TRAD_AGG_STATE_PEN[],F$1,0),"ERROR")</f>
        <v>584</v>
      </c>
      <c r="G79" s="113">
        <f t="shared" si="8"/>
        <v>0.26235399820305483</v>
      </c>
      <c r="H79" s="111">
        <f>IFERROR(VLOOKUP($B79,MMWR_TRAD_AGG_STATE_PEN[],H$1,0),"ERROR")</f>
        <v>1768</v>
      </c>
      <c r="I79" s="112">
        <f>IFERROR(VLOOKUP($B79,MMWR_TRAD_AGG_STATE_PEN[],I$1,0),"ERROR")</f>
        <v>590</v>
      </c>
      <c r="J79" s="114">
        <f t="shared" si="9"/>
        <v>0.33371040723981898</v>
      </c>
      <c r="K79" s="111">
        <f>IFERROR(VLOOKUP($B79,MMWR_TRAD_AGG_STATE_PEN[],K$1,0),"ERROR")</f>
        <v>16</v>
      </c>
      <c r="L79" s="112">
        <f>IFERROR(VLOOKUP($B79,MMWR_TRAD_AGG_STATE_PEN[],L$1,0),"ERROR")</f>
        <v>15</v>
      </c>
      <c r="M79" s="114">
        <f t="shared" si="10"/>
        <v>0.9375</v>
      </c>
      <c r="N79" s="111">
        <f>IFERROR(VLOOKUP($B79,MMWR_TRAD_AGG_STATE_PEN[],N$1,0),"ERROR")</f>
        <v>75</v>
      </c>
      <c r="O79" s="112">
        <f>IFERROR(VLOOKUP($B79,MMWR_TRAD_AGG_STATE_PEN[],O$1,0),"ERROR")</f>
        <v>25</v>
      </c>
      <c r="P79" s="114">
        <f t="shared" si="11"/>
        <v>0.33333333333333331</v>
      </c>
      <c r="Q79" s="115">
        <f>IFERROR(VLOOKUP($B79,MMWR_TRAD_AGG_STATE_PEN[],Q$1,0),"ERROR")</f>
        <v>125</v>
      </c>
      <c r="R79" s="115">
        <f>IFERROR(VLOOKUP($B79,MMWR_TRAD_AGG_STATE_PEN[],R$1,0),"ERROR")</f>
        <v>374</v>
      </c>
      <c r="S79" s="115">
        <f>IFERROR(VLOOKUP($B79,MMWR_APP_STATE_PEN[],S$1,0),"ERROR")</f>
        <v>249</v>
      </c>
      <c r="T79" s="28"/>
    </row>
    <row r="80" spans="1:20" s="123" customFormat="1" x14ac:dyDescent="0.2">
      <c r="A80" s="28"/>
      <c r="B80" s="127" t="s">
        <v>383</v>
      </c>
      <c r="C80" s="109">
        <f>IFERROR(VLOOKUP($B80,MMWR_TRAD_AGG_STATE_PEN[],C$1,0),"ERROR")</f>
        <v>1651</v>
      </c>
      <c r="D80" s="110">
        <f>IFERROR(VLOOKUP($B80,MMWR_TRAD_AGG_STATE_PEN[],D$1,0),"ERROR")</f>
        <v>87.061780738899998</v>
      </c>
      <c r="E80" s="111">
        <f>IFERROR(VLOOKUP($B80,MMWR_TRAD_AGG_STATE_PEN[],E$1,0),"ERROR")</f>
        <v>1667</v>
      </c>
      <c r="F80" s="112">
        <f>IFERROR(VLOOKUP($B80,MMWR_TRAD_AGG_STATE_PEN[],F$1,0),"ERROR")</f>
        <v>401</v>
      </c>
      <c r="G80" s="113">
        <f t="shared" si="8"/>
        <v>0.24055188962207558</v>
      </c>
      <c r="H80" s="111">
        <f>IFERROR(VLOOKUP($B80,MMWR_TRAD_AGG_STATE_PEN[],H$1,0),"ERROR")</f>
        <v>2089</v>
      </c>
      <c r="I80" s="112">
        <f>IFERROR(VLOOKUP($B80,MMWR_TRAD_AGG_STATE_PEN[],I$1,0),"ERROR")</f>
        <v>571</v>
      </c>
      <c r="J80" s="114">
        <f t="shared" si="9"/>
        <v>0.273336524652944</v>
      </c>
      <c r="K80" s="111">
        <f>IFERROR(VLOOKUP($B80,MMWR_TRAD_AGG_STATE_PEN[],K$1,0),"ERROR")</f>
        <v>30</v>
      </c>
      <c r="L80" s="112">
        <f>IFERROR(VLOOKUP($B80,MMWR_TRAD_AGG_STATE_PEN[],L$1,0),"ERROR")</f>
        <v>29</v>
      </c>
      <c r="M80" s="114">
        <f t="shared" si="10"/>
        <v>0.96666666666666667</v>
      </c>
      <c r="N80" s="111">
        <f>IFERROR(VLOOKUP($B80,MMWR_TRAD_AGG_STATE_PEN[],N$1,0),"ERROR")</f>
        <v>110</v>
      </c>
      <c r="O80" s="112">
        <f>IFERROR(VLOOKUP($B80,MMWR_TRAD_AGG_STATE_PEN[],O$1,0),"ERROR")</f>
        <v>44</v>
      </c>
      <c r="P80" s="114">
        <f t="shared" si="11"/>
        <v>0.4</v>
      </c>
      <c r="Q80" s="115">
        <f>IFERROR(VLOOKUP($B80,MMWR_TRAD_AGG_STATE_PEN[],Q$1,0),"ERROR")</f>
        <v>196</v>
      </c>
      <c r="R80" s="115">
        <f>IFERROR(VLOOKUP($B80,MMWR_TRAD_AGG_STATE_PEN[],R$1,0),"ERROR")</f>
        <v>449</v>
      </c>
      <c r="S80" s="115">
        <f>IFERROR(VLOOKUP($B80,MMWR_APP_STATE_PEN[],S$1,0),"ERROR")</f>
        <v>205</v>
      </c>
      <c r="T80" s="28"/>
    </row>
    <row r="81" spans="1:20" s="123" customFormat="1" x14ac:dyDescent="0.2">
      <c r="A81" s="28"/>
      <c r="B81" s="127" t="s">
        <v>376</v>
      </c>
      <c r="C81" s="109">
        <f>IFERROR(VLOOKUP($B81,MMWR_TRAD_AGG_STATE_PEN[],C$1,0),"ERROR")</f>
        <v>1696</v>
      </c>
      <c r="D81" s="110">
        <f>IFERROR(VLOOKUP($B81,MMWR_TRAD_AGG_STATE_PEN[],D$1,0),"ERROR")</f>
        <v>95.493514150899998</v>
      </c>
      <c r="E81" s="111">
        <f>IFERROR(VLOOKUP($B81,MMWR_TRAD_AGG_STATE_PEN[],E$1,0),"ERROR")</f>
        <v>2737</v>
      </c>
      <c r="F81" s="112">
        <f>IFERROR(VLOOKUP($B81,MMWR_TRAD_AGG_STATE_PEN[],F$1,0),"ERROR")</f>
        <v>688</v>
      </c>
      <c r="G81" s="113">
        <f t="shared" si="8"/>
        <v>0.25137011326269637</v>
      </c>
      <c r="H81" s="111">
        <f>IFERROR(VLOOKUP($B81,MMWR_TRAD_AGG_STATE_PEN[],H$1,0),"ERROR")</f>
        <v>2328</v>
      </c>
      <c r="I81" s="112">
        <f>IFERROR(VLOOKUP($B81,MMWR_TRAD_AGG_STATE_PEN[],I$1,0),"ERROR")</f>
        <v>758</v>
      </c>
      <c r="J81" s="114">
        <f t="shared" si="9"/>
        <v>0.32560137457044674</v>
      </c>
      <c r="K81" s="111">
        <f>IFERROR(VLOOKUP($B81,MMWR_TRAD_AGG_STATE_PEN[],K$1,0),"ERROR")</f>
        <v>9</v>
      </c>
      <c r="L81" s="112">
        <f>IFERROR(VLOOKUP($B81,MMWR_TRAD_AGG_STATE_PEN[],L$1,0),"ERROR")</f>
        <v>8</v>
      </c>
      <c r="M81" s="114">
        <f t="shared" si="10"/>
        <v>0.88888888888888884</v>
      </c>
      <c r="N81" s="111">
        <f>IFERROR(VLOOKUP($B81,MMWR_TRAD_AGG_STATE_PEN[],N$1,0),"ERROR")</f>
        <v>130</v>
      </c>
      <c r="O81" s="112">
        <f>IFERROR(VLOOKUP($B81,MMWR_TRAD_AGG_STATE_PEN[],O$1,0),"ERROR")</f>
        <v>27</v>
      </c>
      <c r="P81" s="114">
        <f t="shared" si="11"/>
        <v>0.2076923076923077</v>
      </c>
      <c r="Q81" s="115">
        <f>IFERROR(VLOOKUP($B81,MMWR_TRAD_AGG_STATE_PEN[],Q$1,0),"ERROR")</f>
        <v>121</v>
      </c>
      <c r="R81" s="115">
        <f>IFERROR(VLOOKUP($B81,MMWR_TRAD_AGG_STATE_PEN[],R$1,0),"ERROR")</f>
        <v>478</v>
      </c>
      <c r="S81" s="115">
        <f>IFERROR(VLOOKUP($B81,MMWR_APP_STATE_PEN[],S$1,0),"ERROR")</f>
        <v>241</v>
      </c>
      <c r="T81" s="28"/>
    </row>
    <row r="82" spans="1:20" s="123" customFormat="1" x14ac:dyDescent="0.2">
      <c r="A82" s="28"/>
      <c r="B82" s="127" t="s">
        <v>373</v>
      </c>
      <c r="C82" s="109">
        <f>IFERROR(VLOOKUP($B82,MMWR_TRAD_AGG_STATE_PEN[],C$1,0),"ERROR")</f>
        <v>106</v>
      </c>
      <c r="D82" s="110">
        <f>IFERROR(VLOOKUP($B82,MMWR_TRAD_AGG_STATE_PEN[],D$1,0),"ERROR")</f>
        <v>80.584905660399997</v>
      </c>
      <c r="E82" s="111">
        <f>IFERROR(VLOOKUP($B82,MMWR_TRAD_AGG_STATE_PEN[],E$1,0),"ERROR")</f>
        <v>174</v>
      </c>
      <c r="F82" s="112">
        <f>IFERROR(VLOOKUP($B82,MMWR_TRAD_AGG_STATE_PEN[],F$1,0),"ERROR")</f>
        <v>38</v>
      </c>
      <c r="G82" s="113">
        <f t="shared" si="8"/>
        <v>0.21839080459770116</v>
      </c>
      <c r="H82" s="111">
        <f>IFERROR(VLOOKUP($B82,MMWR_TRAD_AGG_STATE_PEN[],H$1,0),"ERROR")</f>
        <v>147</v>
      </c>
      <c r="I82" s="112">
        <f>IFERROR(VLOOKUP($B82,MMWR_TRAD_AGG_STATE_PEN[],I$1,0),"ERROR")</f>
        <v>39</v>
      </c>
      <c r="J82" s="114">
        <f t="shared" si="9"/>
        <v>0.26530612244897961</v>
      </c>
      <c r="K82" s="111">
        <f>IFERROR(VLOOKUP($B82,MMWR_TRAD_AGG_STATE_PEN[],K$1,0),"ERROR")</f>
        <v>1</v>
      </c>
      <c r="L82" s="112">
        <f>IFERROR(VLOOKUP($B82,MMWR_TRAD_AGG_STATE_PEN[],L$1,0),"ERROR")</f>
        <v>1</v>
      </c>
      <c r="M82" s="114">
        <f t="shared" si="10"/>
        <v>1</v>
      </c>
      <c r="N82" s="111">
        <f>IFERROR(VLOOKUP($B82,MMWR_TRAD_AGG_STATE_PEN[],N$1,0),"ERROR")</f>
        <v>20</v>
      </c>
      <c r="O82" s="112">
        <f>IFERROR(VLOOKUP($B82,MMWR_TRAD_AGG_STATE_PEN[],O$1,0),"ERROR")</f>
        <v>7</v>
      </c>
      <c r="P82" s="114">
        <f t="shared" si="11"/>
        <v>0.35</v>
      </c>
      <c r="Q82" s="115">
        <f>IFERROR(VLOOKUP($B82,MMWR_TRAD_AGG_STATE_PEN[],Q$1,0),"ERROR")</f>
        <v>12</v>
      </c>
      <c r="R82" s="115">
        <f>IFERROR(VLOOKUP($B82,MMWR_TRAD_AGG_STATE_PEN[],R$1,0),"ERROR")</f>
        <v>30</v>
      </c>
      <c r="S82" s="115">
        <f>IFERROR(VLOOKUP($B82,MMWR_APP_STATE_PEN[],S$1,0),"ERROR")</f>
        <v>18</v>
      </c>
      <c r="T82" s="28"/>
    </row>
    <row r="83" spans="1:20" s="123" customFormat="1" x14ac:dyDescent="0.2">
      <c r="A83" s="28"/>
      <c r="B83" s="127" t="s">
        <v>418</v>
      </c>
      <c r="C83" s="109">
        <f>IFERROR(VLOOKUP($B83,MMWR_TRAD_AGG_STATE_PEN[],C$1,0),"ERROR")</f>
        <v>41</v>
      </c>
      <c r="D83" s="110">
        <f>IFERROR(VLOOKUP($B83,MMWR_TRAD_AGG_STATE_PEN[],D$1,0),"ERROR")</f>
        <v>75.121951219500005</v>
      </c>
      <c r="E83" s="111">
        <f>IFERROR(VLOOKUP($B83,MMWR_TRAD_AGG_STATE_PEN[],E$1,0),"ERROR")</f>
        <v>55</v>
      </c>
      <c r="F83" s="112">
        <f>IFERROR(VLOOKUP($B83,MMWR_TRAD_AGG_STATE_PEN[],F$1,0),"ERROR")</f>
        <v>7</v>
      </c>
      <c r="G83" s="113">
        <f t="shared" si="8"/>
        <v>0.12727272727272726</v>
      </c>
      <c r="H83" s="111">
        <f>IFERROR(VLOOKUP($B83,MMWR_TRAD_AGG_STATE_PEN[],H$1,0),"ERROR")</f>
        <v>46</v>
      </c>
      <c r="I83" s="112">
        <f>IFERROR(VLOOKUP($B83,MMWR_TRAD_AGG_STATE_PEN[],I$1,0),"ERROR")</f>
        <v>6</v>
      </c>
      <c r="J83" s="114">
        <f t="shared" si="9"/>
        <v>0.13043478260869565</v>
      </c>
      <c r="K83" s="111">
        <f>IFERROR(VLOOKUP($B83,MMWR_TRAD_AGG_STATE_PEN[],K$1,0),"ERROR")</f>
        <v>0</v>
      </c>
      <c r="L83" s="112">
        <f>IFERROR(VLOOKUP($B83,MMWR_TRAD_AGG_STATE_PEN[],L$1,0),"ERROR")</f>
        <v>0</v>
      </c>
      <c r="M83" s="114" t="str">
        <f t="shared" si="10"/>
        <v>0%</v>
      </c>
      <c r="N83" s="111">
        <f>IFERROR(VLOOKUP($B83,MMWR_TRAD_AGG_STATE_PEN[],N$1,0),"ERROR")</f>
        <v>4</v>
      </c>
      <c r="O83" s="112">
        <f>IFERROR(VLOOKUP($B83,MMWR_TRAD_AGG_STATE_PEN[],O$1,0),"ERROR")</f>
        <v>0</v>
      </c>
      <c r="P83" s="114">
        <f t="shared" si="11"/>
        <v>0</v>
      </c>
      <c r="Q83" s="115">
        <f>IFERROR(VLOOKUP($B83,MMWR_TRAD_AGG_STATE_PEN[],Q$1,0),"ERROR")</f>
        <v>6</v>
      </c>
      <c r="R83" s="115">
        <f>IFERROR(VLOOKUP($B83,MMWR_TRAD_AGG_STATE_PEN[],R$1,0),"ERROR")</f>
        <v>13</v>
      </c>
      <c r="S83" s="115">
        <f>IFERROR(VLOOKUP($B83,MMWR_APP_STATE_PEN[],S$1,0),"ERROR")</f>
        <v>9</v>
      </c>
      <c r="T83" s="28"/>
    </row>
    <row r="84" spans="1:20" s="123" customFormat="1" x14ac:dyDescent="0.2">
      <c r="A84" s="28"/>
      <c r="B84" s="127" t="s">
        <v>379</v>
      </c>
      <c r="C84" s="109">
        <f>IFERROR(VLOOKUP($B84,MMWR_TRAD_AGG_STATE_PEN[],C$1,0),"ERROR")</f>
        <v>885</v>
      </c>
      <c r="D84" s="110">
        <f>IFERROR(VLOOKUP($B84,MMWR_TRAD_AGG_STATE_PEN[],D$1,0),"ERROR")</f>
        <v>89.466666666699993</v>
      </c>
      <c r="E84" s="111">
        <f>IFERROR(VLOOKUP($B84,MMWR_TRAD_AGG_STATE_PEN[],E$1,0),"ERROR")</f>
        <v>863</v>
      </c>
      <c r="F84" s="112">
        <f>IFERROR(VLOOKUP($B84,MMWR_TRAD_AGG_STATE_PEN[],F$1,0),"ERROR")</f>
        <v>197</v>
      </c>
      <c r="G84" s="113">
        <f t="shared" si="8"/>
        <v>0.22827346465816917</v>
      </c>
      <c r="H84" s="111">
        <f>IFERROR(VLOOKUP($B84,MMWR_TRAD_AGG_STATE_PEN[],H$1,0),"ERROR")</f>
        <v>1123</v>
      </c>
      <c r="I84" s="112">
        <f>IFERROR(VLOOKUP($B84,MMWR_TRAD_AGG_STATE_PEN[],I$1,0),"ERROR")</f>
        <v>334</v>
      </c>
      <c r="J84" s="114">
        <f t="shared" si="9"/>
        <v>0.29741763134461263</v>
      </c>
      <c r="K84" s="111">
        <f>IFERROR(VLOOKUP($B84,MMWR_TRAD_AGG_STATE_PEN[],K$1,0),"ERROR")</f>
        <v>143</v>
      </c>
      <c r="L84" s="112">
        <f>IFERROR(VLOOKUP($B84,MMWR_TRAD_AGG_STATE_PEN[],L$1,0),"ERROR")</f>
        <v>141</v>
      </c>
      <c r="M84" s="114">
        <f t="shared" si="10"/>
        <v>0.98601398601398604</v>
      </c>
      <c r="N84" s="111">
        <f>IFERROR(VLOOKUP($B84,MMWR_TRAD_AGG_STATE_PEN[],N$1,0),"ERROR")</f>
        <v>60</v>
      </c>
      <c r="O84" s="112">
        <f>IFERROR(VLOOKUP($B84,MMWR_TRAD_AGG_STATE_PEN[],O$1,0),"ERROR")</f>
        <v>24</v>
      </c>
      <c r="P84" s="114">
        <f t="shared" si="11"/>
        <v>0.4</v>
      </c>
      <c r="Q84" s="115">
        <f>IFERROR(VLOOKUP($B84,MMWR_TRAD_AGG_STATE_PEN[],Q$1,0),"ERROR")</f>
        <v>125</v>
      </c>
      <c r="R84" s="115">
        <f>IFERROR(VLOOKUP($B84,MMWR_TRAD_AGG_STATE_PEN[],R$1,0),"ERROR")</f>
        <v>326</v>
      </c>
      <c r="S84" s="115">
        <f>IFERROR(VLOOKUP($B84,MMWR_APP_STATE_PEN[],S$1,0),"ERROR")</f>
        <v>162</v>
      </c>
      <c r="T84" s="28"/>
    </row>
    <row r="85" spans="1:20" s="123" customFormat="1" x14ac:dyDescent="0.2">
      <c r="A85" s="28"/>
      <c r="B85" s="127" t="s">
        <v>380</v>
      </c>
      <c r="C85" s="109">
        <f>IFERROR(VLOOKUP($B85,MMWR_TRAD_AGG_STATE_PEN[],C$1,0),"ERROR")</f>
        <v>295</v>
      </c>
      <c r="D85" s="110">
        <f>IFERROR(VLOOKUP($B85,MMWR_TRAD_AGG_STATE_PEN[],D$1,0),"ERROR")</f>
        <v>90.884745762700007</v>
      </c>
      <c r="E85" s="111">
        <f>IFERROR(VLOOKUP($B85,MMWR_TRAD_AGG_STATE_PEN[],E$1,0),"ERROR")</f>
        <v>294</v>
      </c>
      <c r="F85" s="112">
        <f>IFERROR(VLOOKUP($B85,MMWR_TRAD_AGG_STATE_PEN[],F$1,0),"ERROR")</f>
        <v>57</v>
      </c>
      <c r="G85" s="113">
        <f t="shared" si="8"/>
        <v>0.19387755102040816</v>
      </c>
      <c r="H85" s="111">
        <f>IFERROR(VLOOKUP($B85,MMWR_TRAD_AGG_STATE_PEN[],H$1,0),"ERROR")</f>
        <v>372</v>
      </c>
      <c r="I85" s="112">
        <f>IFERROR(VLOOKUP($B85,MMWR_TRAD_AGG_STATE_PEN[],I$1,0),"ERROR")</f>
        <v>105</v>
      </c>
      <c r="J85" s="114">
        <f t="shared" si="9"/>
        <v>0.28225806451612906</v>
      </c>
      <c r="K85" s="111">
        <f>IFERROR(VLOOKUP($B85,MMWR_TRAD_AGG_STATE_PEN[],K$1,0),"ERROR")</f>
        <v>0</v>
      </c>
      <c r="L85" s="112">
        <f>IFERROR(VLOOKUP($B85,MMWR_TRAD_AGG_STATE_PEN[],L$1,0),"ERROR")</f>
        <v>0</v>
      </c>
      <c r="M85" s="114" t="str">
        <f t="shared" si="10"/>
        <v>0%</v>
      </c>
      <c r="N85" s="111">
        <f>IFERROR(VLOOKUP($B85,MMWR_TRAD_AGG_STATE_PEN[],N$1,0),"ERROR")</f>
        <v>17</v>
      </c>
      <c r="O85" s="112">
        <f>IFERROR(VLOOKUP($B85,MMWR_TRAD_AGG_STATE_PEN[],O$1,0),"ERROR")</f>
        <v>9</v>
      </c>
      <c r="P85" s="114">
        <f t="shared" si="11"/>
        <v>0.52941176470588236</v>
      </c>
      <c r="Q85" s="115">
        <f>IFERROR(VLOOKUP($B85,MMWR_TRAD_AGG_STATE_PEN[],Q$1,0),"ERROR")</f>
        <v>43</v>
      </c>
      <c r="R85" s="115">
        <f>IFERROR(VLOOKUP($B85,MMWR_TRAD_AGG_STATE_PEN[],R$1,0),"ERROR")</f>
        <v>80</v>
      </c>
      <c r="S85" s="115">
        <f>IFERROR(VLOOKUP($B85,MMWR_APP_STATE_PEN[],S$1,0),"ERROR")</f>
        <v>46</v>
      </c>
      <c r="T85" s="28"/>
    </row>
    <row r="86" spans="1:20" s="123" customFormat="1" x14ac:dyDescent="0.2">
      <c r="A86" s="28"/>
      <c r="B86" s="126" t="s">
        <v>391</v>
      </c>
      <c r="C86" s="102">
        <f>IFERROR(VLOOKUP($B86,MMWR_TRAD_AGG_ST_DISTRICT_PEN[],C$1,0),"ERROR")</f>
        <v>3680</v>
      </c>
      <c r="D86" s="103">
        <f>IFERROR(VLOOKUP($B86,MMWR_TRAD_AGG_ST_DISTRICT_PEN[],D$1,0),"ERROR")</f>
        <v>48.111956521700002</v>
      </c>
      <c r="E86" s="102">
        <f>IFERROR(VLOOKUP($B86,MMWR_TRAD_AGG_ST_DISTRICT_PEN[],E$1,0),"ERROR")</f>
        <v>5606</v>
      </c>
      <c r="F86" s="102">
        <f>IFERROR(VLOOKUP($B86,MMWR_TRAD_AGG_ST_DISTRICT_PEN[],F$1,0),"ERROR")</f>
        <v>634</v>
      </c>
      <c r="G86" s="104">
        <f t="shared" si="8"/>
        <v>0.11309311452015698</v>
      </c>
      <c r="H86" s="102">
        <f>IFERROR(VLOOKUP($B86,MMWR_TRAD_AGG_ST_DISTRICT_PEN[],H$1,0),"ERROR")</f>
        <v>5153</v>
      </c>
      <c r="I86" s="102">
        <f>IFERROR(VLOOKUP($B86,MMWR_TRAD_AGG_ST_DISTRICT_PEN[],I$1,0),"ERROR")</f>
        <v>280</v>
      </c>
      <c r="J86" s="104">
        <f t="shared" si="9"/>
        <v>5.4337279254803028E-2</v>
      </c>
      <c r="K86" s="102">
        <f>IFERROR(VLOOKUP($B86,MMWR_TRAD_AGG_ST_DISTRICT_PEN[],K$1,0),"ERROR")</f>
        <v>15</v>
      </c>
      <c r="L86" s="102">
        <f>IFERROR(VLOOKUP($B86,MMWR_TRAD_AGG_ST_DISTRICT_PEN[],L$1,0),"ERROR")</f>
        <v>12</v>
      </c>
      <c r="M86" s="104">
        <f t="shared" si="10"/>
        <v>0.8</v>
      </c>
      <c r="N86" s="102">
        <f>IFERROR(VLOOKUP($B86,MMWR_TRAD_AGG_ST_DISTRICT_PEN[],N$1,0),"ERROR")</f>
        <v>272</v>
      </c>
      <c r="O86" s="102">
        <f>IFERROR(VLOOKUP($B86,MMWR_TRAD_AGG_ST_DISTRICT_PEN[],O$1,0),"ERROR")</f>
        <v>76</v>
      </c>
      <c r="P86" s="104">
        <f t="shared" si="11"/>
        <v>0.27941176470588236</v>
      </c>
      <c r="Q86" s="102">
        <f>IFERROR(VLOOKUP($B86,MMWR_TRAD_AGG_ST_DISTRICT_PEN[],Q$1,0),"ERROR")</f>
        <v>2064</v>
      </c>
      <c r="R86" s="106">
        <f>IFERROR(VLOOKUP($B86,MMWR_TRAD_AGG_ST_DISTRICT_PEN[],R$1,0),"ERROR")</f>
        <v>593</v>
      </c>
      <c r="S86" s="106">
        <f>IFERROR(VLOOKUP($B86,MMWR_APP_STATE_PEN[],S$1,0),"ERROR")</f>
        <v>1597</v>
      </c>
      <c r="T86" s="28"/>
    </row>
    <row r="87" spans="1:20" s="123" customFormat="1" x14ac:dyDescent="0.2">
      <c r="A87" s="28"/>
      <c r="B87" s="127" t="s">
        <v>395</v>
      </c>
      <c r="C87" s="109">
        <f>IFERROR(VLOOKUP($B87,MMWR_TRAD_AGG_STATE_PEN[],C$1,0),"ERROR")</f>
        <v>470</v>
      </c>
      <c r="D87" s="110">
        <f>IFERROR(VLOOKUP($B87,MMWR_TRAD_AGG_STATE_PEN[],D$1,0),"ERROR")</f>
        <v>53.880851063800002</v>
      </c>
      <c r="E87" s="111">
        <f>IFERROR(VLOOKUP($B87,MMWR_TRAD_AGG_STATE_PEN[],E$1,0),"ERROR")</f>
        <v>843</v>
      </c>
      <c r="F87" s="112">
        <f>IFERROR(VLOOKUP($B87,MMWR_TRAD_AGG_STATE_PEN[],F$1,0),"ERROR")</f>
        <v>107</v>
      </c>
      <c r="G87" s="113">
        <f t="shared" si="8"/>
        <v>0.12692763938315541</v>
      </c>
      <c r="H87" s="111">
        <f>IFERROR(VLOOKUP($B87,MMWR_TRAD_AGG_STATE_PEN[],H$1,0),"ERROR")</f>
        <v>658</v>
      </c>
      <c r="I87" s="112">
        <f>IFERROR(VLOOKUP($B87,MMWR_TRAD_AGG_STATE_PEN[],I$1,0),"ERROR")</f>
        <v>41</v>
      </c>
      <c r="J87" s="114">
        <f t="shared" si="9"/>
        <v>6.231003039513678E-2</v>
      </c>
      <c r="K87" s="111">
        <f>IFERROR(VLOOKUP($B87,MMWR_TRAD_AGG_STATE_PEN[],K$1,0),"ERROR")</f>
        <v>1</v>
      </c>
      <c r="L87" s="112">
        <f>IFERROR(VLOOKUP($B87,MMWR_TRAD_AGG_STATE_PEN[],L$1,0),"ERROR")</f>
        <v>1</v>
      </c>
      <c r="M87" s="114">
        <f t="shared" si="10"/>
        <v>1</v>
      </c>
      <c r="N87" s="111">
        <f>IFERROR(VLOOKUP($B87,MMWR_TRAD_AGG_STATE_PEN[],N$1,0),"ERROR")</f>
        <v>40</v>
      </c>
      <c r="O87" s="112">
        <f>IFERROR(VLOOKUP($B87,MMWR_TRAD_AGG_STATE_PEN[],O$1,0),"ERROR")</f>
        <v>11</v>
      </c>
      <c r="P87" s="114">
        <f t="shared" si="11"/>
        <v>0.27500000000000002</v>
      </c>
      <c r="Q87" s="115">
        <f>IFERROR(VLOOKUP($B87,MMWR_TRAD_AGG_STATE_PEN[],Q$1,0),"ERROR")</f>
        <v>97</v>
      </c>
      <c r="R87" s="115">
        <f>IFERROR(VLOOKUP($B87,MMWR_TRAD_AGG_STATE_PEN[],R$1,0),"ERROR")</f>
        <v>117</v>
      </c>
      <c r="S87" s="115">
        <f>IFERROR(VLOOKUP($B87,MMWR_APP_STATE_PEN[],S$1,0),"ERROR")</f>
        <v>349</v>
      </c>
      <c r="T87" s="28"/>
    </row>
    <row r="88" spans="1:20" s="123" customFormat="1" x14ac:dyDescent="0.2">
      <c r="A88" s="28"/>
      <c r="B88" s="127" t="s">
        <v>393</v>
      </c>
      <c r="C88" s="109">
        <f>IFERROR(VLOOKUP($B88,MMWR_TRAD_AGG_STATE_PEN[],C$1,0),"ERROR")</f>
        <v>341</v>
      </c>
      <c r="D88" s="110">
        <f>IFERROR(VLOOKUP($B88,MMWR_TRAD_AGG_STATE_PEN[],D$1,0),"ERROR")</f>
        <v>56.234604105599999</v>
      </c>
      <c r="E88" s="111">
        <f>IFERROR(VLOOKUP($B88,MMWR_TRAD_AGG_STATE_PEN[],E$1,0),"ERROR")</f>
        <v>607</v>
      </c>
      <c r="F88" s="112">
        <f>IFERROR(VLOOKUP($B88,MMWR_TRAD_AGG_STATE_PEN[],F$1,0),"ERROR")</f>
        <v>79</v>
      </c>
      <c r="G88" s="113">
        <f t="shared" si="8"/>
        <v>0.13014827018121911</v>
      </c>
      <c r="H88" s="111">
        <f>IFERROR(VLOOKUP($B88,MMWR_TRAD_AGG_STATE_PEN[],H$1,0),"ERROR")</f>
        <v>489</v>
      </c>
      <c r="I88" s="112">
        <f>IFERROR(VLOOKUP($B88,MMWR_TRAD_AGG_STATE_PEN[],I$1,0),"ERROR")</f>
        <v>34</v>
      </c>
      <c r="J88" s="114">
        <f t="shared" si="9"/>
        <v>6.9529652351738247E-2</v>
      </c>
      <c r="K88" s="111">
        <f>IFERROR(VLOOKUP($B88,MMWR_TRAD_AGG_STATE_PEN[],K$1,0),"ERROR")</f>
        <v>2</v>
      </c>
      <c r="L88" s="112">
        <f>IFERROR(VLOOKUP($B88,MMWR_TRAD_AGG_STATE_PEN[],L$1,0),"ERROR")</f>
        <v>2</v>
      </c>
      <c r="M88" s="114">
        <f t="shared" si="10"/>
        <v>1</v>
      </c>
      <c r="N88" s="111">
        <f>IFERROR(VLOOKUP($B88,MMWR_TRAD_AGG_STATE_PEN[],N$1,0),"ERROR")</f>
        <v>28</v>
      </c>
      <c r="O88" s="112">
        <f>IFERROR(VLOOKUP($B88,MMWR_TRAD_AGG_STATE_PEN[],O$1,0),"ERROR")</f>
        <v>8</v>
      </c>
      <c r="P88" s="114">
        <f t="shared" si="11"/>
        <v>0.2857142857142857</v>
      </c>
      <c r="Q88" s="115">
        <f>IFERROR(VLOOKUP($B88,MMWR_TRAD_AGG_STATE_PEN[],Q$1,0),"ERROR")</f>
        <v>62</v>
      </c>
      <c r="R88" s="115">
        <f>IFERROR(VLOOKUP($B88,MMWR_TRAD_AGG_STATE_PEN[],R$1,0),"ERROR")</f>
        <v>74</v>
      </c>
      <c r="S88" s="115">
        <f>IFERROR(VLOOKUP($B88,MMWR_APP_STATE_PEN[],S$1,0),"ERROR")</f>
        <v>167</v>
      </c>
      <c r="T88" s="28"/>
    </row>
    <row r="89" spans="1:20" s="123" customFormat="1" x14ac:dyDescent="0.2">
      <c r="A89" s="28"/>
      <c r="B89" s="127" t="s">
        <v>400</v>
      </c>
      <c r="C89" s="109">
        <f>IFERROR(VLOOKUP($B89,MMWR_TRAD_AGG_STATE_PEN[],C$1,0),"ERROR")</f>
        <v>152</v>
      </c>
      <c r="D89" s="110">
        <f>IFERROR(VLOOKUP($B89,MMWR_TRAD_AGG_STATE_PEN[],D$1,0),"ERROR")</f>
        <v>49.697368421100002</v>
      </c>
      <c r="E89" s="111">
        <f>IFERROR(VLOOKUP($B89,MMWR_TRAD_AGG_STATE_PEN[],E$1,0),"ERROR")</f>
        <v>270</v>
      </c>
      <c r="F89" s="112">
        <f>IFERROR(VLOOKUP($B89,MMWR_TRAD_AGG_STATE_PEN[],F$1,0),"ERROR")</f>
        <v>14</v>
      </c>
      <c r="G89" s="113">
        <f t="shared" si="8"/>
        <v>5.185185185185185E-2</v>
      </c>
      <c r="H89" s="111">
        <f>IFERROR(VLOOKUP($B89,MMWR_TRAD_AGG_STATE_PEN[],H$1,0),"ERROR")</f>
        <v>216</v>
      </c>
      <c r="I89" s="112">
        <f>IFERROR(VLOOKUP($B89,MMWR_TRAD_AGG_STATE_PEN[],I$1,0),"ERROR")</f>
        <v>8</v>
      </c>
      <c r="J89" s="114">
        <f t="shared" si="9"/>
        <v>3.7037037037037035E-2</v>
      </c>
      <c r="K89" s="111">
        <f>IFERROR(VLOOKUP($B89,MMWR_TRAD_AGG_STATE_PEN[],K$1,0),"ERROR")</f>
        <v>0</v>
      </c>
      <c r="L89" s="112">
        <f>IFERROR(VLOOKUP($B89,MMWR_TRAD_AGG_STATE_PEN[],L$1,0),"ERROR")</f>
        <v>0</v>
      </c>
      <c r="M89" s="114" t="str">
        <f t="shared" si="10"/>
        <v>0%</v>
      </c>
      <c r="N89" s="111">
        <f>IFERROR(VLOOKUP($B89,MMWR_TRAD_AGG_STATE_PEN[],N$1,0),"ERROR")</f>
        <v>4</v>
      </c>
      <c r="O89" s="112">
        <f>IFERROR(VLOOKUP($B89,MMWR_TRAD_AGG_STATE_PEN[],O$1,0),"ERROR")</f>
        <v>2</v>
      </c>
      <c r="P89" s="114">
        <f t="shared" si="11"/>
        <v>0.5</v>
      </c>
      <c r="Q89" s="115">
        <f>IFERROR(VLOOKUP($B89,MMWR_TRAD_AGG_STATE_PEN[],Q$1,0),"ERROR")</f>
        <v>310</v>
      </c>
      <c r="R89" s="115">
        <f>IFERROR(VLOOKUP($B89,MMWR_TRAD_AGG_STATE_PEN[],R$1,0),"ERROR")</f>
        <v>28</v>
      </c>
      <c r="S89" s="115">
        <f>IFERROR(VLOOKUP($B89,MMWR_APP_STATE_PEN[],S$1,0),"ERROR")</f>
        <v>28</v>
      </c>
      <c r="T89" s="28"/>
    </row>
    <row r="90" spans="1:20" s="123" customFormat="1" x14ac:dyDescent="0.2">
      <c r="A90" s="28"/>
      <c r="B90" s="127" t="s">
        <v>423</v>
      </c>
      <c r="C90" s="109">
        <f>IFERROR(VLOOKUP($B90,MMWR_TRAD_AGG_STATE_PEN[],C$1,0),"ERROR")</f>
        <v>118</v>
      </c>
      <c r="D90" s="110">
        <f>IFERROR(VLOOKUP($B90,MMWR_TRAD_AGG_STATE_PEN[],D$1,0),"ERROR")</f>
        <v>48.296610169499999</v>
      </c>
      <c r="E90" s="111">
        <f>IFERROR(VLOOKUP($B90,MMWR_TRAD_AGG_STATE_PEN[],E$1,0),"ERROR")</f>
        <v>214</v>
      </c>
      <c r="F90" s="112">
        <f>IFERROR(VLOOKUP($B90,MMWR_TRAD_AGG_STATE_PEN[],F$1,0),"ERROR")</f>
        <v>7</v>
      </c>
      <c r="G90" s="113">
        <f t="shared" si="8"/>
        <v>3.2710280373831772E-2</v>
      </c>
      <c r="H90" s="111">
        <f>IFERROR(VLOOKUP($B90,MMWR_TRAD_AGG_STATE_PEN[],H$1,0),"ERROR")</f>
        <v>157</v>
      </c>
      <c r="I90" s="112">
        <f>IFERROR(VLOOKUP($B90,MMWR_TRAD_AGG_STATE_PEN[],I$1,0),"ERROR")</f>
        <v>6</v>
      </c>
      <c r="J90" s="114">
        <f t="shared" si="9"/>
        <v>3.8216560509554139E-2</v>
      </c>
      <c r="K90" s="111">
        <f>IFERROR(VLOOKUP($B90,MMWR_TRAD_AGG_STATE_PEN[],K$1,0),"ERROR")</f>
        <v>0</v>
      </c>
      <c r="L90" s="112">
        <f>IFERROR(VLOOKUP($B90,MMWR_TRAD_AGG_STATE_PEN[],L$1,0),"ERROR")</f>
        <v>0</v>
      </c>
      <c r="M90" s="114" t="str">
        <f t="shared" si="10"/>
        <v>0%</v>
      </c>
      <c r="N90" s="111">
        <f>IFERROR(VLOOKUP($B90,MMWR_TRAD_AGG_STATE_PEN[],N$1,0),"ERROR")</f>
        <v>4</v>
      </c>
      <c r="O90" s="112">
        <f>IFERROR(VLOOKUP($B90,MMWR_TRAD_AGG_STATE_PEN[],O$1,0),"ERROR")</f>
        <v>1</v>
      </c>
      <c r="P90" s="114">
        <f t="shared" si="11"/>
        <v>0.25</v>
      </c>
      <c r="Q90" s="115">
        <f>IFERROR(VLOOKUP($B90,MMWR_TRAD_AGG_STATE_PEN[],Q$1,0),"ERROR")</f>
        <v>163</v>
      </c>
      <c r="R90" s="115">
        <f>IFERROR(VLOOKUP($B90,MMWR_TRAD_AGG_STATE_PEN[],R$1,0),"ERROR")</f>
        <v>21</v>
      </c>
      <c r="S90" s="115">
        <f>IFERROR(VLOOKUP($B90,MMWR_APP_STATE_PEN[],S$1,0),"ERROR")</f>
        <v>36</v>
      </c>
      <c r="T90" s="28"/>
    </row>
    <row r="91" spans="1:20" s="123" customFormat="1" x14ac:dyDescent="0.2">
      <c r="A91" s="28"/>
      <c r="B91" s="127" t="s">
        <v>396</v>
      </c>
      <c r="C91" s="109">
        <f>IFERROR(VLOOKUP($B91,MMWR_TRAD_AGG_STATE_PEN[],C$1,0),"ERROR")</f>
        <v>654</v>
      </c>
      <c r="D91" s="110">
        <f>IFERROR(VLOOKUP($B91,MMWR_TRAD_AGG_STATE_PEN[],D$1,0),"ERROR")</f>
        <v>49.051987767599996</v>
      </c>
      <c r="E91" s="111">
        <f>IFERROR(VLOOKUP($B91,MMWR_TRAD_AGG_STATE_PEN[],E$1,0),"ERROR")</f>
        <v>1018</v>
      </c>
      <c r="F91" s="112">
        <f>IFERROR(VLOOKUP($B91,MMWR_TRAD_AGG_STATE_PEN[],F$1,0),"ERROR")</f>
        <v>130</v>
      </c>
      <c r="G91" s="113">
        <f t="shared" si="8"/>
        <v>0.12770137524557956</v>
      </c>
      <c r="H91" s="111">
        <f>IFERROR(VLOOKUP($B91,MMWR_TRAD_AGG_STATE_PEN[],H$1,0),"ERROR")</f>
        <v>895</v>
      </c>
      <c r="I91" s="112">
        <f>IFERROR(VLOOKUP($B91,MMWR_TRAD_AGG_STATE_PEN[],I$1,0),"ERROR")</f>
        <v>61</v>
      </c>
      <c r="J91" s="114">
        <f t="shared" si="9"/>
        <v>6.8156424581005584E-2</v>
      </c>
      <c r="K91" s="111">
        <f>IFERROR(VLOOKUP($B91,MMWR_TRAD_AGG_STATE_PEN[],K$1,0),"ERROR")</f>
        <v>1</v>
      </c>
      <c r="L91" s="112">
        <f>IFERROR(VLOOKUP($B91,MMWR_TRAD_AGG_STATE_PEN[],L$1,0),"ERROR")</f>
        <v>1</v>
      </c>
      <c r="M91" s="114">
        <f t="shared" si="10"/>
        <v>1</v>
      </c>
      <c r="N91" s="111">
        <f>IFERROR(VLOOKUP($B91,MMWR_TRAD_AGG_STATE_PEN[],N$1,0),"ERROR")</f>
        <v>55</v>
      </c>
      <c r="O91" s="112">
        <f>IFERROR(VLOOKUP($B91,MMWR_TRAD_AGG_STATE_PEN[],O$1,0),"ERROR")</f>
        <v>10</v>
      </c>
      <c r="P91" s="114">
        <f t="shared" si="11"/>
        <v>0.18181818181818182</v>
      </c>
      <c r="Q91" s="115">
        <f>IFERROR(VLOOKUP($B91,MMWR_TRAD_AGG_STATE_PEN[],Q$1,0),"ERROR")</f>
        <v>100</v>
      </c>
      <c r="R91" s="115">
        <f>IFERROR(VLOOKUP($B91,MMWR_TRAD_AGG_STATE_PEN[],R$1,0),"ERROR")</f>
        <v>87</v>
      </c>
      <c r="S91" s="115">
        <f>IFERROR(VLOOKUP($B91,MMWR_APP_STATE_PEN[],S$1,0),"ERROR")</f>
        <v>257</v>
      </c>
      <c r="T91" s="28"/>
    </row>
    <row r="92" spans="1:20" s="123" customFormat="1" x14ac:dyDescent="0.2">
      <c r="A92" s="28"/>
      <c r="B92" s="127" t="s">
        <v>402</v>
      </c>
      <c r="C92" s="109">
        <f>IFERROR(VLOOKUP($B92,MMWR_TRAD_AGG_STATE_PEN[],C$1,0),"ERROR")</f>
        <v>202</v>
      </c>
      <c r="D92" s="110">
        <f>IFERROR(VLOOKUP($B92,MMWR_TRAD_AGG_STATE_PEN[],D$1,0),"ERROR")</f>
        <v>42.336633663400001</v>
      </c>
      <c r="E92" s="111">
        <f>IFERROR(VLOOKUP($B92,MMWR_TRAD_AGG_STATE_PEN[],E$1,0),"ERROR")</f>
        <v>262</v>
      </c>
      <c r="F92" s="112">
        <f>IFERROR(VLOOKUP($B92,MMWR_TRAD_AGG_STATE_PEN[],F$1,0),"ERROR")</f>
        <v>15</v>
      </c>
      <c r="G92" s="113">
        <f t="shared" si="8"/>
        <v>5.7251908396946563E-2</v>
      </c>
      <c r="H92" s="111">
        <f>IFERROR(VLOOKUP($B92,MMWR_TRAD_AGG_STATE_PEN[],H$1,0),"ERROR")</f>
        <v>258</v>
      </c>
      <c r="I92" s="112">
        <f>IFERROR(VLOOKUP($B92,MMWR_TRAD_AGG_STATE_PEN[],I$1,0),"ERROR")</f>
        <v>8</v>
      </c>
      <c r="J92" s="114">
        <f t="shared" si="9"/>
        <v>3.1007751937984496E-2</v>
      </c>
      <c r="K92" s="111">
        <f>IFERROR(VLOOKUP($B92,MMWR_TRAD_AGG_STATE_PEN[],K$1,0),"ERROR")</f>
        <v>1</v>
      </c>
      <c r="L92" s="112">
        <f>IFERROR(VLOOKUP($B92,MMWR_TRAD_AGG_STATE_PEN[],L$1,0),"ERROR")</f>
        <v>1</v>
      </c>
      <c r="M92" s="114">
        <f t="shared" si="10"/>
        <v>1</v>
      </c>
      <c r="N92" s="111">
        <f>IFERROR(VLOOKUP($B92,MMWR_TRAD_AGG_STATE_PEN[],N$1,0),"ERROR")</f>
        <v>9</v>
      </c>
      <c r="O92" s="112">
        <f>IFERROR(VLOOKUP($B92,MMWR_TRAD_AGG_STATE_PEN[],O$1,0),"ERROR")</f>
        <v>1</v>
      </c>
      <c r="P92" s="114">
        <f t="shared" si="11"/>
        <v>0.1111111111111111</v>
      </c>
      <c r="Q92" s="115">
        <f>IFERROR(VLOOKUP($B92,MMWR_TRAD_AGG_STATE_PEN[],Q$1,0),"ERROR")</f>
        <v>706</v>
      </c>
      <c r="R92" s="115">
        <f>IFERROR(VLOOKUP($B92,MMWR_TRAD_AGG_STATE_PEN[],R$1,0),"ERROR")</f>
        <v>37</v>
      </c>
      <c r="S92" s="115">
        <f>IFERROR(VLOOKUP($B92,MMWR_APP_STATE_PEN[],S$1,0),"ERROR")</f>
        <v>40</v>
      </c>
      <c r="T92" s="28"/>
    </row>
    <row r="93" spans="1:20" s="123" customFormat="1" x14ac:dyDescent="0.2">
      <c r="A93" s="28"/>
      <c r="B93" s="127" t="s">
        <v>398</v>
      </c>
      <c r="C93" s="109">
        <f>IFERROR(VLOOKUP($B93,MMWR_TRAD_AGG_STATE_PEN[],C$1,0),"ERROR")</f>
        <v>576</v>
      </c>
      <c r="D93" s="110">
        <f>IFERROR(VLOOKUP($B93,MMWR_TRAD_AGG_STATE_PEN[],D$1,0),"ERROR")</f>
        <v>44.194444444399998</v>
      </c>
      <c r="E93" s="111">
        <f>IFERROR(VLOOKUP($B93,MMWR_TRAD_AGG_STATE_PEN[],E$1,0),"ERROR")</f>
        <v>674</v>
      </c>
      <c r="F93" s="112">
        <f>IFERROR(VLOOKUP($B93,MMWR_TRAD_AGG_STATE_PEN[],F$1,0),"ERROR")</f>
        <v>88</v>
      </c>
      <c r="G93" s="113">
        <f t="shared" si="8"/>
        <v>0.13056379821958458</v>
      </c>
      <c r="H93" s="111">
        <f>IFERROR(VLOOKUP($B93,MMWR_TRAD_AGG_STATE_PEN[],H$1,0),"ERROR")</f>
        <v>789</v>
      </c>
      <c r="I93" s="112">
        <f>IFERROR(VLOOKUP($B93,MMWR_TRAD_AGG_STATE_PEN[],I$1,0),"ERROR")</f>
        <v>37</v>
      </c>
      <c r="J93" s="114">
        <f t="shared" si="9"/>
        <v>4.6894803548795945E-2</v>
      </c>
      <c r="K93" s="111">
        <f>IFERROR(VLOOKUP($B93,MMWR_TRAD_AGG_STATE_PEN[],K$1,0),"ERROR")</f>
        <v>3</v>
      </c>
      <c r="L93" s="112">
        <f>IFERROR(VLOOKUP($B93,MMWR_TRAD_AGG_STATE_PEN[],L$1,0),"ERROR")</f>
        <v>1</v>
      </c>
      <c r="M93" s="114">
        <f t="shared" si="10"/>
        <v>0.33333333333333331</v>
      </c>
      <c r="N93" s="111">
        <f>IFERROR(VLOOKUP($B93,MMWR_TRAD_AGG_STATE_PEN[],N$1,0),"ERROR")</f>
        <v>34</v>
      </c>
      <c r="O93" s="112">
        <f>IFERROR(VLOOKUP($B93,MMWR_TRAD_AGG_STATE_PEN[],O$1,0),"ERROR")</f>
        <v>11</v>
      </c>
      <c r="P93" s="114">
        <f t="shared" si="11"/>
        <v>0.3235294117647059</v>
      </c>
      <c r="Q93" s="115">
        <f>IFERROR(VLOOKUP($B93,MMWR_TRAD_AGG_STATE_PEN[],Q$1,0),"ERROR")</f>
        <v>116</v>
      </c>
      <c r="R93" s="115">
        <f>IFERROR(VLOOKUP($B93,MMWR_TRAD_AGG_STATE_PEN[],R$1,0),"ERROR")</f>
        <v>50</v>
      </c>
      <c r="S93" s="115">
        <f>IFERROR(VLOOKUP($B93,MMWR_APP_STATE_PEN[],S$1,0),"ERROR")</f>
        <v>220</v>
      </c>
      <c r="T93" s="28"/>
    </row>
    <row r="94" spans="1:20" s="123" customFormat="1" x14ac:dyDescent="0.2">
      <c r="A94" s="28"/>
      <c r="B94" s="127" t="s">
        <v>401</v>
      </c>
      <c r="C94" s="109">
        <f>IFERROR(VLOOKUP($B94,MMWR_TRAD_AGG_STATE_PEN[],C$1,0),"ERROR")</f>
        <v>76</v>
      </c>
      <c r="D94" s="110">
        <f>IFERROR(VLOOKUP($B94,MMWR_TRAD_AGG_STATE_PEN[],D$1,0),"ERROR")</f>
        <v>36.684210526299999</v>
      </c>
      <c r="E94" s="111">
        <f>IFERROR(VLOOKUP($B94,MMWR_TRAD_AGG_STATE_PEN[],E$1,0),"ERROR")</f>
        <v>72</v>
      </c>
      <c r="F94" s="112">
        <f>IFERROR(VLOOKUP($B94,MMWR_TRAD_AGG_STATE_PEN[],F$1,0),"ERROR")</f>
        <v>8</v>
      </c>
      <c r="G94" s="113">
        <f t="shared" si="8"/>
        <v>0.1111111111111111</v>
      </c>
      <c r="H94" s="111">
        <f>IFERROR(VLOOKUP($B94,MMWR_TRAD_AGG_STATE_PEN[],H$1,0),"ERROR")</f>
        <v>90</v>
      </c>
      <c r="I94" s="112">
        <f>IFERROR(VLOOKUP($B94,MMWR_TRAD_AGG_STATE_PEN[],I$1,0),"ERROR")</f>
        <v>1</v>
      </c>
      <c r="J94" s="114">
        <f t="shared" si="9"/>
        <v>1.1111111111111112E-2</v>
      </c>
      <c r="K94" s="111">
        <f>IFERROR(VLOOKUP($B94,MMWR_TRAD_AGG_STATE_PEN[],K$1,0),"ERROR")</f>
        <v>0</v>
      </c>
      <c r="L94" s="112">
        <f>IFERROR(VLOOKUP($B94,MMWR_TRAD_AGG_STATE_PEN[],L$1,0),"ERROR")</f>
        <v>0</v>
      </c>
      <c r="M94" s="114" t="str">
        <f t="shared" si="10"/>
        <v>0%</v>
      </c>
      <c r="N94" s="111">
        <f>IFERROR(VLOOKUP($B94,MMWR_TRAD_AGG_STATE_PEN[],N$1,0),"ERROR")</f>
        <v>7</v>
      </c>
      <c r="O94" s="112">
        <f>IFERROR(VLOOKUP($B94,MMWR_TRAD_AGG_STATE_PEN[],O$1,0),"ERROR")</f>
        <v>1</v>
      </c>
      <c r="P94" s="114">
        <f t="shared" si="11"/>
        <v>0.14285714285714285</v>
      </c>
      <c r="Q94" s="115">
        <f>IFERROR(VLOOKUP($B94,MMWR_TRAD_AGG_STATE_PEN[],Q$1,0),"ERROR")</f>
        <v>169</v>
      </c>
      <c r="R94" s="115">
        <f>IFERROR(VLOOKUP($B94,MMWR_TRAD_AGG_STATE_PEN[],R$1,0),"ERROR")</f>
        <v>12</v>
      </c>
      <c r="S94" s="115">
        <f>IFERROR(VLOOKUP($B94,MMWR_APP_STATE_PEN[],S$1,0),"ERROR")</f>
        <v>27</v>
      </c>
      <c r="T94" s="28"/>
    </row>
    <row r="95" spans="1:20" s="123" customFormat="1" x14ac:dyDescent="0.2">
      <c r="A95" s="28"/>
      <c r="B95" s="127" t="s">
        <v>420</v>
      </c>
      <c r="C95" s="109">
        <f>IFERROR(VLOOKUP($B95,MMWR_TRAD_AGG_STATE_PEN[],C$1,0),"ERROR")</f>
        <v>37</v>
      </c>
      <c r="D95" s="110">
        <f>IFERROR(VLOOKUP($B95,MMWR_TRAD_AGG_STATE_PEN[],D$1,0),"ERROR")</f>
        <v>36.702702702700002</v>
      </c>
      <c r="E95" s="111">
        <f>IFERROR(VLOOKUP($B95,MMWR_TRAD_AGG_STATE_PEN[],E$1,0),"ERROR")</f>
        <v>38</v>
      </c>
      <c r="F95" s="112">
        <f>IFERROR(VLOOKUP($B95,MMWR_TRAD_AGG_STATE_PEN[],F$1,0),"ERROR")</f>
        <v>3</v>
      </c>
      <c r="G95" s="113">
        <f t="shared" si="8"/>
        <v>7.8947368421052627E-2</v>
      </c>
      <c r="H95" s="111">
        <f>IFERROR(VLOOKUP($B95,MMWR_TRAD_AGG_STATE_PEN[],H$1,0),"ERROR")</f>
        <v>44</v>
      </c>
      <c r="I95" s="112">
        <f>IFERROR(VLOOKUP($B95,MMWR_TRAD_AGG_STATE_PEN[],I$1,0),"ERROR")</f>
        <v>0</v>
      </c>
      <c r="J95" s="114">
        <f t="shared" si="9"/>
        <v>0</v>
      </c>
      <c r="K95" s="111">
        <f>IFERROR(VLOOKUP($B95,MMWR_TRAD_AGG_STATE_PEN[],K$1,0),"ERROR")</f>
        <v>0</v>
      </c>
      <c r="L95" s="112">
        <f>IFERROR(VLOOKUP($B95,MMWR_TRAD_AGG_STATE_PEN[],L$1,0),"ERROR")</f>
        <v>0</v>
      </c>
      <c r="M95" s="114" t="str">
        <f t="shared" si="10"/>
        <v>0%</v>
      </c>
      <c r="N95" s="111">
        <f>IFERROR(VLOOKUP($B95,MMWR_TRAD_AGG_STATE_PEN[],N$1,0),"ERROR")</f>
        <v>2</v>
      </c>
      <c r="O95" s="112">
        <f>IFERROR(VLOOKUP($B95,MMWR_TRAD_AGG_STATE_PEN[],O$1,0),"ERROR")</f>
        <v>0</v>
      </c>
      <c r="P95" s="114">
        <f t="shared" si="11"/>
        <v>0</v>
      </c>
      <c r="Q95" s="115">
        <f>IFERROR(VLOOKUP($B95,MMWR_TRAD_AGG_STATE_PEN[],Q$1,0),"ERROR")</f>
        <v>59</v>
      </c>
      <c r="R95" s="115">
        <f>IFERROR(VLOOKUP($B95,MMWR_TRAD_AGG_STATE_PEN[],R$1,0),"ERROR")</f>
        <v>6</v>
      </c>
      <c r="S95" s="115">
        <f>IFERROR(VLOOKUP($B95,MMWR_APP_STATE_PEN[],S$1,0),"ERROR")</f>
        <v>7</v>
      </c>
      <c r="T95" s="28"/>
    </row>
    <row r="96" spans="1:20" s="123" customFormat="1" x14ac:dyDescent="0.2">
      <c r="A96" s="28"/>
      <c r="B96" s="127" t="s">
        <v>392</v>
      </c>
      <c r="C96" s="109">
        <f>IFERROR(VLOOKUP($B96,MMWR_TRAD_AGG_STATE_PEN[],C$1,0),"ERROR")</f>
        <v>685</v>
      </c>
      <c r="D96" s="110">
        <f>IFERROR(VLOOKUP($B96,MMWR_TRAD_AGG_STATE_PEN[],D$1,0),"ERROR")</f>
        <v>47.7722627737</v>
      </c>
      <c r="E96" s="111">
        <f>IFERROR(VLOOKUP($B96,MMWR_TRAD_AGG_STATE_PEN[],E$1,0),"ERROR")</f>
        <v>1151</v>
      </c>
      <c r="F96" s="112">
        <f>IFERROR(VLOOKUP($B96,MMWR_TRAD_AGG_STATE_PEN[],F$1,0),"ERROR")</f>
        <v>145</v>
      </c>
      <c r="G96" s="113">
        <f t="shared" si="8"/>
        <v>0.1259774109470026</v>
      </c>
      <c r="H96" s="111">
        <f>IFERROR(VLOOKUP($B96,MMWR_TRAD_AGG_STATE_PEN[],H$1,0),"ERROR")</f>
        <v>1048</v>
      </c>
      <c r="I96" s="112">
        <f>IFERROR(VLOOKUP($B96,MMWR_TRAD_AGG_STATE_PEN[],I$1,0),"ERROR")</f>
        <v>66</v>
      </c>
      <c r="J96" s="114">
        <f t="shared" si="9"/>
        <v>6.2977099236641215E-2</v>
      </c>
      <c r="K96" s="111">
        <f>IFERROR(VLOOKUP($B96,MMWR_TRAD_AGG_STATE_PEN[],K$1,0),"ERROR")</f>
        <v>6</v>
      </c>
      <c r="L96" s="112">
        <f>IFERROR(VLOOKUP($B96,MMWR_TRAD_AGG_STATE_PEN[],L$1,0),"ERROR")</f>
        <v>6</v>
      </c>
      <c r="M96" s="114">
        <f t="shared" si="10"/>
        <v>1</v>
      </c>
      <c r="N96" s="111">
        <f>IFERROR(VLOOKUP($B96,MMWR_TRAD_AGG_STATE_PEN[],N$1,0),"ERROR")</f>
        <v>65</v>
      </c>
      <c r="O96" s="112">
        <f>IFERROR(VLOOKUP($B96,MMWR_TRAD_AGG_STATE_PEN[],O$1,0),"ERROR")</f>
        <v>21</v>
      </c>
      <c r="P96" s="114">
        <f t="shared" si="11"/>
        <v>0.32307692307692309</v>
      </c>
      <c r="Q96" s="115">
        <f>IFERROR(VLOOKUP($B96,MMWR_TRAD_AGG_STATE_PEN[],Q$1,0),"ERROR")</f>
        <v>119</v>
      </c>
      <c r="R96" s="115">
        <f>IFERROR(VLOOKUP($B96,MMWR_TRAD_AGG_STATE_PEN[],R$1,0),"ERROR")</f>
        <v>111</v>
      </c>
      <c r="S96" s="115">
        <f>IFERROR(VLOOKUP($B96,MMWR_APP_STATE_PEN[],S$1,0),"ERROR")</f>
        <v>356</v>
      </c>
      <c r="T96" s="28"/>
    </row>
    <row r="97" spans="1:20" s="123" customFormat="1" x14ac:dyDescent="0.2">
      <c r="A97" s="28"/>
      <c r="B97" s="127" t="s">
        <v>421</v>
      </c>
      <c r="C97" s="109">
        <f>IFERROR(VLOOKUP($B97,MMWR_TRAD_AGG_STATE_PEN[],C$1,0),"ERROR")</f>
        <v>37</v>
      </c>
      <c r="D97" s="110">
        <f>IFERROR(VLOOKUP($B97,MMWR_TRAD_AGG_STATE_PEN[],D$1,0),"ERROR")</f>
        <v>42</v>
      </c>
      <c r="E97" s="111">
        <f>IFERROR(VLOOKUP($B97,MMWR_TRAD_AGG_STATE_PEN[],E$1,0),"ERROR")</f>
        <v>54</v>
      </c>
      <c r="F97" s="112">
        <f>IFERROR(VLOOKUP($B97,MMWR_TRAD_AGG_STATE_PEN[],F$1,0),"ERROR")</f>
        <v>0</v>
      </c>
      <c r="G97" s="113">
        <f t="shared" si="8"/>
        <v>0</v>
      </c>
      <c r="H97" s="111">
        <f>IFERROR(VLOOKUP($B97,MMWR_TRAD_AGG_STATE_PEN[],H$1,0),"ERROR")</f>
        <v>53</v>
      </c>
      <c r="I97" s="112">
        <f>IFERROR(VLOOKUP($B97,MMWR_TRAD_AGG_STATE_PEN[],I$1,0),"ERROR")</f>
        <v>0</v>
      </c>
      <c r="J97" s="114">
        <f t="shared" si="9"/>
        <v>0</v>
      </c>
      <c r="K97" s="111">
        <f>IFERROR(VLOOKUP($B97,MMWR_TRAD_AGG_STATE_PEN[],K$1,0),"ERROR")</f>
        <v>0</v>
      </c>
      <c r="L97" s="112">
        <f>IFERROR(VLOOKUP($B97,MMWR_TRAD_AGG_STATE_PEN[],L$1,0),"ERROR")</f>
        <v>0</v>
      </c>
      <c r="M97" s="114" t="str">
        <f t="shared" si="10"/>
        <v>0%</v>
      </c>
      <c r="N97" s="111">
        <f>IFERROR(VLOOKUP($B97,MMWR_TRAD_AGG_STATE_PEN[],N$1,0),"ERROR")</f>
        <v>2</v>
      </c>
      <c r="O97" s="112">
        <f>IFERROR(VLOOKUP($B97,MMWR_TRAD_AGG_STATE_PEN[],O$1,0),"ERROR")</f>
        <v>1</v>
      </c>
      <c r="P97" s="114">
        <f t="shared" si="11"/>
        <v>0.5</v>
      </c>
      <c r="Q97" s="115">
        <f>IFERROR(VLOOKUP($B97,MMWR_TRAD_AGG_STATE_PEN[],Q$1,0),"ERROR")</f>
        <v>99</v>
      </c>
      <c r="R97" s="115">
        <f>IFERROR(VLOOKUP($B97,MMWR_TRAD_AGG_STATE_PEN[],R$1,0),"ERROR")</f>
        <v>7</v>
      </c>
      <c r="S97" s="115">
        <f>IFERROR(VLOOKUP($B97,MMWR_APP_STATE_PEN[],S$1,0),"ERROR")</f>
        <v>8</v>
      </c>
      <c r="T97" s="28"/>
    </row>
    <row r="98" spans="1:20" s="123" customFormat="1" x14ac:dyDescent="0.2">
      <c r="A98" s="28"/>
      <c r="B98" s="127" t="s">
        <v>397</v>
      </c>
      <c r="C98" s="109">
        <f>IFERROR(VLOOKUP($B98,MMWR_TRAD_AGG_STATE_PEN[],C$1,0),"ERROR")</f>
        <v>332</v>
      </c>
      <c r="D98" s="110">
        <f>IFERROR(VLOOKUP($B98,MMWR_TRAD_AGG_STATE_PEN[],D$1,0),"ERROR")</f>
        <v>44.539156626500002</v>
      </c>
      <c r="E98" s="111">
        <f>IFERROR(VLOOKUP($B98,MMWR_TRAD_AGG_STATE_PEN[],E$1,0),"ERROR")</f>
        <v>403</v>
      </c>
      <c r="F98" s="112">
        <f>IFERROR(VLOOKUP($B98,MMWR_TRAD_AGG_STATE_PEN[],F$1,0),"ERROR")</f>
        <v>38</v>
      </c>
      <c r="G98" s="113">
        <f t="shared" si="8"/>
        <v>9.4292803970223327E-2</v>
      </c>
      <c r="H98" s="111">
        <f>IFERROR(VLOOKUP($B98,MMWR_TRAD_AGG_STATE_PEN[],H$1,0),"ERROR")</f>
        <v>456</v>
      </c>
      <c r="I98" s="112">
        <f>IFERROR(VLOOKUP($B98,MMWR_TRAD_AGG_STATE_PEN[],I$1,0),"ERROR")</f>
        <v>18</v>
      </c>
      <c r="J98" s="114">
        <f t="shared" si="9"/>
        <v>3.9473684210526314E-2</v>
      </c>
      <c r="K98" s="111">
        <f>IFERROR(VLOOKUP($B98,MMWR_TRAD_AGG_STATE_PEN[],K$1,0),"ERROR")</f>
        <v>1</v>
      </c>
      <c r="L98" s="112">
        <f>IFERROR(VLOOKUP($B98,MMWR_TRAD_AGG_STATE_PEN[],L$1,0),"ERROR")</f>
        <v>0</v>
      </c>
      <c r="M98" s="114">
        <f t="shared" si="10"/>
        <v>0</v>
      </c>
      <c r="N98" s="111">
        <f>IFERROR(VLOOKUP($B98,MMWR_TRAD_AGG_STATE_PEN[],N$1,0),"ERROR")</f>
        <v>22</v>
      </c>
      <c r="O98" s="112">
        <f>IFERROR(VLOOKUP($B98,MMWR_TRAD_AGG_STATE_PEN[],O$1,0),"ERROR")</f>
        <v>9</v>
      </c>
      <c r="P98" s="114">
        <f t="shared" si="11"/>
        <v>0.40909090909090912</v>
      </c>
      <c r="Q98" s="115">
        <f>IFERROR(VLOOKUP($B98,MMWR_TRAD_AGG_STATE_PEN[],Q$1,0),"ERROR")</f>
        <v>64</v>
      </c>
      <c r="R98" s="115">
        <f>IFERROR(VLOOKUP($B98,MMWR_TRAD_AGG_STATE_PEN[],R$1,0),"ERROR")</f>
        <v>43</v>
      </c>
      <c r="S98" s="115">
        <f>IFERROR(VLOOKUP($B98,MMWR_APP_STATE_PEN[],S$1,0),"ERROR")</f>
        <v>102</v>
      </c>
      <c r="T98" s="28"/>
    </row>
    <row r="99" spans="1:20" s="123" customFormat="1" x14ac:dyDescent="0.2">
      <c r="A99" s="28"/>
      <c r="B99" s="126" t="s">
        <v>386</v>
      </c>
      <c r="C99" s="102">
        <f>IFERROR(VLOOKUP($B99,MMWR_TRAD_AGG_ST_DISTRICT_PEN[],C$1,0),"ERROR")</f>
        <v>2599</v>
      </c>
      <c r="D99" s="103">
        <f>IFERROR(VLOOKUP($B99,MMWR_TRAD_AGG_ST_DISTRICT_PEN[],D$1,0),"ERROR")</f>
        <v>47.635629088100004</v>
      </c>
      <c r="E99" s="102">
        <f>IFERROR(VLOOKUP($B99,MMWR_TRAD_AGG_ST_DISTRICT_PEN[],E$1,0),"ERROR")</f>
        <v>3133</v>
      </c>
      <c r="F99" s="102">
        <f>IFERROR(VLOOKUP($B99,MMWR_TRAD_AGG_ST_DISTRICT_PEN[],F$1,0),"ERROR")</f>
        <v>198</v>
      </c>
      <c r="G99" s="104">
        <f t="shared" si="8"/>
        <v>6.3198212575805934E-2</v>
      </c>
      <c r="H99" s="102">
        <f>IFERROR(VLOOKUP($B99,MMWR_TRAD_AGG_ST_DISTRICT_PEN[],H$1,0),"ERROR")</f>
        <v>3409</v>
      </c>
      <c r="I99" s="102">
        <f>IFERROR(VLOOKUP($B99,MMWR_TRAD_AGG_ST_DISTRICT_PEN[],I$1,0),"ERROR")</f>
        <v>165</v>
      </c>
      <c r="J99" s="104">
        <f t="shared" si="9"/>
        <v>4.8401290701085363E-2</v>
      </c>
      <c r="K99" s="102">
        <f>IFERROR(VLOOKUP($B99,MMWR_TRAD_AGG_ST_DISTRICT_PEN[],K$1,0),"ERROR")</f>
        <v>20</v>
      </c>
      <c r="L99" s="102">
        <f>IFERROR(VLOOKUP($B99,MMWR_TRAD_AGG_ST_DISTRICT_PEN[],L$1,0),"ERROR")</f>
        <v>16</v>
      </c>
      <c r="M99" s="104">
        <f t="shared" si="10"/>
        <v>0.8</v>
      </c>
      <c r="N99" s="102">
        <f>IFERROR(VLOOKUP($B99,MMWR_TRAD_AGG_ST_DISTRICT_PEN[],N$1,0),"ERROR")</f>
        <v>170</v>
      </c>
      <c r="O99" s="102">
        <f>IFERROR(VLOOKUP($B99,MMWR_TRAD_AGG_ST_DISTRICT_PEN[],O$1,0),"ERROR")</f>
        <v>68</v>
      </c>
      <c r="P99" s="104">
        <f t="shared" si="11"/>
        <v>0.4</v>
      </c>
      <c r="Q99" s="102">
        <f>IFERROR(VLOOKUP($B99,MMWR_TRAD_AGG_ST_DISTRICT_PEN[],Q$1,0),"ERROR")</f>
        <v>2754</v>
      </c>
      <c r="R99" s="106">
        <f>IFERROR(VLOOKUP($B99,MMWR_TRAD_AGG_ST_DISTRICT_PEN[],R$1,0),"ERROR")</f>
        <v>508</v>
      </c>
      <c r="S99" s="106">
        <f>IFERROR(VLOOKUP($B99,MMWR_APP_STATE_PEN[],S$1,0),"ERROR")</f>
        <v>1376</v>
      </c>
      <c r="T99" s="28"/>
    </row>
    <row r="100" spans="1:20" s="123" customFormat="1" x14ac:dyDescent="0.2">
      <c r="A100" s="28"/>
      <c r="B100" s="127" t="s">
        <v>412</v>
      </c>
      <c r="C100" s="109">
        <f>IFERROR(VLOOKUP($B100,MMWR_TRAD_AGG_STATE_PEN[],C$1,0),"ERROR")</f>
        <v>311</v>
      </c>
      <c r="D100" s="110">
        <f>IFERROR(VLOOKUP($B100,MMWR_TRAD_AGG_STATE_PEN[],D$1,0),"ERROR")</f>
        <v>43.022508038600002</v>
      </c>
      <c r="E100" s="111">
        <f>IFERROR(VLOOKUP($B100,MMWR_TRAD_AGG_STATE_PEN[],E$1,0),"ERROR")</f>
        <v>265</v>
      </c>
      <c r="F100" s="112">
        <f>IFERROR(VLOOKUP($B100,MMWR_TRAD_AGG_STATE_PEN[],F$1,0),"ERROR")</f>
        <v>31</v>
      </c>
      <c r="G100" s="113">
        <f t="shared" si="8"/>
        <v>0.1169811320754717</v>
      </c>
      <c r="H100" s="111">
        <f>IFERROR(VLOOKUP($B100,MMWR_TRAD_AGG_STATE_PEN[],H$1,0),"ERROR")</f>
        <v>398</v>
      </c>
      <c r="I100" s="112">
        <f>IFERROR(VLOOKUP($B100,MMWR_TRAD_AGG_STATE_PEN[],I$1,0),"ERROR")</f>
        <v>20</v>
      </c>
      <c r="J100" s="114">
        <f t="shared" si="9"/>
        <v>5.0251256281407038E-2</v>
      </c>
      <c r="K100" s="111">
        <f>IFERROR(VLOOKUP($B100,MMWR_TRAD_AGG_STATE_PEN[],K$1,0),"ERROR")</f>
        <v>4</v>
      </c>
      <c r="L100" s="112">
        <f>IFERROR(VLOOKUP($B100,MMWR_TRAD_AGG_STATE_PEN[],L$1,0),"ERROR")</f>
        <v>3</v>
      </c>
      <c r="M100" s="114">
        <f t="shared" si="10"/>
        <v>0.75</v>
      </c>
      <c r="N100" s="111">
        <f>IFERROR(VLOOKUP($B100,MMWR_TRAD_AGG_STATE_PEN[],N$1,0),"ERROR")</f>
        <v>18</v>
      </c>
      <c r="O100" s="112">
        <f>IFERROR(VLOOKUP($B100,MMWR_TRAD_AGG_STATE_PEN[],O$1,0),"ERROR")</f>
        <v>1</v>
      </c>
      <c r="P100" s="114">
        <f t="shared" si="11"/>
        <v>5.5555555555555552E-2</v>
      </c>
      <c r="Q100" s="115">
        <f>IFERROR(VLOOKUP($B100,MMWR_TRAD_AGG_STATE_PEN[],Q$1,0),"ERROR")</f>
        <v>71</v>
      </c>
      <c r="R100" s="115">
        <f>IFERROR(VLOOKUP($B100,MMWR_TRAD_AGG_STATE_PEN[],R$1,0),"ERROR")</f>
        <v>25</v>
      </c>
      <c r="S100" s="115">
        <f>IFERROR(VLOOKUP($B100,MMWR_APP_STATE_PEN[],S$1,0),"ERROR")</f>
        <v>172</v>
      </c>
      <c r="T100" s="28"/>
    </row>
    <row r="101" spans="1:20" s="123" customFormat="1" x14ac:dyDescent="0.2">
      <c r="A101" s="28"/>
      <c r="B101" s="127" t="s">
        <v>404</v>
      </c>
      <c r="C101" s="109">
        <f>IFERROR(VLOOKUP($B101,MMWR_TRAD_AGG_STATE_PEN[],C$1,0),"ERROR")</f>
        <v>140</v>
      </c>
      <c r="D101" s="110">
        <f>IFERROR(VLOOKUP($B101,MMWR_TRAD_AGG_STATE_PEN[],D$1,0),"ERROR")</f>
        <v>47.9928571429</v>
      </c>
      <c r="E101" s="111">
        <f>IFERROR(VLOOKUP($B101,MMWR_TRAD_AGG_STATE_PEN[],E$1,0),"ERROR")</f>
        <v>224</v>
      </c>
      <c r="F101" s="112">
        <f>IFERROR(VLOOKUP($B101,MMWR_TRAD_AGG_STATE_PEN[],F$1,0),"ERROR")</f>
        <v>14</v>
      </c>
      <c r="G101" s="113">
        <f t="shared" ref="G101:G127" si="12">IFERROR(F101/E101,"0%")</f>
        <v>6.25E-2</v>
      </c>
      <c r="H101" s="111">
        <f>IFERROR(VLOOKUP($B101,MMWR_TRAD_AGG_STATE_PEN[],H$1,0),"ERROR")</f>
        <v>196</v>
      </c>
      <c r="I101" s="112">
        <f>IFERROR(VLOOKUP($B101,MMWR_TRAD_AGG_STATE_PEN[],I$1,0),"ERROR")</f>
        <v>8</v>
      </c>
      <c r="J101" s="114">
        <f t="shared" ref="J101:J127" si="13">IFERROR(I101/H101,"0%")</f>
        <v>4.0816326530612242E-2</v>
      </c>
      <c r="K101" s="111">
        <f>IFERROR(VLOOKUP($B101,MMWR_TRAD_AGG_STATE_PEN[],K$1,0),"ERROR")</f>
        <v>1</v>
      </c>
      <c r="L101" s="112">
        <f>IFERROR(VLOOKUP($B101,MMWR_TRAD_AGG_STATE_PEN[],L$1,0),"ERROR")</f>
        <v>1</v>
      </c>
      <c r="M101" s="114">
        <f t="shared" ref="M101:M127" si="14">IFERROR(L101/K101,"0%")</f>
        <v>1</v>
      </c>
      <c r="N101" s="111">
        <f>IFERROR(VLOOKUP($B101,MMWR_TRAD_AGG_STATE_PEN[],N$1,0),"ERROR")</f>
        <v>12</v>
      </c>
      <c r="O101" s="112">
        <f>IFERROR(VLOOKUP($B101,MMWR_TRAD_AGG_STATE_PEN[],O$1,0),"ERROR")</f>
        <v>8</v>
      </c>
      <c r="P101" s="114">
        <f t="shared" ref="P101:P127" si="15">IFERROR(O101/N101,"0%")</f>
        <v>0.66666666666666663</v>
      </c>
      <c r="Q101" s="115">
        <f>IFERROR(VLOOKUP($B101,MMWR_TRAD_AGG_STATE_PEN[],Q$1,0),"ERROR")</f>
        <v>323</v>
      </c>
      <c r="R101" s="115">
        <f>IFERROR(VLOOKUP($B101,MMWR_TRAD_AGG_STATE_PEN[],R$1,0),"ERROR")</f>
        <v>40</v>
      </c>
      <c r="S101" s="115">
        <f>IFERROR(VLOOKUP($B101,MMWR_APP_STATE_PEN[],S$1,0),"ERROR")</f>
        <v>91</v>
      </c>
      <c r="T101" s="28"/>
    </row>
    <row r="102" spans="1:20" s="123" customFormat="1" x14ac:dyDescent="0.2">
      <c r="A102" s="28"/>
      <c r="B102" s="127" t="s">
        <v>388</v>
      </c>
      <c r="C102" s="109">
        <f>IFERROR(VLOOKUP($B102,MMWR_TRAD_AGG_STATE_PEN[],C$1,0),"ERROR")</f>
        <v>593</v>
      </c>
      <c r="D102" s="110">
        <f>IFERROR(VLOOKUP($B102,MMWR_TRAD_AGG_STATE_PEN[],D$1,0),"ERROR")</f>
        <v>48.939291736900003</v>
      </c>
      <c r="E102" s="111">
        <f>IFERROR(VLOOKUP($B102,MMWR_TRAD_AGG_STATE_PEN[],E$1,0),"ERROR")</f>
        <v>451</v>
      </c>
      <c r="F102" s="112">
        <f>IFERROR(VLOOKUP($B102,MMWR_TRAD_AGG_STATE_PEN[],F$1,0),"ERROR")</f>
        <v>51</v>
      </c>
      <c r="G102" s="113">
        <f t="shared" si="12"/>
        <v>0.1130820399113082</v>
      </c>
      <c r="H102" s="111">
        <f>IFERROR(VLOOKUP($B102,MMWR_TRAD_AGG_STATE_PEN[],H$1,0),"ERROR")</f>
        <v>719</v>
      </c>
      <c r="I102" s="112">
        <f>IFERROR(VLOOKUP($B102,MMWR_TRAD_AGG_STATE_PEN[],I$1,0),"ERROR")</f>
        <v>36</v>
      </c>
      <c r="J102" s="114">
        <f t="shared" si="13"/>
        <v>5.0069541029207229E-2</v>
      </c>
      <c r="K102" s="111">
        <f>IFERROR(VLOOKUP($B102,MMWR_TRAD_AGG_STATE_PEN[],K$1,0),"ERROR")</f>
        <v>2</v>
      </c>
      <c r="L102" s="112">
        <f>IFERROR(VLOOKUP($B102,MMWR_TRAD_AGG_STATE_PEN[],L$1,0),"ERROR")</f>
        <v>1</v>
      </c>
      <c r="M102" s="114">
        <f t="shared" si="14"/>
        <v>0.5</v>
      </c>
      <c r="N102" s="111">
        <f>IFERROR(VLOOKUP($B102,MMWR_TRAD_AGG_STATE_PEN[],N$1,0),"ERROR")</f>
        <v>30</v>
      </c>
      <c r="O102" s="112">
        <f>IFERROR(VLOOKUP($B102,MMWR_TRAD_AGG_STATE_PEN[],O$1,0),"ERROR")</f>
        <v>9</v>
      </c>
      <c r="P102" s="114">
        <f t="shared" si="15"/>
        <v>0.3</v>
      </c>
      <c r="Q102" s="115">
        <f>IFERROR(VLOOKUP($B102,MMWR_TRAD_AGG_STATE_PEN[],Q$1,0),"ERROR")</f>
        <v>51</v>
      </c>
      <c r="R102" s="115">
        <f>IFERROR(VLOOKUP($B102,MMWR_TRAD_AGG_STATE_PEN[],R$1,0),"ERROR")</f>
        <v>65</v>
      </c>
      <c r="S102" s="115">
        <f>IFERROR(VLOOKUP($B102,MMWR_APP_STATE_PEN[],S$1,0),"ERROR")</f>
        <v>200</v>
      </c>
      <c r="T102" s="28"/>
    </row>
    <row r="103" spans="1:20" s="123" customFormat="1" x14ac:dyDescent="0.2">
      <c r="A103" s="28"/>
      <c r="B103" s="127" t="s">
        <v>390</v>
      </c>
      <c r="C103" s="109">
        <f>IFERROR(VLOOKUP($B103,MMWR_TRAD_AGG_STATE_PEN[],C$1,0),"ERROR")</f>
        <v>326</v>
      </c>
      <c r="D103" s="110">
        <f>IFERROR(VLOOKUP($B103,MMWR_TRAD_AGG_STATE_PEN[],D$1,0),"ERROR")</f>
        <v>45.042944785300001</v>
      </c>
      <c r="E103" s="111">
        <f>IFERROR(VLOOKUP($B103,MMWR_TRAD_AGG_STATE_PEN[],E$1,0),"ERROR")</f>
        <v>301</v>
      </c>
      <c r="F103" s="112">
        <f>IFERROR(VLOOKUP($B103,MMWR_TRAD_AGG_STATE_PEN[],F$1,0),"ERROR")</f>
        <v>29</v>
      </c>
      <c r="G103" s="113">
        <f t="shared" si="12"/>
        <v>9.634551495016612E-2</v>
      </c>
      <c r="H103" s="111">
        <f>IFERROR(VLOOKUP($B103,MMWR_TRAD_AGG_STATE_PEN[],H$1,0),"ERROR")</f>
        <v>390</v>
      </c>
      <c r="I103" s="112">
        <f>IFERROR(VLOOKUP($B103,MMWR_TRAD_AGG_STATE_PEN[],I$1,0),"ERROR")</f>
        <v>23</v>
      </c>
      <c r="J103" s="114">
        <f t="shared" si="13"/>
        <v>5.8974358974358973E-2</v>
      </c>
      <c r="K103" s="111">
        <f>IFERROR(VLOOKUP($B103,MMWR_TRAD_AGG_STATE_PEN[],K$1,0),"ERROR")</f>
        <v>3</v>
      </c>
      <c r="L103" s="112">
        <f>IFERROR(VLOOKUP($B103,MMWR_TRAD_AGG_STATE_PEN[],L$1,0),"ERROR")</f>
        <v>3</v>
      </c>
      <c r="M103" s="114">
        <f t="shared" si="14"/>
        <v>1</v>
      </c>
      <c r="N103" s="111">
        <f>IFERROR(VLOOKUP($B103,MMWR_TRAD_AGG_STATE_PEN[],N$1,0),"ERROR")</f>
        <v>23</v>
      </c>
      <c r="O103" s="112">
        <f>IFERROR(VLOOKUP($B103,MMWR_TRAD_AGG_STATE_PEN[],O$1,0),"ERROR")</f>
        <v>5</v>
      </c>
      <c r="P103" s="114">
        <f t="shared" si="15"/>
        <v>0.21739130434782608</v>
      </c>
      <c r="Q103" s="115">
        <f>IFERROR(VLOOKUP($B103,MMWR_TRAD_AGG_STATE_PEN[],Q$1,0),"ERROR")</f>
        <v>70</v>
      </c>
      <c r="R103" s="115">
        <f>IFERROR(VLOOKUP($B103,MMWR_TRAD_AGG_STATE_PEN[],R$1,0),"ERROR")</f>
        <v>27</v>
      </c>
      <c r="S103" s="115">
        <f>IFERROR(VLOOKUP($B103,MMWR_APP_STATE_PEN[],S$1,0),"ERROR")</f>
        <v>173</v>
      </c>
      <c r="T103" s="28"/>
    </row>
    <row r="104" spans="1:20" s="123" customFormat="1" x14ac:dyDescent="0.2">
      <c r="A104" s="28"/>
      <c r="B104" s="127" t="s">
        <v>419</v>
      </c>
      <c r="C104" s="109">
        <f>IFERROR(VLOOKUP($B104,MMWR_TRAD_AGG_STATE_PEN[],C$1,0),"ERROR")</f>
        <v>34</v>
      </c>
      <c r="D104" s="110">
        <f>IFERROR(VLOOKUP($B104,MMWR_TRAD_AGG_STATE_PEN[],D$1,0),"ERROR")</f>
        <v>53.705882352899998</v>
      </c>
      <c r="E104" s="111">
        <f>IFERROR(VLOOKUP($B104,MMWR_TRAD_AGG_STATE_PEN[],E$1,0),"ERROR")</f>
        <v>88</v>
      </c>
      <c r="F104" s="112">
        <f>IFERROR(VLOOKUP($B104,MMWR_TRAD_AGG_STATE_PEN[],F$1,0),"ERROR")</f>
        <v>2</v>
      </c>
      <c r="G104" s="113">
        <f t="shared" si="12"/>
        <v>2.2727272727272728E-2</v>
      </c>
      <c r="H104" s="111">
        <f>IFERROR(VLOOKUP($B104,MMWR_TRAD_AGG_STATE_PEN[],H$1,0),"ERROR")</f>
        <v>50</v>
      </c>
      <c r="I104" s="112">
        <f>IFERROR(VLOOKUP($B104,MMWR_TRAD_AGG_STATE_PEN[],I$1,0),"ERROR")</f>
        <v>4</v>
      </c>
      <c r="J104" s="114">
        <f t="shared" si="13"/>
        <v>0.08</v>
      </c>
      <c r="K104" s="111">
        <f>IFERROR(VLOOKUP($B104,MMWR_TRAD_AGG_STATE_PEN[],K$1,0),"ERROR")</f>
        <v>0</v>
      </c>
      <c r="L104" s="112">
        <f>IFERROR(VLOOKUP($B104,MMWR_TRAD_AGG_STATE_PEN[],L$1,0),"ERROR")</f>
        <v>0</v>
      </c>
      <c r="M104" s="114" t="str">
        <f t="shared" si="14"/>
        <v>0%</v>
      </c>
      <c r="N104" s="111">
        <f>IFERROR(VLOOKUP($B104,MMWR_TRAD_AGG_STATE_PEN[],N$1,0),"ERROR")</f>
        <v>0</v>
      </c>
      <c r="O104" s="112">
        <f>IFERROR(VLOOKUP($B104,MMWR_TRAD_AGG_STATE_PEN[],O$1,0),"ERROR")</f>
        <v>0</v>
      </c>
      <c r="P104" s="114" t="str">
        <f t="shared" si="15"/>
        <v>0%</v>
      </c>
      <c r="Q104" s="115">
        <f>IFERROR(VLOOKUP($B104,MMWR_TRAD_AGG_STATE_PEN[],Q$1,0),"ERROR")</f>
        <v>129</v>
      </c>
      <c r="R104" s="115">
        <f>IFERROR(VLOOKUP($B104,MMWR_TRAD_AGG_STATE_PEN[],R$1,0),"ERROR")</f>
        <v>8</v>
      </c>
      <c r="S104" s="115">
        <f>IFERROR(VLOOKUP($B104,MMWR_APP_STATE_PEN[],S$1,0),"ERROR")</f>
        <v>7</v>
      </c>
      <c r="T104" s="28"/>
    </row>
    <row r="105" spans="1:20" s="123" customFormat="1" x14ac:dyDescent="0.2">
      <c r="A105" s="28"/>
      <c r="B105" s="127" t="s">
        <v>413</v>
      </c>
      <c r="C105" s="109">
        <f>IFERROR(VLOOKUP($B105,MMWR_TRAD_AGG_STATE_PEN[],C$1,0),"ERROR")</f>
        <v>211</v>
      </c>
      <c r="D105" s="110">
        <f>IFERROR(VLOOKUP($B105,MMWR_TRAD_AGG_STATE_PEN[],D$1,0),"ERROR")</f>
        <v>46.933649289100003</v>
      </c>
      <c r="E105" s="111">
        <f>IFERROR(VLOOKUP($B105,MMWR_TRAD_AGG_STATE_PEN[],E$1,0),"ERROR")</f>
        <v>288</v>
      </c>
      <c r="F105" s="112">
        <f>IFERROR(VLOOKUP($B105,MMWR_TRAD_AGG_STATE_PEN[],F$1,0),"ERROR")</f>
        <v>9</v>
      </c>
      <c r="G105" s="113">
        <f t="shared" si="12"/>
        <v>3.125E-2</v>
      </c>
      <c r="H105" s="111">
        <f>IFERROR(VLOOKUP($B105,MMWR_TRAD_AGG_STATE_PEN[],H$1,0),"ERROR")</f>
        <v>260</v>
      </c>
      <c r="I105" s="112">
        <f>IFERROR(VLOOKUP($B105,MMWR_TRAD_AGG_STATE_PEN[],I$1,0),"ERROR")</f>
        <v>11</v>
      </c>
      <c r="J105" s="114">
        <f t="shared" si="13"/>
        <v>4.230769230769231E-2</v>
      </c>
      <c r="K105" s="111">
        <f>IFERROR(VLOOKUP($B105,MMWR_TRAD_AGG_STATE_PEN[],K$1,0),"ERROR")</f>
        <v>2</v>
      </c>
      <c r="L105" s="112">
        <f>IFERROR(VLOOKUP($B105,MMWR_TRAD_AGG_STATE_PEN[],L$1,0),"ERROR")</f>
        <v>2</v>
      </c>
      <c r="M105" s="114">
        <f t="shared" si="14"/>
        <v>1</v>
      </c>
      <c r="N105" s="111">
        <f>IFERROR(VLOOKUP($B105,MMWR_TRAD_AGG_STATE_PEN[],N$1,0),"ERROR")</f>
        <v>11</v>
      </c>
      <c r="O105" s="112">
        <f>IFERROR(VLOOKUP($B105,MMWR_TRAD_AGG_STATE_PEN[],O$1,0),"ERROR")</f>
        <v>4</v>
      </c>
      <c r="P105" s="114">
        <f t="shared" si="15"/>
        <v>0.36363636363636365</v>
      </c>
      <c r="Q105" s="115">
        <f>IFERROR(VLOOKUP($B105,MMWR_TRAD_AGG_STATE_PEN[],Q$1,0),"ERROR")</f>
        <v>574</v>
      </c>
      <c r="R105" s="115">
        <f>IFERROR(VLOOKUP($B105,MMWR_TRAD_AGG_STATE_PEN[],R$1,0),"ERROR")</f>
        <v>46</v>
      </c>
      <c r="S105" s="115">
        <f>IFERROR(VLOOKUP($B105,MMWR_APP_STATE_PEN[],S$1,0),"ERROR")</f>
        <v>105</v>
      </c>
      <c r="T105" s="28"/>
    </row>
    <row r="106" spans="1:20" s="123" customFormat="1" x14ac:dyDescent="0.2">
      <c r="A106" s="28"/>
      <c r="B106" s="127" t="s">
        <v>411</v>
      </c>
      <c r="C106" s="109">
        <f>IFERROR(VLOOKUP($B106,MMWR_TRAD_AGG_STATE_PEN[],C$1,0),"ERROR")</f>
        <v>890</v>
      </c>
      <c r="D106" s="110">
        <f>IFERROR(VLOOKUP($B106,MMWR_TRAD_AGG_STATE_PEN[],D$1,0),"ERROR")</f>
        <v>48.162921348300003</v>
      </c>
      <c r="E106" s="111">
        <f>IFERROR(VLOOKUP($B106,MMWR_TRAD_AGG_STATE_PEN[],E$1,0),"ERROR")</f>
        <v>1368</v>
      </c>
      <c r="F106" s="112">
        <f>IFERROR(VLOOKUP($B106,MMWR_TRAD_AGG_STATE_PEN[],F$1,0),"ERROR")</f>
        <v>58</v>
      </c>
      <c r="G106" s="113">
        <f t="shared" si="12"/>
        <v>4.2397660818713448E-2</v>
      </c>
      <c r="H106" s="111">
        <f>IFERROR(VLOOKUP($B106,MMWR_TRAD_AGG_STATE_PEN[],H$1,0),"ERROR")</f>
        <v>1271</v>
      </c>
      <c r="I106" s="112">
        <f>IFERROR(VLOOKUP($B106,MMWR_TRAD_AGG_STATE_PEN[],I$1,0),"ERROR")</f>
        <v>53</v>
      </c>
      <c r="J106" s="114">
        <f t="shared" si="13"/>
        <v>4.1699449252557044E-2</v>
      </c>
      <c r="K106" s="111">
        <f>IFERROR(VLOOKUP($B106,MMWR_TRAD_AGG_STATE_PEN[],K$1,0),"ERROR")</f>
        <v>8</v>
      </c>
      <c r="L106" s="112">
        <f>IFERROR(VLOOKUP($B106,MMWR_TRAD_AGG_STATE_PEN[],L$1,0),"ERROR")</f>
        <v>6</v>
      </c>
      <c r="M106" s="114">
        <f t="shared" si="14"/>
        <v>0.75</v>
      </c>
      <c r="N106" s="111">
        <f>IFERROR(VLOOKUP($B106,MMWR_TRAD_AGG_STATE_PEN[],N$1,0),"ERROR")</f>
        <v>71</v>
      </c>
      <c r="O106" s="112">
        <f>IFERROR(VLOOKUP($B106,MMWR_TRAD_AGG_STATE_PEN[],O$1,0),"ERROR")</f>
        <v>39</v>
      </c>
      <c r="P106" s="114">
        <f t="shared" si="15"/>
        <v>0.54929577464788737</v>
      </c>
      <c r="Q106" s="115">
        <f>IFERROR(VLOOKUP($B106,MMWR_TRAD_AGG_STATE_PEN[],Q$1,0),"ERROR")</f>
        <v>1338</v>
      </c>
      <c r="R106" s="115">
        <f>IFERROR(VLOOKUP($B106,MMWR_TRAD_AGG_STATE_PEN[],R$1,0),"ERROR")</f>
        <v>282</v>
      </c>
      <c r="S106" s="115">
        <f>IFERROR(VLOOKUP($B106,MMWR_APP_STATE_PEN[],S$1,0),"ERROR")</f>
        <v>602</v>
      </c>
      <c r="T106" s="28"/>
    </row>
    <row r="107" spans="1:20" s="123" customFormat="1" x14ac:dyDescent="0.2">
      <c r="A107" s="28"/>
      <c r="B107" s="127" t="s">
        <v>407</v>
      </c>
      <c r="C107" s="109">
        <f>IFERROR(VLOOKUP($B107,MMWR_TRAD_AGG_STATE_PEN[],C$1,0),"ERROR")</f>
        <v>73</v>
      </c>
      <c r="D107" s="110">
        <f>IFERROR(VLOOKUP($B107,MMWR_TRAD_AGG_STATE_PEN[],D$1,0),"ERROR")</f>
        <v>57.479452054799999</v>
      </c>
      <c r="E107" s="111">
        <f>IFERROR(VLOOKUP($B107,MMWR_TRAD_AGG_STATE_PEN[],E$1,0),"ERROR")</f>
        <v>133</v>
      </c>
      <c r="F107" s="112">
        <f>IFERROR(VLOOKUP($B107,MMWR_TRAD_AGG_STATE_PEN[],F$1,0),"ERROR")</f>
        <v>2</v>
      </c>
      <c r="G107" s="113">
        <f t="shared" si="12"/>
        <v>1.5037593984962405E-2</v>
      </c>
      <c r="H107" s="111">
        <f>IFERROR(VLOOKUP($B107,MMWR_TRAD_AGG_STATE_PEN[],H$1,0),"ERROR")</f>
        <v>93</v>
      </c>
      <c r="I107" s="112">
        <f>IFERROR(VLOOKUP($B107,MMWR_TRAD_AGG_STATE_PEN[],I$1,0),"ERROR")</f>
        <v>5</v>
      </c>
      <c r="J107" s="114">
        <f t="shared" si="13"/>
        <v>5.3763440860215055E-2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2</v>
      </c>
      <c r="P107" s="114">
        <f t="shared" si="15"/>
        <v>0.5</v>
      </c>
      <c r="Q107" s="115">
        <f>IFERROR(VLOOKUP($B107,MMWR_TRAD_AGG_STATE_PEN[],Q$1,0),"ERROR")</f>
        <v>141</v>
      </c>
      <c r="R107" s="115">
        <f>IFERROR(VLOOKUP($B107,MMWR_TRAD_AGG_STATE_PEN[],R$1,0),"ERROR")</f>
        <v>12</v>
      </c>
      <c r="S107" s="115">
        <f>IFERROR(VLOOKUP($B107,MMWR_APP_STATE_PEN[],S$1,0),"ERROR")</f>
        <v>20</v>
      </c>
      <c r="T107" s="28"/>
    </row>
    <row r="108" spans="1:20" s="123" customFormat="1" x14ac:dyDescent="0.2">
      <c r="A108" s="28"/>
      <c r="B108" s="127" t="s">
        <v>422</v>
      </c>
      <c r="C108" s="109">
        <f>IFERROR(VLOOKUP($B108,MMWR_TRAD_AGG_STATE_PEN[],C$1,0),"ERROR")</f>
        <v>21</v>
      </c>
      <c r="D108" s="110">
        <f>IFERROR(VLOOKUP($B108,MMWR_TRAD_AGG_STATE_PEN[],D$1,0),"ERROR")</f>
        <v>57.666666666700003</v>
      </c>
      <c r="E108" s="111">
        <f>IFERROR(VLOOKUP($B108,MMWR_TRAD_AGG_STATE_PEN[],E$1,0),"ERROR")</f>
        <v>15</v>
      </c>
      <c r="F108" s="112">
        <f>IFERROR(VLOOKUP($B108,MMWR_TRAD_AGG_STATE_PEN[],F$1,0),"ERROR")</f>
        <v>2</v>
      </c>
      <c r="G108" s="113">
        <f t="shared" si="12"/>
        <v>0.13333333333333333</v>
      </c>
      <c r="H108" s="111">
        <f>IFERROR(VLOOKUP($B108,MMWR_TRAD_AGG_STATE_PEN[],H$1,0),"ERROR")</f>
        <v>32</v>
      </c>
      <c r="I108" s="112">
        <f>IFERROR(VLOOKUP($B108,MMWR_TRAD_AGG_STATE_PEN[],I$1,0),"ERROR")</f>
        <v>5</v>
      </c>
      <c r="J108" s="114">
        <f t="shared" si="13"/>
        <v>0.15625</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57</v>
      </c>
      <c r="R108" s="115">
        <f>IFERROR(VLOOKUP($B108,MMWR_TRAD_AGG_STATE_PEN[],R$1,0),"ERROR")</f>
        <v>3</v>
      </c>
      <c r="S108" s="115">
        <f>IFERROR(VLOOKUP($B108,MMWR_APP_STATE_PEN[],S$1,0),"ERROR")</f>
        <v>6</v>
      </c>
      <c r="T108" s="28"/>
    </row>
    <row r="109" spans="1:20" s="123" customFormat="1" x14ac:dyDescent="0.2">
      <c r="A109" s="28"/>
      <c r="B109" s="126" t="s">
        <v>405</v>
      </c>
      <c r="C109" s="102">
        <f>IFERROR(VLOOKUP($B109,MMWR_TRAD_AGG_ST_DISTRICT_PEN[],C$1,0),"ERROR")</f>
        <v>1816</v>
      </c>
      <c r="D109" s="103">
        <f>IFERROR(VLOOKUP($B109,MMWR_TRAD_AGG_ST_DISTRICT_PEN[],D$1,0),"ERROR")</f>
        <v>48.515418502199999</v>
      </c>
      <c r="E109" s="102">
        <f>IFERROR(VLOOKUP($B109,MMWR_TRAD_AGG_ST_DISTRICT_PEN[],E$1,0),"ERROR")</f>
        <v>3186</v>
      </c>
      <c r="F109" s="102">
        <f>IFERROR(VLOOKUP($B109,MMWR_TRAD_AGG_ST_DISTRICT_PEN[],F$1,0),"ERROR")</f>
        <v>168</v>
      </c>
      <c r="G109" s="104">
        <f t="shared" si="12"/>
        <v>5.2730696798493411E-2</v>
      </c>
      <c r="H109" s="102">
        <f>IFERROR(VLOOKUP($B109,MMWR_TRAD_AGG_ST_DISTRICT_PEN[],H$1,0),"ERROR")</f>
        <v>2479</v>
      </c>
      <c r="I109" s="102">
        <f>IFERROR(VLOOKUP($B109,MMWR_TRAD_AGG_ST_DISTRICT_PEN[],I$1,0),"ERROR")</f>
        <v>129</v>
      </c>
      <c r="J109" s="104">
        <f t="shared" si="13"/>
        <v>5.2037111738604279E-2</v>
      </c>
      <c r="K109" s="102">
        <f>IFERROR(VLOOKUP($B109,MMWR_TRAD_AGG_ST_DISTRICT_PEN[],K$1,0),"ERROR")</f>
        <v>18</v>
      </c>
      <c r="L109" s="102">
        <f>IFERROR(VLOOKUP($B109,MMWR_TRAD_AGG_ST_DISTRICT_PEN[],L$1,0),"ERROR")</f>
        <v>10</v>
      </c>
      <c r="M109" s="104">
        <f t="shared" si="14"/>
        <v>0.55555555555555558</v>
      </c>
      <c r="N109" s="102">
        <f>IFERROR(VLOOKUP($B109,MMWR_TRAD_AGG_ST_DISTRICT_PEN[],N$1,0),"ERROR")</f>
        <v>157</v>
      </c>
      <c r="O109" s="102">
        <f>IFERROR(VLOOKUP($B109,MMWR_TRAD_AGG_ST_DISTRICT_PEN[],O$1,0),"ERROR")</f>
        <v>73</v>
      </c>
      <c r="P109" s="104">
        <f t="shared" si="15"/>
        <v>0.46496815286624205</v>
      </c>
      <c r="Q109" s="102">
        <f>IFERROR(VLOOKUP($B109,MMWR_TRAD_AGG_ST_DISTRICT_PEN[],Q$1,0),"ERROR")</f>
        <v>2922</v>
      </c>
      <c r="R109" s="106">
        <f>IFERROR(VLOOKUP($B109,MMWR_TRAD_AGG_ST_DISTRICT_PEN[],R$1,0),"ERROR")</f>
        <v>525</v>
      </c>
      <c r="S109" s="106">
        <f>IFERROR(VLOOKUP($B109,MMWR_APP_STATE_PEN[],S$1,0),"ERROR")</f>
        <v>812</v>
      </c>
      <c r="T109" s="28"/>
    </row>
    <row r="110" spans="1:20" s="123" customFormat="1" x14ac:dyDescent="0.2">
      <c r="A110" s="28"/>
      <c r="B110" s="127" t="s">
        <v>425</v>
      </c>
      <c r="C110" s="109">
        <f>IFERROR(VLOOKUP($B110,MMWR_TRAD_AGG_STATE_PEN[],C$1,0),"ERROR")</f>
        <v>16</v>
      </c>
      <c r="D110" s="110">
        <f>IFERROR(VLOOKUP($B110,MMWR_TRAD_AGG_STATE_PEN[],D$1,0),"ERROR")</f>
        <v>42.0625</v>
      </c>
      <c r="E110" s="111">
        <f>IFERROR(VLOOKUP($B110,MMWR_TRAD_AGG_STATE_PEN[],E$1,0),"ERROR")</f>
        <v>20</v>
      </c>
      <c r="F110" s="112">
        <f>IFERROR(VLOOKUP($B110,MMWR_TRAD_AGG_STATE_PEN[],F$1,0),"ERROR")</f>
        <v>1</v>
      </c>
      <c r="G110" s="113">
        <f t="shared" si="12"/>
        <v>0.05</v>
      </c>
      <c r="H110" s="111">
        <f>IFERROR(VLOOKUP($B110,MMWR_TRAD_AGG_STATE_PEN[],H$1,0),"ERROR")</f>
        <v>27</v>
      </c>
      <c r="I110" s="112">
        <f>IFERROR(VLOOKUP($B110,MMWR_TRAD_AGG_STATE_PEN[],I$1,0),"ERROR")</f>
        <v>2</v>
      </c>
      <c r="J110" s="114">
        <f t="shared" si="13"/>
        <v>7.407407407407407E-2</v>
      </c>
      <c r="K110" s="111">
        <f>IFERROR(VLOOKUP($B110,MMWR_TRAD_AGG_STATE_PEN[],K$1,0),"ERROR")</f>
        <v>0</v>
      </c>
      <c r="L110" s="112">
        <f>IFERROR(VLOOKUP($B110,MMWR_TRAD_AGG_STATE_PEN[],L$1,0),"ERROR")</f>
        <v>0</v>
      </c>
      <c r="M110" s="114" t="str">
        <f t="shared" si="14"/>
        <v>0%</v>
      </c>
      <c r="N110" s="111">
        <f>IFERROR(VLOOKUP($B110,MMWR_TRAD_AGG_STATE_PEN[],N$1,0),"ERROR")</f>
        <v>1</v>
      </c>
      <c r="O110" s="112">
        <f>IFERROR(VLOOKUP($B110,MMWR_TRAD_AGG_STATE_PEN[],O$1,0),"ERROR")</f>
        <v>1</v>
      </c>
      <c r="P110" s="114">
        <f t="shared" si="15"/>
        <v>1</v>
      </c>
      <c r="Q110" s="115">
        <f>IFERROR(VLOOKUP($B110,MMWR_TRAD_AGG_STATE_PEN[],Q$1,0),"ERROR")</f>
        <v>27</v>
      </c>
      <c r="R110" s="115">
        <f>IFERROR(VLOOKUP($B110,MMWR_TRAD_AGG_STATE_PEN[],R$1,0),"ERROR")</f>
        <v>5</v>
      </c>
      <c r="S110" s="115">
        <f>IFERROR(VLOOKUP($B110,MMWR_APP_STATE_PEN[],S$1,0),"ERROR")</f>
        <v>3</v>
      </c>
      <c r="T110" s="28"/>
    </row>
    <row r="111" spans="1:20" s="123" customFormat="1" x14ac:dyDescent="0.2">
      <c r="A111" s="28"/>
      <c r="B111" s="127" t="s">
        <v>427</v>
      </c>
      <c r="C111" s="109">
        <f>IFERROR(VLOOKUP($B111,MMWR_TRAD_AGG_STATE_PEN[],C$1,0),"ERROR")</f>
        <v>252</v>
      </c>
      <c r="D111" s="110">
        <f>IFERROR(VLOOKUP($B111,MMWR_TRAD_AGG_STATE_PEN[],D$1,0),"ERROR")</f>
        <v>47.103174603200003</v>
      </c>
      <c r="E111" s="111">
        <f>IFERROR(VLOOKUP($B111,MMWR_TRAD_AGG_STATE_PEN[],E$1,0),"ERROR")</f>
        <v>419</v>
      </c>
      <c r="F111" s="112">
        <f>IFERROR(VLOOKUP($B111,MMWR_TRAD_AGG_STATE_PEN[],F$1,0),"ERROR")</f>
        <v>27</v>
      </c>
      <c r="G111" s="113">
        <f t="shared" si="12"/>
        <v>6.4439140811455853E-2</v>
      </c>
      <c r="H111" s="111">
        <f>IFERROR(VLOOKUP($B111,MMWR_TRAD_AGG_STATE_PEN[],H$1,0),"ERROR")</f>
        <v>313</v>
      </c>
      <c r="I111" s="112">
        <f>IFERROR(VLOOKUP($B111,MMWR_TRAD_AGG_STATE_PEN[],I$1,0),"ERROR")</f>
        <v>11</v>
      </c>
      <c r="J111" s="114">
        <f t="shared" si="13"/>
        <v>3.5143769968051117E-2</v>
      </c>
      <c r="K111" s="111">
        <f>IFERROR(VLOOKUP($B111,MMWR_TRAD_AGG_STATE_PEN[],K$1,0),"ERROR")</f>
        <v>1</v>
      </c>
      <c r="L111" s="112">
        <f>IFERROR(VLOOKUP($B111,MMWR_TRAD_AGG_STATE_PEN[],L$1,0),"ERROR")</f>
        <v>1</v>
      </c>
      <c r="M111" s="114">
        <f t="shared" si="14"/>
        <v>1</v>
      </c>
      <c r="N111" s="111">
        <f>IFERROR(VLOOKUP($B111,MMWR_TRAD_AGG_STATE_PEN[],N$1,0),"ERROR")</f>
        <v>21</v>
      </c>
      <c r="O111" s="112">
        <f>IFERROR(VLOOKUP($B111,MMWR_TRAD_AGG_STATE_PEN[],O$1,0),"ERROR")</f>
        <v>9</v>
      </c>
      <c r="P111" s="114">
        <f t="shared" si="15"/>
        <v>0.42857142857142855</v>
      </c>
      <c r="Q111" s="115">
        <f>IFERROR(VLOOKUP($B111,MMWR_TRAD_AGG_STATE_PEN[],Q$1,0),"ERROR")</f>
        <v>353</v>
      </c>
      <c r="R111" s="115">
        <f>IFERROR(VLOOKUP($B111,MMWR_TRAD_AGG_STATE_PEN[],R$1,0),"ERROR")</f>
        <v>68</v>
      </c>
      <c r="S111" s="115">
        <f>IFERROR(VLOOKUP($B111,MMWR_APP_STATE_PEN[],S$1,0),"ERROR")</f>
        <v>121</v>
      </c>
      <c r="T111" s="28"/>
    </row>
    <row r="112" spans="1:20" s="123" customFormat="1" x14ac:dyDescent="0.2">
      <c r="A112" s="28"/>
      <c r="B112" s="127" t="s">
        <v>408</v>
      </c>
      <c r="C112" s="109">
        <f>IFERROR(VLOOKUP($B112,MMWR_TRAD_AGG_STATE_PEN[],C$1,0),"ERROR")</f>
        <v>940</v>
      </c>
      <c r="D112" s="110">
        <f>IFERROR(VLOOKUP($B112,MMWR_TRAD_AGG_STATE_PEN[],D$1,0),"ERROR")</f>
        <v>49.579787234000001</v>
      </c>
      <c r="E112" s="111">
        <f>IFERROR(VLOOKUP($B112,MMWR_TRAD_AGG_STATE_PEN[],E$1,0),"ERROR")</f>
        <v>1648</v>
      </c>
      <c r="F112" s="112">
        <f>IFERROR(VLOOKUP($B112,MMWR_TRAD_AGG_STATE_PEN[],F$1,0),"ERROR")</f>
        <v>92</v>
      </c>
      <c r="G112" s="113">
        <f t="shared" si="12"/>
        <v>5.5825242718446605E-2</v>
      </c>
      <c r="H112" s="111">
        <f>IFERROR(VLOOKUP($B112,MMWR_TRAD_AGG_STATE_PEN[],H$1,0),"ERROR")</f>
        <v>1253</v>
      </c>
      <c r="I112" s="112">
        <f>IFERROR(VLOOKUP($B112,MMWR_TRAD_AGG_STATE_PEN[],I$1,0),"ERROR")</f>
        <v>56</v>
      </c>
      <c r="J112" s="114">
        <f t="shared" si="13"/>
        <v>4.4692737430167599E-2</v>
      </c>
      <c r="K112" s="111">
        <f>IFERROR(VLOOKUP($B112,MMWR_TRAD_AGG_STATE_PEN[],K$1,0),"ERROR")</f>
        <v>13</v>
      </c>
      <c r="L112" s="112">
        <f>IFERROR(VLOOKUP($B112,MMWR_TRAD_AGG_STATE_PEN[],L$1,0),"ERROR")</f>
        <v>6</v>
      </c>
      <c r="M112" s="114">
        <f t="shared" si="14"/>
        <v>0.46153846153846156</v>
      </c>
      <c r="N112" s="111">
        <f>IFERROR(VLOOKUP($B112,MMWR_TRAD_AGG_STATE_PEN[],N$1,0),"ERROR")</f>
        <v>81</v>
      </c>
      <c r="O112" s="112">
        <f>IFERROR(VLOOKUP($B112,MMWR_TRAD_AGG_STATE_PEN[],O$1,0),"ERROR")</f>
        <v>40</v>
      </c>
      <c r="P112" s="114">
        <f t="shared" si="15"/>
        <v>0.49382716049382713</v>
      </c>
      <c r="Q112" s="115">
        <f>IFERROR(VLOOKUP($B112,MMWR_TRAD_AGG_STATE_PEN[],Q$1,0),"ERROR")</f>
        <v>1281</v>
      </c>
      <c r="R112" s="115">
        <f>IFERROR(VLOOKUP($B112,MMWR_TRAD_AGG_STATE_PEN[],R$1,0),"ERROR")</f>
        <v>271</v>
      </c>
      <c r="S112" s="115">
        <f>IFERROR(VLOOKUP($B112,MMWR_APP_STATE_PEN[],S$1,0),"ERROR")</f>
        <v>439</v>
      </c>
      <c r="T112" s="28"/>
    </row>
    <row r="113" spans="1:20" s="123" customFormat="1" x14ac:dyDescent="0.2">
      <c r="A113" s="28"/>
      <c r="B113" s="127" t="s">
        <v>429</v>
      </c>
      <c r="C113" s="109">
        <f>IFERROR(VLOOKUP($B113,MMWR_TRAD_AGG_STATE_PEN[],C$1,0),"ERROR")</f>
        <v>19</v>
      </c>
      <c r="D113" s="110">
        <f>IFERROR(VLOOKUP($B113,MMWR_TRAD_AGG_STATE_PEN[],D$1,0),"ERROR")</f>
        <v>48.052631578899998</v>
      </c>
      <c r="E113" s="111">
        <f>IFERROR(VLOOKUP($B113,MMWR_TRAD_AGG_STATE_PEN[],E$1,0),"ERROR")</f>
        <v>26</v>
      </c>
      <c r="F113" s="112">
        <f>IFERROR(VLOOKUP($B113,MMWR_TRAD_AGG_STATE_PEN[],F$1,0),"ERROR")</f>
        <v>3</v>
      </c>
      <c r="G113" s="113">
        <f t="shared" si="12"/>
        <v>0.11538461538461539</v>
      </c>
      <c r="H113" s="111">
        <f>IFERROR(VLOOKUP($B113,MMWR_TRAD_AGG_STATE_PEN[],H$1,0),"ERROR")</f>
        <v>27</v>
      </c>
      <c r="I113" s="112">
        <f>IFERROR(VLOOKUP($B113,MMWR_TRAD_AGG_STATE_PEN[],I$1,0),"ERROR")</f>
        <v>2</v>
      </c>
      <c r="J113" s="114">
        <f t="shared" si="13"/>
        <v>7.407407407407407E-2</v>
      </c>
      <c r="K113" s="111">
        <f>IFERROR(VLOOKUP($B113,MMWR_TRAD_AGG_STATE_PEN[],K$1,0),"ERROR")</f>
        <v>1</v>
      </c>
      <c r="L113" s="112">
        <f>IFERROR(VLOOKUP($B113,MMWR_TRAD_AGG_STATE_PEN[],L$1,0),"ERROR")</f>
        <v>1</v>
      </c>
      <c r="M113" s="114">
        <f t="shared" si="14"/>
        <v>1</v>
      </c>
      <c r="N113" s="111">
        <f>IFERROR(VLOOKUP($B113,MMWR_TRAD_AGG_STATE_PEN[],N$1,0),"ERROR")</f>
        <v>1</v>
      </c>
      <c r="O113" s="112">
        <f>IFERROR(VLOOKUP($B113,MMWR_TRAD_AGG_STATE_PEN[],O$1,0),"ERROR")</f>
        <v>0</v>
      </c>
      <c r="P113" s="114">
        <f t="shared" si="15"/>
        <v>0</v>
      </c>
      <c r="Q113" s="115">
        <f>IFERROR(VLOOKUP($B113,MMWR_TRAD_AGG_STATE_PEN[],Q$1,0),"ERROR")</f>
        <v>53</v>
      </c>
      <c r="R113" s="115">
        <f>IFERROR(VLOOKUP($B113,MMWR_TRAD_AGG_STATE_PEN[],R$1,0),"ERROR")</f>
        <v>6</v>
      </c>
      <c r="S113" s="115">
        <f>IFERROR(VLOOKUP($B113,MMWR_APP_STATE_PEN[],S$1,0),"ERROR")</f>
        <v>10</v>
      </c>
      <c r="T113" s="28"/>
    </row>
    <row r="114" spans="1:20" s="123" customFormat="1" x14ac:dyDescent="0.2">
      <c r="A114" s="28"/>
      <c r="B114" s="127" t="s">
        <v>409</v>
      </c>
      <c r="C114" s="109">
        <f>IFERROR(VLOOKUP($B114,MMWR_TRAD_AGG_STATE_PEN[],C$1,0),"ERROR")</f>
        <v>69</v>
      </c>
      <c r="D114" s="110">
        <f>IFERROR(VLOOKUP($B114,MMWR_TRAD_AGG_STATE_PEN[],D$1,0),"ERROR")</f>
        <v>40.724637681200001</v>
      </c>
      <c r="E114" s="111">
        <f>IFERROR(VLOOKUP($B114,MMWR_TRAD_AGG_STATE_PEN[],E$1,0),"ERROR")</f>
        <v>109</v>
      </c>
      <c r="F114" s="112">
        <f>IFERROR(VLOOKUP($B114,MMWR_TRAD_AGG_STATE_PEN[],F$1,0),"ERROR")</f>
        <v>3</v>
      </c>
      <c r="G114" s="113">
        <f t="shared" si="12"/>
        <v>2.7522935779816515E-2</v>
      </c>
      <c r="H114" s="111">
        <f>IFERROR(VLOOKUP($B114,MMWR_TRAD_AGG_STATE_PEN[],H$1,0),"ERROR")</f>
        <v>90</v>
      </c>
      <c r="I114" s="112">
        <f>IFERROR(VLOOKUP($B114,MMWR_TRAD_AGG_STATE_PEN[],I$1,0),"ERROR")</f>
        <v>1</v>
      </c>
      <c r="J114" s="114">
        <f t="shared" si="13"/>
        <v>1.1111111111111112E-2</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116</v>
      </c>
      <c r="R114" s="115">
        <f>IFERROR(VLOOKUP($B114,MMWR_TRAD_AGG_STATE_PEN[],R$1,0),"ERROR")</f>
        <v>13</v>
      </c>
      <c r="S114" s="115">
        <f>IFERROR(VLOOKUP($B114,MMWR_APP_STATE_PEN[],S$1,0),"ERROR")</f>
        <v>12</v>
      </c>
      <c r="T114" s="28"/>
    </row>
    <row r="115" spans="1:20" s="123" customFormat="1" x14ac:dyDescent="0.2">
      <c r="A115" s="28"/>
      <c r="B115" s="127" t="s">
        <v>414</v>
      </c>
      <c r="C115" s="109">
        <f>IFERROR(VLOOKUP($B115,MMWR_TRAD_AGG_STATE_PEN[],C$1,0),"ERROR")</f>
        <v>92</v>
      </c>
      <c r="D115" s="110">
        <f>IFERROR(VLOOKUP($B115,MMWR_TRAD_AGG_STATE_PEN[],D$1,0),"ERROR")</f>
        <v>58.010869565199997</v>
      </c>
      <c r="E115" s="111">
        <f>IFERROR(VLOOKUP($B115,MMWR_TRAD_AGG_STATE_PEN[],E$1,0),"ERROR")</f>
        <v>174</v>
      </c>
      <c r="F115" s="112">
        <f>IFERROR(VLOOKUP($B115,MMWR_TRAD_AGG_STATE_PEN[],F$1,0),"ERROR")</f>
        <v>5</v>
      </c>
      <c r="G115" s="113">
        <f t="shared" si="12"/>
        <v>2.8735632183908046E-2</v>
      </c>
      <c r="H115" s="111">
        <f>IFERROR(VLOOKUP($B115,MMWR_TRAD_AGG_STATE_PEN[],H$1,0),"ERROR")</f>
        <v>130</v>
      </c>
      <c r="I115" s="112">
        <f>IFERROR(VLOOKUP($B115,MMWR_TRAD_AGG_STATE_PEN[],I$1,0),"ERROR")</f>
        <v>5</v>
      </c>
      <c r="J115" s="114">
        <f t="shared" si="13"/>
        <v>3.8461538461538464E-2</v>
      </c>
      <c r="K115" s="111">
        <f>IFERROR(VLOOKUP($B115,MMWR_TRAD_AGG_STATE_PEN[],K$1,0),"ERROR")</f>
        <v>0</v>
      </c>
      <c r="L115" s="112">
        <f>IFERROR(VLOOKUP($B115,MMWR_TRAD_AGG_STATE_PEN[],L$1,0),"ERROR")</f>
        <v>0</v>
      </c>
      <c r="M115" s="114" t="str">
        <f t="shared" si="14"/>
        <v>0%</v>
      </c>
      <c r="N115" s="111">
        <f>IFERROR(VLOOKUP($B115,MMWR_TRAD_AGG_STATE_PEN[],N$1,0),"ERROR")</f>
        <v>13</v>
      </c>
      <c r="O115" s="112">
        <f>IFERROR(VLOOKUP($B115,MMWR_TRAD_AGG_STATE_PEN[],O$1,0),"ERROR")</f>
        <v>5</v>
      </c>
      <c r="P115" s="114">
        <f t="shared" si="15"/>
        <v>0.38461538461538464</v>
      </c>
      <c r="Q115" s="115">
        <f>IFERROR(VLOOKUP($B115,MMWR_TRAD_AGG_STATE_PEN[],Q$1,0),"ERROR")</f>
        <v>152</v>
      </c>
      <c r="R115" s="115">
        <f>IFERROR(VLOOKUP($B115,MMWR_TRAD_AGG_STATE_PEN[],R$1,0),"ERROR")</f>
        <v>32</v>
      </c>
      <c r="S115" s="115">
        <f>IFERROR(VLOOKUP($B115,MMWR_APP_STATE_PEN[],S$1,0),"ERROR")</f>
        <v>47</v>
      </c>
      <c r="T115" s="28"/>
    </row>
    <row r="116" spans="1:20" s="123" customFormat="1" x14ac:dyDescent="0.2">
      <c r="A116" s="28"/>
      <c r="B116" s="127" t="s">
        <v>406</v>
      </c>
      <c r="C116" s="109">
        <f>IFERROR(VLOOKUP($B116,MMWR_TRAD_AGG_STATE_PEN[],C$1,0),"ERROR")</f>
        <v>73</v>
      </c>
      <c r="D116" s="110">
        <f>IFERROR(VLOOKUP($B116,MMWR_TRAD_AGG_STATE_PEN[],D$1,0),"ERROR")</f>
        <v>42.808219178100003</v>
      </c>
      <c r="E116" s="111">
        <f>IFERROR(VLOOKUP($B116,MMWR_TRAD_AGG_STATE_PEN[],E$1,0),"ERROR")</f>
        <v>127</v>
      </c>
      <c r="F116" s="112">
        <f>IFERROR(VLOOKUP($B116,MMWR_TRAD_AGG_STATE_PEN[],F$1,0),"ERROR")</f>
        <v>2</v>
      </c>
      <c r="G116" s="113">
        <f t="shared" si="12"/>
        <v>1.5748031496062992E-2</v>
      </c>
      <c r="H116" s="111">
        <f>IFERROR(VLOOKUP($B116,MMWR_TRAD_AGG_STATE_PEN[],H$1,0),"ERROR")</f>
        <v>99</v>
      </c>
      <c r="I116" s="112">
        <f>IFERROR(VLOOKUP($B116,MMWR_TRAD_AGG_STATE_PEN[],I$1,0),"ERROR")</f>
        <v>2</v>
      </c>
      <c r="J116" s="114">
        <f t="shared" si="13"/>
        <v>2.0202020202020204E-2</v>
      </c>
      <c r="K116" s="111">
        <f>IFERROR(VLOOKUP($B116,MMWR_TRAD_AGG_STATE_PEN[],K$1,0),"ERROR")</f>
        <v>0</v>
      </c>
      <c r="L116" s="112">
        <f>IFERROR(VLOOKUP($B116,MMWR_TRAD_AGG_STATE_PEN[],L$1,0),"ERROR")</f>
        <v>0</v>
      </c>
      <c r="M116" s="114" t="str">
        <f t="shared" si="14"/>
        <v>0%</v>
      </c>
      <c r="N116" s="111">
        <f>IFERROR(VLOOKUP($B116,MMWR_TRAD_AGG_STATE_PEN[],N$1,0),"ERROR")</f>
        <v>6</v>
      </c>
      <c r="O116" s="112">
        <f>IFERROR(VLOOKUP($B116,MMWR_TRAD_AGG_STATE_PEN[],O$1,0),"ERROR")</f>
        <v>3</v>
      </c>
      <c r="P116" s="114">
        <f t="shared" si="15"/>
        <v>0.5</v>
      </c>
      <c r="Q116" s="115">
        <f>IFERROR(VLOOKUP($B116,MMWR_TRAD_AGG_STATE_PEN[],Q$1,0),"ERROR")</f>
        <v>228</v>
      </c>
      <c r="R116" s="115">
        <f>IFERROR(VLOOKUP($B116,MMWR_TRAD_AGG_STATE_PEN[],R$1,0),"ERROR")</f>
        <v>23</v>
      </c>
      <c r="S116" s="115">
        <f>IFERROR(VLOOKUP($B116,MMWR_APP_STATE_PEN[],S$1,0),"ERROR")</f>
        <v>29</v>
      </c>
      <c r="T116" s="28"/>
    </row>
    <row r="117" spans="1:20" s="123" customFormat="1" x14ac:dyDescent="0.2">
      <c r="A117" s="28"/>
      <c r="B117" s="127" t="s">
        <v>410</v>
      </c>
      <c r="C117" s="109">
        <f>IFERROR(VLOOKUP($B117,MMWR_TRAD_AGG_STATE_PEN[],C$1,0),"ERROR")</f>
        <v>173</v>
      </c>
      <c r="D117" s="110">
        <f>IFERROR(VLOOKUP($B117,MMWR_TRAD_AGG_STATE_PEN[],D$1,0),"ERROR")</f>
        <v>44.300578034700003</v>
      </c>
      <c r="E117" s="111">
        <f>IFERROR(VLOOKUP($B117,MMWR_TRAD_AGG_STATE_PEN[],E$1,0),"ERROR")</f>
        <v>234</v>
      </c>
      <c r="F117" s="112">
        <f>IFERROR(VLOOKUP($B117,MMWR_TRAD_AGG_STATE_PEN[],F$1,0),"ERROR")</f>
        <v>15</v>
      </c>
      <c r="G117" s="113">
        <f t="shared" si="12"/>
        <v>6.4102564102564097E-2</v>
      </c>
      <c r="H117" s="111">
        <f>IFERROR(VLOOKUP($B117,MMWR_TRAD_AGG_STATE_PEN[],H$1,0),"ERROR")</f>
        <v>243</v>
      </c>
      <c r="I117" s="112">
        <f>IFERROR(VLOOKUP($B117,MMWR_TRAD_AGG_STATE_PEN[],I$1,0),"ERROR")</f>
        <v>13</v>
      </c>
      <c r="J117" s="114">
        <f t="shared" si="13"/>
        <v>5.3497942386831275E-2</v>
      </c>
      <c r="K117" s="111">
        <f>IFERROR(VLOOKUP($B117,MMWR_TRAD_AGG_STATE_PEN[],K$1,0),"ERROR")</f>
        <v>1</v>
      </c>
      <c r="L117" s="112">
        <f>IFERROR(VLOOKUP($B117,MMWR_TRAD_AGG_STATE_PEN[],L$1,0),"ERROR")</f>
        <v>1</v>
      </c>
      <c r="M117" s="114">
        <f t="shared" si="14"/>
        <v>1</v>
      </c>
      <c r="N117" s="111">
        <f>IFERROR(VLOOKUP($B117,MMWR_TRAD_AGG_STATE_PEN[],N$1,0),"ERROR")</f>
        <v>13</v>
      </c>
      <c r="O117" s="112">
        <f>IFERROR(VLOOKUP($B117,MMWR_TRAD_AGG_STATE_PEN[],O$1,0),"ERROR")</f>
        <v>6</v>
      </c>
      <c r="P117" s="114">
        <f t="shared" si="15"/>
        <v>0.46153846153846156</v>
      </c>
      <c r="Q117" s="115">
        <f>IFERROR(VLOOKUP($B117,MMWR_TRAD_AGG_STATE_PEN[],Q$1,0),"ERROR")</f>
        <v>300</v>
      </c>
      <c r="R117" s="115">
        <f>IFERROR(VLOOKUP($B117,MMWR_TRAD_AGG_STATE_PEN[],R$1,0),"ERROR")</f>
        <v>42</v>
      </c>
      <c r="S117" s="115">
        <f>IFERROR(VLOOKUP($B117,MMWR_APP_STATE_PEN[],S$1,0),"ERROR")</f>
        <v>55</v>
      </c>
      <c r="T117" s="28"/>
    </row>
    <row r="118" spans="1:20" s="123" customFormat="1" x14ac:dyDescent="0.2">
      <c r="A118" s="28"/>
      <c r="B118" s="127" t="s">
        <v>80</v>
      </c>
      <c r="C118" s="109">
        <f>IFERROR(VLOOKUP($B118,MMWR_TRAD_AGG_STATE_PEN[],C$1,0),"ERROR")</f>
        <v>182</v>
      </c>
      <c r="D118" s="110">
        <f>IFERROR(VLOOKUP($B118,MMWR_TRAD_AGG_STATE_PEN[],D$1,0),"ERROR")</f>
        <v>50.038461538500002</v>
      </c>
      <c r="E118" s="111">
        <f>IFERROR(VLOOKUP($B118,MMWR_TRAD_AGG_STATE_PEN[],E$1,0),"ERROR")</f>
        <v>429</v>
      </c>
      <c r="F118" s="112">
        <f>IFERROR(VLOOKUP($B118,MMWR_TRAD_AGG_STATE_PEN[],F$1,0),"ERROR")</f>
        <v>20</v>
      </c>
      <c r="G118" s="113">
        <f t="shared" si="12"/>
        <v>4.6620046620046623E-2</v>
      </c>
      <c r="H118" s="111">
        <f>IFERROR(VLOOKUP($B118,MMWR_TRAD_AGG_STATE_PEN[],H$1,0),"ERROR")</f>
        <v>297</v>
      </c>
      <c r="I118" s="112">
        <f>IFERROR(VLOOKUP($B118,MMWR_TRAD_AGG_STATE_PEN[],I$1,0),"ERROR")</f>
        <v>37</v>
      </c>
      <c r="J118" s="114">
        <f t="shared" si="13"/>
        <v>0.12457912457912458</v>
      </c>
      <c r="K118" s="111">
        <f>IFERROR(VLOOKUP($B118,MMWR_TRAD_AGG_STATE_PEN[],K$1,0),"ERROR")</f>
        <v>1</v>
      </c>
      <c r="L118" s="112">
        <f>IFERROR(VLOOKUP($B118,MMWR_TRAD_AGG_STATE_PEN[],L$1,0),"ERROR")</f>
        <v>0</v>
      </c>
      <c r="M118" s="114">
        <f t="shared" si="14"/>
        <v>0</v>
      </c>
      <c r="N118" s="111">
        <f>IFERROR(VLOOKUP($B118,MMWR_TRAD_AGG_STATE_PEN[],N$1,0),"ERROR")</f>
        <v>21</v>
      </c>
      <c r="O118" s="112">
        <f>IFERROR(VLOOKUP($B118,MMWR_TRAD_AGG_STATE_PEN[],O$1,0),"ERROR")</f>
        <v>9</v>
      </c>
      <c r="P118" s="114">
        <f t="shared" si="15"/>
        <v>0.42857142857142855</v>
      </c>
      <c r="Q118" s="115">
        <f>IFERROR(VLOOKUP($B118,MMWR_TRAD_AGG_STATE_PEN[],Q$1,0),"ERROR")</f>
        <v>412</v>
      </c>
      <c r="R118" s="115">
        <f>IFERROR(VLOOKUP($B118,MMWR_TRAD_AGG_STATE_PEN[],R$1,0),"ERROR")</f>
        <v>65</v>
      </c>
      <c r="S118" s="115">
        <f>IFERROR(VLOOKUP($B118,MMWR_APP_STATE_PEN[],S$1,0),"ERROR")</f>
        <v>96</v>
      </c>
      <c r="T118" s="28"/>
    </row>
    <row r="119" spans="1:20" s="123" customFormat="1" x14ac:dyDescent="0.2">
      <c r="A119" s="28"/>
      <c r="B119" s="126" t="s">
        <v>381</v>
      </c>
      <c r="C119" s="102">
        <f>IFERROR(VLOOKUP($B119,MMWR_TRAD_AGG_ST_DISTRICT_PEN[],C$1,0),"ERROR")</f>
        <v>8879</v>
      </c>
      <c r="D119" s="103">
        <f>IFERROR(VLOOKUP($B119,MMWR_TRAD_AGG_ST_DISTRICT_PEN[],D$1,0),"ERROR")</f>
        <v>80.842549836700002</v>
      </c>
      <c r="E119" s="102">
        <f>IFERROR(VLOOKUP($B119,MMWR_TRAD_AGG_ST_DISTRICT_PEN[],E$1,0),"ERROR")</f>
        <v>9274</v>
      </c>
      <c r="F119" s="102">
        <f>IFERROR(VLOOKUP($B119,MMWR_TRAD_AGG_ST_DISTRICT_PEN[],F$1,0),"ERROR")</f>
        <v>1925</v>
      </c>
      <c r="G119" s="104">
        <f t="shared" si="12"/>
        <v>0.20756954927755014</v>
      </c>
      <c r="H119" s="102">
        <f>IFERROR(VLOOKUP($B119,MMWR_TRAD_AGG_ST_DISTRICT_PEN[],H$1,0),"ERROR")</f>
        <v>11150</v>
      </c>
      <c r="I119" s="102">
        <f>IFERROR(VLOOKUP($B119,MMWR_TRAD_AGG_ST_DISTRICT_PEN[],I$1,0),"ERROR")</f>
        <v>2812</v>
      </c>
      <c r="J119" s="104">
        <f t="shared" si="13"/>
        <v>0.25219730941704038</v>
      </c>
      <c r="K119" s="102">
        <f>IFERROR(VLOOKUP($B119,MMWR_TRAD_AGG_ST_DISTRICT_PEN[],K$1,0),"ERROR")</f>
        <v>72</v>
      </c>
      <c r="L119" s="102">
        <f>IFERROR(VLOOKUP($B119,MMWR_TRAD_AGG_ST_DISTRICT_PEN[],L$1,0),"ERROR")</f>
        <v>65</v>
      </c>
      <c r="M119" s="104">
        <f t="shared" si="14"/>
        <v>0.90277777777777779</v>
      </c>
      <c r="N119" s="102">
        <f>IFERROR(VLOOKUP($B119,MMWR_TRAD_AGG_ST_DISTRICT_PEN[],N$1,0),"ERROR")</f>
        <v>469</v>
      </c>
      <c r="O119" s="102">
        <f>IFERROR(VLOOKUP($B119,MMWR_TRAD_AGG_ST_DISTRICT_PEN[],O$1,0),"ERROR")</f>
        <v>152</v>
      </c>
      <c r="P119" s="104">
        <f t="shared" si="15"/>
        <v>0.32409381663113007</v>
      </c>
      <c r="Q119" s="102">
        <f>IFERROR(VLOOKUP($B119,MMWR_TRAD_AGG_ST_DISTRICT_PEN[],Q$1,0),"ERROR")</f>
        <v>984</v>
      </c>
      <c r="R119" s="106">
        <f>IFERROR(VLOOKUP($B119,MMWR_TRAD_AGG_ST_DISTRICT_PEN[],R$1,0),"ERROR")</f>
        <v>1935</v>
      </c>
      <c r="S119" s="106">
        <f>IFERROR(VLOOKUP($B119,MMWR_APP_STATE_PEN[],S$1,0),"ERROR")</f>
        <v>1901</v>
      </c>
      <c r="T119" s="28"/>
    </row>
    <row r="120" spans="1:20" s="123" customFormat="1" x14ac:dyDescent="0.2">
      <c r="A120" s="28"/>
      <c r="B120" s="127" t="s">
        <v>389</v>
      </c>
      <c r="C120" s="109">
        <f>IFERROR(VLOOKUP($B120,MMWR_TRAD_AGG_STATE_PEN[],C$1,0),"ERROR")</f>
        <v>1027</v>
      </c>
      <c r="D120" s="110">
        <f>IFERROR(VLOOKUP($B120,MMWR_TRAD_AGG_STATE_PEN[],D$1,0),"ERROR")</f>
        <v>45.221032132399998</v>
      </c>
      <c r="E120" s="111">
        <f>IFERROR(VLOOKUP($B120,MMWR_TRAD_AGG_STATE_PEN[],E$1,0),"ERROR")</f>
        <v>863</v>
      </c>
      <c r="F120" s="112">
        <f>IFERROR(VLOOKUP($B120,MMWR_TRAD_AGG_STATE_PEN[],F$1,0),"ERROR")</f>
        <v>90</v>
      </c>
      <c r="G120" s="113">
        <f t="shared" si="12"/>
        <v>0.10428736964078796</v>
      </c>
      <c r="H120" s="111">
        <f>IFERROR(VLOOKUP($B120,MMWR_TRAD_AGG_STATE_PEN[],H$1,0),"ERROR")</f>
        <v>1236</v>
      </c>
      <c r="I120" s="112">
        <f>IFERROR(VLOOKUP($B120,MMWR_TRAD_AGG_STATE_PEN[],I$1,0),"ERROR")</f>
        <v>56</v>
      </c>
      <c r="J120" s="114">
        <f t="shared" si="13"/>
        <v>4.5307443365695796E-2</v>
      </c>
      <c r="K120" s="111">
        <f>IFERROR(VLOOKUP($B120,MMWR_TRAD_AGG_STATE_PEN[],K$1,0),"ERROR")</f>
        <v>5</v>
      </c>
      <c r="L120" s="112">
        <f>IFERROR(VLOOKUP($B120,MMWR_TRAD_AGG_STATE_PEN[],L$1,0),"ERROR")</f>
        <v>5</v>
      </c>
      <c r="M120" s="114">
        <f t="shared" si="14"/>
        <v>1</v>
      </c>
      <c r="N120" s="111">
        <f>IFERROR(VLOOKUP($B120,MMWR_TRAD_AGG_STATE_PEN[],N$1,0),"ERROR")</f>
        <v>44</v>
      </c>
      <c r="O120" s="112">
        <f>IFERROR(VLOOKUP($B120,MMWR_TRAD_AGG_STATE_PEN[],O$1,0),"ERROR")</f>
        <v>11</v>
      </c>
      <c r="P120" s="114">
        <f t="shared" si="15"/>
        <v>0.25</v>
      </c>
      <c r="Q120" s="115">
        <f>IFERROR(VLOOKUP($B120,MMWR_TRAD_AGG_STATE_PEN[],Q$1,0),"ERROR")</f>
        <v>125</v>
      </c>
      <c r="R120" s="115">
        <f>IFERROR(VLOOKUP($B120,MMWR_TRAD_AGG_STATE_PEN[],R$1,0),"ERROR")</f>
        <v>97</v>
      </c>
      <c r="S120" s="115">
        <f>IFERROR(VLOOKUP($B120,MMWR_APP_STATE_PEN[],S$1,0),"ERROR")</f>
        <v>281</v>
      </c>
      <c r="T120" s="28"/>
    </row>
    <row r="121" spans="1:20" s="123" customFormat="1" x14ac:dyDescent="0.2">
      <c r="A121" s="28"/>
      <c r="B121" s="127" t="s">
        <v>426</v>
      </c>
      <c r="C121" s="109">
        <f>IFERROR(VLOOKUP($B121,MMWR_TRAD_AGG_STATE_PEN[],C$1,0),"ERROR")</f>
        <v>2734</v>
      </c>
      <c r="D121" s="110">
        <f>IFERROR(VLOOKUP($B121,MMWR_TRAD_AGG_STATE_PEN[],D$1,0),"ERROR")</f>
        <v>94.839429407500006</v>
      </c>
      <c r="E121" s="111">
        <f>IFERROR(VLOOKUP($B121,MMWR_TRAD_AGG_STATE_PEN[],E$1,0),"ERROR")</f>
        <v>3747</v>
      </c>
      <c r="F121" s="112">
        <f>IFERROR(VLOOKUP($B121,MMWR_TRAD_AGG_STATE_PEN[],F$1,0),"ERROR")</f>
        <v>876</v>
      </c>
      <c r="G121" s="113">
        <f t="shared" si="12"/>
        <v>0.23378702962369896</v>
      </c>
      <c r="H121" s="111">
        <f>IFERROR(VLOOKUP($B121,MMWR_TRAD_AGG_STATE_PEN[],H$1,0),"ERROR")</f>
        <v>3475</v>
      </c>
      <c r="I121" s="112">
        <f>IFERROR(VLOOKUP($B121,MMWR_TRAD_AGG_STATE_PEN[],I$1,0),"ERROR")</f>
        <v>1111</v>
      </c>
      <c r="J121" s="114">
        <f t="shared" si="13"/>
        <v>0.31971223021582734</v>
      </c>
      <c r="K121" s="111">
        <f>IFERROR(VLOOKUP($B121,MMWR_TRAD_AGG_STATE_PEN[],K$1,0),"ERROR")</f>
        <v>36</v>
      </c>
      <c r="L121" s="112">
        <f>IFERROR(VLOOKUP($B121,MMWR_TRAD_AGG_STATE_PEN[],L$1,0),"ERROR")</f>
        <v>33</v>
      </c>
      <c r="M121" s="114">
        <f t="shared" si="14"/>
        <v>0.91666666666666663</v>
      </c>
      <c r="N121" s="111">
        <f>IFERROR(VLOOKUP($B121,MMWR_TRAD_AGG_STATE_PEN[],N$1,0),"ERROR")</f>
        <v>155</v>
      </c>
      <c r="O121" s="112">
        <f>IFERROR(VLOOKUP($B121,MMWR_TRAD_AGG_STATE_PEN[],O$1,0),"ERROR")</f>
        <v>62</v>
      </c>
      <c r="P121" s="114">
        <f t="shared" si="15"/>
        <v>0.4</v>
      </c>
      <c r="Q121" s="115">
        <f>IFERROR(VLOOKUP($B121,MMWR_TRAD_AGG_STATE_PEN[],Q$1,0),"ERROR")</f>
        <v>338</v>
      </c>
      <c r="R121" s="115">
        <f>IFERROR(VLOOKUP($B121,MMWR_TRAD_AGG_STATE_PEN[],R$1,0),"ERROR")</f>
        <v>780</v>
      </c>
      <c r="S121" s="115">
        <f>IFERROR(VLOOKUP($B121,MMWR_APP_STATE_PEN[],S$1,0),"ERROR")</f>
        <v>586</v>
      </c>
      <c r="T121" s="28"/>
    </row>
    <row r="122" spans="1:20" s="123" customFormat="1" x14ac:dyDescent="0.2">
      <c r="A122" s="28"/>
      <c r="B122" s="127" t="s">
        <v>382</v>
      </c>
      <c r="C122" s="109">
        <f>IFERROR(VLOOKUP($B122,MMWR_TRAD_AGG_STATE_PEN[],C$1,0),"ERROR")</f>
        <v>1447</v>
      </c>
      <c r="D122" s="110">
        <f>IFERROR(VLOOKUP($B122,MMWR_TRAD_AGG_STATE_PEN[],D$1,0),"ERROR")</f>
        <v>100.5100207326</v>
      </c>
      <c r="E122" s="111">
        <f>IFERROR(VLOOKUP($B122,MMWR_TRAD_AGG_STATE_PEN[],E$1,0),"ERROR")</f>
        <v>1808</v>
      </c>
      <c r="F122" s="112">
        <f>IFERROR(VLOOKUP($B122,MMWR_TRAD_AGG_STATE_PEN[],F$1,0),"ERROR")</f>
        <v>430</v>
      </c>
      <c r="G122" s="113">
        <f t="shared" si="12"/>
        <v>0.23783185840707965</v>
      </c>
      <c r="H122" s="111">
        <f>IFERROR(VLOOKUP($B122,MMWR_TRAD_AGG_STATE_PEN[],H$1,0),"ERROR")</f>
        <v>1794</v>
      </c>
      <c r="I122" s="112">
        <f>IFERROR(VLOOKUP($B122,MMWR_TRAD_AGG_STATE_PEN[],I$1,0),"ERROR")</f>
        <v>615</v>
      </c>
      <c r="J122" s="114">
        <f t="shared" si="13"/>
        <v>0.34280936454849498</v>
      </c>
      <c r="K122" s="111">
        <f>IFERROR(VLOOKUP($B122,MMWR_TRAD_AGG_STATE_PEN[],K$1,0),"ERROR")</f>
        <v>11</v>
      </c>
      <c r="L122" s="112">
        <f>IFERROR(VLOOKUP($B122,MMWR_TRAD_AGG_STATE_PEN[],L$1,0),"ERROR")</f>
        <v>10</v>
      </c>
      <c r="M122" s="114">
        <f t="shared" si="14"/>
        <v>0.90909090909090906</v>
      </c>
      <c r="N122" s="111">
        <f>IFERROR(VLOOKUP($B122,MMWR_TRAD_AGG_STATE_PEN[],N$1,0),"ERROR")</f>
        <v>111</v>
      </c>
      <c r="O122" s="112">
        <f>IFERROR(VLOOKUP($B122,MMWR_TRAD_AGG_STATE_PEN[],O$1,0),"ERROR")</f>
        <v>38</v>
      </c>
      <c r="P122" s="114">
        <f t="shared" si="15"/>
        <v>0.34234234234234234</v>
      </c>
      <c r="Q122" s="115">
        <f>IFERROR(VLOOKUP($B122,MMWR_TRAD_AGG_STATE_PEN[],Q$1,0),"ERROR")</f>
        <v>157</v>
      </c>
      <c r="R122" s="115">
        <f>IFERROR(VLOOKUP($B122,MMWR_TRAD_AGG_STATE_PEN[],R$1,0),"ERROR")</f>
        <v>511</v>
      </c>
      <c r="S122" s="115">
        <f>IFERROR(VLOOKUP($B122,MMWR_APP_STATE_PEN[],S$1,0),"ERROR")</f>
        <v>362</v>
      </c>
      <c r="T122" s="28"/>
    </row>
    <row r="123" spans="1:20" s="123" customFormat="1" x14ac:dyDescent="0.2">
      <c r="A123" s="28"/>
      <c r="B123" s="127" t="s">
        <v>394</v>
      </c>
      <c r="C123" s="109">
        <f>IFERROR(VLOOKUP($B123,MMWR_TRAD_AGG_STATE_PEN[],C$1,0),"ERROR")</f>
        <v>347</v>
      </c>
      <c r="D123" s="110">
        <f>IFERROR(VLOOKUP($B123,MMWR_TRAD_AGG_STATE_PEN[],D$1,0),"ERROR")</f>
        <v>49.3112391931</v>
      </c>
      <c r="E123" s="111">
        <f>IFERROR(VLOOKUP($B123,MMWR_TRAD_AGG_STATE_PEN[],E$1,0),"ERROR")</f>
        <v>422</v>
      </c>
      <c r="F123" s="112">
        <f>IFERROR(VLOOKUP($B123,MMWR_TRAD_AGG_STATE_PEN[],F$1,0),"ERROR")</f>
        <v>57</v>
      </c>
      <c r="G123" s="113">
        <f t="shared" si="12"/>
        <v>0.13507109004739337</v>
      </c>
      <c r="H123" s="111">
        <f>IFERROR(VLOOKUP($B123,MMWR_TRAD_AGG_STATE_PEN[],H$1,0),"ERROR")</f>
        <v>469</v>
      </c>
      <c r="I123" s="112">
        <f>IFERROR(VLOOKUP($B123,MMWR_TRAD_AGG_STATE_PEN[],I$1,0),"ERROR")</f>
        <v>33</v>
      </c>
      <c r="J123" s="114">
        <f t="shared" si="13"/>
        <v>7.0362473347547971E-2</v>
      </c>
      <c r="K123" s="111">
        <f>IFERROR(VLOOKUP($B123,MMWR_TRAD_AGG_STATE_PEN[],K$1,0),"ERROR")</f>
        <v>3</v>
      </c>
      <c r="L123" s="112">
        <f>IFERROR(VLOOKUP($B123,MMWR_TRAD_AGG_STATE_PEN[],L$1,0),"ERROR")</f>
        <v>3</v>
      </c>
      <c r="M123" s="114">
        <f t="shared" si="14"/>
        <v>1</v>
      </c>
      <c r="N123" s="111">
        <f>IFERROR(VLOOKUP($B123,MMWR_TRAD_AGG_STATE_PEN[],N$1,0),"ERROR")</f>
        <v>39</v>
      </c>
      <c r="O123" s="112">
        <f>IFERROR(VLOOKUP($B123,MMWR_TRAD_AGG_STATE_PEN[],O$1,0),"ERROR")</f>
        <v>6</v>
      </c>
      <c r="P123" s="114">
        <f t="shared" si="15"/>
        <v>0.15384615384615385</v>
      </c>
      <c r="Q123" s="115">
        <f>IFERROR(VLOOKUP($B123,MMWR_TRAD_AGG_STATE_PEN[],Q$1,0),"ERROR")</f>
        <v>74</v>
      </c>
      <c r="R123" s="115">
        <f>IFERROR(VLOOKUP($B123,MMWR_TRAD_AGG_STATE_PEN[],R$1,0),"ERROR")</f>
        <v>70</v>
      </c>
      <c r="S123" s="115">
        <f>IFERROR(VLOOKUP($B123,MMWR_APP_STATE_PEN[],S$1,0),"ERROR")</f>
        <v>127</v>
      </c>
      <c r="T123" s="28"/>
    </row>
    <row r="124" spans="1:20" s="123" customFormat="1" x14ac:dyDescent="0.2">
      <c r="A124" s="28"/>
      <c r="B124" s="127" t="s">
        <v>428</v>
      </c>
      <c r="C124" s="109">
        <f>IFERROR(VLOOKUP($B124,MMWR_TRAD_AGG_STATE_PEN[],C$1,0),"ERROR")</f>
        <v>1646</v>
      </c>
      <c r="D124" s="110">
        <f>IFERROR(VLOOKUP($B124,MMWR_TRAD_AGG_STATE_PEN[],D$1,0),"ERROR")</f>
        <v>73.491494532199994</v>
      </c>
      <c r="E124" s="111">
        <f>IFERROR(VLOOKUP($B124,MMWR_TRAD_AGG_STATE_PEN[],E$1,0),"ERROR")</f>
        <v>688</v>
      </c>
      <c r="F124" s="112">
        <f>IFERROR(VLOOKUP($B124,MMWR_TRAD_AGG_STATE_PEN[],F$1,0),"ERROR")</f>
        <v>160</v>
      </c>
      <c r="G124" s="113">
        <f t="shared" si="12"/>
        <v>0.23255813953488372</v>
      </c>
      <c r="H124" s="111">
        <f>IFERROR(VLOOKUP($B124,MMWR_TRAD_AGG_STATE_PEN[],H$1,0),"ERROR")</f>
        <v>2043</v>
      </c>
      <c r="I124" s="112">
        <f>IFERROR(VLOOKUP($B124,MMWR_TRAD_AGG_STATE_PEN[],I$1,0),"ERROR")</f>
        <v>495</v>
      </c>
      <c r="J124" s="114">
        <f t="shared" si="13"/>
        <v>0.24229074889867841</v>
      </c>
      <c r="K124" s="111">
        <f>IFERROR(VLOOKUP($B124,MMWR_TRAD_AGG_STATE_PEN[],K$1,0),"ERROR")</f>
        <v>7</v>
      </c>
      <c r="L124" s="112">
        <f>IFERROR(VLOOKUP($B124,MMWR_TRAD_AGG_STATE_PEN[],L$1,0),"ERROR")</f>
        <v>6</v>
      </c>
      <c r="M124" s="114">
        <f t="shared" si="14"/>
        <v>0.8571428571428571</v>
      </c>
      <c r="N124" s="111">
        <f>IFERROR(VLOOKUP($B124,MMWR_TRAD_AGG_STATE_PEN[],N$1,0),"ERROR")</f>
        <v>20</v>
      </c>
      <c r="O124" s="112">
        <f>IFERROR(VLOOKUP($B124,MMWR_TRAD_AGG_STATE_PEN[],O$1,0),"ERROR")</f>
        <v>11</v>
      </c>
      <c r="P124" s="114">
        <f t="shared" si="15"/>
        <v>0.55000000000000004</v>
      </c>
      <c r="Q124" s="115">
        <f>IFERROR(VLOOKUP($B124,MMWR_TRAD_AGG_STATE_PEN[],Q$1,0),"ERROR")</f>
        <v>57</v>
      </c>
      <c r="R124" s="115">
        <f>IFERROR(VLOOKUP($B124,MMWR_TRAD_AGG_STATE_PEN[],R$1,0),"ERROR")</f>
        <v>119</v>
      </c>
      <c r="S124" s="115">
        <f>IFERROR(VLOOKUP($B124,MMWR_APP_STATE_PEN[],S$1,0),"ERROR")</f>
        <v>119</v>
      </c>
      <c r="T124" s="28"/>
    </row>
    <row r="125" spans="1:20" s="123" customFormat="1" x14ac:dyDescent="0.2">
      <c r="A125" s="28"/>
      <c r="B125" s="127" t="s">
        <v>384</v>
      </c>
      <c r="C125" s="109">
        <f>IFERROR(VLOOKUP($B125,MMWR_TRAD_AGG_STATE_PEN[],C$1,0),"ERROR")</f>
        <v>1033</v>
      </c>
      <c r="D125" s="110">
        <f>IFERROR(VLOOKUP($B125,MMWR_TRAD_AGG_STATE_PEN[],D$1,0),"ERROR")</f>
        <v>93.324298160699996</v>
      </c>
      <c r="E125" s="111">
        <f>IFERROR(VLOOKUP($B125,MMWR_TRAD_AGG_STATE_PEN[],E$1,0),"ERROR")</f>
        <v>1047</v>
      </c>
      <c r="F125" s="112">
        <f>IFERROR(VLOOKUP($B125,MMWR_TRAD_AGG_STATE_PEN[],F$1,0),"ERROR")</f>
        <v>236</v>
      </c>
      <c r="G125" s="113">
        <f t="shared" si="12"/>
        <v>0.22540592168099333</v>
      </c>
      <c r="H125" s="111">
        <f>IFERROR(VLOOKUP($B125,MMWR_TRAD_AGG_STATE_PEN[],H$1,0),"ERROR")</f>
        <v>1293</v>
      </c>
      <c r="I125" s="112">
        <f>IFERROR(VLOOKUP($B125,MMWR_TRAD_AGG_STATE_PEN[],I$1,0),"ERROR")</f>
        <v>429</v>
      </c>
      <c r="J125" s="114">
        <f t="shared" si="13"/>
        <v>0.33178654292343385</v>
      </c>
      <c r="K125" s="111">
        <f>IFERROR(VLOOKUP($B125,MMWR_TRAD_AGG_STATE_PEN[],K$1,0),"ERROR")</f>
        <v>9</v>
      </c>
      <c r="L125" s="112">
        <f>IFERROR(VLOOKUP($B125,MMWR_TRAD_AGG_STATE_PEN[],L$1,0),"ERROR")</f>
        <v>7</v>
      </c>
      <c r="M125" s="114">
        <f t="shared" si="14"/>
        <v>0.77777777777777779</v>
      </c>
      <c r="N125" s="111">
        <f>IFERROR(VLOOKUP($B125,MMWR_TRAD_AGG_STATE_PEN[],N$1,0),"ERROR")</f>
        <v>43</v>
      </c>
      <c r="O125" s="112">
        <f>IFERROR(VLOOKUP($B125,MMWR_TRAD_AGG_STATE_PEN[],O$1,0),"ERROR")</f>
        <v>13</v>
      </c>
      <c r="P125" s="114">
        <f t="shared" si="15"/>
        <v>0.30232558139534882</v>
      </c>
      <c r="Q125" s="115">
        <f>IFERROR(VLOOKUP($B125,MMWR_TRAD_AGG_STATE_PEN[],Q$1,0),"ERROR")</f>
        <v>113</v>
      </c>
      <c r="R125" s="115">
        <f>IFERROR(VLOOKUP($B125,MMWR_TRAD_AGG_STATE_PEN[],R$1,0),"ERROR")</f>
        <v>282</v>
      </c>
      <c r="S125" s="115">
        <f>IFERROR(VLOOKUP($B125,MMWR_APP_STATE_PEN[],S$1,0),"ERROR")</f>
        <v>168</v>
      </c>
      <c r="T125" s="28"/>
    </row>
    <row r="126" spans="1:20" s="123" customFormat="1" x14ac:dyDescent="0.2">
      <c r="A126" s="28"/>
      <c r="B126" s="127" t="s">
        <v>385</v>
      </c>
      <c r="C126" s="109">
        <f>IFERROR(VLOOKUP($B126,MMWR_TRAD_AGG_STATE_PEN[],C$1,0),"ERROR")</f>
        <v>645</v>
      </c>
      <c r="D126" s="110">
        <f>IFERROR(VLOOKUP($B126,MMWR_TRAD_AGG_STATE_PEN[],D$1,0),"ERROR")</f>
        <v>49.841860465099998</v>
      </c>
      <c r="E126" s="111">
        <f>IFERROR(VLOOKUP($B126,MMWR_TRAD_AGG_STATE_PEN[],E$1,0),"ERROR")</f>
        <v>699</v>
      </c>
      <c r="F126" s="112">
        <f>IFERROR(VLOOKUP($B126,MMWR_TRAD_AGG_STATE_PEN[],F$1,0),"ERROR")</f>
        <v>76</v>
      </c>
      <c r="G126" s="113">
        <f t="shared" si="12"/>
        <v>0.10872675250357654</v>
      </c>
      <c r="H126" s="111">
        <f>IFERROR(VLOOKUP($B126,MMWR_TRAD_AGG_STATE_PEN[],H$1,0),"ERROR")</f>
        <v>840</v>
      </c>
      <c r="I126" s="112">
        <f>IFERROR(VLOOKUP($B126,MMWR_TRAD_AGG_STATE_PEN[],I$1,0),"ERROR")</f>
        <v>73</v>
      </c>
      <c r="J126" s="114">
        <f t="shared" si="13"/>
        <v>8.6904761904761901E-2</v>
      </c>
      <c r="K126" s="111">
        <f>IFERROR(VLOOKUP($B126,MMWR_TRAD_AGG_STATE_PEN[],K$1,0),"ERROR")</f>
        <v>1</v>
      </c>
      <c r="L126" s="112">
        <f>IFERROR(VLOOKUP($B126,MMWR_TRAD_AGG_STATE_PEN[],L$1,0),"ERROR")</f>
        <v>1</v>
      </c>
      <c r="M126" s="114">
        <f t="shared" si="14"/>
        <v>1</v>
      </c>
      <c r="N126" s="111">
        <f>IFERROR(VLOOKUP($B126,MMWR_TRAD_AGG_STATE_PEN[],N$1,0),"ERROR")</f>
        <v>57</v>
      </c>
      <c r="O126" s="112">
        <f>IFERROR(VLOOKUP($B126,MMWR_TRAD_AGG_STATE_PEN[],O$1,0),"ERROR")</f>
        <v>11</v>
      </c>
      <c r="P126" s="114">
        <f t="shared" si="15"/>
        <v>0.19298245614035087</v>
      </c>
      <c r="Q126" s="115">
        <f>IFERROR(VLOOKUP($B126,MMWR_TRAD_AGG_STATE_PEN[],Q$1,0),"ERROR")</f>
        <v>120</v>
      </c>
      <c r="R126" s="115">
        <f>IFERROR(VLOOKUP($B126,MMWR_TRAD_AGG_STATE_PEN[],R$1,0),"ERROR")</f>
        <v>76</v>
      </c>
      <c r="S126" s="115">
        <f>IFERROR(VLOOKUP($B126,MMWR_APP_STATE_PEN[],S$1,0),"ERROR")</f>
        <v>258</v>
      </c>
      <c r="T126" s="28"/>
    </row>
    <row r="127" spans="1:20" s="123" customFormat="1" x14ac:dyDescent="0.2">
      <c r="A127" s="28"/>
      <c r="B127" s="128" t="s">
        <v>8</v>
      </c>
      <c r="C127" s="102">
        <f>IFERROR(VLOOKUP($B127,MMWR_TRAD_AGG_ST_DISTRICT_PEN[],C$1,0),"ERROR")</f>
        <v>155</v>
      </c>
      <c r="D127" s="103">
        <f>IFERROR(VLOOKUP($B127,MMWR_TRAD_AGG_ST_DISTRICT_PEN[],D$1,0),"ERROR")</f>
        <v>81.832258064499996</v>
      </c>
      <c r="E127" s="102">
        <f>IFERROR(VLOOKUP($B127,MMWR_TRAD_AGG_ST_DISTRICT_PEN[],E$1,0),"ERROR")</f>
        <v>210</v>
      </c>
      <c r="F127" s="102">
        <f>IFERROR(VLOOKUP($B127,MMWR_TRAD_AGG_ST_DISTRICT_PEN[],F$1,0),"ERROR")</f>
        <v>103</v>
      </c>
      <c r="G127" s="104">
        <f t="shared" si="12"/>
        <v>0.49047619047619045</v>
      </c>
      <c r="H127" s="102">
        <f>IFERROR(VLOOKUP($B127,MMWR_TRAD_AGG_ST_DISTRICT_PEN[],H$1,0),"ERROR")</f>
        <v>338</v>
      </c>
      <c r="I127" s="102">
        <f>IFERROR(VLOOKUP($B127,MMWR_TRAD_AGG_ST_DISTRICT_PEN[],I$1,0),"ERROR")</f>
        <v>153</v>
      </c>
      <c r="J127" s="104">
        <f t="shared" si="13"/>
        <v>0.4526627218934911</v>
      </c>
      <c r="K127" s="102">
        <f>IFERROR(VLOOKUP($B127,MMWR_TRAD_AGG_ST_DISTRICT_PEN[],K$1,0),"ERROR")</f>
        <v>10</v>
      </c>
      <c r="L127" s="102">
        <f>IFERROR(VLOOKUP($B127,MMWR_TRAD_AGG_ST_DISTRICT_PEN[],L$1,0),"ERROR")</f>
        <v>9</v>
      </c>
      <c r="M127" s="104">
        <f t="shared" si="14"/>
        <v>0.9</v>
      </c>
      <c r="N127" s="102">
        <f>IFERROR(VLOOKUP($B127,MMWR_TRAD_AGG_ST_DISTRICT_PEN[],N$1,0),"ERROR")</f>
        <v>11</v>
      </c>
      <c r="O127" s="102">
        <f>IFERROR(VLOOKUP($B127,MMWR_TRAD_AGG_ST_DISTRICT_PEN[],O$1,0),"ERROR")</f>
        <v>4</v>
      </c>
      <c r="P127" s="104">
        <f t="shared" si="15"/>
        <v>0.36363636363636365</v>
      </c>
      <c r="Q127" s="102">
        <f>IFERROR(VLOOKUP($B127,MMWR_TRAD_AGG_ST_DISTRICT_PEN[],Q$1,0),"ERROR")</f>
        <v>36</v>
      </c>
      <c r="R127" s="106">
        <f>IFERROR(VLOOKUP($B127,MMWR_TRAD_AGG_ST_DISTRICT_PEN[],R$1,0),"ERROR")</f>
        <v>26</v>
      </c>
      <c r="S127" s="106">
        <f>IFERROR(VLOOKUP($B127,MMWR_APP_STATE_PEN[],S$1,0),"ERROR")</f>
        <v>8</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654</v>
      </c>
      <c r="C2" t="s">
        <v>457</v>
      </c>
      <c r="D2" t="s">
        <v>459</v>
      </c>
      <c r="F2" t="s">
        <v>653</v>
      </c>
      <c r="G2" t="s">
        <v>306</v>
      </c>
      <c r="H2" t="s">
        <v>133</v>
      </c>
      <c r="I2" t="s">
        <v>214</v>
      </c>
      <c r="J2" t="s">
        <v>215</v>
      </c>
      <c r="K2" t="s">
        <v>216</v>
      </c>
      <c r="L2" t="s">
        <v>217</v>
      </c>
      <c r="M2" t="s">
        <v>218</v>
      </c>
      <c r="N2" t="s">
        <v>219</v>
      </c>
      <c r="O2" t="s">
        <v>220</v>
      </c>
      <c r="P2" t="s">
        <v>221</v>
      </c>
      <c r="Q2" t="s">
        <v>222</v>
      </c>
      <c r="R2" t="s">
        <v>223</v>
      </c>
      <c r="T2" t="s">
        <v>652</v>
      </c>
      <c r="U2" t="s">
        <v>306</v>
      </c>
      <c r="V2" t="s">
        <v>133</v>
      </c>
      <c r="W2" t="s">
        <v>214</v>
      </c>
      <c r="X2" t="s">
        <v>460</v>
      </c>
      <c r="Y2" t="s">
        <v>216</v>
      </c>
      <c r="Z2" t="s">
        <v>217</v>
      </c>
      <c r="AA2" t="s">
        <v>218</v>
      </c>
      <c r="AB2" t="s">
        <v>461</v>
      </c>
      <c r="AC2" t="s">
        <v>220</v>
      </c>
      <c r="AD2" t="s">
        <v>221</v>
      </c>
      <c r="AE2" t="s">
        <v>222</v>
      </c>
      <c r="AF2" t="s">
        <v>223</v>
      </c>
      <c r="AH2" t="s">
        <v>651</v>
      </c>
      <c r="AI2" t="s">
        <v>306</v>
      </c>
      <c r="AJ2" t="s">
        <v>133</v>
      </c>
      <c r="AK2" t="s">
        <v>214</v>
      </c>
      <c r="AL2" t="s">
        <v>215</v>
      </c>
      <c r="AM2" t="s">
        <v>216</v>
      </c>
      <c r="AN2" t="s">
        <v>217</v>
      </c>
      <c r="AO2" t="s">
        <v>218</v>
      </c>
      <c r="AP2" t="s">
        <v>219</v>
      </c>
      <c r="AQ2" t="s">
        <v>220</v>
      </c>
      <c r="AR2" t="s">
        <v>221</v>
      </c>
      <c r="AS2" t="s">
        <v>222</v>
      </c>
      <c r="AT2" t="s">
        <v>223</v>
      </c>
      <c r="AV2" t="s">
        <v>650</v>
      </c>
      <c r="AW2" t="s">
        <v>306</v>
      </c>
      <c r="AX2" t="s">
        <v>133</v>
      </c>
      <c r="AY2" t="s">
        <v>214</v>
      </c>
      <c r="AZ2" t="s">
        <v>460</v>
      </c>
      <c r="BA2" t="s">
        <v>216</v>
      </c>
      <c r="BB2" t="s">
        <v>217</v>
      </c>
      <c r="BC2" t="s">
        <v>218</v>
      </c>
      <c r="BD2" t="s">
        <v>461</v>
      </c>
      <c r="BE2" t="s">
        <v>220</v>
      </c>
      <c r="BF2" t="s">
        <v>221</v>
      </c>
      <c r="BG2" t="s">
        <v>222</v>
      </c>
      <c r="BH2" t="s">
        <v>223</v>
      </c>
      <c r="BJ2" t="s">
        <v>712</v>
      </c>
      <c r="BK2" t="s">
        <v>731</v>
      </c>
      <c r="BL2" t="s">
        <v>700</v>
      </c>
      <c r="BM2" t="s">
        <v>701</v>
      </c>
      <c r="BN2" t="s">
        <v>702</v>
      </c>
      <c r="BO2" t="s">
        <v>703</v>
      </c>
      <c r="BP2" t="s">
        <v>704</v>
      </c>
      <c r="BQ2" t="s">
        <v>713</v>
      </c>
      <c r="BR2" t="s">
        <v>714</v>
      </c>
      <c r="BS2" t="s">
        <v>705</v>
      </c>
      <c r="BT2" t="s">
        <v>706</v>
      </c>
      <c r="BU2" t="s">
        <v>707</v>
      </c>
      <c r="BV2" t="s">
        <v>708</v>
      </c>
      <c r="BW2" t="s">
        <v>709</v>
      </c>
      <c r="BX2" t="s">
        <v>710</v>
      </c>
      <c r="BY2" t="s">
        <v>711</v>
      </c>
      <c r="CA2" t="s">
        <v>1032</v>
      </c>
      <c r="CB2" t="s">
        <v>736</v>
      </c>
      <c r="CC2" t="s">
        <v>737</v>
      </c>
      <c r="CD2" t="s">
        <v>715</v>
      </c>
      <c r="CE2" t="s">
        <v>716</v>
      </c>
      <c r="CF2" t="s">
        <v>717</v>
      </c>
      <c r="CG2" t="s">
        <v>718</v>
      </c>
      <c r="CH2" t="s">
        <v>719</v>
      </c>
      <c r="CI2" t="s">
        <v>720</v>
      </c>
      <c r="CJ2" t="s">
        <v>721</v>
      </c>
      <c r="CL2" t="s">
        <v>1033</v>
      </c>
      <c r="CM2" t="s">
        <v>736</v>
      </c>
      <c r="CN2" t="s">
        <v>737</v>
      </c>
      <c r="CO2" t="s">
        <v>715</v>
      </c>
      <c r="CP2" t="s">
        <v>716</v>
      </c>
      <c r="CQ2" t="s">
        <v>717</v>
      </c>
      <c r="CR2" t="s">
        <v>718</v>
      </c>
      <c r="CS2" t="s">
        <v>719</v>
      </c>
      <c r="CT2" t="s">
        <v>720</v>
      </c>
      <c r="CU2" t="s">
        <v>721</v>
      </c>
      <c r="CW2" t="s">
        <v>1034</v>
      </c>
      <c r="CX2" t="s">
        <v>736</v>
      </c>
      <c r="CY2" t="s">
        <v>737</v>
      </c>
      <c r="CZ2" t="s">
        <v>715</v>
      </c>
      <c r="DA2" t="s">
        <v>716</v>
      </c>
      <c r="DB2" t="s">
        <v>717</v>
      </c>
      <c r="DC2" t="s">
        <v>718</v>
      </c>
      <c r="DD2" t="s">
        <v>719</v>
      </c>
      <c r="DE2" t="s">
        <v>720</v>
      </c>
      <c r="DF2" t="s">
        <v>721</v>
      </c>
      <c r="DH2" t="s">
        <v>1035</v>
      </c>
      <c r="DI2" t="s">
        <v>736</v>
      </c>
      <c r="DJ2" t="s">
        <v>737</v>
      </c>
      <c r="DK2" t="s">
        <v>715</v>
      </c>
      <c r="DL2" t="s">
        <v>716</v>
      </c>
      <c r="DM2" t="s">
        <v>717</v>
      </c>
      <c r="DN2" t="s">
        <v>718</v>
      </c>
      <c r="DO2" t="s">
        <v>719</v>
      </c>
      <c r="DP2" t="s">
        <v>720</v>
      </c>
      <c r="DQ2" t="s">
        <v>721</v>
      </c>
    </row>
    <row r="3" spans="2:121" x14ac:dyDescent="0.2">
      <c r="C3">
        <v>349471</v>
      </c>
      <c r="D3">
        <v>286123</v>
      </c>
      <c r="F3" t="s">
        <v>31</v>
      </c>
      <c r="G3">
        <v>982</v>
      </c>
      <c r="H3">
        <v>138.24541751530001</v>
      </c>
      <c r="I3">
        <v>2775</v>
      </c>
      <c r="J3">
        <v>723</v>
      </c>
      <c r="K3">
        <v>1423</v>
      </c>
      <c r="L3">
        <v>463</v>
      </c>
      <c r="M3">
        <v>333</v>
      </c>
      <c r="N3">
        <v>96</v>
      </c>
      <c r="O3">
        <v>444</v>
      </c>
      <c r="P3">
        <v>274</v>
      </c>
      <c r="Q3">
        <v>0</v>
      </c>
      <c r="R3">
        <v>11</v>
      </c>
      <c r="T3" t="s">
        <v>209</v>
      </c>
      <c r="U3">
        <v>6242</v>
      </c>
      <c r="V3">
        <v>45.949855815399999</v>
      </c>
      <c r="W3">
        <v>7630</v>
      </c>
      <c r="X3">
        <v>898</v>
      </c>
      <c r="Y3">
        <v>8307</v>
      </c>
      <c r="Z3">
        <v>353</v>
      </c>
      <c r="AA3">
        <v>3</v>
      </c>
      <c r="AB3">
        <v>3</v>
      </c>
      <c r="AC3">
        <v>432</v>
      </c>
      <c r="AD3">
        <v>84</v>
      </c>
      <c r="AE3">
        <v>1018</v>
      </c>
      <c r="AF3">
        <v>786</v>
      </c>
      <c r="AH3" t="s">
        <v>389</v>
      </c>
      <c r="AI3">
        <v>13057</v>
      </c>
      <c r="AJ3">
        <v>392.83181435249998</v>
      </c>
      <c r="AK3">
        <v>7478</v>
      </c>
      <c r="AL3">
        <v>1834</v>
      </c>
      <c r="AM3">
        <v>16731</v>
      </c>
      <c r="AN3">
        <v>11828</v>
      </c>
      <c r="AO3">
        <v>5133</v>
      </c>
      <c r="AP3">
        <v>3926</v>
      </c>
      <c r="AQ3">
        <v>3464</v>
      </c>
      <c r="AR3">
        <v>2142</v>
      </c>
      <c r="AS3">
        <v>447</v>
      </c>
      <c r="AT3">
        <v>371</v>
      </c>
      <c r="AV3" t="s">
        <v>414</v>
      </c>
      <c r="AW3">
        <v>92</v>
      </c>
      <c r="AX3">
        <v>58.010869565199997</v>
      </c>
      <c r="AY3">
        <v>174</v>
      </c>
      <c r="AZ3">
        <v>5</v>
      </c>
      <c r="BA3">
        <v>130</v>
      </c>
      <c r="BB3">
        <v>5</v>
      </c>
      <c r="BC3">
        <v>0</v>
      </c>
      <c r="BE3">
        <v>13</v>
      </c>
      <c r="BF3">
        <v>5</v>
      </c>
      <c r="BG3">
        <v>152</v>
      </c>
      <c r="BH3">
        <v>32</v>
      </c>
      <c r="BJ3" t="s">
        <v>729</v>
      </c>
      <c r="BK3" t="s">
        <v>732</v>
      </c>
      <c r="BL3">
        <v>305792</v>
      </c>
      <c r="BM3">
        <v>73379</v>
      </c>
      <c r="BN3">
        <v>94.567143679400004</v>
      </c>
      <c r="BO3">
        <v>405664</v>
      </c>
      <c r="BP3">
        <v>58496</v>
      </c>
      <c r="BQ3">
        <v>134.51686370990001</v>
      </c>
      <c r="BR3">
        <v>130.73505880740001</v>
      </c>
      <c r="BS3">
        <v>305793</v>
      </c>
      <c r="BT3">
        <v>73380</v>
      </c>
      <c r="BU3">
        <v>94.568037855699998</v>
      </c>
      <c r="BV3">
        <v>405664</v>
      </c>
      <c r="BW3">
        <v>58496</v>
      </c>
      <c r="BX3">
        <v>134.51686370990001</v>
      </c>
      <c r="BY3">
        <v>130.73505880740001</v>
      </c>
      <c r="CA3" t="s">
        <v>1038</v>
      </c>
      <c r="CB3" t="s">
        <v>732</v>
      </c>
      <c r="CC3" t="s">
        <v>918</v>
      </c>
      <c r="CD3">
        <v>10937</v>
      </c>
      <c r="CE3">
        <v>2786</v>
      </c>
      <c r="CF3">
        <v>88.419859193600004</v>
      </c>
      <c r="CG3">
        <v>9629</v>
      </c>
      <c r="CH3">
        <v>1536</v>
      </c>
      <c r="CI3">
        <v>139.3936026586</v>
      </c>
      <c r="CJ3">
        <v>149.1725260417</v>
      </c>
      <c r="CL3" t="s">
        <v>1038</v>
      </c>
      <c r="CM3" t="s">
        <v>732</v>
      </c>
      <c r="CN3" t="s">
        <v>918</v>
      </c>
      <c r="CO3">
        <v>10937</v>
      </c>
      <c r="CP3">
        <v>2786</v>
      </c>
      <c r="CQ3">
        <v>88.419859193600004</v>
      </c>
      <c r="CR3">
        <v>9629</v>
      </c>
      <c r="CS3">
        <v>1536</v>
      </c>
      <c r="CT3">
        <v>139.3936026586</v>
      </c>
      <c r="CU3">
        <v>149.1725260417</v>
      </c>
      <c r="CW3" t="s">
        <v>1038</v>
      </c>
      <c r="CX3" t="s">
        <v>732</v>
      </c>
      <c r="CY3" t="s">
        <v>918</v>
      </c>
      <c r="CZ3">
        <v>10937</v>
      </c>
      <c r="DA3">
        <v>2786</v>
      </c>
      <c r="DB3">
        <v>88.419859193600004</v>
      </c>
      <c r="DC3">
        <v>9629</v>
      </c>
      <c r="DD3">
        <v>1536</v>
      </c>
      <c r="DE3">
        <v>139.3936026586</v>
      </c>
      <c r="DF3">
        <v>149.1725260417</v>
      </c>
      <c r="DH3" t="s">
        <v>1038</v>
      </c>
      <c r="DI3" t="s">
        <v>732</v>
      </c>
      <c r="DJ3" t="s">
        <v>918</v>
      </c>
      <c r="DK3">
        <v>10937</v>
      </c>
      <c r="DL3">
        <v>2786</v>
      </c>
      <c r="DM3">
        <v>88.419859193600004</v>
      </c>
      <c r="DN3">
        <v>9629</v>
      </c>
      <c r="DO3">
        <v>1536</v>
      </c>
      <c r="DP3">
        <v>139.3936026586</v>
      </c>
      <c r="DQ3">
        <v>149.1725260417</v>
      </c>
    </row>
    <row r="4" spans="2:121" x14ac:dyDescent="0.2">
      <c r="B4" t="s">
        <v>98</v>
      </c>
      <c r="C4">
        <v>102295</v>
      </c>
      <c r="D4">
        <v>80662</v>
      </c>
      <c r="F4" t="s">
        <v>77</v>
      </c>
      <c r="G4">
        <v>15883</v>
      </c>
      <c r="H4">
        <v>314.58553170059997</v>
      </c>
      <c r="I4">
        <v>19736</v>
      </c>
      <c r="J4">
        <v>5347</v>
      </c>
      <c r="K4">
        <v>19455</v>
      </c>
      <c r="L4">
        <v>12877</v>
      </c>
      <c r="M4">
        <v>4502</v>
      </c>
      <c r="N4">
        <v>2374</v>
      </c>
      <c r="O4">
        <v>12439</v>
      </c>
      <c r="P4">
        <v>8248</v>
      </c>
      <c r="Q4">
        <v>6</v>
      </c>
      <c r="R4">
        <v>253</v>
      </c>
      <c r="T4" t="s">
        <v>224</v>
      </c>
      <c r="U4">
        <v>0</v>
      </c>
      <c r="W4">
        <v>283</v>
      </c>
      <c r="X4">
        <v>127</v>
      </c>
      <c r="Y4">
        <v>505</v>
      </c>
      <c r="Z4">
        <v>346</v>
      </c>
      <c r="AA4">
        <v>220</v>
      </c>
      <c r="AB4">
        <v>217</v>
      </c>
      <c r="AC4">
        <v>175</v>
      </c>
      <c r="AD4">
        <v>140</v>
      </c>
      <c r="AE4">
        <v>7</v>
      </c>
      <c r="AF4">
        <v>0</v>
      </c>
      <c r="AH4" t="s">
        <v>425</v>
      </c>
      <c r="AI4">
        <v>1944</v>
      </c>
      <c r="AJ4">
        <v>462.88631687240002</v>
      </c>
      <c r="AK4">
        <v>1225</v>
      </c>
      <c r="AL4">
        <v>345</v>
      </c>
      <c r="AM4">
        <v>2828</v>
      </c>
      <c r="AN4">
        <v>2098</v>
      </c>
      <c r="AO4">
        <v>1863</v>
      </c>
      <c r="AP4">
        <v>1495</v>
      </c>
      <c r="AQ4">
        <v>639</v>
      </c>
      <c r="AR4">
        <v>366</v>
      </c>
      <c r="AS4">
        <v>1</v>
      </c>
      <c r="AT4">
        <v>2</v>
      </c>
      <c r="AV4" t="s">
        <v>421</v>
      </c>
      <c r="AW4">
        <v>37</v>
      </c>
      <c r="AX4">
        <v>42</v>
      </c>
      <c r="AY4">
        <v>54</v>
      </c>
      <c r="BA4">
        <v>53</v>
      </c>
      <c r="BC4">
        <v>0</v>
      </c>
      <c r="BE4">
        <v>2</v>
      </c>
      <c r="BF4">
        <v>1</v>
      </c>
      <c r="BG4">
        <v>99</v>
      </c>
      <c r="BH4">
        <v>7</v>
      </c>
      <c r="BJ4" t="s">
        <v>638</v>
      </c>
      <c r="BK4" t="s">
        <v>386</v>
      </c>
      <c r="BL4">
        <v>832</v>
      </c>
      <c r="BM4">
        <v>96</v>
      </c>
      <c r="BN4">
        <v>77.323317307699995</v>
      </c>
      <c r="BO4">
        <v>953</v>
      </c>
      <c r="BP4">
        <v>134</v>
      </c>
      <c r="BQ4">
        <v>141.03777544600001</v>
      </c>
      <c r="BR4">
        <v>145.0149253731</v>
      </c>
      <c r="BS4">
        <v>855</v>
      </c>
      <c r="BT4">
        <v>115</v>
      </c>
      <c r="BU4">
        <v>81.066666666700002</v>
      </c>
      <c r="BV4">
        <v>1091</v>
      </c>
      <c r="BW4">
        <v>147</v>
      </c>
      <c r="BX4">
        <v>143.8918423465</v>
      </c>
      <c r="BY4">
        <v>147.64625850339999</v>
      </c>
      <c r="CA4" t="s">
        <v>1037</v>
      </c>
      <c r="CB4" t="s">
        <v>732</v>
      </c>
      <c r="CC4" t="s">
        <v>918</v>
      </c>
      <c r="CD4">
        <v>305793</v>
      </c>
      <c r="CE4">
        <v>73380</v>
      </c>
      <c r="CF4">
        <v>94.568037855699998</v>
      </c>
      <c r="CG4">
        <v>405664</v>
      </c>
      <c r="CH4">
        <v>58496</v>
      </c>
      <c r="CI4">
        <v>134.51686370990001</v>
      </c>
      <c r="CJ4">
        <v>130.73505880740001</v>
      </c>
      <c r="CL4" t="s">
        <v>1037</v>
      </c>
      <c r="CM4" t="s">
        <v>732</v>
      </c>
      <c r="CN4" t="s">
        <v>918</v>
      </c>
      <c r="CO4">
        <v>305793</v>
      </c>
      <c r="CP4">
        <v>73380</v>
      </c>
      <c r="CQ4">
        <v>94.568037855699998</v>
      </c>
      <c r="CR4">
        <v>405664</v>
      </c>
      <c r="CS4">
        <v>58496</v>
      </c>
      <c r="CT4">
        <v>134.51686370990001</v>
      </c>
      <c r="CU4">
        <v>130.73505880740001</v>
      </c>
      <c r="CW4" t="s">
        <v>1037</v>
      </c>
      <c r="CX4" t="s">
        <v>732</v>
      </c>
      <c r="CY4" t="s">
        <v>918</v>
      </c>
      <c r="CZ4">
        <v>305793</v>
      </c>
      <c r="DA4">
        <v>73380</v>
      </c>
      <c r="DB4">
        <v>94.568037855699998</v>
      </c>
      <c r="DC4">
        <v>405664</v>
      </c>
      <c r="DD4">
        <v>58496</v>
      </c>
      <c r="DE4">
        <v>134.51686370990001</v>
      </c>
      <c r="DF4">
        <v>130.73505880740001</v>
      </c>
      <c r="DH4" t="s">
        <v>1037</v>
      </c>
      <c r="DI4" t="s">
        <v>732</v>
      </c>
      <c r="DJ4" t="s">
        <v>918</v>
      </c>
      <c r="DK4">
        <v>305793</v>
      </c>
      <c r="DL4">
        <v>73380</v>
      </c>
      <c r="DM4">
        <v>94.568037855699998</v>
      </c>
      <c r="DN4">
        <v>405664</v>
      </c>
      <c r="DO4">
        <v>58496</v>
      </c>
      <c r="DP4">
        <v>134.51686370990001</v>
      </c>
      <c r="DQ4">
        <v>130.73505880740001</v>
      </c>
    </row>
    <row r="5" spans="2:121" x14ac:dyDescent="0.2">
      <c r="B5" t="s">
        <v>107</v>
      </c>
      <c r="C5">
        <v>69033</v>
      </c>
      <c r="D5">
        <v>52845</v>
      </c>
      <c r="F5" t="s">
        <v>51</v>
      </c>
      <c r="G5">
        <v>4086</v>
      </c>
      <c r="H5">
        <v>382.26186979929997</v>
      </c>
      <c r="I5">
        <v>3392</v>
      </c>
      <c r="J5">
        <v>579</v>
      </c>
      <c r="K5">
        <v>7742</v>
      </c>
      <c r="L5">
        <v>4321</v>
      </c>
      <c r="M5">
        <v>4081</v>
      </c>
      <c r="N5">
        <v>3340</v>
      </c>
      <c r="O5">
        <v>1433</v>
      </c>
      <c r="P5">
        <v>751</v>
      </c>
      <c r="Q5">
        <v>2</v>
      </c>
      <c r="R5">
        <v>101</v>
      </c>
      <c r="T5" t="s">
        <v>210</v>
      </c>
      <c r="U5">
        <v>14963</v>
      </c>
      <c r="V5">
        <v>93.249883044800001</v>
      </c>
      <c r="W5">
        <v>18344</v>
      </c>
      <c r="X5">
        <v>4404</v>
      </c>
      <c r="Y5">
        <v>19101</v>
      </c>
      <c r="Z5">
        <v>5977</v>
      </c>
      <c r="AA5">
        <v>97</v>
      </c>
      <c r="AB5">
        <v>93</v>
      </c>
      <c r="AC5">
        <v>850</v>
      </c>
      <c r="AD5">
        <v>260</v>
      </c>
      <c r="AE5">
        <v>1488</v>
      </c>
      <c r="AF5">
        <v>4268</v>
      </c>
      <c r="AH5" t="s">
        <v>427</v>
      </c>
      <c r="AI5">
        <v>5723</v>
      </c>
      <c r="AJ5">
        <v>313.02184169140003</v>
      </c>
      <c r="AK5">
        <v>5781</v>
      </c>
      <c r="AL5">
        <v>1403</v>
      </c>
      <c r="AM5">
        <v>7908</v>
      </c>
      <c r="AN5">
        <v>5176</v>
      </c>
      <c r="AO5">
        <v>1506</v>
      </c>
      <c r="AP5">
        <v>770</v>
      </c>
      <c r="AQ5">
        <v>2240</v>
      </c>
      <c r="AR5">
        <v>1383</v>
      </c>
      <c r="AS5">
        <v>6</v>
      </c>
      <c r="AT5">
        <v>72</v>
      </c>
      <c r="AV5" t="s">
        <v>428</v>
      </c>
      <c r="AW5">
        <v>1646</v>
      </c>
      <c r="AX5">
        <v>73.491494532199994</v>
      </c>
      <c r="AY5">
        <v>688</v>
      </c>
      <c r="AZ5">
        <v>160</v>
      </c>
      <c r="BA5">
        <v>2043</v>
      </c>
      <c r="BB5">
        <v>495</v>
      </c>
      <c r="BC5">
        <v>7</v>
      </c>
      <c r="BD5">
        <v>6</v>
      </c>
      <c r="BE5">
        <v>20</v>
      </c>
      <c r="BF5">
        <v>11</v>
      </c>
      <c r="BG5">
        <v>57</v>
      </c>
      <c r="BH5">
        <v>119</v>
      </c>
      <c r="BJ5" t="s">
        <v>386</v>
      </c>
      <c r="BK5" t="s">
        <v>386</v>
      </c>
      <c r="BL5">
        <v>61452</v>
      </c>
      <c r="BM5">
        <v>14118</v>
      </c>
      <c r="BN5">
        <v>93.038973507799994</v>
      </c>
      <c r="BO5">
        <v>77768</v>
      </c>
      <c r="BP5">
        <v>11086</v>
      </c>
      <c r="BQ5">
        <v>140.43934523199999</v>
      </c>
      <c r="BR5">
        <v>136.81427025080001</v>
      </c>
      <c r="BS5">
        <v>53164</v>
      </c>
      <c r="BT5">
        <v>11924</v>
      </c>
      <c r="BU5">
        <v>91.6563463998</v>
      </c>
      <c r="BV5">
        <v>77888</v>
      </c>
      <c r="BW5">
        <v>10672</v>
      </c>
      <c r="BX5">
        <v>140.12072463019999</v>
      </c>
      <c r="BY5">
        <v>136.35916416789999</v>
      </c>
      <c r="CA5" t="s">
        <v>1039</v>
      </c>
      <c r="CB5" t="s">
        <v>732</v>
      </c>
      <c r="CC5" t="s">
        <v>918</v>
      </c>
      <c r="CD5">
        <v>26479</v>
      </c>
      <c r="CE5">
        <v>3145</v>
      </c>
      <c r="CF5">
        <v>70.253295064</v>
      </c>
      <c r="CG5">
        <v>55686</v>
      </c>
      <c r="CH5">
        <v>7898</v>
      </c>
      <c r="CI5">
        <v>74.994702438700003</v>
      </c>
      <c r="CJ5">
        <v>83.531020511500003</v>
      </c>
      <c r="CL5" t="s">
        <v>1039</v>
      </c>
      <c r="CM5" t="s">
        <v>732</v>
      </c>
      <c r="CN5" t="s">
        <v>918</v>
      </c>
      <c r="CO5">
        <v>26479</v>
      </c>
      <c r="CP5">
        <v>3145</v>
      </c>
      <c r="CQ5">
        <v>70.253295064</v>
      </c>
      <c r="CR5">
        <v>55686</v>
      </c>
      <c r="CS5">
        <v>7898</v>
      </c>
      <c r="CT5">
        <v>74.994702438700003</v>
      </c>
      <c r="CU5">
        <v>83.531020511500003</v>
      </c>
      <c r="CW5" t="s">
        <v>1039</v>
      </c>
      <c r="CX5" t="s">
        <v>732</v>
      </c>
      <c r="CY5" t="s">
        <v>918</v>
      </c>
      <c r="CZ5">
        <v>26479</v>
      </c>
      <c r="DA5">
        <v>3145</v>
      </c>
      <c r="DB5">
        <v>70.253295064</v>
      </c>
      <c r="DC5">
        <v>55686</v>
      </c>
      <c r="DD5">
        <v>7898</v>
      </c>
      <c r="DE5">
        <v>74.994702438700003</v>
      </c>
      <c r="DF5">
        <v>83.531020511500003</v>
      </c>
      <c r="DH5" t="s">
        <v>1039</v>
      </c>
      <c r="DI5" t="s">
        <v>732</v>
      </c>
      <c r="DJ5" t="s">
        <v>918</v>
      </c>
      <c r="DK5">
        <v>26479</v>
      </c>
      <c r="DL5">
        <v>3145</v>
      </c>
      <c r="DM5">
        <v>70.253295064</v>
      </c>
      <c r="DN5">
        <v>55686</v>
      </c>
      <c r="DO5">
        <v>7898</v>
      </c>
      <c r="DP5">
        <v>74.994702438700003</v>
      </c>
      <c r="DQ5">
        <v>83.531020511500003</v>
      </c>
    </row>
    <row r="6" spans="2:121" x14ac:dyDescent="0.2">
      <c r="B6" t="s">
        <v>90</v>
      </c>
      <c r="C6">
        <v>8453</v>
      </c>
      <c r="D6">
        <v>1607</v>
      </c>
      <c r="F6" t="s">
        <v>181</v>
      </c>
      <c r="G6">
        <v>480</v>
      </c>
      <c r="H6">
        <v>154.21875</v>
      </c>
      <c r="I6">
        <v>583</v>
      </c>
      <c r="J6">
        <v>51</v>
      </c>
      <c r="K6">
        <v>657</v>
      </c>
      <c r="L6">
        <v>219</v>
      </c>
      <c r="M6">
        <v>449</v>
      </c>
      <c r="N6">
        <v>133</v>
      </c>
      <c r="O6">
        <v>167</v>
      </c>
      <c r="P6">
        <v>70</v>
      </c>
      <c r="Q6">
        <v>0</v>
      </c>
      <c r="R6">
        <v>3</v>
      </c>
      <c r="T6" t="s">
        <v>212</v>
      </c>
      <c r="U6">
        <v>3732</v>
      </c>
      <c r="V6">
        <v>45.593783494100002</v>
      </c>
      <c r="W6">
        <v>6129</v>
      </c>
      <c r="X6">
        <v>260</v>
      </c>
      <c r="Y6">
        <v>4888</v>
      </c>
      <c r="Z6">
        <v>75</v>
      </c>
      <c r="AA6">
        <v>37</v>
      </c>
      <c r="AB6">
        <v>14</v>
      </c>
      <c r="AC6">
        <v>207</v>
      </c>
      <c r="AD6">
        <v>75</v>
      </c>
      <c r="AE6">
        <v>7082</v>
      </c>
      <c r="AF6">
        <v>987</v>
      </c>
      <c r="AH6" t="s">
        <v>412</v>
      </c>
      <c r="AI6">
        <v>4292</v>
      </c>
      <c r="AJ6">
        <v>384.36952469710002</v>
      </c>
      <c r="AK6">
        <v>3729</v>
      </c>
      <c r="AL6">
        <v>674</v>
      </c>
      <c r="AM6">
        <v>5890</v>
      </c>
      <c r="AN6">
        <v>4047</v>
      </c>
      <c r="AO6">
        <v>2028</v>
      </c>
      <c r="AP6">
        <v>1430</v>
      </c>
      <c r="AQ6">
        <v>2200</v>
      </c>
      <c r="AR6">
        <v>1308</v>
      </c>
      <c r="AS6">
        <v>327</v>
      </c>
      <c r="AT6">
        <v>106</v>
      </c>
      <c r="AV6" t="s">
        <v>401</v>
      </c>
      <c r="AW6">
        <v>76</v>
      </c>
      <c r="AX6">
        <v>36.684210526299999</v>
      </c>
      <c r="AY6">
        <v>72</v>
      </c>
      <c r="AZ6">
        <v>8</v>
      </c>
      <c r="BA6">
        <v>90</v>
      </c>
      <c r="BB6">
        <v>1</v>
      </c>
      <c r="BC6">
        <v>0</v>
      </c>
      <c r="BE6">
        <v>7</v>
      </c>
      <c r="BF6">
        <v>1</v>
      </c>
      <c r="BG6">
        <v>169</v>
      </c>
      <c r="BH6">
        <v>12</v>
      </c>
      <c r="BJ6" t="s">
        <v>585</v>
      </c>
      <c r="BK6" t="s">
        <v>386</v>
      </c>
      <c r="BL6">
        <v>6473</v>
      </c>
      <c r="BM6">
        <v>1679</v>
      </c>
      <c r="BN6">
        <v>102.3159276997</v>
      </c>
      <c r="BO6">
        <v>7225</v>
      </c>
      <c r="BP6">
        <v>1221</v>
      </c>
      <c r="BQ6">
        <v>158.08788927340001</v>
      </c>
      <c r="BR6">
        <v>130.7158067158</v>
      </c>
      <c r="BS6">
        <v>6299</v>
      </c>
      <c r="BT6">
        <v>1576</v>
      </c>
      <c r="BU6">
        <v>101.39752341640001</v>
      </c>
      <c r="BV6">
        <v>6939</v>
      </c>
      <c r="BW6">
        <v>1073</v>
      </c>
      <c r="BX6">
        <v>156.85386943360001</v>
      </c>
      <c r="BY6">
        <v>134.0885368127</v>
      </c>
      <c r="CA6" t="s">
        <v>1040</v>
      </c>
      <c r="CB6" t="s">
        <v>732</v>
      </c>
      <c r="CC6" t="s">
        <v>918</v>
      </c>
      <c r="CD6">
        <v>10629</v>
      </c>
      <c r="CE6">
        <v>3133</v>
      </c>
      <c r="CF6">
        <v>92.826136042900004</v>
      </c>
      <c r="CG6">
        <v>7730</v>
      </c>
      <c r="CH6">
        <v>1276</v>
      </c>
      <c r="CI6">
        <v>147.1657179819</v>
      </c>
      <c r="CJ6">
        <v>157.07131661439999</v>
      </c>
      <c r="CL6" t="s">
        <v>1040</v>
      </c>
      <c r="CM6" t="s">
        <v>732</v>
      </c>
      <c r="CN6" t="s">
        <v>918</v>
      </c>
      <c r="CO6">
        <v>10629</v>
      </c>
      <c r="CP6">
        <v>3133</v>
      </c>
      <c r="CQ6">
        <v>92.826136042900004</v>
      </c>
      <c r="CR6">
        <v>7730</v>
      </c>
      <c r="CS6">
        <v>1276</v>
      </c>
      <c r="CT6">
        <v>147.1657179819</v>
      </c>
      <c r="CU6">
        <v>157.07131661439999</v>
      </c>
      <c r="CW6" t="s">
        <v>1040</v>
      </c>
      <c r="CX6" t="s">
        <v>732</v>
      </c>
      <c r="CY6" t="s">
        <v>918</v>
      </c>
      <c r="CZ6">
        <v>10629</v>
      </c>
      <c r="DA6">
        <v>3133</v>
      </c>
      <c r="DB6">
        <v>92.826136042900004</v>
      </c>
      <c r="DC6">
        <v>7730</v>
      </c>
      <c r="DD6">
        <v>1276</v>
      </c>
      <c r="DE6">
        <v>147.1657179819</v>
      </c>
      <c r="DF6">
        <v>157.07131661439999</v>
      </c>
      <c r="DH6" t="s">
        <v>1040</v>
      </c>
      <c r="DI6" t="s">
        <v>732</v>
      </c>
      <c r="DJ6" t="s">
        <v>918</v>
      </c>
      <c r="DK6">
        <v>10629</v>
      </c>
      <c r="DL6">
        <v>3133</v>
      </c>
      <c r="DM6">
        <v>92.826136042900004</v>
      </c>
      <c r="DN6">
        <v>7730</v>
      </c>
      <c r="DO6">
        <v>1276</v>
      </c>
      <c r="DP6">
        <v>147.1657179819</v>
      </c>
      <c r="DQ6">
        <v>157.07131661439999</v>
      </c>
    </row>
    <row r="7" spans="2:121" x14ac:dyDescent="0.2">
      <c r="B7" t="s">
        <v>91</v>
      </c>
      <c r="C7">
        <v>1000</v>
      </c>
      <c r="D7">
        <v>316</v>
      </c>
      <c r="F7" t="s">
        <v>58</v>
      </c>
      <c r="G7">
        <v>4507</v>
      </c>
      <c r="H7">
        <v>225.97426225870001</v>
      </c>
      <c r="I7">
        <v>9799</v>
      </c>
      <c r="J7">
        <v>2327</v>
      </c>
      <c r="K7">
        <v>7492</v>
      </c>
      <c r="L7">
        <v>3651</v>
      </c>
      <c r="M7">
        <v>2918</v>
      </c>
      <c r="N7">
        <v>1649</v>
      </c>
      <c r="O7">
        <v>1711</v>
      </c>
      <c r="P7">
        <v>1098</v>
      </c>
      <c r="Q7">
        <v>1</v>
      </c>
      <c r="R7">
        <v>261</v>
      </c>
      <c r="T7" t="s">
        <v>463</v>
      </c>
      <c r="U7">
        <v>24937</v>
      </c>
      <c r="V7">
        <v>74.2781008141</v>
      </c>
      <c r="W7">
        <v>32386</v>
      </c>
      <c r="X7">
        <v>5689</v>
      </c>
      <c r="Y7">
        <v>32801</v>
      </c>
      <c r="Z7">
        <v>6751</v>
      </c>
      <c r="AA7">
        <v>357</v>
      </c>
      <c r="AB7">
        <v>327</v>
      </c>
      <c r="AC7">
        <v>1664</v>
      </c>
      <c r="AD7">
        <v>559</v>
      </c>
      <c r="AE7">
        <v>9595</v>
      </c>
      <c r="AF7">
        <v>6041</v>
      </c>
      <c r="AH7" t="s">
        <v>408</v>
      </c>
      <c r="AI7">
        <v>29278</v>
      </c>
      <c r="AJ7">
        <v>397.00915363069998</v>
      </c>
      <c r="AK7">
        <v>31081</v>
      </c>
      <c r="AL7">
        <v>7231</v>
      </c>
      <c r="AM7">
        <v>42363</v>
      </c>
      <c r="AN7">
        <v>29865</v>
      </c>
      <c r="AO7">
        <v>9880</v>
      </c>
      <c r="AP7">
        <v>7084</v>
      </c>
      <c r="AQ7">
        <v>14554</v>
      </c>
      <c r="AR7">
        <v>9459</v>
      </c>
      <c r="AS7">
        <v>54</v>
      </c>
      <c r="AT7">
        <v>137</v>
      </c>
      <c r="AV7" t="s">
        <v>389</v>
      </c>
      <c r="AW7">
        <v>1027</v>
      </c>
      <c r="AX7">
        <v>45.221032132399998</v>
      </c>
      <c r="AY7">
        <v>863</v>
      </c>
      <c r="AZ7">
        <v>90</v>
      </c>
      <c r="BA7">
        <v>1236</v>
      </c>
      <c r="BB7">
        <v>56</v>
      </c>
      <c r="BC7">
        <v>5</v>
      </c>
      <c r="BD7">
        <v>5</v>
      </c>
      <c r="BE7">
        <v>44</v>
      </c>
      <c r="BF7">
        <v>11</v>
      </c>
      <c r="BG7">
        <v>125</v>
      </c>
      <c r="BH7">
        <v>97</v>
      </c>
      <c r="BJ7" t="s">
        <v>632</v>
      </c>
      <c r="BK7" t="s">
        <v>386</v>
      </c>
      <c r="BL7">
        <v>603</v>
      </c>
      <c r="BM7">
        <v>49</v>
      </c>
      <c r="BN7">
        <v>58.391376451100001</v>
      </c>
      <c r="BO7">
        <v>1540</v>
      </c>
      <c r="BP7">
        <v>214</v>
      </c>
      <c r="BQ7">
        <v>89.831818181800003</v>
      </c>
      <c r="BR7">
        <v>99.359813084099997</v>
      </c>
      <c r="BS7">
        <v>1564</v>
      </c>
      <c r="BT7">
        <v>231</v>
      </c>
      <c r="BU7">
        <v>76.187979539599993</v>
      </c>
      <c r="BV7">
        <v>2509</v>
      </c>
      <c r="BW7">
        <v>387</v>
      </c>
      <c r="BX7">
        <v>122.8680749303</v>
      </c>
      <c r="BY7">
        <v>115.61757105940001</v>
      </c>
      <c r="CA7" t="s">
        <v>412</v>
      </c>
      <c r="CB7" t="s">
        <v>768</v>
      </c>
      <c r="CC7" t="s">
        <v>995</v>
      </c>
      <c r="CD7">
        <v>3761</v>
      </c>
      <c r="CE7">
        <v>634</v>
      </c>
      <c r="CF7">
        <v>81.294868386100006</v>
      </c>
      <c r="CG7">
        <v>4935</v>
      </c>
      <c r="CH7">
        <v>690</v>
      </c>
      <c r="CI7">
        <v>125.5653495441</v>
      </c>
      <c r="CJ7">
        <v>128.69710144929999</v>
      </c>
      <c r="CL7" t="s">
        <v>412</v>
      </c>
      <c r="CM7" t="s">
        <v>749</v>
      </c>
      <c r="CN7" t="s">
        <v>748</v>
      </c>
      <c r="CO7">
        <v>317</v>
      </c>
      <c r="CP7">
        <v>42</v>
      </c>
      <c r="CQ7">
        <v>68.164037854900002</v>
      </c>
      <c r="CR7">
        <v>775</v>
      </c>
      <c r="CS7">
        <v>114</v>
      </c>
      <c r="CT7">
        <v>63.634838709699999</v>
      </c>
      <c r="CU7">
        <v>71.403508771899993</v>
      </c>
      <c r="CW7" t="s">
        <v>412</v>
      </c>
      <c r="CX7" t="s">
        <v>759</v>
      </c>
      <c r="CY7" t="s">
        <v>758</v>
      </c>
      <c r="CZ7">
        <v>71</v>
      </c>
      <c r="DA7">
        <v>13</v>
      </c>
      <c r="DB7">
        <v>81.014084507000007</v>
      </c>
      <c r="DC7">
        <v>38</v>
      </c>
      <c r="DD7">
        <v>7</v>
      </c>
      <c r="DE7">
        <v>151.52631578949999</v>
      </c>
      <c r="DF7">
        <v>142.42857142860001</v>
      </c>
      <c r="DH7" t="s">
        <v>412</v>
      </c>
      <c r="DI7" t="s">
        <v>739</v>
      </c>
      <c r="DJ7" t="s">
        <v>738</v>
      </c>
      <c r="DK7">
        <v>45</v>
      </c>
      <c r="DL7">
        <v>11</v>
      </c>
      <c r="DM7">
        <v>97.111111111100001</v>
      </c>
      <c r="DN7">
        <v>39</v>
      </c>
      <c r="DO7">
        <v>5</v>
      </c>
      <c r="DP7">
        <v>135.8205128205</v>
      </c>
      <c r="DQ7">
        <v>155.19999999999999</v>
      </c>
    </row>
    <row r="8" spans="2:121" x14ac:dyDescent="0.2">
      <c r="B8" t="s">
        <v>100</v>
      </c>
      <c r="C8">
        <v>294</v>
      </c>
      <c r="D8">
        <v>210</v>
      </c>
      <c r="F8" t="s">
        <v>27</v>
      </c>
      <c r="G8">
        <v>1392</v>
      </c>
      <c r="H8">
        <v>102.6623563218</v>
      </c>
      <c r="I8">
        <v>5586</v>
      </c>
      <c r="J8">
        <v>928</v>
      </c>
      <c r="K8">
        <v>6956</v>
      </c>
      <c r="L8">
        <v>2665</v>
      </c>
      <c r="M8">
        <v>1335</v>
      </c>
      <c r="N8">
        <v>552</v>
      </c>
      <c r="O8">
        <v>1438</v>
      </c>
      <c r="P8">
        <v>643</v>
      </c>
      <c r="Q8">
        <v>0</v>
      </c>
      <c r="R8">
        <v>70</v>
      </c>
      <c r="AH8" t="s">
        <v>404</v>
      </c>
      <c r="AI8">
        <v>7938</v>
      </c>
      <c r="AJ8">
        <v>461.08453010829999</v>
      </c>
      <c r="AK8">
        <v>7104</v>
      </c>
      <c r="AL8">
        <v>1811</v>
      </c>
      <c r="AM8">
        <v>11203</v>
      </c>
      <c r="AN8">
        <v>7713</v>
      </c>
      <c r="AO8">
        <v>3154</v>
      </c>
      <c r="AP8">
        <v>2147</v>
      </c>
      <c r="AQ8">
        <v>1686</v>
      </c>
      <c r="AR8">
        <v>959</v>
      </c>
      <c r="AS8">
        <v>14</v>
      </c>
      <c r="AT8">
        <v>58</v>
      </c>
      <c r="AV8" t="s">
        <v>410</v>
      </c>
      <c r="AW8">
        <v>173</v>
      </c>
      <c r="AX8">
        <v>44.300578034700003</v>
      </c>
      <c r="AY8">
        <v>234</v>
      </c>
      <c r="AZ8">
        <v>15</v>
      </c>
      <c r="BA8">
        <v>243</v>
      </c>
      <c r="BB8">
        <v>13</v>
      </c>
      <c r="BC8">
        <v>1</v>
      </c>
      <c r="BD8">
        <v>1</v>
      </c>
      <c r="BE8">
        <v>13</v>
      </c>
      <c r="BF8">
        <v>6</v>
      </c>
      <c r="BG8">
        <v>300</v>
      </c>
      <c r="BH8">
        <v>42</v>
      </c>
      <c r="BJ8" t="s">
        <v>620</v>
      </c>
      <c r="BK8" t="s">
        <v>386</v>
      </c>
      <c r="BL8">
        <v>15957</v>
      </c>
      <c r="BM8">
        <v>4039</v>
      </c>
      <c r="BN8">
        <v>98.787240709399995</v>
      </c>
      <c r="BO8">
        <v>19808</v>
      </c>
      <c r="BP8">
        <v>2421</v>
      </c>
      <c r="BQ8">
        <v>148.5209006462</v>
      </c>
      <c r="BR8">
        <v>151.33581164809999</v>
      </c>
      <c r="BS8">
        <v>13215</v>
      </c>
      <c r="BT8">
        <v>2775</v>
      </c>
      <c r="BU8">
        <v>90.190162693900007</v>
      </c>
      <c r="BV8">
        <v>13424</v>
      </c>
      <c r="BW8">
        <v>1835</v>
      </c>
      <c r="BX8">
        <v>138.8282926103</v>
      </c>
      <c r="BY8">
        <v>143.87574931879999</v>
      </c>
      <c r="CA8" t="s">
        <v>404</v>
      </c>
      <c r="CB8" t="s">
        <v>768</v>
      </c>
      <c r="CC8" t="s">
        <v>996</v>
      </c>
      <c r="CD8">
        <v>6610</v>
      </c>
      <c r="CE8">
        <v>1672</v>
      </c>
      <c r="CF8">
        <v>100.5429652042</v>
      </c>
      <c r="CG8">
        <v>8058</v>
      </c>
      <c r="CH8">
        <v>1349</v>
      </c>
      <c r="CI8">
        <v>144.99925539840001</v>
      </c>
      <c r="CJ8">
        <v>122.4670126019</v>
      </c>
      <c r="CL8" t="s">
        <v>404</v>
      </c>
      <c r="CM8" t="s">
        <v>749</v>
      </c>
      <c r="CN8" t="s">
        <v>750</v>
      </c>
      <c r="CO8">
        <v>292</v>
      </c>
      <c r="CP8">
        <v>29</v>
      </c>
      <c r="CQ8">
        <v>69.493150684900002</v>
      </c>
      <c r="CR8">
        <v>760</v>
      </c>
      <c r="CS8">
        <v>101</v>
      </c>
      <c r="CT8">
        <v>64.476315789500006</v>
      </c>
      <c r="CU8">
        <v>73.346534653500001</v>
      </c>
      <c r="CW8" t="s">
        <v>404</v>
      </c>
      <c r="CX8" t="s">
        <v>759</v>
      </c>
      <c r="CY8" t="s">
        <v>760</v>
      </c>
      <c r="CZ8">
        <v>345</v>
      </c>
      <c r="DA8">
        <v>90</v>
      </c>
      <c r="DB8">
        <v>90.533333333300007</v>
      </c>
      <c r="DC8">
        <v>203</v>
      </c>
      <c r="DD8">
        <v>25</v>
      </c>
      <c r="DE8">
        <v>143.6600985222</v>
      </c>
      <c r="DF8">
        <v>142.84</v>
      </c>
      <c r="DH8" t="s">
        <v>404</v>
      </c>
      <c r="DI8" t="s">
        <v>739</v>
      </c>
      <c r="DJ8" t="s">
        <v>740</v>
      </c>
      <c r="DK8">
        <v>419</v>
      </c>
      <c r="DL8">
        <v>69</v>
      </c>
      <c r="DM8">
        <v>80.245823388999995</v>
      </c>
      <c r="DN8">
        <v>385</v>
      </c>
      <c r="DO8">
        <v>73</v>
      </c>
      <c r="DP8">
        <v>126.7116883117</v>
      </c>
      <c r="DQ8">
        <v>134.3287671233</v>
      </c>
    </row>
    <row r="9" spans="2:121" x14ac:dyDescent="0.2">
      <c r="B9" t="s">
        <v>92</v>
      </c>
      <c r="C9">
        <v>8</v>
      </c>
      <c r="D9">
        <v>1</v>
      </c>
      <c r="F9" t="s">
        <v>24</v>
      </c>
      <c r="G9">
        <v>1205</v>
      </c>
      <c r="H9">
        <v>170.96348547720001</v>
      </c>
      <c r="I9">
        <v>3912</v>
      </c>
      <c r="J9">
        <v>751</v>
      </c>
      <c r="K9">
        <v>2356</v>
      </c>
      <c r="L9">
        <v>932</v>
      </c>
      <c r="M9">
        <v>968</v>
      </c>
      <c r="N9">
        <v>479</v>
      </c>
      <c r="O9">
        <v>492</v>
      </c>
      <c r="P9">
        <v>259</v>
      </c>
      <c r="Q9">
        <v>0</v>
      </c>
      <c r="R9">
        <v>0</v>
      </c>
      <c r="AH9" t="s">
        <v>374</v>
      </c>
      <c r="AI9">
        <v>1312</v>
      </c>
      <c r="AJ9">
        <v>323.03582317069998</v>
      </c>
      <c r="AK9">
        <v>2055</v>
      </c>
      <c r="AL9">
        <v>501</v>
      </c>
      <c r="AM9">
        <v>2903</v>
      </c>
      <c r="AN9">
        <v>2053</v>
      </c>
      <c r="AO9">
        <v>568</v>
      </c>
      <c r="AP9">
        <v>370</v>
      </c>
      <c r="AQ9">
        <v>1021</v>
      </c>
      <c r="AR9">
        <v>718</v>
      </c>
      <c r="AS9">
        <v>297</v>
      </c>
      <c r="AT9">
        <v>6</v>
      </c>
      <c r="AV9" t="s">
        <v>418</v>
      </c>
      <c r="AW9">
        <v>41</v>
      </c>
      <c r="AX9">
        <v>75.121951219500005</v>
      </c>
      <c r="AY9">
        <v>55</v>
      </c>
      <c r="AZ9">
        <v>7</v>
      </c>
      <c r="BA9">
        <v>46</v>
      </c>
      <c r="BB9">
        <v>6</v>
      </c>
      <c r="BC9">
        <v>0</v>
      </c>
      <c r="BE9">
        <v>4</v>
      </c>
      <c r="BG9">
        <v>6</v>
      </c>
      <c r="BH9">
        <v>13</v>
      </c>
      <c r="BJ9" t="s">
        <v>556</v>
      </c>
      <c r="BK9" t="s">
        <v>386</v>
      </c>
      <c r="BL9">
        <v>4003</v>
      </c>
      <c r="BM9">
        <v>1304</v>
      </c>
      <c r="BN9">
        <v>109.0934299276</v>
      </c>
      <c r="BO9">
        <v>3988</v>
      </c>
      <c r="BP9">
        <v>601</v>
      </c>
      <c r="BQ9">
        <v>148.75626880639999</v>
      </c>
      <c r="BR9">
        <v>128.89850249579999</v>
      </c>
      <c r="BS9">
        <v>1085</v>
      </c>
      <c r="BT9">
        <v>527</v>
      </c>
      <c r="BU9">
        <v>143.16405529950001</v>
      </c>
      <c r="BV9">
        <v>5012</v>
      </c>
      <c r="BW9">
        <v>612</v>
      </c>
      <c r="BX9">
        <v>151.00558659219999</v>
      </c>
      <c r="BY9">
        <v>147.7859477124</v>
      </c>
      <c r="CA9" t="s">
        <v>388</v>
      </c>
      <c r="CB9" t="s">
        <v>768</v>
      </c>
      <c r="CC9" t="s">
        <v>997</v>
      </c>
      <c r="CD9">
        <v>5682</v>
      </c>
      <c r="CE9">
        <v>1509</v>
      </c>
      <c r="CF9">
        <v>100.526751144</v>
      </c>
      <c r="CG9">
        <v>7293</v>
      </c>
      <c r="CH9">
        <v>1046</v>
      </c>
      <c r="CI9">
        <v>135.8624708625</v>
      </c>
      <c r="CJ9">
        <v>166.9923518164</v>
      </c>
      <c r="CL9" t="s">
        <v>388</v>
      </c>
      <c r="CM9" t="s">
        <v>749</v>
      </c>
      <c r="CN9" t="s">
        <v>751</v>
      </c>
      <c r="CO9">
        <v>400</v>
      </c>
      <c r="CP9">
        <v>41</v>
      </c>
      <c r="CQ9">
        <v>68.902500000000003</v>
      </c>
      <c r="CR9">
        <v>1100</v>
      </c>
      <c r="CS9">
        <v>158</v>
      </c>
      <c r="CT9">
        <v>68.509090909099996</v>
      </c>
      <c r="CU9">
        <v>70.531645569600002</v>
      </c>
      <c r="CW9" t="s">
        <v>388</v>
      </c>
      <c r="CX9" t="s">
        <v>759</v>
      </c>
      <c r="CY9" t="s">
        <v>761</v>
      </c>
      <c r="CZ9">
        <v>99</v>
      </c>
      <c r="DA9">
        <v>26</v>
      </c>
      <c r="DB9">
        <v>86.797979798</v>
      </c>
      <c r="DC9">
        <v>55</v>
      </c>
      <c r="DD9">
        <v>12</v>
      </c>
      <c r="DE9">
        <v>152.03636363640001</v>
      </c>
      <c r="DF9">
        <v>159.9166666667</v>
      </c>
      <c r="DH9" t="s">
        <v>388</v>
      </c>
      <c r="DI9" t="s">
        <v>739</v>
      </c>
      <c r="DJ9" t="s">
        <v>741</v>
      </c>
      <c r="DK9">
        <v>163</v>
      </c>
      <c r="DL9">
        <v>36</v>
      </c>
      <c r="DM9">
        <v>83.6503067485</v>
      </c>
      <c r="DN9">
        <v>142</v>
      </c>
      <c r="DO9">
        <v>29</v>
      </c>
      <c r="DP9">
        <v>118.2535211268</v>
      </c>
      <c r="DQ9">
        <v>130.5172413793</v>
      </c>
    </row>
    <row r="10" spans="2:121" x14ac:dyDescent="0.2">
      <c r="B10" t="s">
        <v>314</v>
      </c>
      <c r="C10">
        <v>2</v>
      </c>
      <c r="D10">
        <v>1</v>
      </c>
      <c r="F10" t="s">
        <v>59</v>
      </c>
      <c r="G10">
        <v>4378</v>
      </c>
      <c r="H10">
        <v>448.22864321610001</v>
      </c>
      <c r="I10">
        <v>5582</v>
      </c>
      <c r="J10">
        <v>1472</v>
      </c>
      <c r="K10">
        <v>5695</v>
      </c>
      <c r="L10">
        <v>4053</v>
      </c>
      <c r="M10">
        <v>976</v>
      </c>
      <c r="N10">
        <v>617</v>
      </c>
      <c r="O10">
        <v>1312</v>
      </c>
      <c r="P10">
        <v>890</v>
      </c>
      <c r="Q10">
        <v>2</v>
      </c>
      <c r="R10">
        <v>253</v>
      </c>
      <c r="AH10" t="s">
        <v>424</v>
      </c>
      <c r="AI10">
        <v>851</v>
      </c>
      <c r="AJ10">
        <v>414.34077555819999</v>
      </c>
      <c r="AK10">
        <v>881</v>
      </c>
      <c r="AL10">
        <v>245</v>
      </c>
      <c r="AM10">
        <v>1120</v>
      </c>
      <c r="AN10">
        <v>800</v>
      </c>
      <c r="AO10">
        <v>239</v>
      </c>
      <c r="AP10">
        <v>144</v>
      </c>
      <c r="AQ10">
        <v>340</v>
      </c>
      <c r="AR10">
        <v>203</v>
      </c>
      <c r="AS10">
        <v>82</v>
      </c>
      <c r="AT10">
        <v>1</v>
      </c>
      <c r="AV10" t="s">
        <v>372</v>
      </c>
      <c r="AW10">
        <v>413</v>
      </c>
      <c r="AX10">
        <v>99.552058111400001</v>
      </c>
      <c r="AY10">
        <v>665</v>
      </c>
      <c r="AZ10">
        <v>158</v>
      </c>
      <c r="BA10">
        <v>537</v>
      </c>
      <c r="BB10">
        <v>183</v>
      </c>
      <c r="BC10">
        <v>2</v>
      </c>
      <c r="BD10">
        <v>2</v>
      </c>
      <c r="BE10">
        <v>37</v>
      </c>
      <c r="BF10">
        <v>10</v>
      </c>
      <c r="BG10">
        <v>45</v>
      </c>
      <c r="BH10">
        <v>160</v>
      </c>
      <c r="BJ10" t="s">
        <v>608</v>
      </c>
      <c r="BK10" t="s">
        <v>386</v>
      </c>
      <c r="BL10">
        <v>3680</v>
      </c>
      <c r="BM10">
        <v>589</v>
      </c>
      <c r="BN10">
        <v>79.900543478299994</v>
      </c>
      <c r="BO10">
        <v>4753</v>
      </c>
      <c r="BP10">
        <v>657</v>
      </c>
      <c r="BQ10">
        <v>127.2592047128</v>
      </c>
      <c r="BR10">
        <v>131.81735159819999</v>
      </c>
      <c r="BS10">
        <v>3734</v>
      </c>
      <c r="BT10">
        <v>651</v>
      </c>
      <c r="BU10">
        <v>82.613015532899993</v>
      </c>
      <c r="BV10">
        <v>5518</v>
      </c>
      <c r="BW10">
        <v>689</v>
      </c>
      <c r="BX10">
        <v>137.19354838710001</v>
      </c>
      <c r="BY10">
        <v>139.5253991292</v>
      </c>
      <c r="CA10" t="s">
        <v>390</v>
      </c>
      <c r="CB10" t="s">
        <v>768</v>
      </c>
      <c r="CC10" t="s">
        <v>998</v>
      </c>
      <c r="CD10">
        <v>4127</v>
      </c>
      <c r="CE10">
        <v>1336</v>
      </c>
      <c r="CF10">
        <v>108.4269445118</v>
      </c>
      <c r="CG10">
        <v>4380</v>
      </c>
      <c r="CH10">
        <v>661</v>
      </c>
      <c r="CI10">
        <v>143.07009132420001</v>
      </c>
      <c r="CJ10">
        <v>126.6611195159</v>
      </c>
      <c r="CL10" t="s">
        <v>390</v>
      </c>
      <c r="CM10" t="s">
        <v>749</v>
      </c>
      <c r="CN10" t="s">
        <v>752</v>
      </c>
      <c r="CO10">
        <v>370</v>
      </c>
      <c r="CP10">
        <v>50</v>
      </c>
      <c r="CQ10">
        <v>73.443243243200001</v>
      </c>
      <c r="CR10">
        <v>774</v>
      </c>
      <c r="CS10">
        <v>113</v>
      </c>
      <c r="CT10">
        <v>73.846253230000002</v>
      </c>
      <c r="CU10">
        <v>73.5132743363</v>
      </c>
      <c r="CW10" t="s">
        <v>390</v>
      </c>
      <c r="CX10" t="s">
        <v>759</v>
      </c>
      <c r="CY10" t="s">
        <v>762</v>
      </c>
      <c r="CZ10">
        <v>76</v>
      </c>
      <c r="DA10">
        <v>20</v>
      </c>
      <c r="DB10">
        <v>87.460526315799996</v>
      </c>
      <c r="DC10">
        <v>76</v>
      </c>
      <c r="DD10">
        <v>14</v>
      </c>
      <c r="DE10">
        <v>157.80263157889999</v>
      </c>
      <c r="DF10">
        <v>164.92857142860001</v>
      </c>
      <c r="DH10" t="s">
        <v>390</v>
      </c>
      <c r="DI10" t="s">
        <v>739</v>
      </c>
      <c r="DJ10" t="s">
        <v>742</v>
      </c>
      <c r="DK10">
        <v>77</v>
      </c>
      <c r="DL10">
        <v>22</v>
      </c>
      <c r="DM10">
        <v>91.363636363599994</v>
      </c>
      <c r="DN10">
        <v>80</v>
      </c>
      <c r="DO10">
        <v>18</v>
      </c>
      <c r="DP10">
        <v>145.22499999999999</v>
      </c>
      <c r="DQ10">
        <v>139.3888888889</v>
      </c>
    </row>
    <row r="11" spans="2:121" x14ac:dyDescent="0.2">
      <c r="B11" t="s">
        <v>121</v>
      </c>
      <c r="C11">
        <v>722</v>
      </c>
      <c r="D11">
        <v>406</v>
      </c>
      <c r="F11" t="s">
        <v>57</v>
      </c>
      <c r="G11">
        <v>12242</v>
      </c>
      <c r="H11">
        <v>382.17505309590001</v>
      </c>
      <c r="I11">
        <v>7141</v>
      </c>
      <c r="J11">
        <v>1641</v>
      </c>
      <c r="K11">
        <v>13582</v>
      </c>
      <c r="L11">
        <v>10089</v>
      </c>
      <c r="M11">
        <v>4612</v>
      </c>
      <c r="N11">
        <v>3721</v>
      </c>
      <c r="O11">
        <v>1749</v>
      </c>
      <c r="P11">
        <v>1097</v>
      </c>
      <c r="Q11">
        <v>0</v>
      </c>
      <c r="R11">
        <v>371</v>
      </c>
      <c r="AH11" t="s">
        <v>415</v>
      </c>
      <c r="AI11">
        <v>473</v>
      </c>
      <c r="AJ11">
        <v>519.69978858349998</v>
      </c>
      <c r="AK11">
        <v>419</v>
      </c>
      <c r="AL11">
        <v>118</v>
      </c>
      <c r="AM11">
        <v>652</v>
      </c>
      <c r="AN11">
        <v>474</v>
      </c>
      <c r="AO11">
        <v>214</v>
      </c>
      <c r="AP11">
        <v>162</v>
      </c>
      <c r="AQ11">
        <v>342</v>
      </c>
      <c r="AR11">
        <v>254</v>
      </c>
      <c r="AS11">
        <v>30</v>
      </c>
      <c r="AT11">
        <v>0</v>
      </c>
      <c r="AV11" t="s">
        <v>426</v>
      </c>
      <c r="AW11">
        <v>2734</v>
      </c>
      <c r="AX11">
        <v>94.839429407500006</v>
      </c>
      <c r="AY11">
        <v>3747</v>
      </c>
      <c r="AZ11">
        <v>876</v>
      </c>
      <c r="BA11">
        <v>3475</v>
      </c>
      <c r="BB11">
        <v>1111</v>
      </c>
      <c r="BC11">
        <v>36</v>
      </c>
      <c r="BD11">
        <v>33</v>
      </c>
      <c r="BE11">
        <v>155</v>
      </c>
      <c r="BF11">
        <v>62</v>
      </c>
      <c r="BG11">
        <v>338</v>
      </c>
      <c r="BH11">
        <v>780</v>
      </c>
      <c r="BJ11" t="s">
        <v>610</v>
      </c>
      <c r="BK11" t="s">
        <v>386</v>
      </c>
      <c r="BL11">
        <v>5303</v>
      </c>
      <c r="BM11">
        <v>841</v>
      </c>
      <c r="BN11">
        <v>73.971902696599997</v>
      </c>
      <c r="BO11">
        <v>9859</v>
      </c>
      <c r="BP11">
        <v>1459</v>
      </c>
      <c r="BQ11">
        <v>125.87189370119999</v>
      </c>
      <c r="BR11">
        <v>98.448252227599994</v>
      </c>
      <c r="BS11">
        <v>6389</v>
      </c>
      <c r="BT11">
        <v>1527</v>
      </c>
      <c r="BU11">
        <v>87.221317890099996</v>
      </c>
      <c r="BV11">
        <v>13957</v>
      </c>
      <c r="BW11">
        <v>1909</v>
      </c>
      <c r="BX11">
        <v>134.01282510569999</v>
      </c>
      <c r="BY11">
        <v>112.56207438449999</v>
      </c>
      <c r="CA11" t="s">
        <v>419</v>
      </c>
      <c r="CB11" t="s">
        <v>768</v>
      </c>
      <c r="CC11" t="s">
        <v>999</v>
      </c>
      <c r="CD11">
        <v>663</v>
      </c>
      <c r="CE11">
        <v>53</v>
      </c>
      <c r="CF11">
        <v>57.956259426800003</v>
      </c>
      <c r="CG11">
        <v>1679</v>
      </c>
      <c r="CH11">
        <v>236</v>
      </c>
      <c r="CI11">
        <v>91.804050029799996</v>
      </c>
      <c r="CJ11">
        <v>96.966101694900004</v>
      </c>
      <c r="CL11" t="s">
        <v>419</v>
      </c>
      <c r="CM11" t="s">
        <v>749</v>
      </c>
      <c r="CN11" t="s">
        <v>753</v>
      </c>
      <c r="CO11">
        <v>88</v>
      </c>
      <c r="CP11">
        <v>5</v>
      </c>
      <c r="CQ11">
        <v>50.227272727299997</v>
      </c>
      <c r="CR11">
        <v>249</v>
      </c>
      <c r="CS11">
        <v>38</v>
      </c>
      <c r="CT11">
        <v>58.698795180700003</v>
      </c>
      <c r="CU11">
        <v>56.842105263199997</v>
      </c>
      <c r="CW11" t="s">
        <v>419</v>
      </c>
      <c r="CX11" t="s">
        <v>759</v>
      </c>
      <c r="CY11" t="s">
        <v>763</v>
      </c>
      <c r="CZ11">
        <v>32</v>
      </c>
      <c r="DA11">
        <v>12</v>
      </c>
      <c r="DB11">
        <v>94.9375</v>
      </c>
      <c r="DC11">
        <v>17</v>
      </c>
      <c r="DD11">
        <v>2</v>
      </c>
      <c r="DE11">
        <v>133</v>
      </c>
      <c r="DF11">
        <v>130.5</v>
      </c>
      <c r="DH11" t="s">
        <v>419</v>
      </c>
      <c r="DI11" t="s">
        <v>739</v>
      </c>
      <c r="DJ11" t="s">
        <v>743</v>
      </c>
      <c r="DK11">
        <v>18</v>
      </c>
      <c r="DL11">
        <v>5</v>
      </c>
      <c r="DM11">
        <v>79.888888888899999</v>
      </c>
      <c r="DN11">
        <v>18</v>
      </c>
      <c r="DO11">
        <v>2</v>
      </c>
      <c r="DP11">
        <v>116.7222222222</v>
      </c>
      <c r="DQ11">
        <v>140</v>
      </c>
    </row>
    <row r="12" spans="2:121" x14ac:dyDescent="0.2">
      <c r="B12" t="s">
        <v>111</v>
      </c>
      <c r="C12">
        <v>7994</v>
      </c>
      <c r="D12">
        <v>498</v>
      </c>
      <c r="F12" t="s">
        <v>33</v>
      </c>
      <c r="G12">
        <v>7945</v>
      </c>
      <c r="H12">
        <v>726.70534927630001</v>
      </c>
      <c r="I12">
        <v>4688</v>
      </c>
      <c r="J12">
        <v>1193</v>
      </c>
      <c r="K12">
        <v>9251</v>
      </c>
      <c r="L12">
        <v>7741</v>
      </c>
      <c r="M12">
        <v>1353</v>
      </c>
      <c r="N12">
        <v>1113</v>
      </c>
      <c r="O12">
        <v>1456</v>
      </c>
      <c r="P12">
        <v>1051</v>
      </c>
      <c r="Q12">
        <v>0</v>
      </c>
      <c r="R12">
        <v>5</v>
      </c>
      <c r="T12" t="s">
        <v>649</v>
      </c>
      <c r="U12" t="s">
        <v>306</v>
      </c>
      <c r="V12" t="s">
        <v>133</v>
      </c>
      <c r="W12" t="s">
        <v>214</v>
      </c>
      <c r="X12" t="s">
        <v>215</v>
      </c>
      <c r="Y12" t="s">
        <v>216</v>
      </c>
      <c r="Z12" t="s">
        <v>217</v>
      </c>
      <c r="AA12" t="s">
        <v>218</v>
      </c>
      <c r="AB12" t="s">
        <v>219</v>
      </c>
      <c r="AC12" t="s">
        <v>220</v>
      </c>
      <c r="AD12" t="s">
        <v>221</v>
      </c>
      <c r="AE12" t="s">
        <v>222</v>
      </c>
      <c r="AF12" t="s">
        <v>223</v>
      </c>
      <c r="AH12" t="s">
        <v>426</v>
      </c>
      <c r="AI12">
        <v>20469</v>
      </c>
      <c r="AJ12">
        <v>335.41531095800002</v>
      </c>
      <c r="AK12">
        <v>22044</v>
      </c>
      <c r="AL12">
        <v>5907</v>
      </c>
      <c r="AM12">
        <v>28525</v>
      </c>
      <c r="AN12">
        <v>18820</v>
      </c>
      <c r="AO12">
        <v>6946</v>
      </c>
      <c r="AP12">
        <v>3867</v>
      </c>
      <c r="AQ12">
        <v>16801</v>
      </c>
      <c r="AR12">
        <v>11028</v>
      </c>
      <c r="AS12">
        <v>2066</v>
      </c>
      <c r="AT12">
        <v>277</v>
      </c>
      <c r="AV12" t="s">
        <v>388</v>
      </c>
      <c r="AW12">
        <v>593</v>
      </c>
      <c r="AX12">
        <v>48.939291736900003</v>
      </c>
      <c r="AY12">
        <v>451</v>
      </c>
      <c r="AZ12">
        <v>51</v>
      </c>
      <c r="BA12">
        <v>719</v>
      </c>
      <c r="BB12">
        <v>36</v>
      </c>
      <c r="BC12">
        <v>2</v>
      </c>
      <c r="BD12">
        <v>1</v>
      </c>
      <c r="BE12">
        <v>30</v>
      </c>
      <c r="BF12">
        <v>9</v>
      </c>
      <c r="BG12">
        <v>51</v>
      </c>
      <c r="BH12">
        <v>65</v>
      </c>
      <c r="BJ12" t="s">
        <v>552</v>
      </c>
      <c r="BK12" t="s">
        <v>386</v>
      </c>
      <c r="BL12">
        <v>5584</v>
      </c>
      <c r="BM12">
        <v>1494</v>
      </c>
      <c r="BN12">
        <v>101.3311246418</v>
      </c>
      <c r="BO12">
        <v>6790</v>
      </c>
      <c r="BP12">
        <v>996</v>
      </c>
      <c r="BQ12">
        <v>139.89410898380001</v>
      </c>
      <c r="BR12">
        <v>177.81325301199999</v>
      </c>
      <c r="BS12">
        <v>1138</v>
      </c>
      <c r="BT12">
        <v>485</v>
      </c>
      <c r="BU12">
        <v>120.0553602812</v>
      </c>
      <c r="BV12">
        <v>5179</v>
      </c>
      <c r="BW12">
        <v>560</v>
      </c>
      <c r="BX12">
        <v>130.7034176482</v>
      </c>
      <c r="BY12">
        <v>178.09285714289999</v>
      </c>
      <c r="CA12" t="s">
        <v>413</v>
      </c>
      <c r="CB12" t="s">
        <v>768</v>
      </c>
      <c r="CC12" t="s">
        <v>1000</v>
      </c>
      <c r="CD12">
        <v>5496</v>
      </c>
      <c r="CE12">
        <v>876</v>
      </c>
      <c r="CF12">
        <v>74.087700145599996</v>
      </c>
      <c r="CG12">
        <v>10067</v>
      </c>
      <c r="CH12">
        <v>1534</v>
      </c>
      <c r="CI12">
        <v>107.2932353233</v>
      </c>
      <c r="CJ12">
        <v>99.001955671399998</v>
      </c>
      <c r="CL12" t="s">
        <v>413</v>
      </c>
      <c r="CM12" t="s">
        <v>749</v>
      </c>
      <c r="CN12" t="s">
        <v>754</v>
      </c>
      <c r="CO12">
        <v>438</v>
      </c>
      <c r="CP12">
        <v>37</v>
      </c>
      <c r="CQ12">
        <v>64.025114155300002</v>
      </c>
      <c r="CR12">
        <v>1149</v>
      </c>
      <c r="CS12">
        <v>153</v>
      </c>
      <c r="CT12">
        <v>63.9791122715</v>
      </c>
      <c r="CU12">
        <v>70.267973856200001</v>
      </c>
      <c r="CW12" t="s">
        <v>413</v>
      </c>
      <c r="CX12" t="s">
        <v>759</v>
      </c>
      <c r="CY12" t="s">
        <v>764</v>
      </c>
      <c r="CZ12">
        <v>126</v>
      </c>
      <c r="DA12">
        <v>26</v>
      </c>
      <c r="DB12">
        <v>81.579365079400006</v>
      </c>
      <c r="DC12">
        <v>104</v>
      </c>
      <c r="DD12">
        <v>19</v>
      </c>
      <c r="DE12">
        <v>142.1634615385</v>
      </c>
      <c r="DF12">
        <v>145.2105263158</v>
      </c>
      <c r="DH12" t="s">
        <v>413</v>
      </c>
      <c r="DI12" t="s">
        <v>739</v>
      </c>
      <c r="DJ12" t="s">
        <v>744</v>
      </c>
      <c r="DK12">
        <v>244</v>
      </c>
      <c r="DL12">
        <v>48</v>
      </c>
      <c r="DM12">
        <v>78.557377049199999</v>
      </c>
      <c r="DN12">
        <v>159</v>
      </c>
      <c r="DO12">
        <v>21</v>
      </c>
      <c r="DP12">
        <v>127.2389937107</v>
      </c>
      <c r="DQ12">
        <v>124.5238095238</v>
      </c>
    </row>
    <row r="13" spans="2:121" x14ac:dyDescent="0.2">
      <c r="B13" t="s">
        <v>97</v>
      </c>
      <c r="C13">
        <v>209</v>
      </c>
      <c r="D13">
        <v>143</v>
      </c>
      <c r="F13" t="s">
        <v>34</v>
      </c>
      <c r="G13">
        <v>162</v>
      </c>
      <c r="H13">
        <v>80.685185185199998</v>
      </c>
      <c r="I13">
        <v>1326</v>
      </c>
      <c r="J13">
        <v>282</v>
      </c>
      <c r="K13">
        <v>348</v>
      </c>
      <c r="L13">
        <v>51</v>
      </c>
      <c r="M13">
        <v>219</v>
      </c>
      <c r="N13">
        <v>22</v>
      </c>
      <c r="O13">
        <v>180</v>
      </c>
      <c r="P13">
        <v>57</v>
      </c>
      <c r="Q13">
        <v>0</v>
      </c>
      <c r="R13">
        <v>2</v>
      </c>
      <c r="T13" t="s">
        <v>386</v>
      </c>
      <c r="U13">
        <v>53517</v>
      </c>
      <c r="V13">
        <v>369.88347627860003</v>
      </c>
      <c r="W13">
        <v>64133</v>
      </c>
      <c r="X13">
        <v>15379</v>
      </c>
      <c r="Y13">
        <v>81801</v>
      </c>
      <c r="Z13">
        <v>52537</v>
      </c>
      <c r="AA13">
        <v>20054</v>
      </c>
      <c r="AB13">
        <v>13197</v>
      </c>
      <c r="AC13">
        <v>16943</v>
      </c>
      <c r="AD13">
        <v>9056</v>
      </c>
      <c r="AE13">
        <v>55</v>
      </c>
      <c r="AF13">
        <v>1125</v>
      </c>
      <c r="AH13" t="s">
        <v>382</v>
      </c>
      <c r="AI13">
        <v>15769</v>
      </c>
      <c r="AJ13">
        <v>355.65235588809998</v>
      </c>
      <c r="AK13">
        <v>17768</v>
      </c>
      <c r="AL13">
        <v>4657</v>
      </c>
      <c r="AM13">
        <v>22946</v>
      </c>
      <c r="AN13">
        <v>16085</v>
      </c>
      <c r="AO13">
        <v>8113</v>
      </c>
      <c r="AP13">
        <v>5426</v>
      </c>
      <c r="AQ13">
        <v>13179</v>
      </c>
      <c r="AR13">
        <v>11049</v>
      </c>
      <c r="AS13">
        <v>1018</v>
      </c>
      <c r="AT13">
        <v>28</v>
      </c>
      <c r="AV13" t="s">
        <v>409</v>
      </c>
      <c r="AW13">
        <v>69</v>
      </c>
      <c r="AX13">
        <v>40.724637681200001</v>
      </c>
      <c r="AY13">
        <v>109</v>
      </c>
      <c r="AZ13">
        <v>3</v>
      </c>
      <c r="BA13">
        <v>90</v>
      </c>
      <c r="BB13">
        <v>1</v>
      </c>
      <c r="BC13">
        <v>1</v>
      </c>
      <c r="BD13">
        <v>1</v>
      </c>
      <c r="BE13">
        <v>0</v>
      </c>
      <c r="BG13">
        <v>116</v>
      </c>
      <c r="BH13">
        <v>13</v>
      </c>
      <c r="BJ13" t="s">
        <v>589</v>
      </c>
      <c r="BK13" t="s">
        <v>386</v>
      </c>
      <c r="BL13">
        <v>2288</v>
      </c>
      <c r="BM13">
        <v>583</v>
      </c>
      <c r="BN13">
        <v>96.117132867099997</v>
      </c>
      <c r="BO13">
        <v>2268</v>
      </c>
      <c r="BP13">
        <v>282</v>
      </c>
      <c r="BQ13">
        <v>142.30820105820001</v>
      </c>
      <c r="BR13">
        <v>138.3971631206</v>
      </c>
      <c r="BS13">
        <v>3267</v>
      </c>
      <c r="BT13">
        <v>997</v>
      </c>
      <c r="BU13">
        <v>113.1062136517</v>
      </c>
      <c r="BV13">
        <v>4463</v>
      </c>
      <c r="BW13">
        <v>536</v>
      </c>
      <c r="BX13">
        <v>158.96818283670001</v>
      </c>
      <c r="BY13">
        <v>144.0130597015</v>
      </c>
      <c r="CA13" t="s">
        <v>411</v>
      </c>
      <c r="CB13" t="s">
        <v>768</v>
      </c>
      <c r="CC13" t="s">
        <v>1001</v>
      </c>
      <c r="CD13">
        <v>33825</v>
      </c>
      <c r="CE13">
        <v>7666</v>
      </c>
      <c r="CF13">
        <v>92.252919438299998</v>
      </c>
      <c r="CG13">
        <v>43784</v>
      </c>
      <c r="CH13">
        <v>6082</v>
      </c>
      <c r="CI13">
        <v>136.4777087521</v>
      </c>
      <c r="CJ13">
        <v>133.9299572509</v>
      </c>
      <c r="CL13" t="s">
        <v>411</v>
      </c>
      <c r="CM13" t="s">
        <v>749</v>
      </c>
      <c r="CN13" t="s">
        <v>755</v>
      </c>
      <c r="CO13">
        <v>1706</v>
      </c>
      <c r="CP13">
        <v>144</v>
      </c>
      <c r="CQ13">
        <v>65.084994138300004</v>
      </c>
      <c r="CR13">
        <v>4520</v>
      </c>
      <c r="CS13">
        <v>672</v>
      </c>
      <c r="CT13">
        <v>66.465265486700005</v>
      </c>
      <c r="CU13">
        <v>73.739583333300004</v>
      </c>
      <c r="CW13" t="s">
        <v>411</v>
      </c>
      <c r="CX13" t="s">
        <v>759</v>
      </c>
      <c r="CY13" t="s">
        <v>765</v>
      </c>
      <c r="CZ13">
        <v>1322</v>
      </c>
      <c r="DA13">
        <v>358</v>
      </c>
      <c r="DB13">
        <v>89.273827534000006</v>
      </c>
      <c r="DC13">
        <v>875</v>
      </c>
      <c r="DD13">
        <v>145</v>
      </c>
      <c r="DE13">
        <v>142.62171428569999</v>
      </c>
      <c r="DF13">
        <v>151.1862068966</v>
      </c>
      <c r="DH13" t="s">
        <v>411</v>
      </c>
      <c r="DI13" t="s">
        <v>739</v>
      </c>
      <c r="DJ13" t="s">
        <v>745</v>
      </c>
      <c r="DK13">
        <v>1167</v>
      </c>
      <c r="DL13">
        <v>228</v>
      </c>
      <c r="DM13">
        <v>81.165381319600002</v>
      </c>
      <c r="DN13">
        <v>1049</v>
      </c>
      <c r="DO13">
        <v>160</v>
      </c>
      <c r="DP13">
        <v>136.45567206859999</v>
      </c>
      <c r="DQ13">
        <v>143.58125000000001</v>
      </c>
    </row>
    <row r="14" spans="2:121" x14ac:dyDescent="0.2">
      <c r="B14" t="s">
        <v>128</v>
      </c>
      <c r="C14">
        <v>1622</v>
      </c>
      <c r="D14">
        <v>289</v>
      </c>
      <c r="F14" t="s">
        <v>38</v>
      </c>
      <c r="G14">
        <v>5325</v>
      </c>
      <c r="H14">
        <v>425.85671361499999</v>
      </c>
      <c r="I14">
        <v>7173</v>
      </c>
      <c r="J14">
        <v>2009</v>
      </c>
      <c r="K14">
        <v>7654</v>
      </c>
      <c r="L14">
        <v>4858</v>
      </c>
      <c r="M14">
        <v>1604</v>
      </c>
      <c r="N14">
        <v>796</v>
      </c>
      <c r="O14">
        <v>3158</v>
      </c>
      <c r="P14">
        <v>2281</v>
      </c>
      <c r="Q14">
        <v>0</v>
      </c>
      <c r="R14">
        <v>316</v>
      </c>
      <c r="T14" t="s">
        <v>391</v>
      </c>
      <c r="U14">
        <v>37635</v>
      </c>
      <c r="V14">
        <v>349.80185997080002</v>
      </c>
      <c r="W14">
        <v>54600</v>
      </c>
      <c r="X14">
        <v>12125</v>
      </c>
      <c r="Y14">
        <v>63392</v>
      </c>
      <c r="Z14">
        <v>35306</v>
      </c>
      <c r="AA14">
        <v>13771</v>
      </c>
      <c r="AB14">
        <v>8628</v>
      </c>
      <c r="AC14">
        <v>14849</v>
      </c>
      <c r="AD14">
        <v>10211</v>
      </c>
      <c r="AE14">
        <v>6382</v>
      </c>
      <c r="AF14">
        <v>1026</v>
      </c>
      <c r="AH14" t="s">
        <v>429</v>
      </c>
      <c r="AI14">
        <v>1592</v>
      </c>
      <c r="AJ14">
        <v>315.05904522610001</v>
      </c>
      <c r="AK14">
        <v>1812</v>
      </c>
      <c r="AL14">
        <v>365</v>
      </c>
      <c r="AM14">
        <v>2214</v>
      </c>
      <c r="AN14">
        <v>1531</v>
      </c>
      <c r="AO14">
        <v>990</v>
      </c>
      <c r="AP14">
        <v>524</v>
      </c>
      <c r="AQ14">
        <v>593</v>
      </c>
      <c r="AR14">
        <v>297</v>
      </c>
      <c r="AS14">
        <v>5</v>
      </c>
      <c r="AT14">
        <v>5</v>
      </c>
      <c r="AV14" t="s">
        <v>394</v>
      </c>
      <c r="AW14">
        <v>347</v>
      </c>
      <c r="AX14">
        <v>49.3112391931</v>
      </c>
      <c r="AY14">
        <v>422</v>
      </c>
      <c r="AZ14">
        <v>57</v>
      </c>
      <c r="BA14">
        <v>469</v>
      </c>
      <c r="BB14">
        <v>33</v>
      </c>
      <c r="BC14">
        <v>3</v>
      </c>
      <c r="BD14">
        <v>3</v>
      </c>
      <c r="BE14">
        <v>39</v>
      </c>
      <c r="BF14">
        <v>6</v>
      </c>
      <c r="BG14">
        <v>74</v>
      </c>
      <c r="BH14">
        <v>70</v>
      </c>
      <c r="BJ14" t="s">
        <v>606</v>
      </c>
      <c r="BK14" t="s">
        <v>386</v>
      </c>
      <c r="BL14">
        <v>16729</v>
      </c>
      <c r="BM14">
        <v>3444</v>
      </c>
      <c r="BN14">
        <v>87.900771116000001</v>
      </c>
      <c r="BO14">
        <v>20584</v>
      </c>
      <c r="BP14">
        <v>3101</v>
      </c>
      <c r="BQ14">
        <v>138.60959968910001</v>
      </c>
      <c r="BR14">
        <v>137.4401805869</v>
      </c>
      <c r="BS14">
        <v>15618</v>
      </c>
      <c r="BT14">
        <v>3040</v>
      </c>
      <c r="BU14">
        <v>84.938788577300002</v>
      </c>
      <c r="BV14">
        <v>19796</v>
      </c>
      <c r="BW14">
        <v>2924</v>
      </c>
      <c r="BX14">
        <v>137.69155384929999</v>
      </c>
      <c r="BY14">
        <v>137.6559507524</v>
      </c>
      <c r="CA14" t="s">
        <v>407</v>
      </c>
      <c r="CB14" t="s">
        <v>768</v>
      </c>
      <c r="CC14" t="s">
        <v>1002</v>
      </c>
      <c r="CD14">
        <v>2088</v>
      </c>
      <c r="CE14">
        <v>557</v>
      </c>
      <c r="CF14">
        <v>100.04358237549999</v>
      </c>
      <c r="CG14">
        <v>1941</v>
      </c>
      <c r="CH14">
        <v>238</v>
      </c>
      <c r="CI14">
        <v>140.15662029879999</v>
      </c>
      <c r="CJ14">
        <v>131.33613445380001</v>
      </c>
      <c r="CL14" t="s">
        <v>407</v>
      </c>
      <c r="CM14" t="s">
        <v>749</v>
      </c>
      <c r="CN14" t="s">
        <v>756</v>
      </c>
      <c r="CO14">
        <v>158</v>
      </c>
      <c r="CP14">
        <v>14</v>
      </c>
      <c r="CQ14">
        <v>63.696202531600001</v>
      </c>
      <c r="CR14">
        <v>400</v>
      </c>
      <c r="CS14">
        <v>56</v>
      </c>
      <c r="CT14">
        <v>66.277500000000003</v>
      </c>
      <c r="CU14">
        <v>70.357142857100001</v>
      </c>
      <c r="CW14" t="s">
        <v>407</v>
      </c>
      <c r="CX14" t="s">
        <v>759</v>
      </c>
      <c r="CY14" t="s">
        <v>766</v>
      </c>
      <c r="CZ14">
        <v>63</v>
      </c>
      <c r="DA14">
        <v>16</v>
      </c>
      <c r="DB14">
        <v>96.015873015899999</v>
      </c>
      <c r="DC14">
        <v>59</v>
      </c>
      <c r="DD14">
        <v>5</v>
      </c>
      <c r="DE14">
        <v>144.8474576271</v>
      </c>
      <c r="DF14">
        <v>152.4</v>
      </c>
      <c r="DH14" t="s">
        <v>407</v>
      </c>
      <c r="DI14" t="s">
        <v>739</v>
      </c>
      <c r="DJ14" t="s">
        <v>746</v>
      </c>
      <c r="DK14">
        <v>60</v>
      </c>
      <c r="DL14">
        <v>23</v>
      </c>
      <c r="DM14">
        <v>109.55</v>
      </c>
      <c r="DN14">
        <v>68</v>
      </c>
      <c r="DO14">
        <v>6</v>
      </c>
      <c r="DP14">
        <v>115.9264705882</v>
      </c>
      <c r="DQ14">
        <v>171.3333333333</v>
      </c>
    </row>
    <row r="15" spans="2:121" x14ac:dyDescent="0.2">
      <c r="B15" t="s">
        <v>118</v>
      </c>
      <c r="C15">
        <v>21</v>
      </c>
      <c r="D15">
        <v>12</v>
      </c>
      <c r="F15" t="s">
        <v>36</v>
      </c>
      <c r="G15">
        <v>323</v>
      </c>
      <c r="H15">
        <v>276.52012383900001</v>
      </c>
      <c r="I15">
        <v>807</v>
      </c>
      <c r="J15">
        <v>97</v>
      </c>
      <c r="K15">
        <v>546</v>
      </c>
      <c r="L15">
        <v>316</v>
      </c>
      <c r="M15">
        <v>136</v>
      </c>
      <c r="N15">
        <v>54</v>
      </c>
      <c r="O15">
        <v>95</v>
      </c>
      <c r="P15">
        <v>36</v>
      </c>
      <c r="Q15">
        <v>2</v>
      </c>
      <c r="R15">
        <v>4</v>
      </c>
      <c r="T15" t="s">
        <v>370</v>
      </c>
      <c r="U15">
        <v>95125</v>
      </c>
      <c r="V15">
        <v>444.51704599210001</v>
      </c>
      <c r="W15">
        <v>76344</v>
      </c>
      <c r="X15">
        <v>20328</v>
      </c>
      <c r="Y15">
        <v>128363</v>
      </c>
      <c r="Z15">
        <v>94215</v>
      </c>
      <c r="AA15">
        <v>38255</v>
      </c>
      <c r="AB15">
        <v>26031</v>
      </c>
      <c r="AC15">
        <v>27829</v>
      </c>
      <c r="AD15">
        <v>20126</v>
      </c>
      <c r="AE15">
        <v>12658</v>
      </c>
      <c r="AF15">
        <v>52</v>
      </c>
      <c r="AH15" t="s">
        <v>409</v>
      </c>
      <c r="AI15">
        <v>657</v>
      </c>
      <c r="AJ15">
        <v>321.29680365299998</v>
      </c>
      <c r="AK15">
        <v>1475</v>
      </c>
      <c r="AL15">
        <v>315</v>
      </c>
      <c r="AM15">
        <v>1035</v>
      </c>
      <c r="AN15">
        <v>591</v>
      </c>
      <c r="AO15">
        <v>358</v>
      </c>
      <c r="AP15">
        <v>157</v>
      </c>
      <c r="AQ15">
        <v>414</v>
      </c>
      <c r="AR15">
        <v>230</v>
      </c>
      <c r="AS15">
        <v>2</v>
      </c>
      <c r="AT15">
        <v>3</v>
      </c>
      <c r="AV15" t="s">
        <v>413</v>
      </c>
      <c r="AW15">
        <v>211</v>
      </c>
      <c r="AX15">
        <v>46.933649289100003</v>
      </c>
      <c r="AY15">
        <v>288</v>
      </c>
      <c r="AZ15">
        <v>9</v>
      </c>
      <c r="BA15">
        <v>260</v>
      </c>
      <c r="BB15">
        <v>11</v>
      </c>
      <c r="BC15">
        <v>2</v>
      </c>
      <c r="BD15">
        <v>2</v>
      </c>
      <c r="BE15">
        <v>11</v>
      </c>
      <c r="BF15">
        <v>4</v>
      </c>
      <c r="BG15">
        <v>574</v>
      </c>
      <c r="BH15">
        <v>46</v>
      </c>
      <c r="BJ15" t="s">
        <v>568</v>
      </c>
      <c r="BK15" t="s">
        <v>391</v>
      </c>
      <c r="BL15">
        <v>6472</v>
      </c>
      <c r="BM15">
        <v>1921</v>
      </c>
      <c r="BN15">
        <v>106.055315204</v>
      </c>
      <c r="BO15">
        <v>7956</v>
      </c>
      <c r="BP15">
        <v>1333</v>
      </c>
      <c r="BQ15">
        <v>151.3470336853</v>
      </c>
      <c r="BR15">
        <v>142.09377344340001</v>
      </c>
      <c r="BS15">
        <v>3689</v>
      </c>
      <c r="BT15">
        <v>782</v>
      </c>
      <c r="BU15">
        <v>85.143128219000005</v>
      </c>
      <c r="BV15">
        <v>4659</v>
      </c>
      <c r="BW15">
        <v>673</v>
      </c>
      <c r="BX15">
        <v>131.93410603129999</v>
      </c>
      <c r="BY15">
        <v>125.0609212481</v>
      </c>
      <c r="CA15" t="s">
        <v>422</v>
      </c>
      <c r="CB15" t="s">
        <v>768</v>
      </c>
      <c r="CC15" t="s">
        <v>1003</v>
      </c>
      <c r="CD15">
        <v>865</v>
      </c>
      <c r="CE15">
        <v>104</v>
      </c>
      <c r="CF15">
        <v>77.2265895954</v>
      </c>
      <c r="CG15">
        <v>1035</v>
      </c>
      <c r="CH15">
        <v>154</v>
      </c>
      <c r="CI15">
        <v>143.43188405800001</v>
      </c>
      <c r="CJ15">
        <v>140.8831168831</v>
      </c>
      <c r="CL15" t="s">
        <v>422</v>
      </c>
      <c r="CM15" t="s">
        <v>749</v>
      </c>
      <c r="CN15" t="s">
        <v>757</v>
      </c>
      <c r="CO15">
        <v>14</v>
      </c>
      <c r="CP15">
        <v>2</v>
      </c>
      <c r="CQ15">
        <v>66.785714285699996</v>
      </c>
      <c r="CR15">
        <v>74</v>
      </c>
      <c r="CS15">
        <v>8</v>
      </c>
      <c r="CT15">
        <v>58.770270270300003</v>
      </c>
      <c r="CU15">
        <v>46.5</v>
      </c>
      <c r="CW15" t="s">
        <v>422</v>
      </c>
      <c r="CX15" t="s">
        <v>759</v>
      </c>
      <c r="CY15" t="s">
        <v>767</v>
      </c>
      <c r="CZ15">
        <v>19</v>
      </c>
      <c r="DA15">
        <v>8</v>
      </c>
      <c r="DB15">
        <v>97</v>
      </c>
      <c r="DC15">
        <v>16</v>
      </c>
      <c r="DD15">
        <v>1</v>
      </c>
      <c r="DE15">
        <v>156.75</v>
      </c>
      <c r="DF15">
        <v>194</v>
      </c>
      <c r="DH15" t="s">
        <v>422</v>
      </c>
      <c r="DI15" t="s">
        <v>739</v>
      </c>
      <c r="DJ15" t="s">
        <v>747</v>
      </c>
      <c r="DK15">
        <v>5</v>
      </c>
      <c r="DL15">
        <v>1</v>
      </c>
      <c r="DM15">
        <v>85.6</v>
      </c>
      <c r="DN15">
        <v>25</v>
      </c>
      <c r="DO15">
        <v>4</v>
      </c>
      <c r="DP15">
        <v>129.44</v>
      </c>
      <c r="DQ15">
        <v>201.25</v>
      </c>
    </row>
    <row r="16" spans="2:121" x14ac:dyDescent="0.2">
      <c r="B16" t="s">
        <v>977</v>
      </c>
      <c r="C16">
        <v>1</v>
      </c>
      <c r="F16" t="s">
        <v>61</v>
      </c>
      <c r="G16">
        <v>876</v>
      </c>
      <c r="H16">
        <v>162.7408675799</v>
      </c>
      <c r="I16">
        <v>2376</v>
      </c>
      <c r="J16">
        <v>550</v>
      </c>
      <c r="K16">
        <v>1491</v>
      </c>
      <c r="L16">
        <v>814</v>
      </c>
      <c r="M16">
        <v>744</v>
      </c>
      <c r="N16">
        <v>545</v>
      </c>
      <c r="O16">
        <v>1531</v>
      </c>
      <c r="P16">
        <v>1134</v>
      </c>
      <c r="Q16">
        <v>0</v>
      </c>
      <c r="R16">
        <v>1</v>
      </c>
      <c r="T16" t="s">
        <v>8</v>
      </c>
      <c r="U16">
        <v>64</v>
      </c>
      <c r="V16">
        <v>1016.265625</v>
      </c>
      <c r="W16">
        <v>46</v>
      </c>
      <c r="X16">
        <v>2</v>
      </c>
      <c r="Y16">
        <v>68</v>
      </c>
      <c r="Z16">
        <v>61</v>
      </c>
      <c r="AA16">
        <v>10</v>
      </c>
      <c r="AB16">
        <v>8</v>
      </c>
      <c r="AC16">
        <v>50354</v>
      </c>
      <c r="AD16">
        <v>28306</v>
      </c>
      <c r="AE16">
        <v>0</v>
      </c>
      <c r="AF16">
        <v>1</v>
      </c>
      <c r="AH16" t="s">
        <v>395</v>
      </c>
      <c r="AI16">
        <v>6699</v>
      </c>
      <c r="AJ16">
        <v>481.99328257949998</v>
      </c>
      <c r="AK16">
        <v>7062</v>
      </c>
      <c r="AL16">
        <v>1997</v>
      </c>
      <c r="AM16">
        <v>9516</v>
      </c>
      <c r="AN16">
        <v>6617</v>
      </c>
      <c r="AO16">
        <v>2115</v>
      </c>
      <c r="AP16">
        <v>1659</v>
      </c>
      <c r="AQ16">
        <v>2983</v>
      </c>
      <c r="AR16">
        <v>1555</v>
      </c>
      <c r="AS16">
        <v>736</v>
      </c>
      <c r="AT16">
        <v>215</v>
      </c>
      <c r="AV16" t="s">
        <v>376</v>
      </c>
      <c r="AW16">
        <v>1696</v>
      </c>
      <c r="AX16">
        <v>95.493514150899998</v>
      </c>
      <c r="AY16">
        <v>2737</v>
      </c>
      <c r="AZ16">
        <v>688</v>
      </c>
      <c r="BA16">
        <v>2328</v>
      </c>
      <c r="BB16">
        <v>758</v>
      </c>
      <c r="BC16">
        <v>9</v>
      </c>
      <c r="BD16">
        <v>8</v>
      </c>
      <c r="BE16">
        <v>130</v>
      </c>
      <c r="BF16">
        <v>27</v>
      </c>
      <c r="BG16">
        <v>121</v>
      </c>
      <c r="BH16">
        <v>478</v>
      </c>
      <c r="BJ16" t="s">
        <v>560</v>
      </c>
      <c r="BK16" t="s">
        <v>391</v>
      </c>
      <c r="BL16">
        <v>7505</v>
      </c>
      <c r="BM16">
        <v>2021</v>
      </c>
      <c r="BN16">
        <v>106.38774150570001</v>
      </c>
      <c r="BO16">
        <v>11334</v>
      </c>
      <c r="BP16">
        <v>1815</v>
      </c>
      <c r="BQ16">
        <v>131.5149108876</v>
      </c>
      <c r="BR16">
        <v>133.65674931129999</v>
      </c>
      <c r="BS16">
        <v>7612</v>
      </c>
      <c r="BT16">
        <v>2188</v>
      </c>
      <c r="BU16">
        <v>110.8775617446</v>
      </c>
      <c r="BV16">
        <v>12674</v>
      </c>
      <c r="BW16">
        <v>1887</v>
      </c>
      <c r="BX16">
        <v>143.20940508129999</v>
      </c>
      <c r="BY16">
        <v>141.2432432432</v>
      </c>
      <c r="CA16" t="s">
        <v>386</v>
      </c>
      <c r="CB16" t="s">
        <v>768</v>
      </c>
      <c r="CD16">
        <v>63117</v>
      </c>
      <c r="CE16">
        <v>14407</v>
      </c>
      <c r="CF16">
        <v>92.380309583799999</v>
      </c>
      <c r="CG16">
        <v>83172</v>
      </c>
      <c r="CH16">
        <v>11990</v>
      </c>
      <c r="CI16">
        <v>132.68716635409999</v>
      </c>
      <c r="CJ16">
        <v>129.66430358630001</v>
      </c>
      <c r="CL16" t="s">
        <v>386</v>
      </c>
      <c r="CM16" t="s">
        <v>749</v>
      </c>
      <c r="CO16">
        <v>3783</v>
      </c>
      <c r="CP16">
        <v>364</v>
      </c>
      <c r="CQ16">
        <v>66.384351044100001</v>
      </c>
      <c r="CR16">
        <v>9801</v>
      </c>
      <c r="CS16">
        <v>1413</v>
      </c>
      <c r="CT16">
        <v>66.344964799500005</v>
      </c>
      <c r="CU16">
        <v>72.027600849300001</v>
      </c>
      <c r="CW16" t="s">
        <v>386</v>
      </c>
      <c r="CX16" t="s">
        <v>759</v>
      </c>
      <c r="CZ16">
        <v>2153</v>
      </c>
      <c r="DA16">
        <v>569</v>
      </c>
      <c r="DB16">
        <v>88.924756154199997</v>
      </c>
      <c r="DC16">
        <v>1443</v>
      </c>
      <c r="DD16">
        <v>230</v>
      </c>
      <c r="DE16">
        <v>144.26195426199999</v>
      </c>
      <c r="DF16">
        <v>150.84347826090001</v>
      </c>
      <c r="DH16" t="s">
        <v>386</v>
      </c>
      <c r="DI16" t="s">
        <v>739</v>
      </c>
      <c r="DK16">
        <v>2198</v>
      </c>
      <c r="DL16">
        <v>443</v>
      </c>
      <c r="DM16">
        <v>82.343039126500003</v>
      </c>
      <c r="DN16">
        <v>1965</v>
      </c>
      <c r="DO16">
        <v>318</v>
      </c>
      <c r="DP16">
        <v>131.84936386769999</v>
      </c>
      <c r="DQ16">
        <v>140.179245283</v>
      </c>
    </row>
    <row r="17" spans="2:121" x14ac:dyDescent="0.2">
      <c r="B17" t="s">
        <v>119</v>
      </c>
      <c r="C17">
        <v>65</v>
      </c>
      <c r="D17">
        <v>47</v>
      </c>
      <c r="F17" t="s">
        <v>83</v>
      </c>
      <c r="G17">
        <v>19076</v>
      </c>
      <c r="H17">
        <v>326.6187880059</v>
      </c>
      <c r="I17">
        <v>18626</v>
      </c>
      <c r="J17">
        <v>5100</v>
      </c>
      <c r="K17">
        <v>31098</v>
      </c>
      <c r="L17">
        <v>20218</v>
      </c>
      <c r="M17">
        <v>11909</v>
      </c>
      <c r="N17">
        <v>7516</v>
      </c>
      <c r="O17">
        <v>3895</v>
      </c>
      <c r="P17">
        <v>2673</v>
      </c>
      <c r="Q17">
        <v>1</v>
      </c>
      <c r="R17">
        <v>21</v>
      </c>
      <c r="T17" t="s">
        <v>405</v>
      </c>
      <c r="U17">
        <v>55848</v>
      </c>
      <c r="V17">
        <v>382.97881750469998</v>
      </c>
      <c r="W17">
        <v>59134</v>
      </c>
      <c r="X17">
        <v>13652</v>
      </c>
      <c r="Y17">
        <v>80958</v>
      </c>
      <c r="Z17">
        <v>55419</v>
      </c>
      <c r="AA17">
        <v>23999</v>
      </c>
      <c r="AB17">
        <v>17260</v>
      </c>
      <c r="AC17">
        <v>19454</v>
      </c>
      <c r="AD17">
        <v>14094</v>
      </c>
      <c r="AE17">
        <v>416</v>
      </c>
      <c r="AF17">
        <v>702</v>
      </c>
      <c r="AH17" t="s">
        <v>393</v>
      </c>
      <c r="AI17">
        <v>6712</v>
      </c>
      <c r="AJ17">
        <v>608.78635280100002</v>
      </c>
      <c r="AK17">
        <v>5236</v>
      </c>
      <c r="AL17">
        <v>1164</v>
      </c>
      <c r="AM17">
        <v>10061</v>
      </c>
      <c r="AN17">
        <v>7571</v>
      </c>
      <c r="AO17">
        <v>2042</v>
      </c>
      <c r="AP17">
        <v>1584</v>
      </c>
      <c r="AQ17">
        <v>2894</v>
      </c>
      <c r="AR17">
        <v>2022</v>
      </c>
      <c r="AS17">
        <v>549</v>
      </c>
      <c r="AT17">
        <v>203</v>
      </c>
      <c r="AV17" t="s">
        <v>429</v>
      </c>
      <c r="AW17">
        <v>19</v>
      </c>
      <c r="AX17">
        <v>48.052631578899998</v>
      </c>
      <c r="AY17">
        <v>26</v>
      </c>
      <c r="AZ17">
        <v>3</v>
      </c>
      <c r="BA17">
        <v>27</v>
      </c>
      <c r="BB17">
        <v>2</v>
      </c>
      <c r="BC17">
        <v>1</v>
      </c>
      <c r="BD17">
        <v>1</v>
      </c>
      <c r="BE17">
        <v>1</v>
      </c>
      <c r="BG17">
        <v>53</v>
      </c>
      <c r="BH17">
        <v>6</v>
      </c>
      <c r="BJ17" t="s">
        <v>577</v>
      </c>
      <c r="BK17" t="s">
        <v>391</v>
      </c>
      <c r="BL17">
        <v>2354</v>
      </c>
      <c r="BM17">
        <v>420</v>
      </c>
      <c r="BN17">
        <v>82.333474936299993</v>
      </c>
      <c r="BO17">
        <v>3272</v>
      </c>
      <c r="BP17">
        <v>412</v>
      </c>
      <c r="BQ17">
        <v>109.7368581907</v>
      </c>
      <c r="BR17">
        <v>112.7014563107</v>
      </c>
      <c r="BS17">
        <v>3085</v>
      </c>
      <c r="BT17">
        <v>840</v>
      </c>
      <c r="BU17">
        <v>96.770502431099999</v>
      </c>
      <c r="BV17">
        <v>4584</v>
      </c>
      <c r="BW17">
        <v>683</v>
      </c>
      <c r="BX17">
        <v>127.780104712</v>
      </c>
      <c r="BY17">
        <v>135.9590043924</v>
      </c>
      <c r="CA17" t="s">
        <v>395</v>
      </c>
      <c r="CB17" t="s">
        <v>808</v>
      </c>
      <c r="CC17" t="s">
        <v>1004</v>
      </c>
      <c r="CD17">
        <v>6737</v>
      </c>
      <c r="CE17">
        <v>1945</v>
      </c>
      <c r="CF17">
        <v>104.43031022709999</v>
      </c>
      <c r="CG17">
        <v>8425</v>
      </c>
      <c r="CH17">
        <v>1405</v>
      </c>
      <c r="CI17">
        <v>147.9762611276</v>
      </c>
      <c r="CJ17">
        <v>142.15729537370001</v>
      </c>
      <c r="CL17" t="s">
        <v>395</v>
      </c>
      <c r="CM17" t="s">
        <v>783</v>
      </c>
      <c r="CN17" t="s">
        <v>782</v>
      </c>
      <c r="CO17">
        <v>745</v>
      </c>
      <c r="CP17">
        <v>123</v>
      </c>
      <c r="CQ17">
        <v>76.582550335600004</v>
      </c>
      <c r="CR17">
        <v>1774</v>
      </c>
      <c r="CS17">
        <v>234</v>
      </c>
      <c r="CT17">
        <v>71.943066516299993</v>
      </c>
      <c r="CU17">
        <v>73.264957265000007</v>
      </c>
      <c r="CW17" t="s">
        <v>395</v>
      </c>
      <c r="CX17" t="s">
        <v>796</v>
      </c>
      <c r="CY17" t="s">
        <v>795</v>
      </c>
      <c r="CZ17">
        <v>255</v>
      </c>
      <c r="DA17">
        <v>88</v>
      </c>
      <c r="DB17">
        <v>97.972549019599995</v>
      </c>
      <c r="DC17">
        <v>162</v>
      </c>
      <c r="DD17">
        <v>32</v>
      </c>
      <c r="DE17">
        <v>151.21604938269999</v>
      </c>
      <c r="DF17">
        <v>178.21875</v>
      </c>
      <c r="DH17" t="s">
        <v>395</v>
      </c>
      <c r="DI17" t="s">
        <v>770</v>
      </c>
      <c r="DJ17" t="s">
        <v>769</v>
      </c>
      <c r="DK17">
        <v>199</v>
      </c>
      <c r="DL17">
        <v>32</v>
      </c>
      <c r="DM17">
        <v>82.879396984899998</v>
      </c>
      <c r="DN17">
        <v>178</v>
      </c>
      <c r="DO17">
        <v>21</v>
      </c>
      <c r="DP17">
        <v>131.61235955059999</v>
      </c>
      <c r="DQ17">
        <v>165.28571428570001</v>
      </c>
    </row>
    <row r="18" spans="2:121" x14ac:dyDescent="0.2">
      <c r="B18" t="s">
        <v>94</v>
      </c>
      <c r="C18">
        <v>386</v>
      </c>
      <c r="D18">
        <v>207</v>
      </c>
      <c r="F18" t="s">
        <v>70</v>
      </c>
      <c r="G18">
        <v>6365</v>
      </c>
      <c r="H18">
        <v>272.22010997640001</v>
      </c>
      <c r="I18">
        <v>2288</v>
      </c>
      <c r="J18">
        <v>595</v>
      </c>
      <c r="K18">
        <v>12855</v>
      </c>
      <c r="L18">
        <v>7693</v>
      </c>
      <c r="M18">
        <v>1178</v>
      </c>
      <c r="N18">
        <v>636</v>
      </c>
      <c r="O18">
        <v>345</v>
      </c>
      <c r="P18">
        <v>130</v>
      </c>
      <c r="Q18">
        <v>0</v>
      </c>
      <c r="R18">
        <v>1</v>
      </c>
      <c r="T18" t="s">
        <v>381</v>
      </c>
      <c r="U18">
        <v>64649</v>
      </c>
      <c r="V18">
        <v>346.77939333939997</v>
      </c>
      <c r="W18">
        <v>68809</v>
      </c>
      <c r="X18">
        <v>18083</v>
      </c>
      <c r="Y18">
        <v>88984</v>
      </c>
      <c r="Z18">
        <v>60594</v>
      </c>
      <c r="AA18">
        <v>26516</v>
      </c>
      <c r="AB18">
        <v>17993</v>
      </c>
      <c r="AC18">
        <v>30399</v>
      </c>
      <c r="AD18">
        <v>22382</v>
      </c>
      <c r="AE18">
        <v>149</v>
      </c>
      <c r="AF18">
        <v>1225</v>
      </c>
      <c r="AH18" t="s">
        <v>400</v>
      </c>
      <c r="AI18">
        <v>1280</v>
      </c>
      <c r="AJ18">
        <v>211.22109374999999</v>
      </c>
      <c r="AK18">
        <v>2496</v>
      </c>
      <c r="AL18">
        <v>473</v>
      </c>
      <c r="AM18">
        <v>1876</v>
      </c>
      <c r="AN18">
        <v>889</v>
      </c>
      <c r="AO18">
        <v>394</v>
      </c>
      <c r="AP18">
        <v>184</v>
      </c>
      <c r="AQ18">
        <v>492</v>
      </c>
      <c r="AR18">
        <v>288</v>
      </c>
      <c r="AS18">
        <v>1</v>
      </c>
      <c r="AT18">
        <v>7</v>
      </c>
      <c r="AV18" t="s">
        <v>400</v>
      </c>
      <c r="AW18">
        <v>152</v>
      </c>
      <c r="AX18">
        <v>49.697368421100002</v>
      </c>
      <c r="AY18">
        <v>270</v>
      </c>
      <c r="AZ18">
        <v>14</v>
      </c>
      <c r="BA18">
        <v>216</v>
      </c>
      <c r="BB18">
        <v>8</v>
      </c>
      <c r="BC18">
        <v>0</v>
      </c>
      <c r="BE18">
        <v>4</v>
      </c>
      <c r="BF18">
        <v>2</v>
      </c>
      <c r="BG18">
        <v>310</v>
      </c>
      <c r="BH18">
        <v>28</v>
      </c>
      <c r="BJ18" t="s">
        <v>570</v>
      </c>
      <c r="BK18" t="s">
        <v>391</v>
      </c>
      <c r="BL18">
        <v>7150</v>
      </c>
      <c r="BM18">
        <v>1729</v>
      </c>
      <c r="BN18">
        <v>96.946153846200005</v>
      </c>
      <c r="BO18">
        <v>8523</v>
      </c>
      <c r="BP18">
        <v>1285</v>
      </c>
      <c r="BQ18">
        <v>145.0722750205</v>
      </c>
      <c r="BR18">
        <v>142.62256809339999</v>
      </c>
      <c r="BS18">
        <v>1357</v>
      </c>
      <c r="BT18">
        <v>582</v>
      </c>
      <c r="BU18">
        <v>120.19380987469999</v>
      </c>
      <c r="BV18">
        <v>8366</v>
      </c>
      <c r="BW18">
        <v>1174</v>
      </c>
      <c r="BX18">
        <v>142.48123356439999</v>
      </c>
      <c r="BY18">
        <v>139.46933560479999</v>
      </c>
      <c r="CA18" t="s">
        <v>393</v>
      </c>
      <c r="CB18" t="s">
        <v>808</v>
      </c>
      <c r="CC18" t="s">
        <v>1005</v>
      </c>
      <c r="CD18">
        <v>4939</v>
      </c>
      <c r="CE18">
        <v>1070</v>
      </c>
      <c r="CF18">
        <v>89.035027333499997</v>
      </c>
      <c r="CG18">
        <v>6627</v>
      </c>
      <c r="CH18">
        <v>911</v>
      </c>
      <c r="CI18">
        <v>124.6001207183</v>
      </c>
      <c r="CJ18">
        <v>128.90010976950001</v>
      </c>
      <c r="CL18" t="s">
        <v>393</v>
      </c>
      <c r="CM18" t="s">
        <v>783</v>
      </c>
      <c r="CN18" t="s">
        <v>784</v>
      </c>
      <c r="CO18">
        <v>436</v>
      </c>
      <c r="CP18">
        <v>52</v>
      </c>
      <c r="CQ18">
        <v>64.809633027499999</v>
      </c>
      <c r="CR18">
        <v>1069</v>
      </c>
      <c r="CS18">
        <v>143</v>
      </c>
      <c r="CT18">
        <v>74.548175865299996</v>
      </c>
      <c r="CU18">
        <v>73.118881118900006</v>
      </c>
      <c r="CW18" t="s">
        <v>393</v>
      </c>
      <c r="CX18" t="s">
        <v>796</v>
      </c>
      <c r="CY18" t="s">
        <v>797</v>
      </c>
      <c r="CZ18">
        <v>132</v>
      </c>
      <c r="DA18">
        <v>46</v>
      </c>
      <c r="DB18">
        <v>94.212121212100001</v>
      </c>
      <c r="DC18">
        <v>77</v>
      </c>
      <c r="DD18">
        <v>10</v>
      </c>
      <c r="DE18">
        <v>145.80519480519999</v>
      </c>
      <c r="DF18">
        <v>150.30000000000001</v>
      </c>
      <c r="DH18" t="s">
        <v>393</v>
      </c>
      <c r="DI18" t="s">
        <v>770</v>
      </c>
      <c r="DJ18" t="s">
        <v>771</v>
      </c>
      <c r="DK18">
        <v>86</v>
      </c>
      <c r="DL18">
        <v>23</v>
      </c>
      <c r="DM18">
        <v>94.2325581395</v>
      </c>
      <c r="DN18">
        <v>90</v>
      </c>
      <c r="DO18">
        <v>7</v>
      </c>
      <c r="DP18">
        <v>140.57777777780001</v>
      </c>
      <c r="DQ18">
        <v>162.57142857139999</v>
      </c>
    </row>
    <row r="19" spans="2:121" x14ac:dyDescent="0.2">
      <c r="B19" t="s">
        <v>123</v>
      </c>
      <c r="C19">
        <v>40</v>
      </c>
      <c r="D19">
        <v>31</v>
      </c>
      <c r="F19" t="s">
        <v>68</v>
      </c>
      <c r="G19">
        <v>2881</v>
      </c>
      <c r="H19">
        <v>434.70010413049999</v>
      </c>
      <c r="I19">
        <v>3369</v>
      </c>
      <c r="J19">
        <v>820</v>
      </c>
      <c r="K19">
        <v>3439</v>
      </c>
      <c r="L19">
        <v>2460</v>
      </c>
      <c r="M19">
        <v>550</v>
      </c>
      <c r="N19">
        <v>375</v>
      </c>
      <c r="O19">
        <v>1153</v>
      </c>
      <c r="P19">
        <v>861</v>
      </c>
      <c r="Q19">
        <v>0</v>
      </c>
      <c r="R19">
        <v>121</v>
      </c>
      <c r="T19" t="s">
        <v>462</v>
      </c>
      <c r="U19">
        <v>306838</v>
      </c>
      <c r="V19">
        <v>388.20848134850002</v>
      </c>
      <c r="W19">
        <v>323066</v>
      </c>
      <c r="X19">
        <v>79569</v>
      </c>
      <c r="Y19">
        <v>443566</v>
      </c>
      <c r="Z19">
        <v>298132</v>
      </c>
      <c r="AA19">
        <v>122605</v>
      </c>
      <c r="AB19">
        <v>83117</v>
      </c>
      <c r="AC19">
        <v>159828</v>
      </c>
      <c r="AD19">
        <v>104175</v>
      </c>
      <c r="AE19">
        <v>19660</v>
      </c>
      <c r="AF19">
        <v>4131</v>
      </c>
      <c r="AH19" t="s">
        <v>423</v>
      </c>
      <c r="AI19">
        <v>2015</v>
      </c>
      <c r="AJ19">
        <v>247.09776674939999</v>
      </c>
      <c r="AK19">
        <v>2410</v>
      </c>
      <c r="AL19">
        <v>469</v>
      </c>
      <c r="AM19">
        <v>2996</v>
      </c>
      <c r="AN19">
        <v>1686</v>
      </c>
      <c r="AO19">
        <v>1067</v>
      </c>
      <c r="AP19">
        <v>481</v>
      </c>
      <c r="AQ19">
        <v>626</v>
      </c>
      <c r="AR19">
        <v>357</v>
      </c>
      <c r="AS19">
        <v>12</v>
      </c>
      <c r="AT19">
        <v>13</v>
      </c>
      <c r="AV19" t="s">
        <v>8</v>
      </c>
      <c r="AW19">
        <v>155</v>
      </c>
      <c r="AX19">
        <v>81.832258064499996</v>
      </c>
      <c r="AY19">
        <v>210</v>
      </c>
      <c r="AZ19">
        <v>103</v>
      </c>
      <c r="BA19">
        <v>338</v>
      </c>
      <c r="BB19">
        <v>153</v>
      </c>
      <c r="BC19">
        <v>10</v>
      </c>
      <c r="BD19">
        <v>9</v>
      </c>
      <c r="BE19">
        <v>11</v>
      </c>
      <c r="BF19">
        <v>4</v>
      </c>
      <c r="BG19">
        <v>36</v>
      </c>
      <c r="BH19">
        <v>26</v>
      </c>
      <c r="BJ19" t="s">
        <v>634</v>
      </c>
      <c r="BK19" t="s">
        <v>391</v>
      </c>
      <c r="BL19">
        <v>924</v>
      </c>
      <c r="BM19">
        <v>143</v>
      </c>
      <c r="BN19">
        <v>75.887445887400006</v>
      </c>
      <c r="BO19">
        <v>1298</v>
      </c>
      <c r="BP19">
        <v>142</v>
      </c>
      <c r="BQ19">
        <v>102.313559322</v>
      </c>
      <c r="BR19">
        <v>115.61971830989999</v>
      </c>
      <c r="BS19">
        <v>1224</v>
      </c>
      <c r="BT19">
        <v>332</v>
      </c>
      <c r="BU19">
        <v>99.538398692800001</v>
      </c>
      <c r="BV19">
        <v>1827</v>
      </c>
      <c r="BW19">
        <v>229</v>
      </c>
      <c r="BX19">
        <v>135.17898193760001</v>
      </c>
      <c r="BY19">
        <v>140.16593886460001</v>
      </c>
      <c r="CA19" t="s">
        <v>400</v>
      </c>
      <c r="CB19" t="s">
        <v>808</v>
      </c>
      <c r="CC19" t="s">
        <v>1006</v>
      </c>
      <c r="CD19">
        <v>2434</v>
      </c>
      <c r="CE19">
        <v>445</v>
      </c>
      <c r="CF19">
        <v>84.124075595700006</v>
      </c>
      <c r="CG19">
        <v>3395</v>
      </c>
      <c r="CH19">
        <v>428</v>
      </c>
      <c r="CI19">
        <v>108.79204712809999</v>
      </c>
      <c r="CJ19">
        <v>109.7827102804</v>
      </c>
      <c r="CL19" t="s">
        <v>400</v>
      </c>
      <c r="CM19" t="s">
        <v>783</v>
      </c>
      <c r="CN19" t="s">
        <v>785</v>
      </c>
      <c r="CO19">
        <v>229</v>
      </c>
      <c r="CP19">
        <v>15</v>
      </c>
      <c r="CQ19">
        <v>53.969432314400002</v>
      </c>
      <c r="CR19">
        <v>668</v>
      </c>
      <c r="CS19">
        <v>90</v>
      </c>
      <c r="CT19">
        <v>66.75</v>
      </c>
      <c r="CU19">
        <v>70.099999999999994</v>
      </c>
      <c r="CW19" t="s">
        <v>400</v>
      </c>
      <c r="CX19" t="s">
        <v>796</v>
      </c>
      <c r="CY19" t="s">
        <v>798</v>
      </c>
      <c r="CZ19">
        <v>58</v>
      </c>
      <c r="DA19">
        <v>19</v>
      </c>
      <c r="DB19">
        <v>94.758620689699995</v>
      </c>
      <c r="DC19">
        <v>43</v>
      </c>
      <c r="DD19">
        <v>7</v>
      </c>
      <c r="DE19">
        <v>140.3953488372</v>
      </c>
      <c r="DF19">
        <v>164.1428571429</v>
      </c>
      <c r="DH19" t="s">
        <v>400</v>
      </c>
      <c r="DI19" t="s">
        <v>770</v>
      </c>
      <c r="DJ19" t="s">
        <v>772</v>
      </c>
      <c r="DK19">
        <v>24</v>
      </c>
      <c r="DL19">
        <v>7</v>
      </c>
      <c r="DM19">
        <v>92.291666666699996</v>
      </c>
      <c r="DN19">
        <v>48</v>
      </c>
      <c r="DO19">
        <v>6</v>
      </c>
      <c r="DP19">
        <v>125.2916666667</v>
      </c>
      <c r="DQ19">
        <v>135.1666666667</v>
      </c>
    </row>
    <row r="20" spans="2:121" x14ac:dyDescent="0.2">
      <c r="B20" t="s">
        <v>116</v>
      </c>
      <c r="C20">
        <v>16749</v>
      </c>
      <c r="D20">
        <v>3060</v>
      </c>
      <c r="F20" t="s">
        <v>74</v>
      </c>
      <c r="G20">
        <v>287</v>
      </c>
      <c r="H20">
        <v>114.0662020906</v>
      </c>
      <c r="I20">
        <v>836</v>
      </c>
      <c r="J20">
        <v>158</v>
      </c>
      <c r="K20">
        <v>510</v>
      </c>
      <c r="L20">
        <v>129</v>
      </c>
      <c r="M20">
        <v>373</v>
      </c>
      <c r="N20">
        <v>148</v>
      </c>
      <c r="O20">
        <v>48</v>
      </c>
      <c r="P20">
        <v>14</v>
      </c>
      <c r="Q20">
        <v>0</v>
      </c>
      <c r="R20">
        <v>1</v>
      </c>
      <c r="AH20" t="s">
        <v>394</v>
      </c>
      <c r="AI20">
        <v>6432</v>
      </c>
      <c r="AJ20">
        <v>551.15780472639995</v>
      </c>
      <c r="AK20">
        <v>3788</v>
      </c>
      <c r="AL20">
        <v>732</v>
      </c>
      <c r="AM20">
        <v>9294</v>
      </c>
      <c r="AN20">
        <v>6539</v>
      </c>
      <c r="AO20">
        <v>2548</v>
      </c>
      <c r="AP20">
        <v>1966</v>
      </c>
      <c r="AQ20">
        <v>1633</v>
      </c>
      <c r="AR20">
        <v>858</v>
      </c>
      <c r="AS20">
        <v>510</v>
      </c>
      <c r="AT20">
        <v>146</v>
      </c>
      <c r="AV20" t="s">
        <v>383</v>
      </c>
      <c r="AW20">
        <v>1651</v>
      </c>
      <c r="AX20">
        <v>87.061780738899998</v>
      </c>
      <c r="AY20">
        <v>1667</v>
      </c>
      <c r="AZ20">
        <v>401</v>
      </c>
      <c r="BA20">
        <v>2089</v>
      </c>
      <c r="BB20">
        <v>571</v>
      </c>
      <c r="BC20">
        <v>30</v>
      </c>
      <c r="BD20">
        <v>29</v>
      </c>
      <c r="BE20">
        <v>110</v>
      </c>
      <c r="BF20">
        <v>44</v>
      </c>
      <c r="BG20">
        <v>196</v>
      </c>
      <c r="BH20">
        <v>449</v>
      </c>
      <c r="BJ20" t="s">
        <v>562</v>
      </c>
      <c r="BK20" t="s">
        <v>391</v>
      </c>
      <c r="BL20">
        <v>4802</v>
      </c>
      <c r="BM20">
        <v>1056</v>
      </c>
      <c r="BN20">
        <v>89.691378592299998</v>
      </c>
      <c r="BO20">
        <v>6323</v>
      </c>
      <c r="BP20">
        <v>858</v>
      </c>
      <c r="BQ20">
        <v>127.79661553059999</v>
      </c>
      <c r="BR20">
        <v>130.6853146853</v>
      </c>
      <c r="BS20">
        <v>992</v>
      </c>
      <c r="BT20">
        <v>473</v>
      </c>
      <c r="BU20">
        <v>119.6118951613</v>
      </c>
      <c r="BV20">
        <v>6860</v>
      </c>
      <c r="BW20">
        <v>955</v>
      </c>
      <c r="BX20">
        <v>131.93906705539999</v>
      </c>
      <c r="BY20">
        <v>129.42513089010001</v>
      </c>
      <c r="CA20" t="s">
        <v>423</v>
      </c>
      <c r="CB20" t="s">
        <v>808</v>
      </c>
      <c r="CC20" t="s">
        <v>1007</v>
      </c>
      <c r="CD20">
        <v>2238</v>
      </c>
      <c r="CE20">
        <v>415</v>
      </c>
      <c r="CF20">
        <v>82.739946380700005</v>
      </c>
      <c r="CG20">
        <v>3893</v>
      </c>
      <c r="CH20">
        <v>596</v>
      </c>
      <c r="CI20">
        <v>125.80041099410001</v>
      </c>
      <c r="CJ20">
        <v>111.11912751680001</v>
      </c>
      <c r="CL20" t="s">
        <v>423</v>
      </c>
      <c r="CM20" t="s">
        <v>783</v>
      </c>
      <c r="CN20" t="s">
        <v>786</v>
      </c>
      <c r="CO20">
        <v>204</v>
      </c>
      <c r="CP20">
        <v>15</v>
      </c>
      <c r="CQ20">
        <v>65.259803921599996</v>
      </c>
      <c r="CR20">
        <v>570</v>
      </c>
      <c r="CS20">
        <v>68</v>
      </c>
      <c r="CT20">
        <v>67.963157894700004</v>
      </c>
      <c r="CU20">
        <v>60.720588235299999</v>
      </c>
      <c r="CW20" t="s">
        <v>423</v>
      </c>
      <c r="CX20" t="s">
        <v>796</v>
      </c>
      <c r="CY20" t="s">
        <v>799</v>
      </c>
      <c r="CZ20">
        <v>111</v>
      </c>
      <c r="DA20">
        <v>22</v>
      </c>
      <c r="DB20">
        <v>78.135135135100001</v>
      </c>
      <c r="DC20">
        <v>55</v>
      </c>
      <c r="DD20">
        <v>6</v>
      </c>
      <c r="DE20">
        <v>116.16363636360001</v>
      </c>
      <c r="DF20">
        <v>109.8333333333</v>
      </c>
      <c r="DH20" t="s">
        <v>423</v>
      </c>
      <c r="DI20" t="s">
        <v>770</v>
      </c>
      <c r="DJ20" t="s">
        <v>773</v>
      </c>
      <c r="DK20">
        <v>162</v>
      </c>
      <c r="DL20">
        <v>27</v>
      </c>
      <c r="DM20">
        <v>74.932098765399999</v>
      </c>
      <c r="DN20">
        <v>137</v>
      </c>
      <c r="DO20">
        <v>20</v>
      </c>
      <c r="DP20">
        <v>126.4379562044</v>
      </c>
      <c r="DQ20">
        <v>140.85</v>
      </c>
    </row>
    <row r="21" spans="2:121" x14ac:dyDescent="0.2">
      <c r="B21" t="s">
        <v>315</v>
      </c>
      <c r="C21">
        <v>1</v>
      </c>
      <c r="D21">
        <v>1</v>
      </c>
      <c r="F21" t="s">
        <v>8</v>
      </c>
      <c r="G21">
        <v>64</v>
      </c>
      <c r="H21">
        <v>1016.265625</v>
      </c>
      <c r="I21">
        <v>46</v>
      </c>
      <c r="J21">
        <v>2</v>
      </c>
      <c r="K21">
        <v>68</v>
      </c>
      <c r="L21">
        <v>61</v>
      </c>
      <c r="M21">
        <v>10</v>
      </c>
      <c r="N21">
        <v>8</v>
      </c>
      <c r="O21">
        <v>50354</v>
      </c>
      <c r="P21">
        <v>28306</v>
      </c>
      <c r="Q21">
        <v>0</v>
      </c>
      <c r="R21">
        <v>1</v>
      </c>
      <c r="AH21" t="s">
        <v>388</v>
      </c>
      <c r="AI21">
        <v>4999</v>
      </c>
      <c r="AJ21">
        <v>443.10242048409998</v>
      </c>
      <c r="AK21">
        <v>5714</v>
      </c>
      <c r="AL21">
        <v>1508</v>
      </c>
      <c r="AM21">
        <v>7547</v>
      </c>
      <c r="AN21">
        <v>5053</v>
      </c>
      <c r="AO21">
        <v>1748</v>
      </c>
      <c r="AP21">
        <v>1217</v>
      </c>
      <c r="AQ21">
        <v>2221</v>
      </c>
      <c r="AR21">
        <v>1440</v>
      </c>
      <c r="AS21">
        <v>256</v>
      </c>
      <c r="AT21">
        <v>250</v>
      </c>
      <c r="AV21" t="s">
        <v>377</v>
      </c>
      <c r="AW21">
        <v>367</v>
      </c>
      <c r="AX21">
        <v>97.256130790200004</v>
      </c>
      <c r="AY21">
        <v>635</v>
      </c>
      <c r="AZ21">
        <v>136</v>
      </c>
      <c r="BA21">
        <v>486</v>
      </c>
      <c r="BB21">
        <v>159</v>
      </c>
      <c r="BC21">
        <v>11</v>
      </c>
      <c r="BD21">
        <v>10</v>
      </c>
      <c r="BE21">
        <v>42</v>
      </c>
      <c r="BF21">
        <v>18</v>
      </c>
      <c r="BG21">
        <v>47</v>
      </c>
      <c r="BH21">
        <v>166</v>
      </c>
      <c r="BJ21" t="s">
        <v>579</v>
      </c>
      <c r="BK21" t="s">
        <v>391</v>
      </c>
      <c r="BL21">
        <v>2165</v>
      </c>
      <c r="BM21">
        <v>272</v>
      </c>
      <c r="BN21">
        <v>80.184295612</v>
      </c>
      <c r="BO21">
        <v>2497</v>
      </c>
      <c r="BP21">
        <v>444</v>
      </c>
      <c r="BQ21">
        <v>119.76371645979999</v>
      </c>
      <c r="BR21">
        <v>118.7567567568</v>
      </c>
      <c r="BS21">
        <v>5687</v>
      </c>
      <c r="BT21">
        <v>1586</v>
      </c>
      <c r="BU21">
        <v>109.94759978899999</v>
      </c>
      <c r="BV21">
        <v>7284</v>
      </c>
      <c r="BW21">
        <v>1198</v>
      </c>
      <c r="BX21">
        <v>146.90870400879999</v>
      </c>
      <c r="BY21">
        <v>137.43906510849999</v>
      </c>
      <c r="CA21" t="s">
        <v>396</v>
      </c>
      <c r="CB21" t="s">
        <v>808</v>
      </c>
      <c r="CC21" t="s">
        <v>1008</v>
      </c>
      <c r="CD21">
        <v>7209</v>
      </c>
      <c r="CE21">
        <v>1724</v>
      </c>
      <c r="CF21">
        <v>96.539325842699995</v>
      </c>
      <c r="CG21">
        <v>8843</v>
      </c>
      <c r="CH21">
        <v>1323</v>
      </c>
      <c r="CI21">
        <v>143.19778355759999</v>
      </c>
      <c r="CJ21">
        <v>139.10128495839999</v>
      </c>
      <c r="CL21" t="s">
        <v>396</v>
      </c>
      <c r="CM21" t="s">
        <v>783</v>
      </c>
      <c r="CN21" t="s">
        <v>787</v>
      </c>
      <c r="CO21">
        <v>790</v>
      </c>
      <c r="CP21">
        <v>103</v>
      </c>
      <c r="CQ21">
        <v>72.986075949400004</v>
      </c>
      <c r="CR21">
        <v>1944</v>
      </c>
      <c r="CS21">
        <v>262</v>
      </c>
      <c r="CT21">
        <v>72.384773662599997</v>
      </c>
      <c r="CU21">
        <v>76.156488549599999</v>
      </c>
      <c r="CW21" t="s">
        <v>396</v>
      </c>
      <c r="CX21" t="s">
        <v>796</v>
      </c>
      <c r="CY21" t="s">
        <v>800</v>
      </c>
      <c r="CZ21">
        <v>182</v>
      </c>
      <c r="DA21">
        <v>56</v>
      </c>
      <c r="DB21">
        <v>88.873626373600004</v>
      </c>
      <c r="DC21">
        <v>139</v>
      </c>
      <c r="DD21">
        <v>25</v>
      </c>
      <c r="DE21">
        <v>149.2230215827</v>
      </c>
      <c r="DF21">
        <v>158.84</v>
      </c>
      <c r="DH21" t="s">
        <v>396</v>
      </c>
      <c r="DI21" t="s">
        <v>770</v>
      </c>
      <c r="DJ21" t="s">
        <v>774</v>
      </c>
      <c r="DK21">
        <v>120</v>
      </c>
      <c r="DL21">
        <v>27</v>
      </c>
      <c r="DM21">
        <v>86.65</v>
      </c>
      <c r="DN21">
        <v>128</v>
      </c>
      <c r="DO21">
        <v>9</v>
      </c>
      <c r="DP21">
        <v>131.4609375</v>
      </c>
      <c r="DQ21">
        <v>107</v>
      </c>
    </row>
    <row r="22" spans="2:121" x14ac:dyDescent="0.2">
      <c r="B22" t="s">
        <v>109</v>
      </c>
      <c r="C22">
        <v>20846</v>
      </c>
      <c r="D22">
        <v>11588</v>
      </c>
      <c r="F22" t="s">
        <v>44</v>
      </c>
      <c r="G22">
        <v>1140</v>
      </c>
      <c r="H22">
        <v>313.31666666669997</v>
      </c>
      <c r="I22">
        <v>1955</v>
      </c>
      <c r="J22">
        <v>487</v>
      </c>
      <c r="K22">
        <v>2767</v>
      </c>
      <c r="L22">
        <v>1958</v>
      </c>
      <c r="M22">
        <v>510</v>
      </c>
      <c r="N22">
        <v>318</v>
      </c>
      <c r="O22">
        <v>808</v>
      </c>
      <c r="P22">
        <v>573</v>
      </c>
      <c r="Q22">
        <v>0</v>
      </c>
      <c r="R22">
        <v>6</v>
      </c>
      <c r="AH22" t="s">
        <v>417</v>
      </c>
      <c r="AI22">
        <v>1322</v>
      </c>
      <c r="AJ22">
        <v>307.60363086230001</v>
      </c>
      <c r="AK22">
        <v>1379</v>
      </c>
      <c r="AL22">
        <v>185</v>
      </c>
      <c r="AM22">
        <v>2012</v>
      </c>
      <c r="AN22">
        <v>1169</v>
      </c>
      <c r="AO22">
        <v>1013</v>
      </c>
      <c r="AP22">
        <v>769</v>
      </c>
      <c r="AQ22">
        <v>366</v>
      </c>
      <c r="AR22">
        <v>236</v>
      </c>
      <c r="AS22">
        <v>353</v>
      </c>
      <c r="AT22">
        <v>3</v>
      </c>
      <c r="AV22" t="s">
        <v>423</v>
      </c>
      <c r="AW22">
        <v>118</v>
      </c>
      <c r="AX22">
        <v>48.296610169499999</v>
      </c>
      <c r="AY22">
        <v>214</v>
      </c>
      <c r="AZ22">
        <v>7</v>
      </c>
      <c r="BA22">
        <v>157</v>
      </c>
      <c r="BB22">
        <v>6</v>
      </c>
      <c r="BC22">
        <v>0</v>
      </c>
      <c r="BE22">
        <v>4</v>
      </c>
      <c r="BF22">
        <v>1</v>
      </c>
      <c r="BG22">
        <v>163</v>
      </c>
      <c r="BH22">
        <v>21</v>
      </c>
      <c r="BJ22" t="s">
        <v>391</v>
      </c>
      <c r="BK22" t="s">
        <v>391</v>
      </c>
      <c r="BL22">
        <v>50671</v>
      </c>
      <c r="BM22">
        <v>11388</v>
      </c>
      <c r="BN22">
        <v>92.347871563599995</v>
      </c>
      <c r="BO22">
        <v>69255</v>
      </c>
      <c r="BP22">
        <v>10485</v>
      </c>
      <c r="BQ22">
        <v>128.93419969679999</v>
      </c>
      <c r="BR22">
        <v>128.0279446829</v>
      </c>
      <c r="BS22">
        <v>38277</v>
      </c>
      <c r="BT22">
        <v>10331</v>
      </c>
      <c r="BU22">
        <v>100.6342712334</v>
      </c>
      <c r="BV22">
        <v>78165</v>
      </c>
      <c r="BW22">
        <v>11587</v>
      </c>
      <c r="BX22">
        <v>137.18600396599999</v>
      </c>
      <c r="BY22">
        <v>134.47881246220001</v>
      </c>
      <c r="CA22" t="s">
        <v>402</v>
      </c>
      <c r="CB22" t="s">
        <v>808</v>
      </c>
      <c r="CC22" t="s">
        <v>1009</v>
      </c>
      <c r="CD22">
        <v>4516</v>
      </c>
      <c r="CE22">
        <v>820</v>
      </c>
      <c r="CF22">
        <v>80.254650132899997</v>
      </c>
      <c r="CG22">
        <v>8117</v>
      </c>
      <c r="CH22">
        <v>1078</v>
      </c>
      <c r="CI22">
        <v>111.41037329060001</v>
      </c>
      <c r="CJ22">
        <v>109.9359925788</v>
      </c>
      <c r="CL22" t="s">
        <v>402</v>
      </c>
      <c r="CM22" t="s">
        <v>783</v>
      </c>
      <c r="CN22" t="s">
        <v>788</v>
      </c>
      <c r="CO22">
        <v>243</v>
      </c>
      <c r="CP22">
        <v>18</v>
      </c>
      <c r="CQ22">
        <v>65.271604938300001</v>
      </c>
      <c r="CR22">
        <v>804</v>
      </c>
      <c r="CS22">
        <v>104</v>
      </c>
      <c r="CT22">
        <v>60.8196517413</v>
      </c>
      <c r="CU22">
        <v>61.951923076900002</v>
      </c>
      <c r="CW22" t="s">
        <v>402</v>
      </c>
      <c r="CX22" t="s">
        <v>796</v>
      </c>
      <c r="CY22" t="s">
        <v>801</v>
      </c>
      <c r="CZ22">
        <v>66</v>
      </c>
      <c r="DA22">
        <v>19</v>
      </c>
      <c r="DB22">
        <v>95.636363636400006</v>
      </c>
      <c r="DC22">
        <v>69</v>
      </c>
      <c r="DD22">
        <v>11</v>
      </c>
      <c r="DE22">
        <v>133.72463768119999</v>
      </c>
      <c r="DF22">
        <v>145.0909090909</v>
      </c>
      <c r="DH22" t="s">
        <v>402</v>
      </c>
      <c r="DI22" t="s">
        <v>770</v>
      </c>
      <c r="DJ22" t="s">
        <v>775</v>
      </c>
      <c r="DK22">
        <v>36</v>
      </c>
      <c r="DL22">
        <v>7</v>
      </c>
      <c r="DM22">
        <v>83.916666666699996</v>
      </c>
      <c r="DN22">
        <v>39</v>
      </c>
      <c r="DO22">
        <v>5</v>
      </c>
      <c r="DP22">
        <v>128.71794871789999</v>
      </c>
      <c r="DQ22">
        <v>168</v>
      </c>
    </row>
    <row r="23" spans="2:121" x14ac:dyDescent="0.2">
      <c r="B23" t="s">
        <v>1060</v>
      </c>
      <c r="C23">
        <v>1234</v>
      </c>
      <c r="D23">
        <v>672</v>
      </c>
      <c r="F23" t="s">
        <v>43</v>
      </c>
      <c r="G23">
        <v>89</v>
      </c>
      <c r="H23">
        <v>84.303370786499997</v>
      </c>
      <c r="I23">
        <v>875</v>
      </c>
      <c r="J23">
        <v>146</v>
      </c>
      <c r="K23">
        <v>216</v>
      </c>
      <c r="L23">
        <v>16</v>
      </c>
      <c r="M23">
        <v>97</v>
      </c>
      <c r="N23">
        <v>39</v>
      </c>
      <c r="O23">
        <v>71</v>
      </c>
      <c r="P23">
        <v>39</v>
      </c>
      <c r="Q23">
        <v>0</v>
      </c>
      <c r="R23">
        <v>2</v>
      </c>
      <c r="AH23" t="s">
        <v>377</v>
      </c>
      <c r="AI23">
        <v>8305</v>
      </c>
      <c r="AJ23">
        <v>646.37134256469994</v>
      </c>
      <c r="AK23">
        <v>5667</v>
      </c>
      <c r="AL23">
        <v>1475</v>
      </c>
      <c r="AM23">
        <v>11316</v>
      </c>
      <c r="AN23">
        <v>8403</v>
      </c>
      <c r="AO23">
        <v>2975</v>
      </c>
      <c r="AP23">
        <v>2292</v>
      </c>
      <c r="AQ23">
        <v>2999</v>
      </c>
      <c r="AR23">
        <v>1932</v>
      </c>
      <c r="AS23">
        <v>414</v>
      </c>
      <c r="AT23">
        <v>6</v>
      </c>
      <c r="AV23" t="s">
        <v>408</v>
      </c>
      <c r="AW23">
        <v>940</v>
      </c>
      <c r="AX23">
        <v>49.579787234000001</v>
      </c>
      <c r="AY23">
        <v>1648</v>
      </c>
      <c r="AZ23">
        <v>92</v>
      </c>
      <c r="BA23">
        <v>1253</v>
      </c>
      <c r="BB23">
        <v>56</v>
      </c>
      <c r="BC23">
        <v>13</v>
      </c>
      <c r="BD23">
        <v>6</v>
      </c>
      <c r="BE23">
        <v>81</v>
      </c>
      <c r="BF23">
        <v>40</v>
      </c>
      <c r="BG23">
        <v>1281</v>
      </c>
      <c r="BH23">
        <v>271</v>
      </c>
      <c r="BJ23" t="s">
        <v>572</v>
      </c>
      <c r="BK23" t="s">
        <v>391</v>
      </c>
      <c r="BL23">
        <v>3997</v>
      </c>
      <c r="BM23">
        <v>781</v>
      </c>
      <c r="BN23">
        <v>83.084563422599999</v>
      </c>
      <c r="BO23">
        <v>5439</v>
      </c>
      <c r="BP23">
        <v>945</v>
      </c>
      <c r="BQ23">
        <v>122.8369185512</v>
      </c>
      <c r="BR23">
        <v>125.8285714286</v>
      </c>
      <c r="BS23">
        <v>4184</v>
      </c>
      <c r="BT23">
        <v>973</v>
      </c>
      <c r="BU23">
        <v>93.303776290599998</v>
      </c>
      <c r="BV23">
        <v>6448</v>
      </c>
      <c r="BW23">
        <v>1023</v>
      </c>
      <c r="BX23">
        <v>142.78644540939999</v>
      </c>
      <c r="BY23">
        <v>138.76637341150001</v>
      </c>
      <c r="CA23" t="s">
        <v>398</v>
      </c>
      <c r="CB23" t="s">
        <v>808</v>
      </c>
      <c r="CC23" t="s">
        <v>1010</v>
      </c>
      <c r="CD23">
        <v>5788</v>
      </c>
      <c r="CE23">
        <v>1224</v>
      </c>
      <c r="CF23">
        <v>87.703351762300002</v>
      </c>
      <c r="CG23">
        <v>7927</v>
      </c>
      <c r="CH23">
        <v>1195</v>
      </c>
      <c r="CI23">
        <v>117.30061814050001</v>
      </c>
      <c r="CJ23">
        <v>117.3188284519</v>
      </c>
      <c r="CL23" t="s">
        <v>398</v>
      </c>
      <c r="CM23" t="s">
        <v>783</v>
      </c>
      <c r="CN23" t="s">
        <v>789</v>
      </c>
      <c r="CO23">
        <v>532</v>
      </c>
      <c r="CP23">
        <v>79</v>
      </c>
      <c r="CQ23">
        <v>70.176691729300003</v>
      </c>
      <c r="CR23">
        <v>1357</v>
      </c>
      <c r="CS23">
        <v>187</v>
      </c>
      <c r="CT23">
        <v>70.876197494500005</v>
      </c>
      <c r="CU23">
        <v>71.508021390400003</v>
      </c>
      <c r="CW23" t="s">
        <v>398</v>
      </c>
      <c r="CX23" t="s">
        <v>796</v>
      </c>
      <c r="CY23" t="s">
        <v>802</v>
      </c>
      <c r="CZ23">
        <v>190</v>
      </c>
      <c r="DA23">
        <v>36</v>
      </c>
      <c r="DB23">
        <v>78.547368421100003</v>
      </c>
      <c r="DC23">
        <v>167</v>
      </c>
      <c r="DD23">
        <v>28</v>
      </c>
      <c r="DE23">
        <v>135.8622754491</v>
      </c>
      <c r="DF23">
        <v>144.17857142860001</v>
      </c>
      <c r="DH23" t="s">
        <v>398</v>
      </c>
      <c r="DI23" t="s">
        <v>770</v>
      </c>
      <c r="DJ23" t="s">
        <v>776</v>
      </c>
      <c r="DK23">
        <v>155</v>
      </c>
      <c r="DL23">
        <v>31</v>
      </c>
      <c r="DM23">
        <v>78.070967741900006</v>
      </c>
      <c r="DN23">
        <v>155</v>
      </c>
      <c r="DO23">
        <v>26</v>
      </c>
      <c r="DP23">
        <v>137.8322580645</v>
      </c>
      <c r="DQ23">
        <v>134.11538461539999</v>
      </c>
    </row>
    <row r="24" spans="2:121" x14ac:dyDescent="0.2">
      <c r="B24" t="s">
        <v>110</v>
      </c>
      <c r="C24">
        <v>1462</v>
      </c>
      <c r="D24">
        <v>461</v>
      </c>
      <c r="F24" t="s">
        <v>79</v>
      </c>
      <c r="G24">
        <v>11556</v>
      </c>
      <c r="H24">
        <v>352.25095188649999</v>
      </c>
      <c r="I24">
        <v>17740</v>
      </c>
      <c r="J24">
        <v>3667</v>
      </c>
      <c r="K24">
        <v>13772</v>
      </c>
      <c r="L24">
        <v>8901</v>
      </c>
      <c r="M24">
        <v>3479</v>
      </c>
      <c r="N24">
        <v>2207</v>
      </c>
      <c r="O24">
        <v>5923</v>
      </c>
      <c r="P24">
        <v>1931</v>
      </c>
      <c r="Q24">
        <v>2</v>
      </c>
      <c r="R24">
        <v>214</v>
      </c>
      <c r="T24" t="s">
        <v>648</v>
      </c>
      <c r="U24" t="s">
        <v>306</v>
      </c>
      <c r="V24" t="s">
        <v>133</v>
      </c>
      <c r="W24" t="s">
        <v>214</v>
      </c>
      <c r="X24" t="s">
        <v>215</v>
      </c>
      <c r="Y24" t="s">
        <v>216</v>
      </c>
      <c r="Z24" t="s">
        <v>217</v>
      </c>
      <c r="AA24" t="s">
        <v>218</v>
      </c>
      <c r="AB24" t="s">
        <v>219</v>
      </c>
      <c r="AC24" t="s">
        <v>220</v>
      </c>
      <c r="AD24" t="s">
        <v>221</v>
      </c>
      <c r="AE24" t="s">
        <v>222</v>
      </c>
      <c r="AF24" t="s">
        <v>223</v>
      </c>
      <c r="AH24" t="s">
        <v>372</v>
      </c>
      <c r="AI24">
        <v>4532</v>
      </c>
      <c r="AJ24">
        <v>566.81707855249999</v>
      </c>
      <c r="AK24">
        <v>4502</v>
      </c>
      <c r="AL24">
        <v>1142</v>
      </c>
      <c r="AM24">
        <v>6621</v>
      </c>
      <c r="AN24">
        <v>5075</v>
      </c>
      <c r="AO24">
        <v>3026</v>
      </c>
      <c r="AP24">
        <v>2360</v>
      </c>
      <c r="AQ24">
        <v>1421</v>
      </c>
      <c r="AR24">
        <v>1024</v>
      </c>
      <c r="AS24">
        <v>743</v>
      </c>
      <c r="AT24">
        <v>10</v>
      </c>
      <c r="AV24" t="s">
        <v>80</v>
      </c>
      <c r="AW24">
        <v>182</v>
      </c>
      <c r="AX24">
        <v>50.038461538500002</v>
      </c>
      <c r="AY24">
        <v>429</v>
      </c>
      <c r="AZ24">
        <v>20</v>
      </c>
      <c r="BA24">
        <v>297</v>
      </c>
      <c r="BB24">
        <v>37</v>
      </c>
      <c r="BC24">
        <v>1</v>
      </c>
      <c r="BE24">
        <v>21</v>
      </c>
      <c r="BF24">
        <v>9</v>
      </c>
      <c r="BG24">
        <v>412</v>
      </c>
      <c r="BH24">
        <v>65</v>
      </c>
      <c r="BJ24" t="s">
        <v>636</v>
      </c>
      <c r="BK24" t="s">
        <v>391</v>
      </c>
      <c r="BL24">
        <v>921</v>
      </c>
      <c r="BM24">
        <v>158</v>
      </c>
      <c r="BN24">
        <v>76.890336590700002</v>
      </c>
      <c r="BO24">
        <v>1218</v>
      </c>
      <c r="BP24">
        <v>126</v>
      </c>
      <c r="BQ24">
        <v>106.7988505747</v>
      </c>
      <c r="BR24">
        <v>111.45238095240001</v>
      </c>
      <c r="BS24">
        <v>1650</v>
      </c>
      <c r="BT24">
        <v>419</v>
      </c>
      <c r="BU24">
        <v>102.0927272727</v>
      </c>
      <c r="BV24">
        <v>2188</v>
      </c>
      <c r="BW24">
        <v>262</v>
      </c>
      <c r="BX24">
        <v>142.3628884826</v>
      </c>
      <c r="BY24">
        <v>181.43893129770001</v>
      </c>
      <c r="CA24" t="s">
        <v>401</v>
      </c>
      <c r="CB24" t="s">
        <v>808</v>
      </c>
      <c r="CC24" t="s">
        <v>1011</v>
      </c>
      <c r="CD24">
        <v>2141</v>
      </c>
      <c r="CE24">
        <v>267</v>
      </c>
      <c r="CF24">
        <v>79.159271368500001</v>
      </c>
      <c r="CG24">
        <v>2602</v>
      </c>
      <c r="CH24">
        <v>459</v>
      </c>
      <c r="CI24">
        <v>117.2056110684</v>
      </c>
      <c r="CJ24">
        <v>114.1459694989</v>
      </c>
      <c r="CL24" t="s">
        <v>401</v>
      </c>
      <c r="CM24" t="s">
        <v>783</v>
      </c>
      <c r="CN24" t="s">
        <v>790</v>
      </c>
      <c r="CO24">
        <v>100</v>
      </c>
      <c r="CP24">
        <v>16</v>
      </c>
      <c r="CQ24">
        <v>73.86</v>
      </c>
      <c r="CR24">
        <v>235</v>
      </c>
      <c r="CS24">
        <v>41</v>
      </c>
      <c r="CT24">
        <v>66.787234042600005</v>
      </c>
      <c r="CU24">
        <v>92.414634146300003</v>
      </c>
      <c r="CW24" t="s">
        <v>401</v>
      </c>
      <c r="CX24" t="s">
        <v>796</v>
      </c>
      <c r="CY24" t="s">
        <v>803</v>
      </c>
      <c r="CZ24">
        <v>58</v>
      </c>
      <c r="DA24">
        <v>16</v>
      </c>
      <c r="DB24">
        <v>95.793103448300002</v>
      </c>
      <c r="DC24">
        <v>30</v>
      </c>
      <c r="DD24">
        <v>4</v>
      </c>
      <c r="DE24">
        <v>118.96666666669999</v>
      </c>
      <c r="DF24">
        <v>144</v>
      </c>
      <c r="DH24" t="s">
        <v>401</v>
      </c>
      <c r="DI24" t="s">
        <v>770</v>
      </c>
      <c r="DJ24" t="s">
        <v>777</v>
      </c>
      <c r="DK24">
        <v>94</v>
      </c>
      <c r="DL24">
        <v>24</v>
      </c>
      <c r="DM24">
        <v>85.787234042600005</v>
      </c>
      <c r="DN24">
        <v>67</v>
      </c>
      <c r="DO24">
        <v>11</v>
      </c>
      <c r="DP24">
        <v>113.9850746269</v>
      </c>
      <c r="DQ24">
        <v>141.54545454550001</v>
      </c>
    </row>
    <row r="25" spans="2:121" x14ac:dyDescent="0.2">
      <c r="B25" t="s">
        <v>104</v>
      </c>
      <c r="C25">
        <v>37125</v>
      </c>
      <c r="D25">
        <v>10805</v>
      </c>
      <c r="F25" t="s">
        <v>39</v>
      </c>
      <c r="G25">
        <v>9859</v>
      </c>
      <c r="H25">
        <v>288.0357034182</v>
      </c>
      <c r="I25">
        <v>8805</v>
      </c>
      <c r="J25">
        <v>2436</v>
      </c>
      <c r="K25">
        <v>16139</v>
      </c>
      <c r="L25">
        <v>10712</v>
      </c>
      <c r="M25">
        <v>2948</v>
      </c>
      <c r="N25">
        <v>1895</v>
      </c>
      <c r="O25">
        <v>1342</v>
      </c>
      <c r="P25">
        <v>518</v>
      </c>
      <c r="Q25">
        <v>0</v>
      </c>
      <c r="R25">
        <v>55</v>
      </c>
      <c r="T25" t="s">
        <v>386</v>
      </c>
      <c r="U25">
        <v>57173</v>
      </c>
      <c r="V25">
        <v>383.09376803740003</v>
      </c>
      <c r="W25">
        <v>66405</v>
      </c>
      <c r="X25">
        <v>15227</v>
      </c>
      <c r="Y25">
        <v>79981</v>
      </c>
      <c r="Z25">
        <v>53103</v>
      </c>
      <c r="AA25">
        <v>19132</v>
      </c>
      <c r="AB25">
        <v>12083</v>
      </c>
      <c r="AC25">
        <v>26833</v>
      </c>
      <c r="AD25">
        <v>15209</v>
      </c>
      <c r="AE25">
        <v>937</v>
      </c>
      <c r="AF25">
        <v>1063</v>
      </c>
      <c r="AH25" t="s">
        <v>396</v>
      </c>
      <c r="AI25">
        <v>3636</v>
      </c>
      <c r="AJ25">
        <v>308.40814081410002</v>
      </c>
      <c r="AK25">
        <v>7390</v>
      </c>
      <c r="AL25">
        <v>1849</v>
      </c>
      <c r="AM25">
        <v>6734</v>
      </c>
      <c r="AN25">
        <v>4294</v>
      </c>
      <c r="AO25">
        <v>1391</v>
      </c>
      <c r="AP25">
        <v>1033</v>
      </c>
      <c r="AQ25">
        <v>2090</v>
      </c>
      <c r="AR25">
        <v>1154</v>
      </c>
      <c r="AS25">
        <v>690</v>
      </c>
      <c r="AT25">
        <v>194</v>
      </c>
      <c r="AV25" t="s">
        <v>398</v>
      </c>
      <c r="AW25">
        <v>576</v>
      </c>
      <c r="AX25">
        <v>44.194444444399998</v>
      </c>
      <c r="AY25">
        <v>674</v>
      </c>
      <c r="AZ25">
        <v>88</v>
      </c>
      <c r="BA25">
        <v>789</v>
      </c>
      <c r="BB25">
        <v>37</v>
      </c>
      <c r="BC25">
        <v>3</v>
      </c>
      <c r="BD25">
        <v>1</v>
      </c>
      <c r="BE25">
        <v>34</v>
      </c>
      <c r="BF25">
        <v>11</v>
      </c>
      <c r="BG25">
        <v>116</v>
      </c>
      <c r="BH25">
        <v>50</v>
      </c>
      <c r="BJ25" t="s">
        <v>575</v>
      </c>
      <c r="BK25" t="s">
        <v>391</v>
      </c>
      <c r="BL25">
        <v>5692</v>
      </c>
      <c r="BM25">
        <v>1236</v>
      </c>
      <c r="BN25">
        <v>88.143886155999994</v>
      </c>
      <c r="BO25">
        <v>7345</v>
      </c>
      <c r="BP25">
        <v>1091</v>
      </c>
      <c r="BQ25">
        <v>119.0970728387</v>
      </c>
      <c r="BR25">
        <v>122.03758020159999</v>
      </c>
      <c r="BS25">
        <v>5833</v>
      </c>
      <c r="BT25">
        <v>1397</v>
      </c>
      <c r="BU25">
        <v>92.2564717984</v>
      </c>
      <c r="BV25">
        <v>8507</v>
      </c>
      <c r="BW25">
        <v>1275</v>
      </c>
      <c r="BX25">
        <v>124.52956388859999</v>
      </c>
      <c r="BY25">
        <v>136.5662745098</v>
      </c>
      <c r="CA25" t="s">
        <v>420</v>
      </c>
      <c r="CB25" t="s">
        <v>808</v>
      </c>
      <c r="CC25" t="s">
        <v>1012</v>
      </c>
      <c r="CD25">
        <v>674</v>
      </c>
      <c r="CE25">
        <v>103</v>
      </c>
      <c r="CF25">
        <v>77.043026706199996</v>
      </c>
      <c r="CG25">
        <v>975</v>
      </c>
      <c r="CH25">
        <v>120</v>
      </c>
      <c r="CI25">
        <v>99.913846153799994</v>
      </c>
      <c r="CJ25">
        <v>111.65</v>
      </c>
      <c r="CL25" t="s">
        <v>420</v>
      </c>
      <c r="CM25" t="s">
        <v>783</v>
      </c>
      <c r="CN25" t="s">
        <v>791</v>
      </c>
      <c r="CO25">
        <v>39</v>
      </c>
      <c r="CP25">
        <v>2</v>
      </c>
      <c r="CQ25">
        <v>53.717948717900001</v>
      </c>
      <c r="CR25">
        <v>102</v>
      </c>
      <c r="CS25">
        <v>12</v>
      </c>
      <c r="CT25">
        <v>59.147058823499997</v>
      </c>
      <c r="CU25">
        <v>51.416666666700003</v>
      </c>
      <c r="CW25" t="s">
        <v>420</v>
      </c>
      <c r="CX25" t="s">
        <v>796</v>
      </c>
      <c r="CY25" t="s">
        <v>804</v>
      </c>
      <c r="CZ25">
        <v>13</v>
      </c>
      <c r="DA25">
        <v>4</v>
      </c>
      <c r="DB25">
        <v>84.769230769200007</v>
      </c>
      <c r="DC25">
        <v>19</v>
      </c>
      <c r="DD25">
        <v>1</v>
      </c>
      <c r="DE25">
        <v>102.8421052632</v>
      </c>
      <c r="DF25">
        <v>187</v>
      </c>
      <c r="DH25" t="s">
        <v>420</v>
      </c>
      <c r="DI25" t="s">
        <v>770</v>
      </c>
      <c r="DJ25" t="s">
        <v>778</v>
      </c>
      <c r="DK25">
        <v>8</v>
      </c>
      <c r="DL25">
        <v>2</v>
      </c>
      <c r="DM25">
        <v>84.25</v>
      </c>
      <c r="DN25">
        <v>4</v>
      </c>
      <c r="DO25">
        <v>0</v>
      </c>
      <c r="DP25">
        <v>122</v>
      </c>
      <c r="DQ25">
        <v>0</v>
      </c>
    </row>
    <row r="26" spans="2:121" x14ac:dyDescent="0.2">
      <c r="B26" t="s">
        <v>103</v>
      </c>
      <c r="C26">
        <v>42</v>
      </c>
      <c r="D26">
        <v>33</v>
      </c>
      <c r="F26" t="s">
        <v>35</v>
      </c>
      <c r="G26">
        <v>4305</v>
      </c>
      <c r="H26">
        <v>612.10917537750004</v>
      </c>
      <c r="I26">
        <v>3558</v>
      </c>
      <c r="J26">
        <v>901</v>
      </c>
      <c r="K26">
        <v>5733</v>
      </c>
      <c r="L26">
        <v>4479</v>
      </c>
      <c r="M26">
        <v>2716</v>
      </c>
      <c r="N26">
        <v>2103</v>
      </c>
      <c r="O26">
        <v>791</v>
      </c>
      <c r="P26">
        <v>644</v>
      </c>
      <c r="Q26">
        <v>0</v>
      </c>
      <c r="R26">
        <v>1</v>
      </c>
      <c r="T26" t="s">
        <v>391</v>
      </c>
      <c r="U26">
        <v>39290</v>
      </c>
      <c r="V26">
        <v>385.86164418430002</v>
      </c>
      <c r="W26">
        <v>50569</v>
      </c>
      <c r="X26">
        <v>11667</v>
      </c>
      <c r="Y26">
        <v>61698</v>
      </c>
      <c r="Z26">
        <v>37803</v>
      </c>
      <c r="AA26">
        <v>13776</v>
      </c>
      <c r="AB26">
        <v>9297</v>
      </c>
      <c r="AC26">
        <v>23707</v>
      </c>
      <c r="AD26">
        <v>15393</v>
      </c>
      <c r="AE26">
        <v>3993</v>
      </c>
      <c r="AF26">
        <v>1052</v>
      </c>
      <c r="AH26" t="s">
        <v>402</v>
      </c>
      <c r="AI26">
        <v>1590</v>
      </c>
      <c r="AJ26">
        <v>190.21446540880001</v>
      </c>
      <c r="AK26">
        <v>4459</v>
      </c>
      <c r="AL26">
        <v>846</v>
      </c>
      <c r="AM26">
        <v>2903</v>
      </c>
      <c r="AN26">
        <v>1226</v>
      </c>
      <c r="AO26">
        <v>683</v>
      </c>
      <c r="AP26">
        <v>253</v>
      </c>
      <c r="AQ26">
        <v>1184</v>
      </c>
      <c r="AR26">
        <v>745</v>
      </c>
      <c r="AS26">
        <v>5</v>
      </c>
      <c r="AT26">
        <v>6</v>
      </c>
      <c r="AV26" t="s">
        <v>404</v>
      </c>
      <c r="AW26">
        <v>140</v>
      </c>
      <c r="AX26">
        <v>47.9928571429</v>
      </c>
      <c r="AY26">
        <v>224</v>
      </c>
      <c r="AZ26">
        <v>14</v>
      </c>
      <c r="BA26">
        <v>196</v>
      </c>
      <c r="BB26">
        <v>8</v>
      </c>
      <c r="BC26">
        <v>1</v>
      </c>
      <c r="BD26">
        <v>1</v>
      </c>
      <c r="BE26">
        <v>12</v>
      </c>
      <c r="BF26">
        <v>8</v>
      </c>
      <c r="BG26">
        <v>323</v>
      </c>
      <c r="BH26">
        <v>40</v>
      </c>
      <c r="BJ26" t="s">
        <v>581</v>
      </c>
      <c r="BK26" t="s">
        <v>391</v>
      </c>
      <c r="BL26">
        <v>6403</v>
      </c>
      <c r="BM26">
        <v>1233</v>
      </c>
      <c r="BN26">
        <v>84.119162892399999</v>
      </c>
      <c r="BO26">
        <v>10380</v>
      </c>
      <c r="BP26">
        <v>1467</v>
      </c>
      <c r="BQ26">
        <v>118.5472061657</v>
      </c>
      <c r="BR26">
        <v>113.10702113160001</v>
      </c>
      <c r="BS26">
        <v>1164</v>
      </c>
      <c r="BT26">
        <v>510</v>
      </c>
      <c r="BU26">
        <v>118.8049828179</v>
      </c>
      <c r="BV26">
        <v>12117</v>
      </c>
      <c r="BW26">
        <v>1826</v>
      </c>
      <c r="BX26">
        <v>133.40744408680001</v>
      </c>
      <c r="BY26">
        <v>120.3450164294</v>
      </c>
      <c r="CA26" t="s">
        <v>392</v>
      </c>
      <c r="CB26" t="s">
        <v>808</v>
      </c>
      <c r="CC26" t="s">
        <v>1013</v>
      </c>
      <c r="CD26">
        <v>7720</v>
      </c>
      <c r="CE26">
        <v>2042</v>
      </c>
      <c r="CF26">
        <v>105.2946891192</v>
      </c>
      <c r="CG26">
        <v>11754</v>
      </c>
      <c r="CH26">
        <v>1888</v>
      </c>
      <c r="CI26">
        <v>128.8868470308</v>
      </c>
      <c r="CJ26">
        <v>130.52542372880001</v>
      </c>
      <c r="CL26" t="s">
        <v>392</v>
      </c>
      <c r="CM26" t="s">
        <v>783</v>
      </c>
      <c r="CN26" t="s">
        <v>792</v>
      </c>
      <c r="CO26">
        <v>851</v>
      </c>
      <c r="CP26">
        <v>117</v>
      </c>
      <c r="CQ26">
        <v>72.406580493500002</v>
      </c>
      <c r="CR26">
        <v>2265</v>
      </c>
      <c r="CS26">
        <v>317</v>
      </c>
      <c r="CT26">
        <v>71.366004415000006</v>
      </c>
      <c r="CU26">
        <v>82.315457413199994</v>
      </c>
      <c r="CW26" t="s">
        <v>392</v>
      </c>
      <c r="CX26" t="s">
        <v>796</v>
      </c>
      <c r="CY26" t="s">
        <v>805</v>
      </c>
      <c r="CZ26">
        <v>264</v>
      </c>
      <c r="DA26">
        <v>82</v>
      </c>
      <c r="DB26">
        <v>96.257575757599994</v>
      </c>
      <c r="DC26">
        <v>198</v>
      </c>
      <c r="DD26">
        <v>37</v>
      </c>
      <c r="DE26">
        <v>144.1111111111</v>
      </c>
      <c r="DF26">
        <v>154.8918918919</v>
      </c>
      <c r="DH26" t="s">
        <v>392</v>
      </c>
      <c r="DI26" t="s">
        <v>770</v>
      </c>
      <c r="DJ26" t="s">
        <v>779</v>
      </c>
      <c r="DK26">
        <v>143</v>
      </c>
      <c r="DL26">
        <v>39</v>
      </c>
      <c r="DM26">
        <v>90.874125874100002</v>
      </c>
      <c r="DN26">
        <v>160</v>
      </c>
      <c r="DO26">
        <v>26</v>
      </c>
      <c r="DP26">
        <v>136.78749999999999</v>
      </c>
      <c r="DQ26">
        <v>152</v>
      </c>
    </row>
    <row r="27" spans="2:121" x14ac:dyDescent="0.2">
      <c r="B27" t="s">
        <v>88</v>
      </c>
      <c r="C27">
        <v>77901</v>
      </c>
      <c r="D27">
        <v>20920</v>
      </c>
      <c r="F27" t="s">
        <v>55</v>
      </c>
      <c r="G27">
        <v>753</v>
      </c>
      <c r="H27">
        <v>184.24966799469999</v>
      </c>
      <c r="I27">
        <v>834</v>
      </c>
      <c r="J27">
        <v>229</v>
      </c>
      <c r="K27">
        <v>893</v>
      </c>
      <c r="L27">
        <v>526</v>
      </c>
      <c r="M27">
        <v>266</v>
      </c>
      <c r="N27">
        <v>102</v>
      </c>
      <c r="O27">
        <v>902</v>
      </c>
      <c r="P27">
        <v>551</v>
      </c>
      <c r="Q27">
        <v>409</v>
      </c>
      <c r="R27">
        <v>153</v>
      </c>
      <c r="T27" t="s">
        <v>370</v>
      </c>
      <c r="U27">
        <v>69986</v>
      </c>
      <c r="V27">
        <v>414.6703197782</v>
      </c>
      <c r="W27">
        <v>70445</v>
      </c>
      <c r="X27">
        <v>18394</v>
      </c>
      <c r="Y27">
        <v>100439</v>
      </c>
      <c r="Z27">
        <v>68856</v>
      </c>
      <c r="AA27">
        <v>34677</v>
      </c>
      <c r="AB27">
        <v>24392</v>
      </c>
      <c r="AC27">
        <v>35085</v>
      </c>
      <c r="AD27">
        <v>23476</v>
      </c>
      <c r="AE27">
        <v>8456</v>
      </c>
      <c r="AF27">
        <v>138</v>
      </c>
      <c r="AH27" t="s">
        <v>390</v>
      </c>
      <c r="AI27">
        <v>4433</v>
      </c>
      <c r="AJ27">
        <v>410.89781186559998</v>
      </c>
      <c r="AK27">
        <v>4394</v>
      </c>
      <c r="AL27">
        <v>1396</v>
      </c>
      <c r="AM27">
        <v>6627</v>
      </c>
      <c r="AN27">
        <v>4856</v>
      </c>
      <c r="AO27">
        <v>1412</v>
      </c>
      <c r="AP27">
        <v>961</v>
      </c>
      <c r="AQ27">
        <v>2604</v>
      </c>
      <c r="AR27">
        <v>1941</v>
      </c>
      <c r="AS27">
        <v>302</v>
      </c>
      <c r="AT27">
        <v>157</v>
      </c>
      <c r="AV27" t="s">
        <v>375</v>
      </c>
      <c r="AW27">
        <v>486</v>
      </c>
      <c r="AX27">
        <v>99.343621399200003</v>
      </c>
      <c r="AY27">
        <v>798</v>
      </c>
      <c r="AZ27">
        <v>190</v>
      </c>
      <c r="BA27">
        <v>609</v>
      </c>
      <c r="BB27">
        <v>226</v>
      </c>
      <c r="BC27">
        <v>3</v>
      </c>
      <c r="BD27">
        <v>3</v>
      </c>
      <c r="BE27">
        <v>40</v>
      </c>
      <c r="BF27">
        <v>11</v>
      </c>
      <c r="BG27">
        <v>53</v>
      </c>
      <c r="BH27">
        <v>199</v>
      </c>
      <c r="BJ27" t="s">
        <v>640</v>
      </c>
      <c r="BK27" t="s">
        <v>391</v>
      </c>
      <c r="BL27">
        <v>2286</v>
      </c>
      <c r="BM27">
        <v>418</v>
      </c>
      <c r="BN27">
        <v>83.0704286964</v>
      </c>
      <c r="BO27">
        <v>3670</v>
      </c>
      <c r="BP27">
        <v>567</v>
      </c>
      <c r="BQ27">
        <v>135.07656675749999</v>
      </c>
      <c r="BR27">
        <v>118.8289241623</v>
      </c>
      <c r="BS27">
        <v>1800</v>
      </c>
      <c r="BT27">
        <v>249</v>
      </c>
      <c r="BU27">
        <v>72.903333333299997</v>
      </c>
      <c r="BV27">
        <v>2651</v>
      </c>
      <c r="BW27">
        <v>402</v>
      </c>
      <c r="BX27">
        <v>145.40927951719999</v>
      </c>
      <c r="BY27">
        <v>117.4104477612</v>
      </c>
      <c r="CA27" t="s">
        <v>421</v>
      </c>
      <c r="CB27" t="s">
        <v>808</v>
      </c>
      <c r="CC27" t="s">
        <v>1014</v>
      </c>
      <c r="CD27">
        <v>944</v>
      </c>
      <c r="CE27">
        <v>166</v>
      </c>
      <c r="CF27">
        <v>77.606991525400005</v>
      </c>
      <c r="CG27">
        <v>1316</v>
      </c>
      <c r="CH27">
        <v>137</v>
      </c>
      <c r="CI27">
        <v>109.15197568390001</v>
      </c>
      <c r="CJ27">
        <v>107.72992700730001</v>
      </c>
      <c r="CL27" t="s">
        <v>421</v>
      </c>
      <c r="CM27" t="s">
        <v>783</v>
      </c>
      <c r="CN27" t="s">
        <v>793</v>
      </c>
      <c r="CO27">
        <v>48</v>
      </c>
      <c r="CP27">
        <v>1</v>
      </c>
      <c r="CQ27">
        <v>53.458333333299997</v>
      </c>
      <c r="CR27">
        <v>165</v>
      </c>
      <c r="CS27">
        <v>28</v>
      </c>
      <c r="CT27">
        <v>65.939393939400006</v>
      </c>
      <c r="CU27">
        <v>68.25</v>
      </c>
      <c r="CW27" t="s">
        <v>421</v>
      </c>
      <c r="CX27" t="s">
        <v>796</v>
      </c>
      <c r="CY27" t="s">
        <v>806</v>
      </c>
      <c r="CZ27">
        <v>16</v>
      </c>
      <c r="DA27">
        <v>4</v>
      </c>
      <c r="DB27">
        <v>86.5625</v>
      </c>
      <c r="DC27">
        <v>12</v>
      </c>
      <c r="DD27">
        <v>3</v>
      </c>
      <c r="DE27">
        <v>159.0833333333</v>
      </c>
      <c r="DF27">
        <v>124.6666666667</v>
      </c>
      <c r="DH27" t="s">
        <v>421</v>
      </c>
      <c r="DI27" t="s">
        <v>770</v>
      </c>
      <c r="DJ27" t="s">
        <v>780</v>
      </c>
      <c r="DK27">
        <v>5</v>
      </c>
      <c r="DL27">
        <v>1</v>
      </c>
      <c r="DM27">
        <v>69.400000000000006</v>
      </c>
      <c r="DN27">
        <v>15</v>
      </c>
      <c r="DO27">
        <v>1</v>
      </c>
      <c r="DP27">
        <v>158.6666666667</v>
      </c>
      <c r="DQ27">
        <v>156</v>
      </c>
    </row>
    <row r="28" spans="2:121" x14ac:dyDescent="0.2">
      <c r="B28" t="s">
        <v>106</v>
      </c>
      <c r="C28">
        <v>59217</v>
      </c>
      <c r="D28">
        <v>32149</v>
      </c>
      <c r="F28" t="s">
        <v>69</v>
      </c>
      <c r="G28">
        <v>14676</v>
      </c>
      <c r="H28">
        <v>422.095802671</v>
      </c>
      <c r="I28">
        <v>11451</v>
      </c>
      <c r="J28">
        <v>3144</v>
      </c>
      <c r="K28">
        <v>17216</v>
      </c>
      <c r="L28">
        <v>11633</v>
      </c>
      <c r="M28">
        <v>7446</v>
      </c>
      <c r="N28">
        <v>5624</v>
      </c>
      <c r="O28">
        <v>4459</v>
      </c>
      <c r="P28">
        <v>3813</v>
      </c>
      <c r="Q28">
        <v>5</v>
      </c>
      <c r="R28">
        <v>4</v>
      </c>
      <c r="T28" t="s">
        <v>8</v>
      </c>
      <c r="U28">
        <v>4022</v>
      </c>
      <c r="V28">
        <v>385.56887120840003</v>
      </c>
      <c r="W28">
        <v>4183</v>
      </c>
      <c r="X28">
        <v>1828</v>
      </c>
      <c r="Y28">
        <v>5526</v>
      </c>
      <c r="Z28">
        <v>3989</v>
      </c>
      <c r="AA28">
        <v>1479</v>
      </c>
      <c r="AB28">
        <v>852</v>
      </c>
      <c r="AC28">
        <v>1785</v>
      </c>
      <c r="AD28">
        <v>1136</v>
      </c>
      <c r="AE28">
        <v>454</v>
      </c>
      <c r="AF28">
        <v>148</v>
      </c>
      <c r="AH28" t="s">
        <v>398</v>
      </c>
      <c r="AI28">
        <v>5179</v>
      </c>
      <c r="AJ28">
        <v>273.47460899790002</v>
      </c>
      <c r="AK28">
        <v>6129</v>
      </c>
      <c r="AL28">
        <v>1302</v>
      </c>
      <c r="AM28">
        <v>7488</v>
      </c>
      <c r="AN28">
        <v>4270</v>
      </c>
      <c r="AO28">
        <v>2314</v>
      </c>
      <c r="AP28">
        <v>1743</v>
      </c>
      <c r="AQ28">
        <v>7359</v>
      </c>
      <c r="AR28">
        <v>5425</v>
      </c>
      <c r="AS28">
        <v>728</v>
      </c>
      <c r="AT28">
        <v>75</v>
      </c>
      <c r="AV28" t="s">
        <v>382</v>
      </c>
      <c r="AW28">
        <v>1447</v>
      </c>
      <c r="AX28">
        <v>100.5100207326</v>
      </c>
      <c r="AY28">
        <v>1808</v>
      </c>
      <c r="AZ28">
        <v>430</v>
      </c>
      <c r="BA28">
        <v>1794</v>
      </c>
      <c r="BB28">
        <v>615</v>
      </c>
      <c r="BC28">
        <v>11</v>
      </c>
      <c r="BD28">
        <v>10</v>
      </c>
      <c r="BE28">
        <v>111</v>
      </c>
      <c r="BF28">
        <v>38</v>
      </c>
      <c r="BG28">
        <v>157</v>
      </c>
      <c r="BH28">
        <v>511</v>
      </c>
      <c r="BJ28" t="s">
        <v>534</v>
      </c>
      <c r="BK28" t="s">
        <v>370</v>
      </c>
      <c r="BL28">
        <v>4432</v>
      </c>
      <c r="BM28">
        <v>1115</v>
      </c>
      <c r="BN28">
        <v>102.2249548736</v>
      </c>
      <c r="BO28">
        <v>5626</v>
      </c>
      <c r="BP28">
        <v>729</v>
      </c>
      <c r="BQ28">
        <v>145.9235691433</v>
      </c>
      <c r="BR28">
        <v>147.18655692729999</v>
      </c>
      <c r="BS28">
        <v>2273</v>
      </c>
      <c r="BT28">
        <v>688</v>
      </c>
      <c r="BU28">
        <v>96.629124505099995</v>
      </c>
      <c r="BV28">
        <v>3616</v>
      </c>
      <c r="BW28">
        <v>499</v>
      </c>
      <c r="BX28">
        <v>133.67339601769999</v>
      </c>
      <c r="BY28">
        <v>141.2384769539</v>
      </c>
      <c r="CA28" t="s">
        <v>397</v>
      </c>
      <c r="CB28" t="s">
        <v>808</v>
      </c>
      <c r="CC28" t="s">
        <v>1015</v>
      </c>
      <c r="CD28">
        <v>3656</v>
      </c>
      <c r="CE28">
        <v>728</v>
      </c>
      <c r="CF28">
        <v>84.921225382900005</v>
      </c>
      <c r="CG28">
        <v>5277</v>
      </c>
      <c r="CH28">
        <v>899</v>
      </c>
      <c r="CI28">
        <v>118.588592003</v>
      </c>
      <c r="CJ28">
        <v>115.0411568409</v>
      </c>
      <c r="CL28" t="s">
        <v>397</v>
      </c>
      <c r="CM28" t="s">
        <v>783</v>
      </c>
      <c r="CN28" t="s">
        <v>794</v>
      </c>
      <c r="CO28">
        <v>305</v>
      </c>
      <c r="CP28">
        <v>37</v>
      </c>
      <c r="CQ28">
        <v>64.009836065599998</v>
      </c>
      <c r="CR28">
        <v>835</v>
      </c>
      <c r="CS28">
        <v>118</v>
      </c>
      <c r="CT28">
        <v>57.795209580799998</v>
      </c>
      <c r="CU28">
        <v>64.838983050799996</v>
      </c>
      <c r="CW28" t="s">
        <v>397</v>
      </c>
      <c r="CX28" t="s">
        <v>796</v>
      </c>
      <c r="CY28" t="s">
        <v>807</v>
      </c>
      <c r="CZ28">
        <v>98</v>
      </c>
      <c r="DA28">
        <v>24</v>
      </c>
      <c r="DB28">
        <v>83.693877551</v>
      </c>
      <c r="DC28">
        <v>81</v>
      </c>
      <c r="DD28">
        <v>13</v>
      </c>
      <c r="DE28">
        <v>140.3703703704</v>
      </c>
      <c r="DF28">
        <v>162.69230769230001</v>
      </c>
      <c r="DH28" t="s">
        <v>397</v>
      </c>
      <c r="DI28" t="s">
        <v>770</v>
      </c>
      <c r="DJ28" t="s">
        <v>781</v>
      </c>
      <c r="DK28">
        <v>48</v>
      </c>
      <c r="DL28">
        <v>9</v>
      </c>
      <c r="DM28">
        <v>82.666666666699996</v>
      </c>
      <c r="DN28">
        <v>64</v>
      </c>
      <c r="DO28">
        <v>6</v>
      </c>
      <c r="DP28">
        <v>129.625</v>
      </c>
      <c r="DQ28">
        <v>137.5</v>
      </c>
    </row>
    <row r="29" spans="2:121" x14ac:dyDescent="0.2">
      <c r="B29" t="s">
        <v>96</v>
      </c>
      <c r="C29">
        <v>119875</v>
      </c>
      <c r="D29">
        <v>67948</v>
      </c>
      <c r="F29" t="s">
        <v>41</v>
      </c>
      <c r="G29">
        <v>961</v>
      </c>
      <c r="H29">
        <v>135.8949011446</v>
      </c>
      <c r="I29">
        <v>2284</v>
      </c>
      <c r="J29">
        <v>416</v>
      </c>
      <c r="K29">
        <v>1408</v>
      </c>
      <c r="L29">
        <v>524</v>
      </c>
      <c r="M29">
        <v>314</v>
      </c>
      <c r="N29">
        <v>79</v>
      </c>
      <c r="O29">
        <v>244</v>
      </c>
      <c r="P29">
        <v>104</v>
      </c>
      <c r="Q29">
        <v>0</v>
      </c>
      <c r="R29">
        <v>5</v>
      </c>
      <c r="T29" t="s">
        <v>405</v>
      </c>
      <c r="U29">
        <v>62927</v>
      </c>
      <c r="V29">
        <v>392.4430053872</v>
      </c>
      <c r="W29">
        <v>58459</v>
      </c>
      <c r="X29">
        <v>13581</v>
      </c>
      <c r="Y29">
        <v>90296</v>
      </c>
      <c r="Z29">
        <v>63651</v>
      </c>
      <c r="AA29">
        <v>23646</v>
      </c>
      <c r="AB29">
        <v>16706</v>
      </c>
      <c r="AC29">
        <v>29902</v>
      </c>
      <c r="AD29">
        <v>19290</v>
      </c>
      <c r="AE29">
        <v>101</v>
      </c>
      <c r="AF29">
        <v>578</v>
      </c>
      <c r="AH29" t="s">
        <v>419</v>
      </c>
      <c r="AI29">
        <v>769</v>
      </c>
      <c r="AJ29">
        <v>270.20936280879999</v>
      </c>
      <c r="AK29">
        <v>687</v>
      </c>
      <c r="AL29">
        <v>74</v>
      </c>
      <c r="AM29">
        <v>1197</v>
      </c>
      <c r="AN29">
        <v>668</v>
      </c>
      <c r="AO29">
        <v>455</v>
      </c>
      <c r="AP29">
        <v>197</v>
      </c>
      <c r="AQ29">
        <v>330</v>
      </c>
      <c r="AR29">
        <v>168</v>
      </c>
      <c r="AS29">
        <v>2</v>
      </c>
      <c r="AT29">
        <v>5</v>
      </c>
      <c r="AV29" t="s">
        <v>419</v>
      </c>
      <c r="AW29">
        <v>34</v>
      </c>
      <c r="AX29">
        <v>53.705882352899998</v>
      </c>
      <c r="AY29">
        <v>88</v>
      </c>
      <c r="AZ29">
        <v>2</v>
      </c>
      <c r="BA29">
        <v>50</v>
      </c>
      <c r="BB29">
        <v>4</v>
      </c>
      <c r="BC29">
        <v>0</v>
      </c>
      <c r="BE29">
        <v>0</v>
      </c>
      <c r="BG29">
        <v>129</v>
      </c>
      <c r="BH29">
        <v>8</v>
      </c>
      <c r="BJ29" t="s">
        <v>513</v>
      </c>
      <c r="BK29" t="s">
        <v>370</v>
      </c>
      <c r="BL29">
        <v>3712</v>
      </c>
      <c r="BM29">
        <v>917</v>
      </c>
      <c r="BN29">
        <v>95.794719827600005</v>
      </c>
      <c r="BO29">
        <v>4073</v>
      </c>
      <c r="BP29">
        <v>477</v>
      </c>
      <c r="BQ29">
        <v>132.7056223914</v>
      </c>
      <c r="BR29">
        <v>144.4067085954</v>
      </c>
      <c r="BS29">
        <v>3306</v>
      </c>
      <c r="BT29">
        <v>821</v>
      </c>
      <c r="BU29">
        <v>94.869328493599994</v>
      </c>
      <c r="BV29">
        <v>3769</v>
      </c>
      <c r="BW29">
        <v>447</v>
      </c>
      <c r="BX29">
        <v>122.9673653489</v>
      </c>
      <c r="BY29">
        <v>136.17225950779999</v>
      </c>
      <c r="CA29" t="s">
        <v>391</v>
      </c>
      <c r="CB29" t="s">
        <v>808</v>
      </c>
      <c r="CD29">
        <v>48996</v>
      </c>
      <c r="CE29">
        <v>10949</v>
      </c>
      <c r="CF29">
        <v>92.196199689799997</v>
      </c>
      <c r="CG29">
        <v>69151</v>
      </c>
      <c r="CH29">
        <v>10439</v>
      </c>
      <c r="CI29">
        <v>126.0824861535</v>
      </c>
      <c r="CJ29">
        <v>124.86971932180001</v>
      </c>
      <c r="CL29" t="s">
        <v>391</v>
      </c>
      <c r="CM29" t="s">
        <v>783</v>
      </c>
      <c r="CO29">
        <v>4522</v>
      </c>
      <c r="CP29">
        <v>578</v>
      </c>
      <c r="CQ29">
        <v>69.664971251699995</v>
      </c>
      <c r="CR29">
        <v>11788</v>
      </c>
      <c r="CS29">
        <v>1604</v>
      </c>
      <c r="CT29">
        <v>69.473362741800003</v>
      </c>
      <c r="CU29">
        <v>73.483790523699994</v>
      </c>
      <c r="CW29" t="s">
        <v>391</v>
      </c>
      <c r="CX29" t="s">
        <v>796</v>
      </c>
      <c r="CZ29">
        <v>1443</v>
      </c>
      <c r="DA29">
        <v>416</v>
      </c>
      <c r="DB29">
        <v>90.544698544699997</v>
      </c>
      <c r="DC29">
        <v>1052</v>
      </c>
      <c r="DD29">
        <v>177</v>
      </c>
      <c r="DE29">
        <v>140.82129277569999</v>
      </c>
      <c r="DF29">
        <v>155.93785310729999</v>
      </c>
      <c r="DH29" t="s">
        <v>391</v>
      </c>
      <c r="DI29" t="s">
        <v>770</v>
      </c>
      <c r="DK29">
        <v>1080</v>
      </c>
      <c r="DL29">
        <v>229</v>
      </c>
      <c r="DM29">
        <v>83.813888888899996</v>
      </c>
      <c r="DN29">
        <v>1085</v>
      </c>
      <c r="DO29">
        <v>138</v>
      </c>
      <c r="DP29">
        <v>132.08571428569999</v>
      </c>
      <c r="DQ29">
        <v>145.0507246377</v>
      </c>
    </row>
    <row r="30" spans="2:121" x14ac:dyDescent="0.2">
      <c r="B30" t="s">
        <v>20</v>
      </c>
      <c r="C30">
        <v>260</v>
      </c>
      <c r="D30">
        <v>160</v>
      </c>
      <c r="F30" t="s">
        <v>45</v>
      </c>
      <c r="G30">
        <v>1551</v>
      </c>
      <c r="H30">
        <v>270.20889748550002</v>
      </c>
      <c r="I30">
        <v>2006</v>
      </c>
      <c r="J30">
        <v>457</v>
      </c>
      <c r="K30">
        <v>1927</v>
      </c>
      <c r="L30">
        <v>1344</v>
      </c>
      <c r="M30">
        <v>980</v>
      </c>
      <c r="N30">
        <v>542</v>
      </c>
      <c r="O30">
        <v>289</v>
      </c>
      <c r="P30">
        <v>99</v>
      </c>
      <c r="Q30">
        <v>0</v>
      </c>
      <c r="R30">
        <v>1</v>
      </c>
      <c r="T30" t="s">
        <v>381</v>
      </c>
      <c r="U30">
        <v>73440</v>
      </c>
      <c r="V30">
        <v>364.74474400870002</v>
      </c>
      <c r="W30">
        <v>73005</v>
      </c>
      <c r="X30">
        <v>18872</v>
      </c>
      <c r="Y30">
        <v>105626</v>
      </c>
      <c r="Z30">
        <v>70730</v>
      </c>
      <c r="AA30">
        <v>29895</v>
      </c>
      <c r="AB30">
        <v>19787</v>
      </c>
      <c r="AC30">
        <v>42516</v>
      </c>
      <c r="AD30">
        <v>29671</v>
      </c>
      <c r="AE30">
        <v>5719</v>
      </c>
      <c r="AF30">
        <v>1152</v>
      </c>
      <c r="AH30" t="s">
        <v>401</v>
      </c>
      <c r="AI30">
        <v>1297</v>
      </c>
      <c r="AJ30">
        <v>233.2120277564</v>
      </c>
      <c r="AK30">
        <v>2181</v>
      </c>
      <c r="AL30">
        <v>318</v>
      </c>
      <c r="AM30">
        <v>2147</v>
      </c>
      <c r="AN30">
        <v>1160</v>
      </c>
      <c r="AO30">
        <v>764</v>
      </c>
      <c r="AP30">
        <v>570</v>
      </c>
      <c r="AQ30">
        <v>594</v>
      </c>
      <c r="AR30">
        <v>342</v>
      </c>
      <c r="AS30">
        <v>2</v>
      </c>
      <c r="AT30">
        <v>13</v>
      </c>
      <c r="AV30" t="s">
        <v>385</v>
      </c>
      <c r="AW30">
        <v>645</v>
      </c>
      <c r="AX30">
        <v>49.841860465099998</v>
      </c>
      <c r="AY30">
        <v>699</v>
      </c>
      <c r="AZ30">
        <v>76</v>
      </c>
      <c r="BA30">
        <v>840</v>
      </c>
      <c r="BB30">
        <v>73</v>
      </c>
      <c r="BC30">
        <v>1</v>
      </c>
      <c r="BD30">
        <v>1</v>
      </c>
      <c r="BE30">
        <v>57</v>
      </c>
      <c r="BF30">
        <v>11</v>
      </c>
      <c r="BG30">
        <v>120</v>
      </c>
      <c r="BH30">
        <v>76</v>
      </c>
      <c r="BJ30" t="s">
        <v>521</v>
      </c>
      <c r="BK30" t="s">
        <v>370</v>
      </c>
      <c r="BL30">
        <v>3785</v>
      </c>
      <c r="BM30">
        <v>685</v>
      </c>
      <c r="BN30">
        <v>87.642800528400002</v>
      </c>
      <c r="BO30">
        <v>4879</v>
      </c>
      <c r="BP30">
        <v>654</v>
      </c>
      <c r="BQ30">
        <v>146.40951014550001</v>
      </c>
      <c r="BR30">
        <v>135.71253822630001</v>
      </c>
      <c r="BS30">
        <v>3332</v>
      </c>
      <c r="BT30">
        <v>413</v>
      </c>
      <c r="BU30">
        <v>77.335834333700006</v>
      </c>
      <c r="BV30">
        <v>3764</v>
      </c>
      <c r="BW30">
        <v>505</v>
      </c>
      <c r="BX30">
        <v>142.11663124340001</v>
      </c>
      <c r="BY30">
        <v>127.66534653470001</v>
      </c>
      <c r="CA30" t="s">
        <v>374</v>
      </c>
      <c r="CB30" t="s">
        <v>857</v>
      </c>
      <c r="CC30" t="s">
        <v>981</v>
      </c>
      <c r="CD30">
        <v>2038</v>
      </c>
      <c r="CE30">
        <v>445</v>
      </c>
      <c r="CF30">
        <v>89.502453385699994</v>
      </c>
      <c r="CG30">
        <v>2367</v>
      </c>
      <c r="CH30">
        <v>343</v>
      </c>
      <c r="CI30">
        <v>117.3460076046</v>
      </c>
      <c r="CJ30">
        <v>122.09329446060001</v>
      </c>
      <c r="CL30" t="s">
        <v>374</v>
      </c>
      <c r="CM30" t="s">
        <v>826</v>
      </c>
      <c r="CN30" t="s">
        <v>825</v>
      </c>
      <c r="CO30">
        <v>217</v>
      </c>
      <c r="CP30">
        <v>34</v>
      </c>
      <c r="CQ30">
        <v>78.193548387099995</v>
      </c>
      <c r="CR30">
        <v>329</v>
      </c>
      <c r="CS30">
        <v>50</v>
      </c>
      <c r="CT30">
        <v>88.541033434699997</v>
      </c>
      <c r="CU30">
        <v>101.98</v>
      </c>
      <c r="CW30" t="s">
        <v>374</v>
      </c>
      <c r="CX30" t="s">
        <v>842</v>
      </c>
      <c r="CY30" t="s">
        <v>841</v>
      </c>
      <c r="CZ30">
        <v>53</v>
      </c>
      <c r="DA30">
        <v>22</v>
      </c>
      <c r="DB30">
        <v>99.113207547200005</v>
      </c>
      <c r="DC30">
        <v>46</v>
      </c>
      <c r="DD30">
        <v>3</v>
      </c>
      <c r="DE30">
        <v>138.26086956520001</v>
      </c>
      <c r="DF30">
        <v>146.6666666667</v>
      </c>
      <c r="DH30" t="s">
        <v>374</v>
      </c>
      <c r="DI30" t="s">
        <v>810</v>
      </c>
      <c r="DJ30" t="s">
        <v>809</v>
      </c>
      <c r="DK30">
        <v>52</v>
      </c>
      <c r="DL30">
        <v>18</v>
      </c>
      <c r="DM30">
        <v>99.711538461499998</v>
      </c>
      <c r="DN30">
        <v>57</v>
      </c>
      <c r="DO30">
        <v>11</v>
      </c>
      <c r="DP30">
        <v>146.49122807020001</v>
      </c>
      <c r="DQ30">
        <v>146.63636363640001</v>
      </c>
    </row>
    <row r="31" spans="2:121" x14ac:dyDescent="0.2">
      <c r="B31" t="s">
        <v>22</v>
      </c>
      <c r="C31">
        <v>194344</v>
      </c>
      <c r="D31">
        <v>41767</v>
      </c>
      <c r="F31" t="s">
        <v>65</v>
      </c>
      <c r="G31">
        <v>4148</v>
      </c>
      <c r="H31">
        <v>485.84811957570003</v>
      </c>
      <c r="I31">
        <v>4926</v>
      </c>
      <c r="J31">
        <v>1605</v>
      </c>
      <c r="K31">
        <v>5646</v>
      </c>
      <c r="L31">
        <v>4324</v>
      </c>
      <c r="M31">
        <v>803</v>
      </c>
      <c r="N31">
        <v>441</v>
      </c>
      <c r="O31">
        <v>1030</v>
      </c>
      <c r="P31">
        <v>703</v>
      </c>
      <c r="Q31">
        <v>0</v>
      </c>
      <c r="R31">
        <v>2</v>
      </c>
      <c r="T31" t="s">
        <v>462</v>
      </c>
      <c r="U31">
        <v>306838</v>
      </c>
      <c r="V31">
        <v>388.20848134850002</v>
      </c>
      <c r="W31">
        <v>323066</v>
      </c>
      <c r="X31">
        <v>79569</v>
      </c>
      <c r="Y31">
        <v>443566</v>
      </c>
      <c r="Z31">
        <v>298132</v>
      </c>
      <c r="AA31">
        <v>122605</v>
      </c>
      <c r="AB31">
        <v>83117</v>
      </c>
      <c r="AC31">
        <v>159828</v>
      </c>
      <c r="AD31">
        <v>104175</v>
      </c>
      <c r="AE31">
        <v>19660</v>
      </c>
      <c r="AF31">
        <v>4131</v>
      </c>
      <c r="AH31" t="s">
        <v>414</v>
      </c>
      <c r="AI31">
        <v>3586</v>
      </c>
      <c r="AJ31">
        <v>425.26993865029999</v>
      </c>
      <c r="AK31">
        <v>3649</v>
      </c>
      <c r="AL31">
        <v>892</v>
      </c>
      <c r="AM31">
        <v>4881</v>
      </c>
      <c r="AN31">
        <v>3278</v>
      </c>
      <c r="AO31">
        <v>976</v>
      </c>
      <c r="AP31">
        <v>579</v>
      </c>
      <c r="AQ31">
        <v>1893</v>
      </c>
      <c r="AR31">
        <v>1309</v>
      </c>
      <c r="AS31">
        <v>7</v>
      </c>
      <c r="AT31">
        <v>120</v>
      </c>
      <c r="AV31" t="s">
        <v>406</v>
      </c>
      <c r="AW31">
        <v>73</v>
      </c>
      <c r="AX31">
        <v>42.808219178100003</v>
      </c>
      <c r="AY31">
        <v>127</v>
      </c>
      <c r="AZ31">
        <v>2</v>
      </c>
      <c r="BA31">
        <v>99</v>
      </c>
      <c r="BB31">
        <v>2</v>
      </c>
      <c r="BC31">
        <v>0</v>
      </c>
      <c r="BE31">
        <v>6</v>
      </c>
      <c r="BF31">
        <v>3</v>
      </c>
      <c r="BG31">
        <v>228</v>
      </c>
      <c r="BH31">
        <v>23</v>
      </c>
      <c r="BJ31" t="s">
        <v>523</v>
      </c>
      <c r="BK31" t="s">
        <v>370</v>
      </c>
      <c r="BL31">
        <v>2019</v>
      </c>
      <c r="BM31">
        <v>443</v>
      </c>
      <c r="BN31">
        <v>90.096582466599997</v>
      </c>
      <c r="BO31">
        <v>2270</v>
      </c>
      <c r="BP31">
        <v>316</v>
      </c>
      <c r="BQ31">
        <v>118.7268722467</v>
      </c>
      <c r="BR31">
        <v>121.9367088608</v>
      </c>
      <c r="BS31">
        <v>2667</v>
      </c>
      <c r="BT31">
        <v>745</v>
      </c>
      <c r="BU31">
        <v>101.3097112861</v>
      </c>
      <c r="BV31">
        <v>3465</v>
      </c>
      <c r="BW31">
        <v>457</v>
      </c>
      <c r="BX31">
        <v>138.7108225108</v>
      </c>
      <c r="BY31">
        <v>133.24726477019999</v>
      </c>
      <c r="CA31" t="s">
        <v>424</v>
      </c>
      <c r="CB31" t="s">
        <v>857</v>
      </c>
      <c r="CC31" t="s">
        <v>982</v>
      </c>
      <c r="CD31">
        <v>845</v>
      </c>
      <c r="CE31">
        <v>228</v>
      </c>
      <c r="CF31">
        <v>100.81538461540001</v>
      </c>
      <c r="CG31">
        <v>1140</v>
      </c>
      <c r="CH31">
        <v>173</v>
      </c>
      <c r="CI31">
        <v>145.21491228069999</v>
      </c>
      <c r="CJ31">
        <v>145.01156069359999</v>
      </c>
      <c r="CL31" t="s">
        <v>424</v>
      </c>
      <c r="CM31" t="s">
        <v>826</v>
      </c>
      <c r="CN31" t="s">
        <v>827</v>
      </c>
      <c r="CO31">
        <v>70</v>
      </c>
      <c r="CP31">
        <v>9</v>
      </c>
      <c r="CQ31">
        <v>78.142857142899999</v>
      </c>
      <c r="CR31">
        <v>107</v>
      </c>
      <c r="CS31">
        <v>15</v>
      </c>
      <c r="CT31">
        <v>96.252336448600005</v>
      </c>
      <c r="CU31">
        <v>96.266666666700004</v>
      </c>
      <c r="CW31" t="s">
        <v>424</v>
      </c>
      <c r="CX31" t="s">
        <v>842</v>
      </c>
      <c r="CY31" t="s">
        <v>843</v>
      </c>
      <c r="CZ31">
        <v>15</v>
      </c>
      <c r="DA31">
        <v>5</v>
      </c>
      <c r="DB31">
        <v>97.466666666699993</v>
      </c>
      <c r="DC31">
        <v>18</v>
      </c>
      <c r="DD31">
        <v>2</v>
      </c>
      <c r="DE31">
        <v>141</v>
      </c>
      <c r="DF31">
        <v>135</v>
      </c>
      <c r="DH31" t="s">
        <v>424</v>
      </c>
      <c r="DI31" t="s">
        <v>810</v>
      </c>
      <c r="DJ31" t="s">
        <v>811</v>
      </c>
      <c r="DK31">
        <v>29</v>
      </c>
      <c r="DL31">
        <v>14</v>
      </c>
      <c r="DM31">
        <v>103.82758620689999</v>
      </c>
      <c r="DN31">
        <v>18</v>
      </c>
      <c r="DO31">
        <v>4</v>
      </c>
      <c r="DP31">
        <v>157.1666666667</v>
      </c>
      <c r="DQ31">
        <v>164.25</v>
      </c>
    </row>
    <row r="32" spans="2:121" x14ac:dyDescent="0.2">
      <c r="B32" t="s">
        <v>114</v>
      </c>
      <c r="C32">
        <v>5859</v>
      </c>
      <c r="D32">
        <v>1579</v>
      </c>
      <c r="F32" t="s">
        <v>73</v>
      </c>
      <c r="G32">
        <v>11093</v>
      </c>
      <c r="H32">
        <v>386.12620571529999</v>
      </c>
      <c r="I32">
        <v>7339</v>
      </c>
      <c r="J32">
        <v>1231</v>
      </c>
      <c r="K32">
        <v>15989</v>
      </c>
      <c r="L32">
        <v>11445</v>
      </c>
      <c r="M32">
        <v>5106</v>
      </c>
      <c r="N32">
        <v>3762</v>
      </c>
      <c r="O32">
        <v>4280</v>
      </c>
      <c r="P32">
        <v>3548</v>
      </c>
      <c r="Q32">
        <v>2</v>
      </c>
      <c r="R32">
        <v>149</v>
      </c>
      <c r="AH32" t="s">
        <v>416</v>
      </c>
      <c r="AI32">
        <v>1448</v>
      </c>
      <c r="AJ32">
        <v>369.61533149169998</v>
      </c>
      <c r="AK32">
        <v>1128</v>
      </c>
      <c r="AL32">
        <v>277</v>
      </c>
      <c r="AM32">
        <v>2134</v>
      </c>
      <c r="AN32">
        <v>1407</v>
      </c>
      <c r="AO32">
        <v>472</v>
      </c>
      <c r="AP32">
        <v>402</v>
      </c>
      <c r="AQ32">
        <v>237</v>
      </c>
      <c r="AR32">
        <v>134</v>
      </c>
      <c r="AS32">
        <v>156</v>
      </c>
      <c r="AT32">
        <v>4</v>
      </c>
      <c r="AV32" t="s">
        <v>416</v>
      </c>
      <c r="AW32">
        <v>111</v>
      </c>
      <c r="AX32">
        <v>107.9369369369</v>
      </c>
      <c r="AY32">
        <v>167</v>
      </c>
      <c r="AZ32">
        <v>39</v>
      </c>
      <c r="BA32">
        <v>152</v>
      </c>
      <c r="BB32">
        <v>55</v>
      </c>
      <c r="BC32">
        <v>0</v>
      </c>
      <c r="BE32">
        <v>14</v>
      </c>
      <c r="BF32">
        <v>3</v>
      </c>
      <c r="BG32">
        <v>10</v>
      </c>
      <c r="BH32">
        <v>35</v>
      </c>
      <c r="BJ32" t="s">
        <v>538</v>
      </c>
      <c r="BK32" t="s">
        <v>370</v>
      </c>
      <c r="BL32">
        <v>2674</v>
      </c>
      <c r="BM32">
        <v>536</v>
      </c>
      <c r="BN32">
        <v>86.9326851159</v>
      </c>
      <c r="BO32">
        <v>3122</v>
      </c>
      <c r="BP32">
        <v>410</v>
      </c>
      <c r="BQ32">
        <v>119.89814221650001</v>
      </c>
      <c r="BR32">
        <v>131.712195122</v>
      </c>
      <c r="BS32">
        <v>4904</v>
      </c>
      <c r="BT32">
        <v>1449</v>
      </c>
      <c r="BU32">
        <v>103.8433931485</v>
      </c>
      <c r="BV32">
        <v>6886</v>
      </c>
      <c r="BW32">
        <v>988</v>
      </c>
      <c r="BX32">
        <v>137.3925355794</v>
      </c>
      <c r="BY32">
        <v>145.22064777329999</v>
      </c>
      <c r="CA32" t="s">
        <v>415</v>
      </c>
      <c r="CB32" t="s">
        <v>857</v>
      </c>
      <c r="CC32" t="s">
        <v>983</v>
      </c>
      <c r="CD32">
        <v>354</v>
      </c>
      <c r="CE32">
        <v>98</v>
      </c>
      <c r="CF32">
        <v>99.338983050799996</v>
      </c>
      <c r="CG32">
        <v>520</v>
      </c>
      <c r="CH32">
        <v>96</v>
      </c>
      <c r="CI32">
        <v>145.47692307689999</v>
      </c>
      <c r="CJ32">
        <v>133.2708333333</v>
      </c>
      <c r="CL32" t="s">
        <v>415</v>
      </c>
      <c r="CM32" t="s">
        <v>826</v>
      </c>
      <c r="CN32" t="s">
        <v>828</v>
      </c>
      <c r="CO32">
        <v>65</v>
      </c>
      <c r="CP32">
        <v>13</v>
      </c>
      <c r="CQ32">
        <v>85.6</v>
      </c>
      <c r="CR32">
        <v>112</v>
      </c>
      <c r="CS32">
        <v>22</v>
      </c>
      <c r="CT32">
        <v>91.5625</v>
      </c>
      <c r="CU32">
        <v>94.409090909100001</v>
      </c>
      <c r="CW32" t="s">
        <v>415</v>
      </c>
      <c r="CX32" t="s">
        <v>842</v>
      </c>
      <c r="CY32" t="s">
        <v>844</v>
      </c>
      <c r="CZ32">
        <v>26</v>
      </c>
      <c r="DA32">
        <v>11</v>
      </c>
      <c r="DB32">
        <v>104.5</v>
      </c>
      <c r="DC32">
        <v>11</v>
      </c>
      <c r="DD32">
        <v>2</v>
      </c>
      <c r="DE32">
        <v>162.36363636359999</v>
      </c>
      <c r="DF32">
        <v>182</v>
      </c>
      <c r="DH32" t="s">
        <v>415</v>
      </c>
      <c r="DI32" t="s">
        <v>810</v>
      </c>
      <c r="DJ32" t="s">
        <v>812</v>
      </c>
      <c r="DK32">
        <v>25</v>
      </c>
      <c r="DL32">
        <v>5</v>
      </c>
      <c r="DM32">
        <v>83.84</v>
      </c>
      <c r="DN32">
        <v>22</v>
      </c>
      <c r="DO32">
        <v>3</v>
      </c>
      <c r="DP32">
        <v>149.2272727273</v>
      </c>
      <c r="DQ32">
        <v>176</v>
      </c>
    </row>
    <row r="33" spans="2:121" x14ac:dyDescent="0.2">
      <c r="B33" t="s">
        <v>157</v>
      </c>
      <c r="C33">
        <v>3931</v>
      </c>
      <c r="D33">
        <v>3763</v>
      </c>
      <c r="F33" t="s">
        <v>67</v>
      </c>
      <c r="G33">
        <v>878</v>
      </c>
      <c r="H33">
        <v>184.9453302961</v>
      </c>
      <c r="I33">
        <v>1976</v>
      </c>
      <c r="J33">
        <v>405</v>
      </c>
      <c r="K33">
        <v>3992</v>
      </c>
      <c r="L33">
        <v>1337</v>
      </c>
      <c r="M33">
        <v>3052</v>
      </c>
      <c r="N33">
        <v>2257</v>
      </c>
      <c r="O33">
        <v>469</v>
      </c>
      <c r="P33">
        <v>223</v>
      </c>
      <c r="Q33">
        <v>0</v>
      </c>
      <c r="R33">
        <v>0</v>
      </c>
      <c r="AH33" t="s">
        <v>375</v>
      </c>
      <c r="AI33">
        <v>2419</v>
      </c>
      <c r="AJ33">
        <v>321.86688714339999</v>
      </c>
      <c r="AK33">
        <v>3888</v>
      </c>
      <c r="AL33">
        <v>1026</v>
      </c>
      <c r="AM33">
        <v>3863</v>
      </c>
      <c r="AN33">
        <v>2492</v>
      </c>
      <c r="AO33">
        <v>1313</v>
      </c>
      <c r="AP33">
        <v>887</v>
      </c>
      <c r="AQ33">
        <v>2182</v>
      </c>
      <c r="AR33">
        <v>1555</v>
      </c>
      <c r="AS33">
        <v>690</v>
      </c>
      <c r="AT33">
        <v>4</v>
      </c>
      <c r="AV33" t="s">
        <v>427</v>
      </c>
      <c r="AW33">
        <v>252</v>
      </c>
      <c r="AX33">
        <v>47.103174603200003</v>
      </c>
      <c r="AY33">
        <v>419</v>
      </c>
      <c r="AZ33">
        <v>27</v>
      </c>
      <c r="BA33">
        <v>313</v>
      </c>
      <c r="BB33">
        <v>11</v>
      </c>
      <c r="BC33">
        <v>1</v>
      </c>
      <c r="BD33">
        <v>1</v>
      </c>
      <c r="BE33">
        <v>21</v>
      </c>
      <c r="BF33">
        <v>9</v>
      </c>
      <c r="BG33">
        <v>353</v>
      </c>
      <c r="BH33">
        <v>68</v>
      </c>
      <c r="BJ33" t="s">
        <v>623</v>
      </c>
      <c r="BK33" t="s">
        <v>370</v>
      </c>
      <c r="BL33">
        <v>1098</v>
      </c>
      <c r="BM33">
        <v>221</v>
      </c>
      <c r="BN33">
        <v>94.899817850600002</v>
      </c>
      <c r="BO33">
        <v>1482</v>
      </c>
      <c r="BP33">
        <v>200</v>
      </c>
      <c r="BQ33">
        <v>137.27732793519999</v>
      </c>
      <c r="BR33">
        <v>151.36000000000001</v>
      </c>
      <c r="BS33">
        <v>1194</v>
      </c>
      <c r="BT33">
        <v>226</v>
      </c>
      <c r="BU33">
        <v>90.722780569500003</v>
      </c>
      <c r="BV33">
        <v>1513</v>
      </c>
      <c r="BW33">
        <v>211</v>
      </c>
      <c r="BX33">
        <v>142.9993390615</v>
      </c>
      <c r="BY33">
        <v>153.17535545019999</v>
      </c>
      <c r="CA33" t="s">
        <v>417</v>
      </c>
      <c r="CB33" t="s">
        <v>857</v>
      </c>
      <c r="CC33" t="s">
        <v>984</v>
      </c>
      <c r="CD33">
        <v>1431</v>
      </c>
      <c r="CE33">
        <v>179</v>
      </c>
      <c r="CF33">
        <v>76.120894479399993</v>
      </c>
      <c r="CG33">
        <v>1788</v>
      </c>
      <c r="CH33">
        <v>239</v>
      </c>
      <c r="CI33">
        <v>110.40715883670001</v>
      </c>
      <c r="CJ33">
        <v>123.12970711299999</v>
      </c>
      <c r="CL33" t="s">
        <v>417</v>
      </c>
      <c r="CM33" t="s">
        <v>826</v>
      </c>
      <c r="CN33" t="s">
        <v>829</v>
      </c>
      <c r="CO33">
        <v>127</v>
      </c>
      <c r="CP33">
        <v>9</v>
      </c>
      <c r="CQ33">
        <v>69.480314960599998</v>
      </c>
      <c r="CR33">
        <v>209</v>
      </c>
      <c r="CS33">
        <v>20</v>
      </c>
      <c r="CT33">
        <v>80.239234449799994</v>
      </c>
      <c r="CU33">
        <v>69.400000000000006</v>
      </c>
      <c r="CW33" t="s">
        <v>417</v>
      </c>
      <c r="CX33" t="s">
        <v>842</v>
      </c>
      <c r="CY33" t="s">
        <v>845</v>
      </c>
      <c r="CZ33">
        <v>26</v>
      </c>
      <c r="DA33">
        <v>10</v>
      </c>
      <c r="DB33">
        <v>111.3461538462</v>
      </c>
      <c r="DC33">
        <v>17</v>
      </c>
      <c r="DD33">
        <v>4</v>
      </c>
      <c r="DE33">
        <v>157.6470588235</v>
      </c>
      <c r="DF33">
        <v>141.75</v>
      </c>
      <c r="DH33" t="s">
        <v>417</v>
      </c>
      <c r="DI33" t="s">
        <v>810</v>
      </c>
      <c r="DJ33" t="s">
        <v>813</v>
      </c>
      <c r="DK33">
        <v>12</v>
      </c>
      <c r="DL33">
        <v>1</v>
      </c>
      <c r="DM33">
        <v>90.416666666699996</v>
      </c>
      <c r="DN33">
        <v>23</v>
      </c>
      <c r="DO33">
        <v>6</v>
      </c>
      <c r="DP33">
        <v>164.5652173913</v>
      </c>
      <c r="DQ33">
        <v>167.8333333333</v>
      </c>
    </row>
    <row r="34" spans="2:121" x14ac:dyDescent="0.2">
      <c r="B34" t="s">
        <v>93</v>
      </c>
      <c r="C34">
        <v>211</v>
      </c>
      <c r="D34">
        <v>169</v>
      </c>
      <c r="F34" t="s">
        <v>37</v>
      </c>
      <c r="G34">
        <v>5589</v>
      </c>
      <c r="H34">
        <v>502.6435856146</v>
      </c>
      <c r="I34">
        <v>6233</v>
      </c>
      <c r="J34">
        <v>1801</v>
      </c>
      <c r="K34">
        <v>7110</v>
      </c>
      <c r="L34">
        <v>5390</v>
      </c>
      <c r="M34">
        <v>1781</v>
      </c>
      <c r="N34">
        <v>1478</v>
      </c>
      <c r="O34">
        <v>1296</v>
      </c>
      <c r="P34">
        <v>678</v>
      </c>
      <c r="Q34">
        <v>0</v>
      </c>
      <c r="R34">
        <v>220</v>
      </c>
      <c r="AH34" t="s">
        <v>406</v>
      </c>
      <c r="AI34">
        <v>1425</v>
      </c>
      <c r="AJ34">
        <v>236.88912280700001</v>
      </c>
      <c r="AK34">
        <v>2704</v>
      </c>
      <c r="AL34">
        <v>613</v>
      </c>
      <c r="AM34">
        <v>2230</v>
      </c>
      <c r="AN34">
        <v>1026</v>
      </c>
      <c r="AO34">
        <v>563</v>
      </c>
      <c r="AP34">
        <v>265</v>
      </c>
      <c r="AQ34">
        <v>842</v>
      </c>
      <c r="AR34">
        <v>519</v>
      </c>
      <c r="AS34">
        <v>6</v>
      </c>
      <c r="AT34">
        <v>15</v>
      </c>
      <c r="AV34" t="s">
        <v>396</v>
      </c>
      <c r="AW34">
        <v>654</v>
      </c>
      <c r="AX34">
        <v>49.051987767599996</v>
      </c>
      <c r="AY34">
        <v>1018</v>
      </c>
      <c r="AZ34">
        <v>130</v>
      </c>
      <c r="BA34">
        <v>895</v>
      </c>
      <c r="BB34">
        <v>61</v>
      </c>
      <c r="BC34">
        <v>1</v>
      </c>
      <c r="BD34">
        <v>1</v>
      </c>
      <c r="BE34">
        <v>55</v>
      </c>
      <c r="BF34">
        <v>10</v>
      </c>
      <c r="BG34">
        <v>100</v>
      </c>
      <c r="BH34">
        <v>87</v>
      </c>
      <c r="BJ34" t="s">
        <v>519</v>
      </c>
      <c r="BK34" t="s">
        <v>370</v>
      </c>
      <c r="BL34">
        <v>4686</v>
      </c>
      <c r="BM34">
        <v>1328</v>
      </c>
      <c r="BN34">
        <v>100.89863422960001</v>
      </c>
      <c r="BO34">
        <v>5519</v>
      </c>
      <c r="BP34">
        <v>837</v>
      </c>
      <c r="BQ34">
        <v>138.22920818989999</v>
      </c>
      <c r="BR34">
        <v>126.70728793310001</v>
      </c>
      <c r="BS34">
        <v>3854</v>
      </c>
      <c r="BT34">
        <v>1039</v>
      </c>
      <c r="BU34">
        <v>95.744161909699997</v>
      </c>
      <c r="BV34">
        <v>4422</v>
      </c>
      <c r="BW34">
        <v>644</v>
      </c>
      <c r="BX34">
        <v>131.81501582990001</v>
      </c>
      <c r="BY34">
        <v>125.47826086960001</v>
      </c>
      <c r="CA34" t="s">
        <v>377</v>
      </c>
      <c r="CB34" t="s">
        <v>857</v>
      </c>
      <c r="CC34" t="s">
        <v>985</v>
      </c>
      <c r="CD34">
        <v>5036</v>
      </c>
      <c r="CE34">
        <v>1284</v>
      </c>
      <c r="CF34">
        <v>102.99126290709999</v>
      </c>
      <c r="CG34">
        <v>6571</v>
      </c>
      <c r="CH34">
        <v>871</v>
      </c>
      <c r="CI34">
        <v>138.11078983409999</v>
      </c>
      <c r="CJ34">
        <v>137.71067738229999</v>
      </c>
      <c r="CL34" t="s">
        <v>377</v>
      </c>
      <c r="CM34" t="s">
        <v>826</v>
      </c>
      <c r="CN34" t="s">
        <v>830</v>
      </c>
      <c r="CO34">
        <v>466</v>
      </c>
      <c r="CP34">
        <v>61</v>
      </c>
      <c r="CQ34">
        <v>75.246781115900006</v>
      </c>
      <c r="CR34">
        <v>732</v>
      </c>
      <c r="CS34">
        <v>104</v>
      </c>
      <c r="CT34">
        <v>90.267759562799995</v>
      </c>
      <c r="CU34">
        <v>108.9230769231</v>
      </c>
      <c r="CW34" t="s">
        <v>377</v>
      </c>
      <c r="CX34" t="s">
        <v>842</v>
      </c>
      <c r="CY34" t="s">
        <v>846</v>
      </c>
      <c r="CZ34">
        <v>233</v>
      </c>
      <c r="DA34">
        <v>82</v>
      </c>
      <c r="DB34">
        <v>96.793991416300003</v>
      </c>
      <c r="DC34">
        <v>206</v>
      </c>
      <c r="DD34">
        <v>30</v>
      </c>
      <c r="DE34">
        <v>151.90291262139999</v>
      </c>
      <c r="DF34">
        <v>160.86666666670001</v>
      </c>
      <c r="DH34" t="s">
        <v>377</v>
      </c>
      <c r="DI34" t="s">
        <v>810</v>
      </c>
      <c r="DJ34" t="s">
        <v>814</v>
      </c>
      <c r="DK34">
        <v>350</v>
      </c>
      <c r="DL34">
        <v>92</v>
      </c>
      <c r="DM34">
        <v>89.882857142899994</v>
      </c>
      <c r="DN34">
        <v>267</v>
      </c>
      <c r="DO34">
        <v>55</v>
      </c>
      <c r="DP34">
        <v>152.2209737828</v>
      </c>
      <c r="DQ34">
        <v>151.54545454550001</v>
      </c>
    </row>
    <row r="35" spans="2:121" x14ac:dyDescent="0.2">
      <c r="B35" t="s">
        <v>122</v>
      </c>
      <c r="C35">
        <v>647</v>
      </c>
      <c r="D35">
        <v>20</v>
      </c>
      <c r="F35" t="s">
        <v>71</v>
      </c>
      <c r="G35">
        <v>6988</v>
      </c>
      <c r="H35">
        <v>349.89553520319998</v>
      </c>
      <c r="I35">
        <v>11225</v>
      </c>
      <c r="J35">
        <v>2178</v>
      </c>
      <c r="K35">
        <v>17513</v>
      </c>
      <c r="L35">
        <v>10147</v>
      </c>
      <c r="M35">
        <v>4874</v>
      </c>
      <c r="N35">
        <v>2948</v>
      </c>
      <c r="O35">
        <v>2312</v>
      </c>
      <c r="P35">
        <v>1488</v>
      </c>
      <c r="Q35">
        <v>0</v>
      </c>
      <c r="R35">
        <v>59</v>
      </c>
      <c r="AH35" t="s">
        <v>60</v>
      </c>
      <c r="AI35">
        <v>5598</v>
      </c>
      <c r="AJ35">
        <v>300.54340836009999</v>
      </c>
      <c r="AK35">
        <v>8783</v>
      </c>
      <c r="AL35">
        <v>2100</v>
      </c>
      <c r="AM35">
        <v>9091</v>
      </c>
      <c r="AN35">
        <v>5400</v>
      </c>
      <c r="AO35">
        <v>4053</v>
      </c>
      <c r="AP35">
        <v>3002</v>
      </c>
      <c r="AQ35">
        <v>4240</v>
      </c>
      <c r="AR35">
        <v>1620</v>
      </c>
      <c r="AS35">
        <v>1506</v>
      </c>
      <c r="AT35">
        <v>8</v>
      </c>
      <c r="AV35" t="s">
        <v>373</v>
      </c>
      <c r="AW35">
        <v>106</v>
      </c>
      <c r="AX35">
        <v>80.584905660399997</v>
      </c>
      <c r="AY35">
        <v>174</v>
      </c>
      <c r="AZ35">
        <v>38</v>
      </c>
      <c r="BA35">
        <v>147</v>
      </c>
      <c r="BB35">
        <v>39</v>
      </c>
      <c r="BC35">
        <v>1</v>
      </c>
      <c r="BD35">
        <v>1</v>
      </c>
      <c r="BE35">
        <v>20</v>
      </c>
      <c r="BF35">
        <v>7</v>
      </c>
      <c r="BG35">
        <v>12</v>
      </c>
      <c r="BH35">
        <v>30</v>
      </c>
      <c r="BJ35" t="s">
        <v>525</v>
      </c>
      <c r="BK35" t="s">
        <v>370</v>
      </c>
      <c r="BL35">
        <v>2597</v>
      </c>
      <c r="BM35">
        <v>560</v>
      </c>
      <c r="BN35">
        <v>88.5279168271</v>
      </c>
      <c r="BO35">
        <v>3146</v>
      </c>
      <c r="BP35">
        <v>461</v>
      </c>
      <c r="BQ35">
        <v>140.97870311509999</v>
      </c>
      <c r="BR35">
        <v>136.2885032538</v>
      </c>
      <c r="BS35">
        <v>2249</v>
      </c>
      <c r="BT35">
        <v>347</v>
      </c>
      <c r="BU35">
        <v>77.1791907514</v>
      </c>
      <c r="BV35">
        <v>2421</v>
      </c>
      <c r="BW35">
        <v>325</v>
      </c>
      <c r="BX35">
        <v>136.7678645188</v>
      </c>
      <c r="BY35">
        <v>132.16307692309999</v>
      </c>
      <c r="CA35" t="s">
        <v>372</v>
      </c>
      <c r="CB35" t="s">
        <v>857</v>
      </c>
      <c r="CC35" t="s">
        <v>986</v>
      </c>
      <c r="CD35">
        <v>4443</v>
      </c>
      <c r="CE35">
        <v>1082</v>
      </c>
      <c r="CF35">
        <v>95.458248930899998</v>
      </c>
      <c r="CG35">
        <v>5077</v>
      </c>
      <c r="CH35">
        <v>646</v>
      </c>
      <c r="CI35">
        <v>130.23931455580001</v>
      </c>
      <c r="CJ35">
        <v>135.92569659439999</v>
      </c>
      <c r="CL35" t="s">
        <v>372</v>
      </c>
      <c r="CM35" t="s">
        <v>826</v>
      </c>
      <c r="CN35" t="s">
        <v>831</v>
      </c>
      <c r="CO35">
        <v>458</v>
      </c>
      <c r="CP35">
        <v>61</v>
      </c>
      <c r="CQ35">
        <v>74.102620087299996</v>
      </c>
      <c r="CR35">
        <v>712</v>
      </c>
      <c r="CS35">
        <v>101</v>
      </c>
      <c r="CT35">
        <v>82.720505618000004</v>
      </c>
      <c r="CU35">
        <v>91.059405940600001</v>
      </c>
      <c r="CW35" t="s">
        <v>372</v>
      </c>
      <c r="CX35" t="s">
        <v>842</v>
      </c>
      <c r="CY35" t="s">
        <v>847</v>
      </c>
      <c r="CZ35">
        <v>88</v>
      </c>
      <c r="DA35">
        <v>37</v>
      </c>
      <c r="DB35">
        <v>109.82954545450001</v>
      </c>
      <c r="DC35">
        <v>81</v>
      </c>
      <c r="DD35">
        <v>15</v>
      </c>
      <c r="DE35">
        <v>140.9382716049</v>
      </c>
      <c r="DF35">
        <v>158.13333333329999</v>
      </c>
      <c r="DH35" t="s">
        <v>372</v>
      </c>
      <c r="DI35" t="s">
        <v>810</v>
      </c>
      <c r="DJ35" t="s">
        <v>815</v>
      </c>
      <c r="DK35">
        <v>41</v>
      </c>
      <c r="DL35">
        <v>11</v>
      </c>
      <c r="DM35">
        <v>85.439024390200004</v>
      </c>
      <c r="DN35">
        <v>53</v>
      </c>
      <c r="DO35">
        <v>9</v>
      </c>
      <c r="DP35">
        <v>130.45283018870001</v>
      </c>
      <c r="DQ35">
        <v>158.44444444440001</v>
      </c>
    </row>
    <row r="36" spans="2:121" x14ac:dyDescent="0.2">
      <c r="B36" t="s">
        <v>89</v>
      </c>
      <c r="C36">
        <v>2</v>
      </c>
      <c r="F36" t="s">
        <v>47</v>
      </c>
      <c r="G36">
        <v>2055</v>
      </c>
      <c r="H36">
        <v>236.18345498779999</v>
      </c>
      <c r="I36">
        <v>2385</v>
      </c>
      <c r="J36">
        <v>523</v>
      </c>
      <c r="K36">
        <v>3313</v>
      </c>
      <c r="L36">
        <v>2150</v>
      </c>
      <c r="M36">
        <v>491</v>
      </c>
      <c r="N36">
        <v>92</v>
      </c>
      <c r="O36">
        <v>1252</v>
      </c>
      <c r="P36">
        <v>886</v>
      </c>
      <c r="Q36">
        <v>0</v>
      </c>
      <c r="R36">
        <v>9</v>
      </c>
      <c r="T36" t="s">
        <v>647</v>
      </c>
      <c r="U36" t="s">
        <v>306</v>
      </c>
      <c r="V36" t="s">
        <v>133</v>
      </c>
      <c r="W36" t="s">
        <v>214</v>
      </c>
      <c r="X36" t="s">
        <v>460</v>
      </c>
      <c r="Y36" t="s">
        <v>216</v>
      </c>
      <c r="Z36" t="s">
        <v>217</v>
      </c>
      <c r="AA36" t="s">
        <v>218</v>
      </c>
      <c r="AB36" t="s">
        <v>461</v>
      </c>
      <c r="AC36" t="s">
        <v>220</v>
      </c>
      <c r="AD36" t="s">
        <v>221</v>
      </c>
      <c r="AE36" t="s">
        <v>222</v>
      </c>
      <c r="AF36" t="s">
        <v>223</v>
      </c>
      <c r="AH36" t="s">
        <v>383</v>
      </c>
      <c r="AI36">
        <v>16473</v>
      </c>
      <c r="AJ36">
        <v>316.3105688096</v>
      </c>
      <c r="AK36">
        <v>17360</v>
      </c>
      <c r="AL36">
        <v>4618</v>
      </c>
      <c r="AM36">
        <v>22215</v>
      </c>
      <c r="AN36">
        <v>14928</v>
      </c>
      <c r="AO36">
        <v>9482</v>
      </c>
      <c r="AP36">
        <v>6117</v>
      </c>
      <c r="AQ36">
        <v>6790</v>
      </c>
      <c r="AR36">
        <v>4278</v>
      </c>
      <c r="AS36">
        <v>1216</v>
      </c>
      <c r="AT36">
        <v>50</v>
      </c>
      <c r="AV36" t="s">
        <v>384</v>
      </c>
      <c r="AW36">
        <v>1033</v>
      </c>
      <c r="AX36">
        <v>93.324298160699996</v>
      </c>
      <c r="AY36">
        <v>1047</v>
      </c>
      <c r="AZ36">
        <v>236</v>
      </c>
      <c r="BA36">
        <v>1293</v>
      </c>
      <c r="BB36">
        <v>429</v>
      </c>
      <c r="BC36">
        <v>9</v>
      </c>
      <c r="BD36">
        <v>7</v>
      </c>
      <c r="BE36">
        <v>43</v>
      </c>
      <c r="BF36">
        <v>13</v>
      </c>
      <c r="BG36">
        <v>113</v>
      </c>
      <c r="BH36">
        <v>282</v>
      </c>
      <c r="BJ36" t="s">
        <v>370</v>
      </c>
      <c r="BK36" t="s">
        <v>370</v>
      </c>
      <c r="BL36">
        <v>68873</v>
      </c>
      <c r="BM36">
        <v>17548</v>
      </c>
      <c r="BN36">
        <v>97.531253176099995</v>
      </c>
      <c r="BO36">
        <v>88608</v>
      </c>
      <c r="BP36">
        <v>12742</v>
      </c>
      <c r="BQ36">
        <v>135.5391386782</v>
      </c>
      <c r="BR36">
        <v>131.7913985246</v>
      </c>
      <c r="BS36">
        <v>67743</v>
      </c>
      <c r="BT36">
        <v>16834</v>
      </c>
      <c r="BU36">
        <v>95.548248527499993</v>
      </c>
      <c r="BV36">
        <v>87294</v>
      </c>
      <c r="BW36">
        <v>12606</v>
      </c>
      <c r="BX36">
        <v>133.99318395309999</v>
      </c>
      <c r="BY36">
        <v>130.7057750278</v>
      </c>
      <c r="CA36" t="s">
        <v>416</v>
      </c>
      <c r="CB36" t="s">
        <v>857</v>
      </c>
      <c r="CC36" t="s">
        <v>987</v>
      </c>
      <c r="CD36">
        <v>1174</v>
      </c>
      <c r="CE36">
        <v>255</v>
      </c>
      <c r="CF36">
        <v>96.591141396899999</v>
      </c>
      <c r="CG36">
        <v>1567</v>
      </c>
      <c r="CH36">
        <v>220</v>
      </c>
      <c r="CI36">
        <v>135.0370134014</v>
      </c>
      <c r="CJ36">
        <v>148.58636363639999</v>
      </c>
      <c r="CL36" t="s">
        <v>416</v>
      </c>
      <c r="CM36" t="s">
        <v>826</v>
      </c>
      <c r="CN36" t="s">
        <v>832</v>
      </c>
      <c r="CO36">
        <v>108</v>
      </c>
      <c r="CP36">
        <v>14</v>
      </c>
      <c r="CQ36">
        <v>69.962962962999995</v>
      </c>
      <c r="CR36">
        <v>165</v>
      </c>
      <c r="CS36">
        <v>25</v>
      </c>
      <c r="CT36">
        <v>92.696969697</v>
      </c>
      <c r="CU36">
        <v>101.88</v>
      </c>
      <c r="CW36" t="s">
        <v>416</v>
      </c>
      <c r="CX36" t="s">
        <v>842</v>
      </c>
      <c r="CY36" t="s">
        <v>848</v>
      </c>
      <c r="CZ36">
        <v>33</v>
      </c>
      <c r="DA36">
        <v>14</v>
      </c>
      <c r="DB36">
        <v>102.1212121212</v>
      </c>
      <c r="DC36">
        <v>13</v>
      </c>
      <c r="DD36">
        <v>3</v>
      </c>
      <c r="DE36">
        <v>145.8461538462</v>
      </c>
      <c r="DF36">
        <v>164</v>
      </c>
      <c r="DH36" t="s">
        <v>416</v>
      </c>
      <c r="DI36" t="s">
        <v>810</v>
      </c>
      <c r="DJ36" t="s">
        <v>816</v>
      </c>
      <c r="DK36">
        <v>19</v>
      </c>
      <c r="DL36">
        <v>8</v>
      </c>
      <c r="DM36">
        <v>123.94736842109999</v>
      </c>
      <c r="DN36">
        <v>22</v>
      </c>
      <c r="DO36">
        <v>3</v>
      </c>
      <c r="DP36">
        <v>132.0909090909</v>
      </c>
      <c r="DQ36">
        <v>125.3333333333</v>
      </c>
    </row>
    <row r="37" spans="2:121" x14ac:dyDescent="0.2">
      <c r="B37" t="s">
        <v>95</v>
      </c>
      <c r="C37">
        <v>1102</v>
      </c>
      <c r="D37">
        <v>744</v>
      </c>
      <c r="F37" t="s">
        <v>82</v>
      </c>
      <c r="G37">
        <v>624</v>
      </c>
      <c r="H37">
        <v>398.04967948720002</v>
      </c>
      <c r="I37">
        <v>699</v>
      </c>
      <c r="J37">
        <v>195</v>
      </c>
      <c r="K37">
        <v>689</v>
      </c>
      <c r="L37">
        <v>536</v>
      </c>
      <c r="M37">
        <v>52</v>
      </c>
      <c r="N37">
        <v>15</v>
      </c>
      <c r="O37">
        <v>139</v>
      </c>
      <c r="P37">
        <v>68</v>
      </c>
      <c r="Q37">
        <v>0</v>
      </c>
      <c r="R37">
        <v>0</v>
      </c>
      <c r="T37" t="s">
        <v>391</v>
      </c>
      <c r="U37">
        <v>3680</v>
      </c>
      <c r="V37">
        <v>48.111956521700002</v>
      </c>
      <c r="W37">
        <v>5606</v>
      </c>
      <c r="X37">
        <v>634</v>
      </c>
      <c r="Y37">
        <v>5153</v>
      </c>
      <c r="Z37">
        <v>280</v>
      </c>
      <c r="AA37">
        <v>15</v>
      </c>
      <c r="AB37">
        <v>12</v>
      </c>
      <c r="AC37">
        <v>272</v>
      </c>
      <c r="AD37">
        <v>76</v>
      </c>
      <c r="AE37">
        <v>2064</v>
      </c>
      <c r="AF37">
        <v>593</v>
      </c>
      <c r="AH37" t="s">
        <v>420</v>
      </c>
      <c r="AI37">
        <v>168</v>
      </c>
      <c r="AJ37">
        <v>280.20238095240001</v>
      </c>
      <c r="AK37">
        <v>670</v>
      </c>
      <c r="AL37">
        <v>107</v>
      </c>
      <c r="AM37">
        <v>339</v>
      </c>
      <c r="AN37">
        <v>142</v>
      </c>
      <c r="AO37">
        <v>116</v>
      </c>
      <c r="AP37">
        <v>59</v>
      </c>
      <c r="AQ37">
        <v>145</v>
      </c>
      <c r="AR37">
        <v>87</v>
      </c>
      <c r="AS37">
        <v>0</v>
      </c>
      <c r="AT37">
        <v>0</v>
      </c>
      <c r="AV37" t="s">
        <v>392</v>
      </c>
      <c r="AW37">
        <v>685</v>
      </c>
      <c r="AX37">
        <v>47.7722627737</v>
      </c>
      <c r="AY37">
        <v>1151</v>
      </c>
      <c r="AZ37">
        <v>145</v>
      </c>
      <c r="BA37">
        <v>1048</v>
      </c>
      <c r="BB37">
        <v>66</v>
      </c>
      <c r="BC37">
        <v>6</v>
      </c>
      <c r="BD37">
        <v>6</v>
      </c>
      <c r="BE37">
        <v>65</v>
      </c>
      <c r="BF37">
        <v>21</v>
      </c>
      <c r="BG37">
        <v>119</v>
      </c>
      <c r="BH37">
        <v>111</v>
      </c>
      <c r="BJ37" t="s">
        <v>527</v>
      </c>
      <c r="BK37" t="s">
        <v>370</v>
      </c>
      <c r="BL37">
        <v>7079</v>
      </c>
      <c r="BM37">
        <v>2317</v>
      </c>
      <c r="BN37">
        <v>117.19084616470001</v>
      </c>
      <c r="BO37">
        <v>9679</v>
      </c>
      <c r="BP37">
        <v>1356</v>
      </c>
      <c r="BQ37">
        <v>149.91228432689999</v>
      </c>
      <c r="BR37">
        <v>138.07669616519999</v>
      </c>
      <c r="BS37">
        <v>7124</v>
      </c>
      <c r="BT37">
        <v>2386</v>
      </c>
      <c r="BU37">
        <v>117.1819202695</v>
      </c>
      <c r="BV37">
        <v>10049</v>
      </c>
      <c r="BW37">
        <v>1380</v>
      </c>
      <c r="BX37">
        <v>149.75470196040001</v>
      </c>
      <c r="BY37">
        <v>137.77391304349999</v>
      </c>
      <c r="CA37" t="s">
        <v>375</v>
      </c>
      <c r="CB37" t="s">
        <v>857</v>
      </c>
      <c r="CC37" t="s">
        <v>988</v>
      </c>
      <c r="CD37">
        <v>3791</v>
      </c>
      <c r="CE37">
        <v>963</v>
      </c>
      <c r="CF37">
        <v>98.588499076800005</v>
      </c>
      <c r="CG37">
        <v>5046</v>
      </c>
      <c r="CH37">
        <v>753</v>
      </c>
      <c r="CI37">
        <v>139.59096313910001</v>
      </c>
      <c r="CJ37">
        <v>131.36786188580001</v>
      </c>
      <c r="CL37" t="s">
        <v>375</v>
      </c>
      <c r="CM37" t="s">
        <v>826</v>
      </c>
      <c r="CN37" t="s">
        <v>833</v>
      </c>
      <c r="CO37">
        <v>520</v>
      </c>
      <c r="CP37">
        <v>60</v>
      </c>
      <c r="CQ37">
        <v>72.467307692299997</v>
      </c>
      <c r="CR37">
        <v>741</v>
      </c>
      <c r="CS37">
        <v>111</v>
      </c>
      <c r="CT37">
        <v>89.609986504700004</v>
      </c>
      <c r="CU37">
        <v>113.6306306306</v>
      </c>
      <c r="CW37" t="s">
        <v>375</v>
      </c>
      <c r="CX37" t="s">
        <v>842</v>
      </c>
      <c r="CY37" t="s">
        <v>849</v>
      </c>
      <c r="CZ37">
        <v>113</v>
      </c>
      <c r="DA37">
        <v>34</v>
      </c>
      <c r="DB37">
        <v>97.460176991200001</v>
      </c>
      <c r="DC37">
        <v>73</v>
      </c>
      <c r="DD37">
        <v>14</v>
      </c>
      <c r="DE37">
        <v>149.3561643836</v>
      </c>
      <c r="DF37">
        <v>162.78571428570001</v>
      </c>
      <c r="DH37" t="s">
        <v>375</v>
      </c>
      <c r="DI37" t="s">
        <v>810</v>
      </c>
      <c r="DJ37" t="s">
        <v>817</v>
      </c>
      <c r="DK37">
        <v>75</v>
      </c>
      <c r="DL37">
        <v>23</v>
      </c>
      <c r="DM37">
        <v>90.186666666700006</v>
      </c>
      <c r="DN37">
        <v>87</v>
      </c>
      <c r="DO37">
        <v>13</v>
      </c>
      <c r="DP37">
        <v>139.17241379309999</v>
      </c>
      <c r="DQ37">
        <v>144.92307692310001</v>
      </c>
    </row>
    <row r="38" spans="2:121" x14ac:dyDescent="0.2">
      <c r="B38" t="s">
        <v>1061</v>
      </c>
      <c r="C38">
        <v>113</v>
      </c>
      <c r="D38">
        <v>107</v>
      </c>
      <c r="F38" t="s">
        <v>52</v>
      </c>
      <c r="G38">
        <v>7445</v>
      </c>
      <c r="H38">
        <v>392.52034922770002</v>
      </c>
      <c r="I38">
        <v>9313</v>
      </c>
      <c r="J38">
        <v>2061</v>
      </c>
      <c r="K38">
        <v>8926</v>
      </c>
      <c r="L38">
        <v>6416</v>
      </c>
      <c r="M38">
        <v>1040</v>
      </c>
      <c r="N38">
        <v>878</v>
      </c>
      <c r="O38">
        <v>3924</v>
      </c>
      <c r="P38">
        <v>3291</v>
      </c>
      <c r="Q38">
        <v>4</v>
      </c>
      <c r="R38">
        <v>30</v>
      </c>
      <c r="T38" t="s">
        <v>381</v>
      </c>
      <c r="U38">
        <v>8879</v>
      </c>
      <c r="V38">
        <v>80.842549836700002</v>
      </c>
      <c r="W38">
        <v>9274</v>
      </c>
      <c r="X38">
        <v>1925</v>
      </c>
      <c r="Y38">
        <v>11150</v>
      </c>
      <c r="Z38">
        <v>2812</v>
      </c>
      <c r="AA38">
        <v>72</v>
      </c>
      <c r="AB38">
        <v>65</v>
      </c>
      <c r="AC38">
        <v>469</v>
      </c>
      <c r="AD38">
        <v>152</v>
      </c>
      <c r="AE38">
        <v>984</v>
      </c>
      <c r="AF38">
        <v>1935</v>
      </c>
      <c r="AH38" t="s">
        <v>392</v>
      </c>
      <c r="AI38">
        <v>6459</v>
      </c>
      <c r="AJ38">
        <v>421.83201734009998</v>
      </c>
      <c r="AK38">
        <v>7990</v>
      </c>
      <c r="AL38">
        <v>2195</v>
      </c>
      <c r="AM38">
        <v>11159</v>
      </c>
      <c r="AN38">
        <v>6333</v>
      </c>
      <c r="AO38">
        <v>1860</v>
      </c>
      <c r="AP38">
        <v>1104</v>
      </c>
      <c r="AQ38">
        <v>4271</v>
      </c>
      <c r="AR38">
        <v>2818</v>
      </c>
      <c r="AS38">
        <v>832</v>
      </c>
      <c r="AT38">
        <v>318</v>
      </c>
      <c r="AV38" t="s">
        <v>397</v>
      </c>
      <c r="AW38">
        <v>332</v>
      </c>
      <c r="AX38">
        <v>44.539156626500002</v>
      </c>
      <c r="AY38">
        <v>403</v>
      </c>
      <c r="AZ38">
        <v>38</v>
      </c>
      <c r="BA38">
        <v>456</v>
      </c>
      <c r="BB38">
        <v>18</v>
      </c>
      <c r="BC38">
        <v>1</v>
      </c>
      <c r="BE38">
        <v>22</v>
      </c>
      <c r="BF38">
        <v>9</v>
      </c>
      <c r="BG38">
        <v>64</v>
      </c>
      <c r="BH38">
        <v>43</v>
      </c>
      <c r="BJ38" t="s">
        <v>530</v>
      </c>
      <c r="BK38" t="s">
        <v>370</v>
      </c>
      <c r="BL38">
        <v>4562</v>
      </c>
      <c r="BM38">
        <v>1482</v>
      </c>
      <c r="BN38">
        <v>114.53989478299999</v>
      </c>
      <c r="BO38">
        <v>5159</v>
      </c>
      <c r="BP38">
        <v>701</v>
      </c>
      <c r="BQ38">
        <v>161.82942430700001</v>
      </c>
      <c r="BR38">
        <v>155.27674750360001</v>
      </c>
      <c r="BS38">
        <v>3988</v>
      </c>
      <c r="BT38">
        <v>1496</v>
      </c>
      <c r="BU38">
        <v>124.7259277834</v>
      </c>
      <c r="BV38">
        <v>4125</v>
      </c>
      <c r="BW38">
        <v>558</v>
      </c>
      <c r="BX38">
        <v>177.6935757576</v>
      </c>
      <c r="BY38">
        <v>171.8189964158</v>
      </c>
      <c r="CA38" t="s">
        <v>60</v>
      </c>
      <c r="CB38" t="s">
        <v>857</v>
      </c>
      <c r="CC38" t="s">
        <v>519</v>
      </c>
      <c r="CD38">
        <v>8402</v>
      </c>
      <c r="CE38">
        <v>1957</v>
      </c>
      <c r="CF38">
        <v>93.875148774099998</v>
      </c>
      <c r="CG38">
        <v>10890</v>
      </c>
      <c r="CH38">
        <v>1571</v>
      </c>
      <c r="CI38">
        <v>136.10955004589999</v>
      </c>
      <c r="CJ38">
        <v>126.0235518778</v>
      </c>
      <c r="CL38" t="s">
        <v>60</v>
      </c>
      <c r="CM38" t="s">
        <v>826</v>
      </c>
      <c r="CN38" t="s">
        <v>834</v>
      </c>
      <c r="CO38">
        <v>1241</v>
      </c>
      <c r="CP38">
        <v>166</v>
      </c>
      <c r="CQ38">
        <v>77.680096696199996</v>
      </c>
      <c r="CR38">
        <v>1900</v>
      </c>
      <c r="CS38">
        <v>274</v>
      </c>
      <c r="CT38">
        <v>90.108947368399996</v>
      </c>
      <c r="CU38">
        <v>100.0802919708</v>
      </c>
      <c r="CW38" t="s">
        <v>60</v>
      </c>
      <c r="CX38" t="s">
        <v>842</v>
      </c>
      <c r="CY38" t="s">
        <v>850</v>
      </c>
      <c r="CZ38">
        <v>271</v>
      </c>
      <c r="DA38">
        <v>77</v>
      </c>
      <c r="DB38">
        <v>91.453874538700006</v>
      </c>
      <c r="DC38">
        <v>181</v>
      </c>
      <c r="DD38">
        <v>24</v>
      </c>
      <c r="DE38">
        <v>136.30939226519999</v>
      </c>
      <c r="DF38">
        <v>154.125</v>
      </c>
      <c r="DH38" t="s">
        <v>60</v>
      </c>
      <c r="DI38" t="s">
        <v>810</v>
      </c>
      <c r="DJ38" t="s">
        <v>818</v>
      </c>
      <c r="DK38">
        <v>153</v>
      </c>
      <c r="DL38">
        <v>38</v>
      </c>
      <c r="DM38">
        <v>92.660130718999994</v>
      </c>
      <c r="DN38">
        <v>154</v>
      </c>
      <c r="DO38">
        <v>30</v>
      </c>
      <c r="DP38">
        <v>141.7922077922</v>
      </c>
      <c r="DQ38">
        <v>126.8</v>
      </c>
    </row>
    <row r="39" spans="2:121" x14ac:dyDescent="0.2">
      <c r="B39" t="s">
        <v>115</v>
      </c>
      <c r="C39">
        <v>3445</v>
      </c>
      <c r="D39">
        <v>1007</v>
      </c>
      <c r="F39" t="s">
        <v>60</v>
      </c>
      <c r="G39">
        <v>3843</v>
      </c>
      <c r="H39">
        <v>309.39734582360001</v>
      </c>
      <c r="I39">
        <v>4544</v>
      </c>
      <c r="J39">
        <v>1304</v>
      </c>
      <c r="K39">
        <v>5261</v>
      </c>
      <c r="L39">
        <v>3598</v>
      </c>
      <c r="M39">
        <v>3251</v>
      </c>
      <c r="N39">
        <v>2777</v>
      </c>
      <c r="O39">
        <v>2303</v>
      </c>
      <c r="P39">
        <v>213</v>
      </c>
      <c r="Q39">
        <v>0</v>
      </c>
      <c r="R39">
        <v>1</v>
      </c>
      <c r="T39" t="s">
        <v>370</v>
      </c>
      <c r="U39">
        <v>7808</v>
      </c>
      <c r="V39">
        <v>93.855917008199995</v>
      </c>
      <c r="W39">
        <v>10977</v>
      </c>
      <c r="X39">
        <v>2661</v>
      </c>
      <c r="Y39">
        <v>10272</v>
      </c>
      <c r="Z39">
        <v>3212</v>
      </c>
      <c r="AA39">
        <v>222</v>
      </c>
      <c r="AB39">
        <v>215</v>
      </c>
      <c r="AC39">
        <v>585</v>
      </c>
      <c r="AD39">
        <v>186</v>
      </c>
      <c r="AE39">
        <v>835</v>
      </c>
      <c r="AF39">
        <v>2454</v>
      </c>
      <c r="AH39" t="s">
        <v>413</v>
      </c>
      <c r="AI39">
        <v>2858</v>
      </c>
      <c r="AJ39">
        <v>318.99650104969999</v>
      </c>
      <c r="AK39">
        <v>5935</v>
      </c>
      <c r="AL39">
        <v>977</v>
      </c>
      <c r="AM39">
        <v>4194</v>
      </c>
      <c r="AN39">
        <v>2016</v>
      </c>
      <c r="AO39">
        <v>1323</v>
      </c>
      <c r="AP39">
        <v>618</v>
      </c>
      <c r="AQ39">
        <v>2581</v>
      </c>
      <c r="AR39">
        <v>1309</v>
      </c>
      <c r="AS39">
        <v>6</v>
      </c>
      <c r="AT39">
        <v>68</v>
      </c>
      <c r="AV39" t="s">
        <v>415</v>
      </c>
      <c r="AW39">
        <v>43</v>
      </c>
      <c r="AX39">
        <v>116.55813953489999</v>
      </c>
      <c r="AY39">
        <v>64</v>
      </c>
      <c r="AZ39">
        <v>14</v>
      </c>
      <c r="BA39">
        <v>58</v>
      </c>
      <c r="BB39">
        <v>23</v>
      </c>
      <c r="BC39">
        <v>2</v>
      </c>
      <c r="BD39">
        <v>2</v>
      </c>
      <c r="BE39">
        <v>0</v>
      </c>
      <c r="BG39">
        <v>9</v>
      </c>
      <c r="BH39">
        <v>19</v>
      </c>
      <c r="BJ39" t="s">
        <v>515</v>
      </c>
      <c r="BK39" t="s">
        <v>370</v>
      </c>
      <c r="BL39">
        <v>2318</v>
      </c>
      <c r="BM39">
        <v>407</v>
      </c>
      <c r="BN39">
        <v>76.786453839499998</v>
      </c>
      <c r="BO39">
        <v>7938</v>
      </c>
      <c r="BP39">
        <v>1308</v>
      </c>
      <c r="BQ39">
        <v>58.129629629599997</v>
      </c>
      <c r="BR39">
        <v>63.250764525999998</v>
      </c>
      <c r="BS39">
        <v>3587</v>
      </c>
      <c r="BT39">
        <v>894</v>
      </c>
      <c r="BU39">
        <v>95.388068023399995</v>
      </c>
      <c r="BV39">
        <v>9739</v>
      </c>
      <c r="BW39">
        <v>1564</v>
      </c>
      <c r="BX39">
        <v>81.761885203800006</v>
      </c>
      <c r="BY39">
        <v>79.326086956500006</v>
      </c>
      <c r="CA39" t="s">
        <v>383</v>
      </c>
      <c r="CB39" t="s">
        <v>857</v>
      </c>
      <c r="CC39" t="s">
        <v>989</v>
      </c>
      <c r="CD39">
        <v>16138</v>
      </c>
      <c r="CE39">
        <v>4075</v>
      </c>
      <c r="CF39">
        <v>96.052732680600002</v>
      </c>
      <c r="CG39">
        <v>19818</v>
      </c>
      <c r="CH39">
        <v>2865</v>
      </c>
      <c r="CI39">
        <v>142.85654455549999</v>
      </c>
      <c r="CJ39">
        <v>140.6478184991</v>
      </c>
      <c r="CL39" t="s">
        <v>383</v>
      </c>
      <c r="CM39" t="s">
        <v>826</v>
      </c>
      <c r="CN39" t="s">
        <v>835</v>
      </c>
      <c r="CO39">
        <v>1340</v>
      </c>
      <c r="CP39">
        <v>184</v>
      </c>
      <c r="CQ39">
        <v>74.361940298500002</v>
      </c>
      <c r="CR39">
        <v>1855</v>
      </c>
      <c r="CS39">
        <v>279</v>
      </c>
      <c r="CT39">
        <v>87.266307277600006</v>
      </c>
      <c r="CU39">
        <v>98.541218638000004</v>
      </c>
      <c r="CW39" t="s">
        <v>383</v>
      </c>
      <c r="CX39" t="s">
        <v>842</v>
      </c>
      <c r="CY39" t="s">
        <v>851</v>
      </c>
      <c r="CZ39">
        <v>604</v>
      </c>
      <c r="DA39">
        <v>184</v>
      </c>
      <c r="DB39">
        <v>98.476821192100005</v>
      </c>
      <c r="DC39">
        <v>444</v>
      </c>
      <c r="DD39">
        <v>74</v>
      </c>
      <c r="DE39">
        <v>153.29054054049999</v>
      </c>
      <c r="DF39">
        <v>162.27027027029999</v>
      </c>
      <c r="DH39" t="s">
        <v>383</v>
      </c>
      <c r="DI39" t="s">
        <v>810</v>
      </c>
      <c r="DJ39" t="s">
        <v>819</v>
      </c>
      <c r="DK39">
        <v>1130</v>
      </c>
      <c r="DL39">
        <v>296</v>
      </c>
      <c r="DM39">
        <v>87.611504424800003</v>
      </c>
      <c r="DN39">
        <v>819</v>
      </c>
      <c r="DO39">
        <v>135</v>
      </c>
      <c r="DP39">
        <v>146.82417582420001</v>
      </c>
      <c r="DQ39">
        <v>153.32592592590001</v>
      </c>
    </row>
    <row r="40" spans="2:121" x14ac:dyDescent="0.2">
      <c r="B40" t="s">
        <v>99</v>
      </c>
      <c r="C40">
        <v>16162</v>
      </c>
      <c r="D40">
        <v>2756</v>
      </c>
      <c r="F40" t="s">
        <v>49</v>
      </c>
      <c r="G40">
        <v>3929</v>
      </c>
      <c r="H40">
        <v>416.18299821839997</v>
      </c>
      <c r="I40">
        <v>4109</v>
      </c>
      <c r="J40">
        <v>1356</v>
      </c>
      <c r="K40">
        <v>6060</v>
      </c>
      <c r="L40">
        <v>4520</v>
      </c>
      <c r="M40">
        <v>2113</v>
      </c>
      <c r="N40">
        <v>1619</v>
      </c>
      <c r="O40">
        <v>2022</v>
      </c>
      <c r="P40">
        <v>1653</v>
      </c>
      <c r="Q40">
        <v>46</v>
      </c>
      <c r="R40">
        <v>195</v>
      </c>
      <c r="T40" t="s">
        <v>8</v>
      </c>
      <c r="U40">
        <v>155</v>
      </c>
      <c r="V40">
        <v>81.832258064499996</v>
      </c>
      <c r="W40">
        <v>210</v>
      </c>
      <c r="X40">
        <v>103</v>
      </c>
      <c r="Y40">
        <v>338</v>
      </c>
      <c r="Z40">
        <v>153</v>
      </c>
      <c r="AA40">
        <v>10</v>
      </c>
      <c r="AB40">
        <v>9</v>
      </c>
      <c r="AC40">
        <v>11</v>
      </c>
      <c r="AD40">
        <v>4</v>
      </c>
      <c r="AE40">
        <v>36</v>
      </c>
      <c r="AF40">
        <v>26</v>
      </c>
      <c r="AH40" t="s">
        <v>410</v>
      </c>
      <c r="AI40">
        <v>7359</v>
      </c>
      <c r="AJ40">
        <v>452.63364587580003</v>
      </c>
      <c r="AK40">
        <v>4641</v>
      </c>
      <c r="AL40">
        <v>1231</v>
      </c>
      <c r="AM40">
        <v>9981</v>
      </c>
      <c r="AN40">
        <v>7721</v>
      </c>
      <c r="AO40">
        <v>3008</v>
      </c>
      <c r="AP40">
        <v>2680</v>
      </c>
      <c r="AQ40">
        <v>2822</v>
      </c>
      <c r="AR40">
        <v>1647</v>
      </c>
      <c r="AS40">
        <v>8</v>
      </c>
      <c r="AT40">
        <v>82</v>
      </c>
      <c r="AV40" t="s">
        <v>411</v>
      </c>
      <c r="AW40">
        <v>890</v>
      </c>
      <c r="AX40">
        <v>48.162921348300003</v>
      </c>
      <c r="AY40">
        <v>1368</v>
      </c>
      <c r="AZ40">
        <v>58</v>
      </c>
      <c r="BA40">
        <v>1271</v>
      </c>
      <c r="BB40">
        <v>53</v>
      </c>
      <c r="BC40">
        <v>8</v>
      </c>
      <c r="BD40">
        <v>6</v>
      </c>
      <c r="BE40">
        <v>71</v>
      </c>
      <c r="BF40">
        <v>39</v>
      </c>
      <c r="BG40">
        <v>1338</v>
      </c>
      <c r="BH40">
        <v>282</v>
      </c>
      <c r="BJ40" t="s">
        <v>536</v>
      </c>
      <c r="BK40" t="s">
        <v>370</v>
      </c>
      <c r="BL40">
        <v>10387</v>
      </c>
      <c r="BM40">
        <v>2826</v>
      </c>
      <c r="BN40">
        <v>94.713776836400001</v>
      </c>
      <c r="BO40">
        <v>12555</v>
      </c>
      <c r="BP40">
        <v>2022</v>
      </c>
      <c r="BQ40">
        <v>139.87654320990001</v>
      </c>
      <c r="BR40">
        <v>130.3976261128</v>
      </c>
      <c r="BS40">
        <v>10007</v>
      </c>
      <c r="BT40">
        <v>2606</v>
      </c>
      <c r="BU40">
        <v>91.644748675900004</v>
      </c>
      <c r="BV40">
        <v>12702</v>
      </c>
      <c r="BW40">
        <v>1993</v>
      </c>
      <c r="BX40">
        <v>135.78609667769999</v>
      </c>
      <c r="BY40">
        <v>130.5293527346</v>
      </c>
      <c r="CA40" t="s">
        <v>376</v>
      </c>
      <c r="CB40" t="s">
        <v>857</v>
      </c>
      <c r="CC40" t="s">
        <v>990</v>
      </c>
      <c r="CD40">
        <v>8270</v>
      </c>
      <c r="CE40">
        <v>2453</v>
      </c>
      <c r="CF40">
        <v>109.06299879079999</v>
      </c>
      <c r="CG40">
        <v>11751</v>
      </c>
      <c r="CH40">
        <v>1627</v>
      </c>
      <c r="CI40">
        <v>144.1417751681</v>
      </c>
      <c r="CJ40">
        <v>134.26920712969999</v>
      </c>
      <c r="CL40" t="s">
        <v>376</v>
      </c>
      <c r="CM40" t="s">
        <v>826</v>
      </c>
      <c r="CN40" t="s">
        <v>836</v>
      </c>
      <c r="CO40">
        <v>1534</v>
      </c>
      <c r="CP40">
        <v>179</v>
      </c>
      <c r="CQ40">
        <v>72.990873533200002</v>
      </c>
      <c r="CR40">
        <v>2249</v>
      </c>
      <c r="CS40">
        <v>325</v>
      </c>
      <c r="CT40">
        <v>88.481547354400007</v>
      </c>
      <c r="CU40">
        <v>100.54461538459999</v>
      </c>
      <c r="CW40" t="s">
        <v>376</v>
      </c>
      <c r="CX40" t="s">
        <v>842</v>
      </c>
      <c r="CY40" t="s">
        <v>852</v>
      </c>
      <c r="CZ40">
        <v>207</v>
      </c>
      <c r="DA40">
        <v>73</v>
      </c>
      <c r="DB40">
        <v>97.743961352699998</v>
      </c>
      <c r="DC40">
        <v>153</v>
      </c>
      <c r="DD40">
        <v>19</v>
      </c>
      <c r="DE40">
        <v>144.045751634</v>
      </c>
      <c r="DF40">
        <v>173.7894736842</v>
      </c>
      <c r="DH40" t="s">
        <v>376</v>
      </c>
      <c r="DI40" t="s">
        <v>810</v>
      </c>
      <c r="DJ40" t="s">
        <v>820</v>
      </c>
      <c r="DK40">
        <v>129</v>
      </c>
      <c r="DL40">
        <v>30</v>
      </c>
      <c r="DM40">
        <v>83.372093023299996</v>
      </c>
      <c r="DN40">
        <v>161</v>
      </c>
      <c r="DO40">
        <v>17</v>
      </c>
      <c r="DP40">
        <v>133.5590062112</v>
      </c>
      <c r="DQ40">
        <v>157.23529411760001</v>
      </c>
    </row>
    <row r="41" spans="2:121" x14ac:dyDescent="0.2">
      <c r="B41" t="s">
        <v>124</v>
      </c>
      <c r="C41">
        <v>255</v>
      </c>
      <c r="D41">
        <v>102</v>
      </c>
      <c r="F41" t="s">
        <v>25</v>
      </c>
      <c r="G41">
        <v>13110</v>
      </c>
      <c r="H41">
        <v>350.3512585812</v>
      </c>
      <c r="I41">
        <v>16315</v>
      </c>
      <c r="J41">
        <v>4467</v>
      </c>
      <c r="K41">
        <v>18541</v>
      </c>
      <c r="L41">
        <v>13439</v>
      </c>
      <c r="M41">
        <v>7430</v>
      </c>
      <c r="N41">
        <v>4954</v>
      </c>
      <c r="O41">
        <v>10840</v>
      </c>
      <c r="P41">
        <v>10055</v>
      </c>
      <c r="Q41">
        <v>64</v>
      </c>
      <c r="R41">
        <v>7</v>
      </c>
      <c r="T41" t="s">
        <v>386</v>
      </c>
      <c r="U41">
        <v>2599</v>
      </c>
      <c r="V41">
        <v>47.635629088100004</v>
      </c>
      <c r="W41">
        <v>3133</v>
      </c>
      <c r="X41">
        <v>198</v>
      </c>
      <c r="Y41">
        <v>3409</v>
      </c>
      <c r="Z41">
        <v>165</v>
      </c>
      <c r="AA41">
        <v>20</v>
      </c>
      <c r="AB41">
        <v>16</v>
      </c>
      <c r="AC41">
        <v>170</v>
      </c>
      <c r="AD41">
        <v>68</v>
      </c>
      <c r="AE41">
        <v>2754</v>
      </c>
      <c r="AF41">
        <v>508</v>
      </c>
      <c r="AH41" t="s">
        <v>8</v>
      </c>
      <c r="AI41">
        <v>4022</v>
      </c>
      <c r="AJ41">
        <v>385.56887120840003</v>
      </c>
      <c r="AK41">
        <v>4183</v>
      </c>
      <c r="AL41">
        <v>1828</v>
      </c>
      <c r="AM41">
        <v>5526</v>
      </c>
      <c r="AN41">
        <v>3989</v>
      </c>
      <c r="AO41">
        <v>1479</v>
      </c>
      <c r="AP41">
        <v>852</v>
      </c>
      <c r="AQ41">
        <v>1785</v>
      </c>
      <c r="AR41">
        <v>1136</v>
      </c>
      <c r="AS41">
        <v>454</v>
      </c>
      <c r="AT41">
        <v>148</v>
      </c>
      <c r="AV41" t="s">
        <v>417</v>
      </c>
      <c r="AW41">
        <v>144</v>
      </c>
      <c r="AX41">
        <v>95.388888888899999</v>
      </c>
      <c r="AY41">
        <v>151</v>
      </c>
      <c r="AZ41">
        <v>26</v>
      </c>
      <c r="BA41">
        <v>188</v>
      </c>
      <c r="BB41">
        <v>59</v>
      </c>
      <c r="BC41">
        <v>1</v>
      </c>
      <c r="BD41">
        <v>1</v>
      </c>
      <c r="BE41">
        <v>5</v>
      </c>
      <c r="BF41">
        <v>2</v>
      </c>
      <c r="BG41">
        <v>20</v>
      </c>
      <c r="BH41">
        <v>34</v>
      </c>
      <c r="BJ41" t="s">
        <v>628</v>
      </c>
      <c r="BK41" t="s">
        <v>370</v>
      </c>
      <c r="BL41">
        <v>1395</v>
      </c>
      <c r="BM41">
        <v>163</v>
      </c>
      <c r="BN41">
        <v>74.669534050199999</v>
      </c>
      <c r="BO41">
        <v>1723</v>
      </c>
      <c r="BP41">
        <v>223</v>
      </c>
      <c r="BQ41">
        <v>110.75043528729999</v>
      </c>
      <c r="BR41">
        <v>125.3497757848</v>
      </c>
      <c r="BS41">
        <v>4645</v>
      </c>
      <c r="BT41">
        <v>1400</v>
      </c>
      <c r="BU41">
        <v>109.1407965554</v>
      </c>
      <c r="BV41">
        <v>6829</v>
      </c>
      <c r="BW41">
        <v>1014</v>
      </c>
      <c r="BX41">
        <v>136.66246888270001</v>
      </c>
      <c r="BY41">
        <v>144.19230769230001</v>
      </c>
      <c r="CA41" t="s">
        <v>373</v>
      </c>
      <c r="CB41" t="s">
        <v>857</v>
      </c>
      <c r="CC41" t="s">
        <v>991</v>
      </c>
      <c r="CD41">
        <v>827</v>
      </c>
      <c r="CE41">
        <v>186</v>
      </c>
      <c r="CF41">
        <v>88.871825876700001</v>
      </c>
      <c r="CG41">
        <v>1250</v>
      </c>
      <c r="CH41">
        <v>212</v>
      </c>
      <c r="CI41">
        <v>116.71040000000001</v>
      </c>
      <c r="CJ41">
        <v>117.27830188679999</v>
      </c>
      <c r="CL41" t="s">
        <v>373</v>
      </c>
      <c r="CM41" t="s">
        <v>826</v>
      </c>
      <c r="CN41" t="s">
        <v>837</v>
      </c>
      <c r="CO41">
        <v>111</v>
      </c>
      <c r="CP41">
        <v>13</v>
      </c>
      <c r="CQ41">
        <v>70.837837837799995</v>
      </c>
      <c r="CR41">
        <v>185</v>
      </c>
      <c r="CS41">
        <v>21</v>
      </c>
      <c r="CT41">
        <v>93.124324324300005</v>
      </c>
      <c r="CU41">
        <v>96.333333333300004</v>
      </c>
      <c r="CW41" t="s">
        <v>373</v>
      </c>
      <c r="CX41" t="s">
        <v>842</v>
      </c>
      <c r="CY41" t="s">
        <v>853</v>
      </c>
      <c r="CZ41">
        <v>12</v>
      </c>
      <c r="DA41">
        <v>5</v>
      </c>
      <c r="DB41">
        <v>94.166666666699996</v>
      </c>
      <c r="DC41">
        <v>10</v>
      </c>
      <c r="DD41">
        <v>2</v>
      </c>
      <c r="DE41">
        <v>180.5</v>
      </c>
      <c r="DF41">
        <v>272</v>
      </c>
      <c r="DH41" t="s">
        <v>373</v>
      </c>
      <c r="DI41" t="s">
        <v>810</v>
      </c>
      <c r="DJ41" t="s">
        <v>821</v>
      </c>
      <c r="DK41">
        <v>7</v>
      </c>
      <c r="DL41">
        <v>4</v>
      </c>
      <c r="DM41">
        <v>112.7142857143</v>
      </c>
      <c r="DN41">
        <v>12</v>
      </c>
      <c r="DO41">
        <v>2</v>
      </c>
      <c r="DP41">
        <v>123</v>
      </c>
      <c r="DQ41">
        <v>118</v>
      </c>
    </row>
    <row r="42" spans="2:121" x14ac:dyDescent="0.2">
      <c r="B42" t="s">
        <v>105</v>
      </c>
      <c r="C42">
        <v>7407</v>
      </c>
      <c r="D42">
        <v>5918</v>
      </c>
      <c r="F42" t="s">
        <v>32</v>
      </c>
      <c r="G42">
        <v>2021</v>
      </c>
      <c r="H42">
        <v>470.99851558630002</v>
      </c>
      <c r="I42">
        <v>1201</v>
      </c>
      <c r="J42">
        <v>368</v>
      </c>
      <c r="K42">
        <v>2746</v>
      </c>
      <c r="L42">
        <v>2068</v>
      </c>
      <c r="M42">
        <v>2120</v>
      </c>
      <c r="N42">
        <v>1759</v>
      </c>
      <c r="O42">
        <v>535</v>
      </c>
      <c r="P42">
        <v>261</v>
      </c>
      <c r="Q42">
        <v>0</v>
      </c>
      <c r="R42">
        <v>2</v>
      </c>
      <c r="T42" t="s">
        <v>405</v>
      </c>
      <c r="U42">
        <v>1816</v>
      </c>
      <c r="V42">
        <v>48.515418502199999</v>
      </c>
      <c r="W42">
        <v>3186</v>
      </c>
      <c r="X42">
        <v>168</v>
      </c>
      <c r="Y42">
        <v>2479</v>
      </c>
      <c r="Z42">
        <v>129</v>
      </c>
      <c r="AA42">
        <v>18</v>
      </c>
      <c r="AB42">
        <v>10</v>
      </c>
      <c r="AC42">
        <v>157</v>
      </c>
      <c r="AD42">
        <v>73</v>
      </c>
      <c r="AE42">
        <v>2922</v>
      </c>
      <c r="AF42">
        <v>525</v>
      </c>
      <c r="AH42" t="s">
        <v>376</v>
      </c>
      <c r="AI42">
        <v>7569</v>
      </c>
      <c r="AJ42">
        <v>453.25234509180001</v>
      </c>
      <c r="AK42">
        <v>8629</v>
      </c>
      <c r="AL42">
        <v>2523</v>
      </c>
      <c r="AM42">
        <v>11674</v>
      </c>
      <c r="AN42">
        <v>8632</v>
      </c>
      <c r="AO42">
        <v>2023</v>
      </c>
      <c r="AP42">
        <v>1273</v>
      </c>
      <c r="AQ42">
        <v>6477</v>
      </c>
      <c r="AR42">
        <v>5135</v>
      </c>
      <c r="AS42">
        <v>1432</v>
      </c>
      <c r="AT42">
        <v>12</v>
      </c>
      <c r="AV42" t="s">
        <v>60</v>
      </c>
      <c r="AW42">
        <v>1301</v>
      </c>
      <c r="AX42">
        <v>98.141429669499999</v>
      </c>
      <c r="AY42">
        <v>2226</v>
      </c>
      <c r="AZ42">
        <v>584</v>
      </c>
      <c r="BA42">
        <v>1768</v>
      </c>
      <c r="BB42">
        <v>590</v>
      </c>
      <c r="BC42">
        <v>16</v>
      </c>
      <c r="BD42">
        <v>15</v>
      </c>
      <c r="BE42">
        <v>75</v>
      </c>
      <c r="BF42">
        <v>25</v>
      </c>
      <c r="BG42">
        <v>125</v>
      </c>
      <c r="BH42">
        <v>374</v>
      </c>
      <c r="BJ42" t="s">
        <v>630</v>
      </c>
      <c r="BK42" t="s">
        <v>370</v>
      </c>
      <c r="BL42">
        <v>535</v>
      </c>
      <c r="BM42">
        <v>146</v>
      </c>
      <c r="BN42">
        <v>100.1962616822</v>
      </c>
      <c r="BO42">
        <v>521</v>
      </c>
      <c r="BP42">
        <v>109</v>
      </c>
      <c r="BQ42">
        <v>139.72168905949999</v>
      </c>
      <c r="BR42">
        <v>129.90825688070001</v>
      </c>
      <c r="BS42">
        <v>755</v>
      </c>
      <c r="BT42">
        <v>187</v>
      </c>
      <c r="BU42">
        <v>96.282119205300006</v>
      </c>
      <c r="BV42">
        <v>755</v>
      </c>
      <c r="BW42">
        <v>116</v>
      </c>
      <c r="BX42">
        <v>164.43973509930001</v>
      </c>
      <c r="BY42">
        <v>142.7413793103</v>
      </c>
      <c r="CA42" t="s">
        <v>418</v>
      </c>
      <c r="CB42" t="s">
        <v>857</v>
      </c>
      <c r="CC42" t="s">
        <v>992</v>
      </c>
      <c r="CD42">
        <v>476</v>
      </c>
      <c r="CE42">
        <v>112</v>
      </c>
      <c r="CF42">
        <v>95.743697479000005</v>
      </c>
      <c r="CG42">
        <v>536</v>
      </c>
      <c r="CH42">
        <v>99</v>
      </c>
      <c r="CI42">
        <v>137.9123134328</v>
      </c>
      <c r="CJ42">
        <v>122.44444444440001</v>
      </c>
      <c r="CL42" t="s">
        <v>418</v>
      </c>
      <c r="CM42" t="s">
        <v>826</v>
      </c>
      <c r="CN42" t="s">
        <v>838</v>
      </c>
      <c r="CO42">
        <v>51</v>
      </c>
      <c r="CP42">
        <v>6</v>
      </c>
      <c r="CQ42">
        <v>67.588235294100002</v>
      </c>
      <c r="CR42">
        <v>61</v>
      </c>
      <c r="CS42">
        <v>14</v>
      </c>
      <c r="CT42">
        <v>94.622950819699994</v>
      </c>
      <c r="CU42">
        <v>84.928571428599994</v>
      </c>
      <c r="CW42" t="s">
        <v>418</v>
      </c>
      <c r="CX42" t="s">
        <v>842</v>
      </c>
      <c r="CY42" t="s">
        <v>854</v>
      </c>
      <c r="CZ42">
        <v>4</v>
      </c>
      <c r="DA42">
        <v>2</v>
      </c>
      <c r="DB42">
        <v>92</v>
      </c>
      <c r="DC42">
        <v>5</v>
      </c>
      <c r="DD42">
        <v>0</v>
      </c>
      <c r="DE42">
        <v>125</v>
      </c>
      <c r="DF42">
        <v>0</v>
      </c>
      <c r="DH42" t="s">
        <v>418</v>
      </c>
      <c r="DI42" t="s">
        <v>810</v>
      </c>
      <c r="DJ42" t="s">
        <v>822</v>
      </c>
      <c r="DK42">
        <v>3</v>
      </c>
      <c r="DL42">
        <v>0</v>
      </c>
      <c r="DM42">
        <v>81</v>
      </c>
      <c r="DN42">
        <v>6</v>
      </c>
      <c r="DO42">
        <v>0</v>
      </c>
      <c r="DP42">
        <v>106</v>
      </c>
      <c r="DQ42">
        <v>0</v>
      </c>
    </row>
    <row r="43" spans="2:121" x14ac:dyDescent="0.2">
      <c r="B43" t="s">
        <v>113</v>
      </c>
      <c r="C43">
        <v>16203</v>
      </c>
      <c r="D43">
        <v>4497</v>
      </c>
      <c r="F43" t="s">
        <v>66</v>
      </c>
      <c r="G43">
        <v>6674</v>
      </c>
      <c r="H43">
        <v>458.00854060530003</v>
      </c>
      <c r="I43">
        <v>4405</v>
      </c>
      <c r="J43">
        <v>1163</v>
      </c>
      <c r="K43">
        <v>8203</v>
      </c>
      <c r="L43">
        <v>6302</v>
      </c>
      <c r="M43">
        <v>2942</v>
      </c>
      <c r="N43">
        <v>2754</v>
      </c>
      <c r="O43">
        <v>1952</v>
      </c>
      <c r="P43">
        <v>1158</v>
      </c>
      <c r="Q43">
        <v>1</v>
      </c>
      <c r="R43">
        <v>79</v>
      </c>
      <c r="AH43" t="s">
        <v>428</v>
      </c>
      <c r="AI43">
        <v>1801</v>
      </c>
      <c r="AJ43">
        <v>311.79344808439998</v>
      </c>
      <c r="AK43">
        <v>3139</v>
      </c>
      <c r="AL43">
        <v>902</v>
      </c>
      <c r="AM43">
        <v>4504</v>
      </c>
      <c r="AN43">
        <v>2332</v>
      </c>
      <c r="AO43">
        <v>927</v>
      </c>
      <c r="AP43">
        <v>675</v>
      </c>
      <c r="AQ43">
        <v>1617</v>
      </c>
      <c r="AR43">
        <v>1157</v>
      </c>
      <c r="AS43">
        <v>406</v>
      </c>
      <c r="AT43">
        <v>4</v>
      </c>
      <c r="AV43" t="s">
        <v>412</v>
      </c>
      <c r="AW43">
        <v>311</v>
      </c>
      <c r="AX43">
        <v>43.022508038600002</v>
      </c>
      <c r="AY43">
        <v>265</v>
      </c>
      <c r="AZ43">
        <v>31</v>
      </c>
      <c r="BA43">
        <v>398</v>
      </c>
      <c r="BB43">
        <v>20</v>
      </c>
      <c r="BC43">
        <v>4</v>
      </c>
      <c r="BD43">
        <v>3</v>
      </c>
      <c r="BE43">
        <v>18</v>
      </c>
      <c r="BF43">
        <v>1</v>
      </c>
      <c r="BG43">
        <v>71</v>
      </c>
      <c r="BH43">
        <v>25</v>
      </c>
      <c r="BJ43" t="s">
        <v>644</v>
      </c>
      <c r="BK43" t="s">
        <v>370</v>
      </c>
      <c r="BL43">
        <v>715</v>
      </c>
      <c r="BM43">
        <v>203</v>
      </c>
      <c r="BN43">
        <v>101.7426573427</v>
      </c>
      <c r="BO43">
        <v>958</v>
      </c>
      <c r="BP43">
        <v>148</v>
      </c>
      <c r="BQ43">
        <v>144.97181628390001</v>
      </c>
      <c r="BR43">
        <v>151.58783783780001</v>
      </c>
      <c r="BS43">
        <v>590</v>
      </c>
      <c r="BT43">
        <v>104</v>
      </c>
      <c r="BU43">
        <v>78.272881355899997</v>
      </c>
      <c r="BV43">
        <v>496</v>
      </c>
      <c r="BW43">
        <v>112</v>
      </c>
      <c r="BX43">
        <v>122.89717741939999</v>
      </c>
      <c r="BY43">
        <v>131.1428571429</v>
      </c>
      <c r="CA43" t="s">
        <v>379</v>
      </c>
      <c r="CB43" t="s">
        <v>857</v>
      </c>
      <c r="CC43" t="s">
        <v>993</v>
      </c>
      <c r="CD43">
        <v>10118</v>
      </c>
      <c r="CE43">
        <v>2703</v>
      </c>
      <c r="CF43">
        <v>93.970349871500005</v>
      </c>
      <c r="CG43">
        <v>13205</v>
      </c>
      <c r="CH43">
        <v>2058</v>
      </c>
      <c r="CI43">
        <v>135.32904202949999</v>
      </c>
      <c r="CJ43">
        <v>127.20456754129999</v>
      </c>
      <c r="CL43" t="s">
        <v>379</v>
      </c>
      <c r="CM43" t="s">
        <v>826</v>
      </c>
      <c r="CN43" t="s">
        <v>839</v>
      </c>
      <c r="CO43">
        <v>776</v>
      </c>
      <c r="CP43">
        <v>122</v>
      </c>
      <c r="CQ43">
        <v>77.145618556700001</v>
      </c>
      <c r="CR43">
        <v>1226</v>
      </c>
      <c r="CS43">
        <v>181</v>
      </c>
      <c r="CT43">
        <v>95.521207177799994</v>
      </c>
      <c r="CU43">
        <v>108.0331491713</v>
      </c>
      <c r="CW43" t="s">
        <v>379</v>
      </c>
      <c r="CX43" t="s">
        <v>842</v>
      </c>
      <c r="CY43" t="s">
        <v>855</v>
      </c>
      <c r="CZ43">
        <v>673</v>
      </c>
      <c r="DA43">
        <v>230</v>
      </c>
      <c r="DB43">
        <v>98.677563150099999</v>
      </c>
      <c r="DC43">
        <v>487</v>
      </c>
      <c r="DD43">
        <v>83</v>
      </c>
      <c r="DE43">
        <v>165.8501026694</v>
      </c>
      <c r="DF43">
        <v>162.95180722890001</v>
      </c>
      <c r="DH43" t="s">
        <v>379</v>
      </c>
      <c r="DI43" t="s">
        <v>810</v>
      </c>
      <c r="DJ43" t="s">
        <v>823</v>
      </c>
      <c r="DK43">
        <v>1129</v>
      </c>
      <c r="DL43">
        <v>392</v>
      </c>
      <c r="DM43">
        <v>99.269264836100007</v>
      </c>
      <c r="DN43">
        <v>828</v>
      </c>
      <c r="DO43">
        <v>136</v>
      </c>
      <c r="DP43">
        <v>154.97584541059999</v>
      </c>
      <c r="DQ43">
        <v>163.5588235294</v>
      </c>
    </row>
    <row r="44" spans="2:121" x14ac:dyDescent="0.2">
      <c r="B44" t="s">
        <v>112</v>
      </c>
      <c r="C44">
        <v>8189</v>
      </c>
      <c r="D44">
        <v>694</v>
      </c>
      <c r="F44" t="s">
        <v>75</v>
      </c>
      <c r="G44">
        <v>4398</v>
      </c>
      <c r="H44">
        <v>244.83583447020001</v>
      </c>
      <c r="I44">
        <v>5912</v>
      </c>
      <c r="J44">
        <v>1253</v>
      </c>
      <c r="K44">
        <v>6012</v>
      </c>
      <c r="L44">
        <v>3591</v>
      </c>
      <c r="M44">
        <v>2281</v>
      </c>
      <c r="N44">
        <v>1764</v>
      </c>
      <c r="O44">
        <v>4389</v>
      </c>
      <c r="P44">
        <v>3890</v>
      </c>
      <c r="Q44">
        <v>0</v>
      </c>
      <c r="R44">
        <v>60</v>
      </c>
      <c r="AH44" t="s">
        <v>373</v>
      </c>
      <c r="AI44">
        <v>310</v>
      </c>
      <c r="AJ44">
        <v>264.63225806449998</v>
      </c>
      <c r="AK44">
        <v>817</v>
      </c>
      <c r="AL44">
        <v>198</v>
      </c>
      <c r="AM44">
        <v>637</v>
      </c>
      <c r="AN44">
        <v>334</v>
      </c>
      <c r="AO44">
        <v>273</v>
      </c>
      <c r="AP44">
        <v>172</v>
      </c>
      <c r="AQ44">
        <v>205</v>
      </c>
      <c r="AR44">
        <v>111</v>
      </c>
      <c r="AS44">
        <v>208</v>
      </c>
      <c r="AT44">
        <v>2</v>
      </c>
      <c r="AV44" t="s">
        <v>395</v>
      </c>
      <c r="AW44">
        <v>470</v>
      </c>
      <c r="AX44">
        <v>53.880851063800002</v>
      </c>
      <c r="AY44">
        <v>843</v>
      </c>
      <c r="AZ44">
        <v>107</v>
      </c>
      <c r="BA44">
        <v>658</v>
      </c>
      <c r="BB44">
        <v>41</v>
      </c>
      <c r="BC44">
        <v>1</v>
      </c>
      <c r="BD44">
        <v>1</v>
      </c>
      <c r="BE44">
        <v>40</v>
      </c>
      <c r="BF44">
        <v>11</v>
      </c>
      <c r="BG44">
        <v>97</v>
      </c>
      <c r="BH44">
        <v>117</v>
      </c>
      <c r="BJ44" t="s">
        <v>544</v>
      </c>
      <c r="BK44" t="s">
        <v>370</v>
      </c>
      <c r="BL44">
        <v>16879</v>
      </c>
      <c r="BM44">
        <v>4199</v>
      </c>
      <c r="BN44">
        <v>95.455121748899998</v>
      </c>
      <c r="BO44">
        <v>19958</v>
      </c>
      <c r="BP44">
        <v>2791</v>
      </c>
      <c r="BQ44">
        <v>149.032869025</v>
      </c>
      <c r="BR44">
        <v>148.91974202790001</v>
      </c>
      <c r="BS44">
        <v>13268</v>
      </c>
      <c r="BT44">
        <v>2033</v>
      </c>
      <c r="BU44">
        <v>77.942267108799996</v>
      </c>
      <c r="BV44">
        <v>12743</v>
      </c>
      <c r="BW44">
        <v>1793</v>
      </c>
      <c r="BX44">
        <v>139.73852311069999</v>
      </c>
      <c r="BY44">
        <v>135.93697713329999</v>
      </c>
      <c r="CA44" t="s">
        <v>380</v>
      </c>
      <c r="CB44" t="s">
        <v>857</v>
      </c>
      <c r="CC44" t="s">
        <v>994</v>
      </c>
      <c r="CD44">
        <v>2670</v>
      </c>
      <c r="CE44">
        <v>556</v>
      </c>
      <c r="CF44">
        <v>88.226217228500005</v>
      </c>
      <c r="CG44">
        <v>3177</v>
      </c>
      <c r="CH44">
        <v>415</v>
      </c>
      <c r="CI44">
        <v>122.7393767705</v>
      </c>
      <c r="CJ44">
        <v>132.4481927711</v>
      </c>
      <c r="CL44" t="s">
        <v>380</v>
      </c>
      <c r="CM44" t="s">
        <v>826</v>
      </c>
      <c r="CN44" t="s">
        <v>840</v>
      </c>
      <c r="CO44">
        <v>241</v>
      </c>
      <c r="CP44">
        <v>32</v>
      </c>
      <c r="CQ44">
        <v>78.029045643200007</v>
      </c>
      <c r="CR44">
        <v>425</v>
      </c>
      <c r="CS44">
        <v>60</v>
      </c>
      <c r="CT44">
        <v>91.409411764699996</v>
      </c>
      <c r="CU44">
        <v>100.0666666667</v>
      </c>
      <c r="CW44" t="s">
        <v>380</v>
      </c>
      <c r="CX44" t="s">
        <v>842</v>
      </c>
      <c r="CY44" t="s">
        <v>856</v>
      </c>
      <c r="CZ44">
        <v>21</v>
      </c>
      <c r="DA44">
        <v>6</v>
      </c>
      <c r="DB44">
        <v>89.904761904799997</v>
      </c>
      <c r="DC44">
        <v>19</v>
      </c>
      <c r="DD44">
        <v>2</v>
      </c>
      <c r="DE44">
        <v>147.36842105260001</v>
      </c>
      <c r="DF44">
        <v>138</v>
      </c>
      <c r="DH44" t="s">
        <v>380</v>
      </c>
      <c r="DI44" t="s">
        <v>810</v>
      </c>
      <c r="DJ44" t="s">
        <v>824</v>
      </c>
      <c r="DK44">
        <v>27</v>
      </c>
      <c r="DL44">
        <v>8</v>
      </c>
      <c r="DM44">
        <v>99.777777777799997</v>
      </c>
      <c r="DN44">
        <v>29</v>
      </c>
      <c r="DO44">
        <v>7</v>
      </c>
      <c r="DP44">
        <v>146.5172413793</v>
      </c>
      <c r="DQ44">
        <v>167.8571428571</v>
      </c>
    </row>
    <row r="45" spans="2:121" x14ac:dyDescent="0.2">
      <c r="B45" t="s">
        <v>126</v>
      </c>
      <c r="C45">
        <v>10172</v>
      </c>
      <c r="D45">
        <v>7341</v>
      </c>
      <c r="F45" t="s">
        <v>63</v>
      </c>
      <c r="G45">
        <v>5858</v>
      </c>
      <c r="H45">
        <v>403.26271765109999</v>
      </c>
      <c r="I45">
        <v>11279</v>
      </c>
      <c r="J45">
        <v>3126</v>
      </c>
      <c r="K45">
        <v>9139</v>
      </c>
      <c r="L45">
        <v>6804</v>
      </c>
      <c r="M45">
        <v>2302</v>
      </c>
      <c r="N45">
        <v>872</v>
      </c>
      <c r="O45">
        <v>7295</v>
      </c>
      <c r="P45">
        <v>6360</v>
      </c>
      <c r="Q45">
        <v>12651</v>
      </c>
      <c r="R45">
        <v>0</v>
      </c>
      <c r="AH45" t="s">
        <v>384</v>
      </c>
      <c r="AI45">
        <v>10026</v>
      </c>
      <c r="AJ45">
        <v>341.4737682027</v>
      </c>
      <c r="AK45">
        <v>9387</v>
      </c>
      <c r="AL45">
        <v>2659</v>
      </c>
      <c r="AM45">
        <v>13639</v>
      </c>
      <c r="AN45">
        <v>9854</v>
      </c>
      <c r="AO45">
        <v>2883</v>
      </c>
      <c r="AP45">
        <v>1705</v>
      </c>
      <c r="AQ45">
        <v>3233</v>
      </c>
      <c r="AR45">
        <v>1809</v>
      </c>
      <c r="AS45">
        <v>657</v>
      </c>
      <c r="AT45">
        <v>63</v>
      </c>
      <c r="AV45" t="s">
        <v>422</v>
      </c>
      <c r="AW45">
        <v>21</v>
      </c>
      <c r="AX45">
        <v>57.666666666700003</v>
      </c>
      <c r="AY45">
        <v>15</v>
      </c>
      <c r="AZ45">
        <v>2</v>
      </c>
      <c r="BA45">
        <v>32</v>
      </c>
      <c r="BB45">
        <v>5</v>
      </c>
      <c r="BC45">
        <v>0</v>
      </c>
      <c r="BE45">
        <v>1</v>
      </c>
      <c r="BG45">
        <v>57</v>
      </c>
      <c r="BH45">
        <v>3</v>
      </c>
      <c r="BJ45" t="s">
        <v>8</v>
      </c>
      <c r="BK45" t="s">
        <v>8</v>
      </c>
      <c r="BL45">
        <v>160</v>
      </c>
      <c r="BM45">
        <v>96</v>
      </c>
      <c r="BN45">
        <v>198.04374999999999</v>
      </c>
      <c r="BO45">
        <v>427</v>
      </c>
      <c r="BP45">
        <v>31</v>
      </c>
      <c r="BQ45">
        <v>212.81498829040001</v>
      </c>
      <c r="BR45">
        <v>256.06451612900003</v>
      </c>
      <c r="BS45">
        <v>37271</v>
      </c>
      <c r="BT45">
        <v>8998</v>
      </c>
      <c r="BU45">
        <v>98.910681226700007</v>
      </c>
      <c r="BV45">
        <v>313</v>
      </c>
      <c r="BW45">
        <v>304</v>
      </c>
      <c r="BX45">
        <v>143.23642172519999</v>
      </c>
      <c r="BY45">
        <v>144.06907894739999</v>
      </c>
      <c r="CA45" t="s">
        <v>370</v>
      </c>
      <c r="CB45" t="s">
        <v>857</v>
      </c>
      <c r="CD45">
        <v>66013</v>
      </c>
      <c r="CE45">
        <v>16576</v>
      </c>
      <c r="CF45">
        <v>96.766364201000002</v>
      </c>
      <c r="CG45">
        <v>84703</v>
      </c>
      <c r="CH45">
        <v>12188</v>
      </c>
      <c r="CI45">
        <v>137.00854751310001</v>
      </c>
      <c r="CJ45">
        <v>133.055710535</v>
      </c>
      <c r="CL45" t="s">
        <v>370</v>
      </c>
      <c r="CM45" t="s">
        <v>826</v>
      </c>
      <c r="CO45">
        <v>7325</v>
      </c>
      <c r="CP45">
        <v>963</v>
      </c>
      <c r="CQ45">
        <v>74.957406143300005</v>
      </c>
      <c r="CR45">
        <v>11008</v>
      </c>
      <c r="CS45">
        <v>1602</v>
      </c>
      <c r="CT45">
        <v>89.404251453499995</v>
      </c>
      <c r="CU45">
        <v>101.15792759049999</v>
      </c>
      <c r="CW45" t="s">
        <v>370</v>
      </c>
      <c r="CX45" t="s">
        <v>842</v>
      </c>
      <c r="CZ45">
        <v>2379</v>
      </c>
      <c r="DA45">
        <v>792</v>
      </c>
      <c r="DB45">
        <v>98.0332072299</v>
      </c>
      <c r="DC45">
        <v>1764</v>
      </c>
      <c r="DD45">
        <v>277</v>
      </c>
      <c r="DE45">
        <v>152.858276644</v>
      </c>
      <c r="DF45">
        <v>162.32490974730001</v>
      </c>
      <c r="DH45" t="s">
        <v>370</v>
      </c>
      <c r="DI45" t="s">
        <v>810</v>
      </c>
      <c r="DK45">
        <v>3181</v>
      </c>
      <c r="DL45">
        <v>940</v>
      </c>
      <c r="DM45">
        <v>92.798491040599998</v>
      </c>
      <c r="DN45">
        <v>2558</v>
      </c>
      <c r="DO45">
        <v>431</v>
      </c>
      <c r="DP45">
        <v>148.19663799840001</v>
      </c>
      <c r="DQ45">
        <v>154.656612529</v>
      </c>
    </row>
    <row r="46" spans="2:121" x14ac:dyDescent="0.2">
      <c r="B46" t="s">
        <v>127</v>
      </c>
      <c r="C46">
        <v>61593</v>
      </c>
      <c r="D46">
        <v>53916</v>
      </c>
      <c r="F46" t="s">
        <v>78</v>
      </c>
      <c r="G46">
        <v>1362</v>
      </c>
      <c r="H46">
        <v>268.91556534509999</v>
      </c>
      <c r="I46">
        <v>1261</v>
      </c>
      <c r="J46">
        <v>159</v>
      </c>
      <c r="K46">
        <v>2100</v>
      </c>
      <c r="L46">
        <v>1255</v>
      </c>
      <c r="M46">
        <v>1072</v>
      </c>
      <c r="N46">
        <v>812</v>
      </c>
      <c r="O46">
        <v>359</v>
      </c>
      <c r="P46">
        <v>178</v>
      </c>
      <c r="Q46">
        <v>1</v>
      </c>
      <c r="R46">
        <v>0</v>
      </c>
      <c r="AH46" t="s">
        <v>421</v>
      </c>
      <c r="AI46">
        <v>420</v>
      </c>
      <c r="AJ46">
        <v>260.94523809520001</v>
      </c>
      <c r="AK46">
        <v>892</v>
      </c>
      <c r="AL46">
        <v>170</v>
      </c>
      <c r="AM46">
        <v>709</v>
      </c>
      <c r="AN46">
        <v>324</v>
      </c>
      <c r="AO46">
        <v>346</v>
      </c>
      <c r="AP46">
        <v>141</v>
      </c>
      <c r="AQ46">
        <v>123</v>
      </c>
      <c r="AR46">
        <v>70</v>
      </c>
      <c r="AS46">
        <v>1</v>
      </c>
      <c r="AT46">
        <v>2</v>
      </c>
      <c r="AV46" t="s">
        <v>390</v>
      </c>
      <c r="AW46">
        <v>326</v>
      </c>
      <c r="AX46">
        <v>45.042944785300001</v>
      </c>
      <c r="AY46">
        <v>301</v>
      </c>
      <c r="AZ46">
        <v>29</v>
      </c>
      <c r="BA46">
        <v>390</v>
      </c>
      <c r="BB46">
        <v>23</v>
      </c>
      <c r="BC46">
        <v>3</v>
      </c>
      <c r="BD46">
        <v>3</v>
      </c>
      <c r="BE46">
        <v>23</v>
      </c>
      <c r="BF46">
        <v>5</v>
      </c>
      <c r="BG46">
        <v>70</v>
      </c>
      <c r="BH46">
        <v>27</v>
      </c>
      <c r="BJ46" t="s">
        <v>687</v>
      </c>
      <c r="BK46" t="s">
        <v>8</v>
      </c>
      <c r="BL46">
        <v>160</v>
      </c>
      <c r="BM46">
        <v>96</v>
      </c>
      <c r="BN46">
        <v>198.04374999999999</v>
      </c>
      <c r="BO46">
        <v>427</v>
      </c>
      <c r="BP46">
        <v>31</v>
      </c>
      <c r="BQ46">
        <v>212.81498829040001</v>
      </c>
      <c r="BR46">
        <v>256.06451612900003</v>
      </c>
      <c r="BS46">
        <v>37271</v>
      </c>
      <c r="BT46">
        <v>8998</v>
      </c>
      <c r="BU46">
        <v>98.910681226700007</v>
      </c>
      <c r="BV46">
        <v>313</v>
      </c>
      <c r="BW46">
        <v>304</v>
      </c>
      <c r="BX46">
        <v>143.23642172519999</v>
      </c>
      <c r="BY46">
        <v>144.06907894739999</v>
      </c>
      <c r="CA46" t="s">
        <v>8</v>
      </c>
      <c r="CB46" t="s">
        <v>687</v>
      </c>
      <c r="CC46" t="s">
        <v>687</v>
      </c>
      <c r="CD46">
        <v>3423</v>
      </c>
      <c r="CE46">
        <v>1334</v>
      </c>
      <c r="CF46">
        <v>126.1773298276</v>
      </c>
      <c r="CG46">
        <v>3625</v>
      </c>
      <c r="CH46">
        <v>482</v>
      </c>
      <c r="CI46">
        <v>178.34868965519999</v>
      </c>
      <c r="CJ46">
        <v>170.29875518669999</v>
      </c>
      <c r="CL46" t="s">
        <v>8</v>
      </c>
      <c r="CM46" t="s">
        <v>859</v>
      </c>
      <c r="CN46" t="s">
        <v>859</v>
      </c>
      <c r="CO46">
        <v>187</v>
      </c>
      <c r="CP46">
        <v>41</v>
      </c>
      <c r="CQ46">
        <v>88.598930481300002</v>
      </c>
      <c r="CR46">
        <v>336</v>
      </c>
      <c r="CS46">
        <v>37</v>
      </c>
      <c r="CT46">
        <v>92.818452381</v>
      </c>
      <c r="CU46">
        <v>121.5405405405</v>
      </c>
      <c r="CW46" t="s">
        <v>8</v>
      </c>
      <c r="CX46" t="s">
        <v>860</v>
      </c>
      <c r="CY46" t="s">
        <v>860</v>
      </c>
      <c r="CZ46">
        <v>24</v>
      </c>
      <c r="DA46">
        <v>8</v>
      </c>
      <c r="DB46">
        <v>106.125</v>
      </c>
      <c r="DC46">
        <v>21</v>
      </c>
      <c r="DD46">
        <v>1</v>
      </c>
      <c r="DE46">
        <v>148.5238095238</v>
      </c>
      <c r="DF46">
        <v>173</v>
      </c>
      <c r="DH46" t="s">
        <v>8</v>
      </c>
      <c r="DI46" t="s">
        <v>858</v>
      </c>
      <c r="DJ46" t="s">
        <v>858</v>
      </c>
      <c r="DK46">
        <v>85</v>
      </c>
      <c r="DL46">
        <v>20</v>
      </c>
      <c r="DM46">
        <v>84.564705882400006</v>
      </c>
      <c r="DN46">
        <v>56</v>
      </c>
      <c r="DO46">
        <v>10</v>
      </c>
      <c r="DP46">
        <v>120.25</v>
      </c>
      <c r="DQ46">
        <v>129.19999999999999</v>
      </c>
    </row>
    <row r="47" spans="2:121" x14ac:dyDescent="0.2">
      <c r="B47" t="s">
        <v>108</v>
      </c>
      <c r="C47">
        <v>516</v>
      </c>
      <c r="D47">
        <v>435</v>
      </c>
      <c r="F47" t="s">
        <v>81</v>
      </c>
      <c r="G47">
        <v>1675</v>
      </c>
      <c r="H47">
        <v>188.58805970149999</v>
      </c>
      <c r="I47">
        <v>2469</v>
      </c>
      <c r="J47">
        <v>477</v>
      </c>
      <c r="K47">
        <v>2389</v>
      </c>
      <c r="L47">
        <v>1238</v>
      </c>
      <c r="M47">
        <v>1064</v>
      </c>
      <c r="N47">
        <v>459</v>
      </c>
      <c r="O47">
        <v>213</v>
      </c>
      <c r="P47">
        <v>105</v>
      </c>
      <c r="Q47">
        <v>0</v>
      </c>
      <c r="R47">
        <v>5</v>
      </c>
      <c r="AH47" t="s">
        <v>385</v>
      </c>
      <c r="AI47">
        <v>5886</v>
      </c>
      <c r="AJ47">
        <v>280.92898402989999</v>
      </c>
      <c r="AK47">
        <v>9401</v>
      </c>
      <c r="AL47">
        <v>2181</v>
      </c>
      <c r="AM47">
        <v>9987</v>
      </c>
      <c r="AN47">
        <v>5272</v>
      </c>
      <c r="AO47">
        <v>3345</v>
      </c>
      <c r="AP47">
        <v>2222</v>
      </c>
      <c r="AQ47">
        <v>2589</v>
      </c>
      <c r="AR47">
        <v>1628</v>
      </c>
      <c r="AS47">
        <v>615</v>
      </c>
      <c r="AT47">
        <v>263</v>
      </c>
      <c r="AV47" t="s">
        <v>424</v>
      </c>
      <c r="AW47">
        <v>55</v>
      </c>
      <c r="AX47">
        <v>96.981818181799994</v>
      </c>
      <c r="AY47">
        <v>105</v>
      </c>
      <c r="AZ47">
        <v>26</v>
      </c>
      <c r="BA47">
        <v>77</v>
      </c>
      <c r="BB47">
        <v>23</v>
      </c>
      <c r="BC47">
        <v>2</v>
      </c>
      <c r="BD47">
        <v>1</v>
      </c>
      <c r="BE47">
        <v>9</v>
      </c>
      <c r="BF47">
        <v>3</v>
      </c>
      <c r="BG47">
        <v>9</v>
      </c>
      <c r="BH47">
        <v>28</v>
      </c>
      <c r="BJ47" t="s">
        <v>587</v>
      </c>
      <c r="BK47" t="s">
        <v>405</v>
      </c>
      <c r="BL47">
        <v>2804</v>
      </c>
      <c r="BM47">
        <v>711</v>
      </c>
      <c r="BN47">
        <v>93.641583452199995</v>
      </c>
      <c r="BO47">
        <v>3594</v>
      </c>
      <c r="BP47">
        <v>542</v>
      </c>
      <c r="BQ47">
        <v>143.13606010020001</v>
      </c>
      <c r="BR47">
        <v>135.0977859779</v>
      </c>
      <c r="BS47">
        <v>556</v>
      </c>
      <c r="BT47">
        <v>228</v>
      </c>
      <c r="BU47">
        <v>115.3183453237</v>
      </c>
      <c r="BV47">
        <v>2971</v>
      </c>
      <c r="BW47">
        <v>496</v>
      </c>
      <c r="BX47">
        <v>145.8404577583</v>
      </c>
      <c r="BY47">
        <v>145.22580645159999</v>
      </c>
      <c r="CA47" t="s">
        <v>8</v>
      </c>
      <c r="CB47" t="s">
        <v>687</v>
      </c>
      <c r="CC47" t="s">
        <v>687</v>
      </c>
      <c r="CD47">
        <v>3423</v>
      </c>
      <c r="CE47">
        <v>1334</v>
      </c>
      <c r="CF47">
        <v>126.1773298276</v>
      </c>
      <c r="CG47">
        <v>3625</v>
      </c>
      <c r="CH47">
        <v>482</v>
      </c>
      <c r="CI47">
        <v>178.34868965519999</v>
      </c>
      <c r="CJ47">
        <v>170.29875518669999</v>
      </c>
      <c r="CL47" t="s">
        <v>8</v>
      </c>
      <c r="CM47" t="s">
        <v>859</v>
      </c>
      <c r="CN47" t="s">
        <v>859</v>
      </c>
      <c r="CO47">
        <v>187</v>
      </c>
      <c r="CP47">
        <v>41</v>
      </c>
      <c r="CQ47">
        <v>88.598930481300002</v>
      </c>
      <c r="CR47">
        <v>336</v>
      </c>
      <c r="CS47">
        <v>37</v>
      </c>
      <c r="CT47">
        <v>92.818452381</v>
      </c>
      <c r="CU47">
        <v>121.5405405405</v>
      </c>
      <c r="CW47" t="s">
        <v>8</v>
      </c>
      <c r="CX47" t="s">
        <v>860</v>
      </c>
      <c r="CY47" t="s">
        <v>860</v>
      </c>
      <c r="CZ47">
        <v>24</v>
      </c>
      <c r="DA47">
        <v>8</v>
      </c>
      <c r="DB47">
        <v>106.125</v>
      </c>
      <c r="DC47">
        <v>21</v>
      </c>
      <c r="DD47">
        <v>1</v>
      </c>
      <c r="DE47">
        <v>148.5238095238</v>
      </c>
      <c r="DF47">
        <v>173</v>
      </c>
      <c r="DH47" t="s">
        <v>8</v>
      </c>
      <c r="DI47" t="s">
        <v>858</v>
      </c>
      <c r="DJ47" t="s">
        <v>858</v>
      </c>
      <c r="DK47">
        <v>85</v>
      </c>
      <c r="DL47">
        <v>20</v>
      </c>
      <c r="DM47">
        <v>84.564705882400006</v>
      </c>
      <c r="DN47">
        <v>56</v>
      </c>
      <c r="DO47">
        <v>10</v>
      </c>
      <c r="DP47">
        <v>120.25</v>
      </c>
      <c r="DQ47">
        <v>129.19999999999999</v>
      </c>
    </row>
    <row r="48" spans="2:121" x14ac:dyDescent="0.2">
      <c r="B48" t="s">
        <v>21</v>
      </c>
      <c r="C48">
        <v>39782</v>
      </c>
      <c r="D48">
        <v>13884</v>
      </c>
      <c r="F48" t="s">
        <v>48</v>
      </c>
      <c r="G48">
        <v>7138</v>
      </c>
      <c r="H48">
        <v>561.64836088540005</v>
      </c>
      <c r="I48">
        <v>4763</v>
      </c>
      <c r="J48">
        <v>1053</v>
      </c>
      <c r="K48">
        <v>10798</v>
      </c>
      <c r="L48">
        <v>8316</v>
      </c>
      <c r="M48">
        <v>1932</v>
      </c>
      <c r="N48">
        <v>1369</v>
      </c>
      <c r="O48">
        <v>1895</v>
      </c>
      <c r="P48">
        <v>1419</v>
      </c>
      <c r="Q48">
        <v>1</v>
      </c>
      <c r="R48">
        <v>205</v>
      </c>
      <c r="AH48" t="s">
        <v>411</v>
      </c>
      <c r="AI48">
        <v>29574</v>
      </c>
      <c r="AJ48">
        <v>363.1505376344</v>
      </c>
      <c r="AK48">
        <v>35759</v>
      </c>
      <c r="AL48">
        <v>8074</v>
      </c>
      <c r="AM48">
        <v>40144</v>
      </c>
      <c r="AN48">
        <v>26750</v>
      </c>
      <c r="AO48">
        <v>8304</v>
      </c>
      <c r="AP48">
        <v>5101</v>
      </c>
      <c r="AQ48">
        <v>14623</v>
      </c>
      <c r="AR48">
        <v>7781</v>
      </c>
      <c r="AS48">
        <v>27</v>
      </c>
      <c r="AT48">
        <v>416</v>
      </c>
      <c r="AV48" t="s">
        <v>420</v>
      </c>
      <c r="AW48">
        <v>37</v>
      </c>
      <c r="AX48">
        <v>36.702702702700002</v>
      </c>
      <c r="AY48">
        <v>38</v>
      </c>
      <c r="AZ48">
        <v>3</v>
      </c>
      <c r="BA48">
        <v>44</v>
      </c>
      <c r="BC48">
        <v>0</v>
      </c>
      <c r="BE48">
        <v>2</v>
      </c>
      <c r="BG48">
        <v>59</v>
      </c>
      <c r="BH48">
        <v>6</v>
      </c>
      <c r="BJ48" t="s">
        <v>646</v>
      </c>
      <c r="BK48" t="s">
        <v>405</v>
      </c>
      <c r="BL48">
        <v>1346</v>
      </c>
      <c r="BM48">
        <v>373</v>
      </c>
      <c r="BN48">
        <v>94.676820207999995</v>
      </c>
      <c r="BO48">
        <v>961</v>
      </c>
      <c r="BP48">
        <v>184</v>
      </c>
      <c r="BQ48">
        <v>150.67637877210001</v>
      </c>
      <c r="BR48">
        <v>144.16304347830001</v>
      </c>
      <c r="BS48">
        <v>973</v>
      </c>
      <c r="BT48">
        <v>373</v>
      </c>
      <c r="BU48">
        <v>109.2343268243</v>
      </c>
      <c r="BV48">
        <v>937</v>
      </c>
      <c r="BW48">
        <v>163</v>
      </c>
      <c r="BX48">
        <v>155.3319103522</v>
      </c>
      <c r="BY48">
        <v>152.73619631899999</v>
      </c>
      <c r="CA48" t="s">
        <v>8</v>
      </c>
      <c r="CB48" t="s">
        <v>687</v>
      </c>
      <c r="CC48" t="s">
        <v>687</v>
      </c>
      <c r="CD48">
        <v>3423</v>
      </c>
      <c r="CE48">
        <v>1334</v>
      </c>
      <c r="CF48">
        <v>126.1773298276</v>
      </c>
      <c r="CG48">
        <v>3625</v>
      </c>
      <c r="CH48">
        <v>482</v>
      </c>
      <c r="CI48">
        <v>178.34868965519999</v>
      </c>
      <c r="CJ48">
        <v>170.29875518669999</v>
      </c>
      <c r="CL48" t="s">
        <v>8</v>
      </c>
      <c r="CM48" t="s">
        <v>859</v>
      </c>
      <c r="CN48" t="s">
        <v>859</v>
      </c>
      <c r="CO48">
        <v>187</v>
      </c>
      <c r="CP48">
        <v>41</v>
      </c>
      <c r="CQ48">
        <v>88.598930481300002</v>
      </c>
      <c r="CR48">
        <v>336</v>
      </c>
      <c r="CS48">
        <v>37</v>
      </c>
      <c r="CT48">
        <v>92.818452381</v>
      </c>
      <c r="CU48">
        <v>121.5405405405</v>
      </c>
      <c r="CW48" t="s">
        <v>8</v>
      </c>
      <c r="CX48" t="s">
        <v>860</v>
      </c>
      <c r="CY48" t="s">
        <v>860</v>
      </c>
      <c r="CZ48">
        <v>24</v>
      </c>
      <c r="DA48">
        <v>8</v>
      </c>
      <c r="DB48">
        <v>106.125</v>
      </c>
      <c r="DC48">
        <v>21</v>
      </c>
      <c r="DD48">
        <v>1</v>
      </c>
      <c r="DE48">
        <v>148.5238095238</v>
      </c>
      <c r="DF48">
        <v>173</v>
      </c>
      <c r="DH48" t="s">
        <v>8</v>
      </c>
      <c r="DI48" t="s">
        <v>858</v>
      </c>
      <c r="DJ48" t="s">
        <v>858</v>
      </c>
      <c r="DK48">
        <v>85</v>
      </c>
      <c r="DL48">
        <v>20</v>
      </c>
      <c r="DM48">
        <v>84.564705882400006</v>
      </c>
      <c r="DN48">
        <v>56</v>
      </c>
      <c r="DO48">
        <v>10</v>
      </c>
      <c r="DP48">
        <v>120.25</v>
      </c>
      <c r="DQ48">
        <v>129.19999999999999</v>
      </c>
    </row>
    <row r="49" spans="2:121" x14ac:dyDescent="0.2">
      <c r="B49" t="s">
        <v>102</v>
      </c>
      <c r="C49">
        <v>19914</v>
      </c>
      <c r="D49">
        <v>14600</v>
      </c>
      <c r="F49" t="s">
        <v>76</v>
      </c>
      <c r="G49">
        <v>2839</v>
      </c>
      <c r="H49">
        <v>149.9094751673</v>
      </c>
      <c r="I49">
        <v>9035</v>
      </c>
      <c r="J49">
        <v>1588</v>
      </c>
      <c r="K49">
        <v>10468</v>
      </c>
      <c r="L49">
        <v>3310</v>
      </c>
      <c r="M49">
        <v>1384</v>
      </c>
      <c r="N49">
        <v>317</v>
      </c>
      <c r="O49">
        <v>1195</v>
      </c>
      <c r="P49">
        <v>598</v>
      </c>
      <c r="Q49">
        <v>25</v>
      </c>
      <c r="R49">
        <v>0</v>
      </c>
      <c r="AH49" t="s">
        <v>407</v>
      </c>
      <c r="AI49">
        <v>1863</v>
      </c>
      <c r="AJ49">
        <v>296.53462157809997</v>
      </c>
      <c r="AK49">
        <v>2216</v>
      </c>
      <c r="AL49">
        <v>601</v>
      </c>
      <c r="AM49">
        <v>2381</v>
      </c>
      <c r="AN49">
        <v>1499</v>
      </c>
      <c r="AO49">
        <v>547</v>
      </c>
      <c r="AP49">
        <v>327</v>
      </c>
      <c r="AQ49">
        <v>417</v>
      </c>
      <c r="AR49">
        <v>209</v>
      </c>
      <c r="AS49">
        <v>1</v>
      </c>
      <c r="AT49">
        <v>1</v>
      </c>
      <c r="AV49" t="s">
        <v>379</v>
      </c>
      <c r="AW49">
        <v>885</v>
      </c>
      <c r="AX49">
        <v>89.466666666699993</v>
      </c>
      <c r="AY49">
        <v>863</v>
      </c>
      <c r="AZ49">
        <v>197</v>
      </c>
      <c r="BA49">
        <v>1123</v>
      </c>
      <c r="BB49">
        <v>334</v>
      </c>
      <c r="BC49">
        <v>143</v>
      </c>
      <c r="BD49">
        <v>141</v>
      </c>
      <c r="BE49">
        <v>60</v>
      </c>
      <c r="BF49">
        <v>24</v>
      </c>
      <c r="BG49">
        <v>125</v>
      </c>
      <c r="BH49">
        <v>326</v>
      </c>
      <c r="BJ49" t="s">
        <v>602</v>
      </c>
      <c r="BK49" t="s">
        <v>405</v>
      </c>
      <c r="BL49">
        <v>1328</v>
      </c>
      <c r="BM49">
        <v>280</v>
      </c>
      <c r="BN49">
        <v>86.289156626500002</v>
      </c>
      <c r="BO49">
        <v>2014</v>
      </c>
      <c r="BP49">
        <v>305</v>
      </c>
      <c r="BQ49">
        <v>116.16534260180001</v>
      </c>
      <c r="BR49">
        <v>101.70163934430001</v>
      </c>
      <c r="BS49">
        <v>1714</v>
      </c>
      <c r="BT49">
        <v>331</v>
      </c>
      <c r="BU49">
        <v>87.920653442200006</v>
      </c>
      <c r="BV49">
        <v>2302</v>
      </c>
      <c r="BW49">
        <v>348</v>
      </c>
      <c r="BX49">
        <v>126.45742832320001</v>
      </c>
      <c r="BY49">
        <v>106.158045977</v>
      </c>
      <c r="CA49" t="s">
        <v>8</v>
      </c>
      <c r="CB49" t="s">
        <v>687</v>
      </c>
      <c r="CD49">
        <v>3423</v>
      </c>
      <c r="CE49">
        <v>1334</v>
      </c>
      <c r="CF49">
        <v>126.1773298276</v>
      </c>
      <c r="CG49">
        <v>3625</v>
      </c>
      <c r="CH49">
        <v>482</v>
      </c>
      <c r="CI49">
        <v>178.34868965519999</v>
      </c>
      <c r="CJ49">
        <v>170.29875518669999</v>
      </c>
      <c r="CL49" t="s">
        <v>8</v>
      </c>
      <c r="CM49" t="s">
        <v>859</v>
      </c>
      <c r="CO49">
        <v>187</v>
      </c>
      <c r="CP49">
        <v>41</v>
      </c>
      <c r="CQ49">
        <v>88.598930481300002</v>
      </c>
      <c r="CR49">
        <v>336</v>
      </c>
      <c r="CS49">
        <v>37</v>
      </c>
      <c r="CT49">
        <v>92.818452381</v>
      </c>
      <c r="CU49">
        <v>121.5405405405</v>
      </c>
      <c r="CW49" t="s">
        <v>8</v>
      </c>
      <c r="CX49" t="s">
        <v>860</v>
      </c>
      <c r="CZ49">
        <v>24</v>
      </c>
      <c r="DA49">
        <v>8</v>
      </c>
      <c r="DB49">
        <v>106.125</v>
      </c>
      <c r="DC49">
        <v>21</v>
      </c>
      <c r="DD49">
        <v>1</v>
      </c>
      <c r="DE49">
        <v>148.5238095238</v>
      </c>
      <c r="DF49">
        <v>173</v>
      </c>
      <c r="DH49" t="s">
        <v>8</v>
      </c>
      <c r="DI49" t="s">
        <v>858</v>
      </c>
      <c r="DK49">
        <v>85</v>
      </c>
      <c r="DL49">
        <v>20</v>
      </c>
      <c r="DM49">
        <v>84.564705882400006</v>
      </c>
      <c r="DN49">
        <v>56</v>
      </c>
      <c r="DO49">
        <v>10</v>
      </c>
      <c r="DP49">
        <v>120.25</v>
      </c>
      <c r="DQ49">
        <v>129.19999999999999</v>
      </c>
    </row>
    <row r="50" spans="2:121" x14ac:dyDescent="0.2">
      <c r="B50" t="s">
        <v>117</v>
      </c>
      <c r="C50">
        <v>5125</v>
      </c>
      <c r="D50">
        <v>815</v>
      </c>
      <c r="F50" t="s">
        <v>431</v>
      </c>
      <c r="G50">
        <v>25211</v>
      </c>
      <c r="H50">
        <v>523.99690611239998</v>
      </c>
      <c r="I50">
        <v>1235</v>
      </c>
      <c r="J50">
        <v>529</v>
      </c>
      <c r="K50">
        <v>25659</v>
      </c>
      <c r="L50">
        <v>24717</v>
      </c>
      <c r="M50">
        <v>1079</v>
      </c>
      <c r="N50">
        <v>659</v>
      </c>
      <c r="O50">
        <v>1338</v>
      </c>
      <c r="P50">
        <v>1230</v>
      </c>
      <c r="Q50">
        <v>0</v>
      </c>
      <c r="R50">
        <v>0</v>
      </c>
      <c r="AH50" t="s">
        <v>418</v>
      </c>
      <c r="AI50">
        <v>504</v>
      </c>
      <c r="AJ50">
        <v>375.14682539680001</v>
      </c>
      <c r="AK50">
        <v>474</v>
      </c>
      <c r="AL50">
        <v>115</v>
      </c>
      <c r="AM50">
        <v>987</v>
      </c>
      <c r="AN50">
        <v>550</v>
      </c>
      <c r="AO50">
        <v>251</v>
      </c>
      <c r="AP50">
        <v>147</v>
      </c>
      <c r="AQ50">
        <v>131</v>
      </c>
      <c r="AR50">
        <v>87</v>
      </c>
      <c r="AS50">
        <v>74</v>
      </c>
      <c r="AT50">
        <v>1</v>
      </c>
      <c r="AV50" t="s">
        <v>407</v>
      </c>
      <c r="AW50">
        <v>73</v>
      </c>
      <c r="AX50">
        <v>57.479452054799999</v>
      </c>
      <c r="AY50">
        <v>133</v>
      </c>
      <c r="AZ50">
        <v>2</v>
      </c>
      <c r="BA50">
        <v>93</v>
      </c>
      <c r="BB50">
        <v>5</v>
      </c>
      <c r="BC50">
        <v>0</v>
      </c>
      <c r="BE50">
        <v>4</v>
      </c>
      <c r="BF50">
        <v>2</v>
      </c>
      <c r="BG50">
        <v>141</v>
      </c>
      <c r="BH50">
        <v>12</v>
      </c>
      <c r="BJ50" t="s">
        <v>642</v>
      </c>
      <c r="BK50" t="s">
        <v>405</v>
      </c>
      <c r="BL50">
        <v>1865</v>
      </c>
      <c r="BM50">
        <v>431</v>
      </c>
      <c r="BN50">
        <v>83.302949061700005</v>
      </c>
      <c r="BO50">
        <v>2898</v>
      </c>
      <c r="BP50">
        <v>304</v>
      </c>
      <c r="BQ50">
        <v>139.25810904069999</v>
      </c>
      <c r="BR50">
        <v>141.44407894739999</v>
      </c>
      <c r="BS50">
        <v>2013</v>
      </c>
      <c r="BT50">
        <v>401</v>
      </c>
      <c r="BU50">
        <v>80.897665176399997</v>
      </c>
      <c r="BV50">
        <v>2493</v>
      </c>
      <c r="BW50">
        <v>319</v>
      </c>
      <c r="BX50">
        <v>128.4797432812</v>
      </c>
      <c r="BY50">
        <v>131.5172413793</v>
      </c>
      <c r="CA50" t="s">
        <v>425</v>
      </c>
      <c r="CB50" t="s">
        <v>891</v>
      </c>
      <c r="CC50" t="s">
        <v>1016</v>
      </c>
      <c r="CD50">
        <v>1315</v>
      </c>
      <c r="CE50">
        <v>336</v>
      </c>
      <c r="CF50">
        <v>91.121673003799998</v>
      </c>
      <c r="CG50">
        <v>1326</v>
      </c>
      <c r="CH50">
        <v>249</v>
      </c>
      <c r="CI50">
        <v>115.2435897436</v>
      </c>
      <c r="CJ50">
        <v>117.74297188760001</v>
      </c>
      <c r="CL50" t="s">
        <v>425</v>
      </c>
      <c r="CM50" t="s">
        <v>872</v>
      </c>
      <c r="CN50" t="s">
        <v>871</v>
      </c>
      <c r="CO50">
        <v>40</v>
      </c>
      <c r="CP50">
        <v>5</v>
      </c>
      <c r="CQ50">
        <v>62.5</v>
      </c>
      <c r="CR50">
        <v>73</v>
      </c>
      <c r="CS50">
        <v>14</v>
      </c>
      <c r="CT50">
        <v>73.5479452055</v>
      </c>
      <c r="CU50">
        <v>64.571428571400006</v>
      </c>
      <c r="CW50" t="s">
        <v>425</v>
      </c>
      <c r="CX50" t="s">
        <v>882</v>
      </c>
      <c r="CY50" t="s">
        <v>881</v>
      </c>
      <c r="CZ50">
        <v>24</v>
      </c>
      <c r="DA50">
        <v>3</v>
      </c>
      <c r="DB50">
        <v>84.833333333300004</v>
      </c>
      <c r="DC50">
        <v>16</v>
      </c>
      <c r="DD50">
        <v>3</v>
      </c>
      <c r="DE50">
        <v>134.875</v>
      </c>
      <c r="DF50">
        <v>154.6666666667</v>
      </c>
      <c r="DH50" t="s">
        <v>425</v>
      </c>
      <c r="DI50" t="s">
        <v>862</v>
      </c>
      <c r="DJ50" t="s">
        <v>861</v>
      </c>
      <c r="DK50">
        <v>35</v>
      </c>
      <c r="DL50">
        <v>11</v>
      </c>
      <c r="DM50">
        <v>84.285714285699996</v>
      </c>
      <c r="DN50">
        <v>38</v>
      </c>
      <c r="DO50">
        <v>3</v>
      </c>
      <c r="DP50">
        <v>129.1052631579</v>
      </c>
      <c r="DQ50">
        <v>135.6666666667</v>
      </c>
    </row>
    <row r="51" spans="2:121" x14ac:dyDescent="0.2">
      <c r="B51" t="s">
        <v>101</v>
      </c>
      <c r="C51">
        <v>204345</v>
      </c>
      <c r="D51">
        <v>146206</v>
      </c>
      <c r="F51" t="s">
        <v>40</v>
      </c>
      <c r="G51">
        <v>7659</v>
      </c>
      <c r="H51">
        <v>498.41245593420001</v>
      </c>
      <c r="I51">
        <v>8311</v>
      </c>
      <c r="J51">
        <v>2710</v>
      </c>
      <c r="K51">
        <v>9953</v>
      </c>
      <c r="L51">
        <v>7534</v>
      </c>
      <c r="M51">
        <v>3119</v>
      </c>
      <c r="N51">
        <v>2160</v>
      </c>
      <c r="O51">
        <v>799</v>
      </c>
      <c r="P51">
        <v>411</v>
      </c>
      <c r="Q51">
        <v>0</v>
      </c>
      <c r="R51">
        <v>55</v>
      </c>
      <c r="AH51" t="s">
        <v>379</v>
      </c>
      <c r="AI51">
        <v>16740</v>
      </c>
      <c r="AJ51">
        <v>428.31445639190002</v>
      </c>
      <c r="AK51">
        <v>11890</v>
      </c>
      <c r="AL51">
        <v>3281</v>
      </c>
      <c r="AM51">
        <v>21663</v>
      </c>
      <c r="AN51">
        <v>14887</v>
      </c>
      <c r="AO51">
        <v>8301</v>
      </c>
      <c r="AP51">
        <v>6084</v>
      </c>
      <c r="AQ51">
        <v>7000</v>
      </c>
      <c r="AR51">
        <v>5182</v>
      </c>
      <c r="AS51">
        <v>895</v>
      </c>
      <c r="AT51">
        <v>19</v>
      </c>
      <c r="AV51" t="s">
        <v>374</v>
      </c>
      <c r="AW51">
        <v>214</v>
      </c>
      <c r="AX51">
        <v>96.663551401899994</v>
      </c>
      <c r="AY51">
        <v>376</v>
      </c>
      <c r="AZ51">
        <v>100</v>
      </c>
      <c r="BA51">
        <v>292</v>
      </c>
      <c r="BB51">
        <v>81</v>
      </c>
      <c r="BC51">
        <v>2</v>
      </c>
      <c r="BD51">
        <v>2</v>
      </c>
      <c r="BE51">
        <v>22</v>
      </c>
      <c r="BF51">
        <v>3</v>
      </c>
      <c r="BG51">
        <v>14</v>
      </c>
      <c r="BH51">
        <v>63</v>
      </c>
      <c r="BJ51" t="s">
        <v>594</v>
      </c>
      <c r="BK51" t="s">
        <v>405</v>
      </c>
      <c r="BL51">
        <v>8967</v>
      </c>
      <c r="BM51">
        <v>1993</v>
      </c>
      <c r="BN51">
        <v>89.276123564200006</v>
      </c>
      <c r="BO51">
        <v>10913</v>
      </c>
      <c r="BP51">
        <v>1329</v>
      </c>
      <c r="BQ51">
        <v>140.8611747457</v>
      </c>
      <c r="BR51">
        <v>141.9029345372</v>
      </c>
      <c r="BS51">
        <v>7712</v>
      </c>
      <c r="BT51">
        <v>1397</v>
      </c>
      <c r="BU51">
        <v>82.267116182600006</v>
      </c>
      <c r="BV51">
        <v>8914</v>
      </c>
      <c r="BW51">
        <v>1172</v>
      </c>
      <c r="BX51">
        <v>119.7012564505</v>
      </c>
      <c r="BY51">
        <v>126.37798634809999</v>
      </c>
      <c r="CA51" t="s">
        <v>427</v>
      </c>
      <c r="CB51" t="s">
        <v>891</v>
      </c>
      <c r="CC51" t="s">
        <v>1017</v>
      </c>
      <c r="CD51">
        <v>5635</v>
      </c>
      <c r="CE51">
        <v>1334</v>
      </c>
      <c r="CF51">
        <v>93.152795031099998</v>
      </c>
      <c r="CG51">
        <v>8303</v>
      </c>
      <c r="CH51">
        <v>1483</v>
      </c>
      <c r="CI51">
        <v>130.0014452607</v>
      </c>
      <c r="CJ51">
        <v>117.2494942684</v>
      </c>
      <c r="CL51" t="s">
        <v>427</v>
      </c>
      <c r="CM51" t="s">
        <v>872</v>
      </c>
      <c r="CN51" t="s">
        <v>873</v>
      </c>
      <c r="CO51">
        <v>455</v>
      </c>
      <c r="CP51">
        <v>42</v>
      </c>
      <c r="CQ51">
        <v>66.938461538499993</v>
      </c>
      <c r="CR51">
        <v>1321</v>
      </c>
      <c r="CS51">
        <v>185</v>
      </c>
      <c r="CT51">
        <v>66.719152157500005</v>
      </c>
      <c r="CU51">
        <v>76.340540540500001</v>
      </c>
      <c r="CW51" t="s">
        <v>427</v>
      </c>
      <c r="CX51" t="s">
        <v>882</v>
      </c>
      <c r="CY51" t="s">
        <v>883</v>
      </c>
      <c r="CZ51">
        <v>194</v>
      </c>
      <c r="DA51">
        <v>43</v>
      </c>
      <c r="DB51">
        <v>88.438144329899998</v>
      </c>
      <c r="DC51">
        <v>188</v>
      </c>
      <c r="DD51">
        <v>29</v>
      </c>
      <c r="DE51">
        <v>143.19148936170001</v>
      </c>
      <c r="DF51">
        <v>159.55172413790001</v>
      </c>
      <c r="DH51" t="s">
        <v>427</v>
      </c>
      <c r="DI51" t="s">
        <v>862</v>
      </c>
      <c r="DJ51" t="s">
        <v>863</v>
      </c>
      <c r="DK51">
        <v>127</v>
      </c>
      <c r="DL51">
        <v>31</v>
      </c>
      <c r="DM51">
        <v>89.598425196899996</v>
      </c>
      <c r="DN51">
        <v>143</v>
      </c>
      <c r="DO51">
        <v>14</v>
      </c>
      <c r="DP51">
        <v>135.7832167832</v>
      </c>
      <c r="DQ51">
        <v>158.21428571429999</v>
      </c>
    </row>
    <row r="52" spans="2:121" x14ac:dyDescent="0.2">
      <c r="B52" t="s">
        <v>125</v>
      </c>
      <c r="C52">
        <v>29255</v>
      </c>
      <c r="D52">
        <v>5913</v>
      </c>
      <c r="F52" t="s">
        <v>53</v>
      </c>
      <c r="G52">
        <v>7530</v>
      </c>
      <c r="H52">
        <v>507.016998672</v>
      </c>
      <c r="I52">
        <v>3936</v>
      </c>
      <c r="J52">
        <v>959</v>
      </c>
      <c r="K52">
        <v>11269</v>
      </c>
      <c r="L52">
        <v>7979</v>
      </c>
      <c r="M52">
        <v>3270</v>
      </c>
      <c r="N52">
        <v>2794</v>
      </c>
      <c r="O52">
        <v>1217</v>
      </c>
      <c r="P52">
        <v>559</v>
      </c>
      <c r="Q52">
        <v>78</v>
      </c>
      <c r="R52">
        <v>275</v>
      </c>
      <c r="AH52" t="s">
        <v>80</v>
      </c>
      <c r="AI52">
        <v>11363</v>
      </c>
      <c r="AJ52">
        <v>393.7490099446</v>
      </c>
      <c r="AK52">
        <v>6091</v>
      </c>
      <c r="AL52">
        <v>1186</v>
      </c>
      <c r="AM52">
        <v>16856</v>
      </c>
      <c r="AN52">
        <v>12365</v>
      </c>
      <c r="AO52">
        <v>4502</v>
      </c>
      <c r="AP52">
        <v>3152</v>
      </c>
      <c r="AQ52">
        <v>5905</v>
      </c>
      <c r="AR52">
        <v>4080</v>
      </c>
      <c r="AS52">
        <v>12</v>
      </c>
      <c r="AT52">
        <v>142</v>
      </c>
      <c r="AV52" t="s">
        <v>393</v>
      </c>
      <c r="AW52">
        <v>341</v>
      </c>
      <c r="AX52">
        <v>56.234604105599999</v>
      </c>
      <c r="AY52">
        <v>607</v>
      </c>
      <c r="AZ52">
        <v>79</v>
      </c>
      <c r="BA52">
        <v>489</v>
      </c>
      <c r="BB52">
        <v>34</v>
      </c>
      <c r="BC52">
        <v>2</v>
      </c>
      <c r="BD52">
        <v>2</v>
      </c>
      <c r="BE52">
        <v>28</v>
      </c>
      <c r="BF52">
        <v>8</v>
      </c>
      <c r="BG52">
        <v>62</v>
      </c>
      <c r="BH52">
        <v>74</v>
      </c>
      <c r="BJ52" t="s">
        <v>616</v>
      </c>
      <c r="BK52" t="s">
        <v>405</v>
      </c>
      <c r="BL52">
        <v>769</v>
      </c>
      <c r="BM52">
        <v>217</v>
      </c>
      <c r="BN52">
        <v>98.963589076700003</v>
      </c>
      <c r="BO52">
        <v>1108</v>
      </c>
      <c r="BP52">
        <v>141</v>
      </c>
      <c r="BQ52">
        <v>132.0983754513</v>
      </c>
      <c r="BR52">
        <v>123.7234042553</v>
      </c>
      <c r="BS52">
        <v>1392</v>
      </c>
      <c r="BT52">
        <v>683</v>
      </c>
      <c r="BU52">
        <v>137.20761494249999</v>
      </c>
      <c r="BV52">
        <v>2235</v>
      </c>
      <c r="BW52">
        <v>275</v>
      </c>
      <c r="BX52">
        <v>177.26174496639999</v>
      </c>
      <c r="BY52">
        <v>156.63636363640001</v>
      </c>
      <c r="CA52" t="s">
        <v>408</v>
      </c>
      <c r="CB52" t="s">
        <v>891</v>
      </c>
      <c r="CC52" t="s">
        <v>1018</v>
      </c>
      <c r="CD52">
        <v>28948</v>
      </c>
      <c r="CE52">
        <v>6782</v>
      </c>
      <c r="CF52">
        <v>91.885933397800002</v>
      </c>
      <c r="CG52">
        <v>34759</v>
      </c>
      <c r="CH52">
        <v>4737</v>
      </c>
      <c r="CI52">
        <v>138.5532667798</v>
      </c>
      <c r="CJ52">
        <v>134.9624234748</v>
      </c>
      <c r="CL52" t="s">
        <v>408</v>
      </c>
      <c r="CM52" t="s">
        <v>872</v>
      </c>
      <c r="CN52" t="s">
        <v>874</v>
      </c>
      <c r="CO52">
        <v>1772</v>
      </c>
      <c r="CP52">
        <v>148</v>
      </c>
      <c r="CQ52">
        <v>61.668171557599997</v>
      </c>
      <c r="CR52">
        <v>5571</v>
      </c>
      <c r="CS52">
        <v>743</v>
      </c>
      <c r="CT52">
        <v>65.290073595400003</v>
      </c>
      <c r="CU52">
        <v>71.363391655499996</v>
      </c>
      <c r="CW52" t="s">
        <v>408</v>
      </c>
      <c r="CX52" t="s">
        <v>882</v>
      </c>
      <c r="CY52" t="s">
        <v>884</v>
      </c>
      <c r="CZ52">
        <v>1457</v>
      </c>
      <c r="DA52">
        <v>367</v>
      </c>
      <c r="DB52">
        <v>87.266300617699997</v>
      </c>
      <c r="DC52">
        <v>1186</v>
      </c>
      <c r="DD52">
        <v>195</v>
      </c>
      <c r="DE52">
        <v>137.88617200670001</v>
      </c>
      <c r="DF52">
        <v>146.0153846154</v>
      </c>
      <c r="DH52" t="s">
        <v>408</v>
      </c>
      <c r="DI52" t="s">
        <v>862</v>
      </c>
      <c r="DJ52" t="s">
        <v>864</v>
      </c>
      <c r="DK52">
        <v>749</v>
      </c>
      <c r="DL52">
        <v>142</v>
      </c>
      <c r="DM52">
        <v>79.9519359146</v>
      </c>
      <c r="DN52">
        <v>779</v>
      </c>
      <c r="DO52">
        <v>104</v>
      </c>
      <c r="DP52">
        <v>129.19897304240001</v>
      </c>
      <c r="DQ52">
        <v>136.51923076919999</v>
      </c>
    </row>
    <row r="53" spans="2:121" x14ac:dyDescent="0.2">
      <c r="B53" t="s">
        <v>120</v>
      </c>
      <c r="C53">
        <v>271</v>
      </c>
      <c r="D53">
        <v>268</v>
      </c>
      <c r="F53" t="s">
        <v>72</v>
      </c>
      <c r="G53">
        <v>1518</v>
      </c>
      <c r="H53">
        <v>312.67391304350002</v>
      </c>
      <c r="I53">
        <v>3077</v>
      </c>
      <c r="J53">
        <v>906</v>
      </c>
      <c r="K53">
        <v>2506</v>
      </c>
      <c r="L53">
        <v>1847</v>
      </c>
      <c r="M53">
        <v>836</v>
      </c>
      <c r="N53">
        <v>606</v>
      </c>
      <c r="O53">
        <v>1101</v>
      </c>
      <c r="P53">
        <v>807</v>
      </c>
      <c r="Q53">
        <v>0</v>
      </c>
      <c r="R53">
        <v>3</v>
      </c>
      <c r="AH53" t="s">
        <v>380</v>
      </c>
      <c r="AI53">
        <v>2130</v>
      </c>
      <c r="AJ53">
        <v>270.75352112680002</v>
      </c>
      <c r="AK53">
        <v>2573</v>
      </c>
      <c r="AL53">
        <v>590</v>
      </c>
      <c r="AM53">
        <v>3551</v>
      </c>
      <c r="AN53">
        <v>2252</v>
      </c>
      <c r="AO53">
        <v>474</v>
      </c>
      <c r="AP53">
        <v>211</v>
      </c>
      <c r="AQ53">
        <v>1334</v>
      </c>
      <c r="AR53">
        <v>1007</v>
      </c>
      <c r="AS53">
        <v>360</v>
      </c>
      <c r="AT53">
        <v>12</v>
      </c>
      <c r="AV53" t="s">
        <v>425</v>
      </c>
      <c r="AW53">
        <v>16</v>
      </c>
      <c r="AX53">
        <v>42.0625</v>
      </c>
      <c r="AY53">
        <v>20</v>
      </c>
      <c r="AZ53">
        <v>1</v>
      </c>
      <c r="BA53">
        <v>27</v>
      </c>
      <c r="BB53">
        <v>2</v>
      </c>
      <c r="BC53">
        <v>0</v>
      </c>
      <c r="BE53">
        <v>1</v>
      </c>
      <c r="BF53">
        <v>1</v>
      </c>
      <c r="BG53">
        <v>27</v>
      </c>
      <c r="BH53">
        <v>5</v>
      </c>
      <c r="BJ53" t="s">
        <v>592</v>
      </c>
      <c r="BK53" t="s">
        <v>405</v>
      </c>
      <c r="BL53">
        <v>11150</v>
      </c>
      <c r="BM53">
        <v>3232</v>
      </c>
      <c r="BN53">
        <v>101.87721973089999</v>
      </c>
      <c r="BO53">
        <v>11068</v>
      </c>
      <c r="BP53">
        <v>1593</v>
      </c>
      <c r="BQ53">
        <v>151.65278279730001</v>
      </c>
      <c r="BR53">
        <v>144.44444444440001</v>
      </c>
      <c r="BS53">
        <v>1587</v>
      </c>
      <c r="BT53">
        <v>660</v>
      </c>
      <c r="BU53">
        <v>123.19785759289999</v>
      </c>
      <c r="BV53">
        <v>6791</v>
      </c>
      <c r="BW53">
        <v>815</v>
      </c>
      <c r="BX53">
        <v>139.34575173019999</v>
      </c>
      <c r="BY53">
        <v>146.5779141104</v>
      </c>
      <c r="CA53" t="s">
        <v>429</v>
      </c>
      <c r="CB53" t="s">
        <v>891</v>
      </c>
      <c r="CC53" t="s">
        <v>1019</v>
      </c>
      <c r="CD53">
        <v>1676</v>
      </c>
      <c r="CE53">
        <v>335</v>
      </c>
      <c r="CF53">
        <v>83.107398567999994</v>
      </c>
      <c r="CG53">
        <v>2902</v>
      </c>
      <c r="CH53">
        <v>347</v>
      </c>
      <c r="CI53">
        <v>116.972088215</v>
      </c>
      <c r="CJ53">
        <v>112.8876080692</v>
      </c>
      <c r="CL53" t="s">
        <v>429</v>
      </c>
      <c r="CM53" t="s">
        <v>872</v>
      </c>
      <c r="CN53" t="s">
        <v>875</v>
      </c>
      <c r="CO53">
        <v>62</v>
      </c>
      <c r="CP53">
        <v>8</v>
      </c>
      <c r="CQ53">
        <v>81.0161290323</v>
      </c>
      <c r="CR53">
        <v>172</v>
      </c>
      <c r="CS53">
        <v>27</v>
      </c>
      <c r="CT53">
        <v>64.465116279100002</v>
      </c>
      <c r="CU53">
        <v>66.037037037000005</v>
      </c>
      <c r="CW53" t="s">
        <v>429</v>
      </c>
      <c r="CX53" t="s">
        <v>882</v>
      </c>
      <c r="CY53" t="s">
        <v>885</v>
      </c>
      <c r="CZ53">
        <v>48</v>
      </c>
      <c r="DA53">
        <v>11</v>
      </c>
      <c r="DB53">
        <v>84.041666666699996</v>
      </c>
      <c r="DC53">
        <v>32</v>
      </c>
      <c r="DD53">
        <v>6</v>
      </c>
      <c r="DE53">
        <v>137.46875</v>
      </c>
      <c r="DF53">
        <v>136.8333333333</v>
      </c>
      <c r="DH53" t="s">
        <v>429</v>
      </c>
      <c r="DI53" t="s">
        <v>862</v>
      </c>
      <c r="DJ53" t="s">
        <v>865</v>
      </c>
      <c r="DK53">
        <v>103</v>
      </c>
      <c r="DL53">
        <v>15</v>
      </c>
      <c r="DM53">
        <v>77.718446601899998</v>
      </c>
      <c r="DN53">
        <v>66</v>
      </c>
      <c r="DO53">
        <v>8</v>
      </c>
      <c r="DP53">
        <v>124.5151515152</v>
      </c>
      <c r="DQ53">
        <v>146</v>
      </c>
    </row>
    <row r="54" spans="2:121" x14ac:dyDescent="0.2">
      <c r="F54" t="s">
        <v>42</v>
      </c>
      <c r="G54">
        <v>2960</v>
      </c>
      <c r="H54">
        <v>309.12972972969999</v>
      </c>
      <c r="I54">
        <v>6799</v>
      </c>
      <c r="J54">
        <v>1709</v>
      </c>
      <c r="K54">
        <v>7797</v>
      </c>
      <c r="L54">
        <v>3773</v>
      </c>
      <c r="M54">
        <v>1538</v>
      </c>
      <c r="N54">
        <v>1169</v>
      </c>
      <c r="O54">
        <v>1090</v>
      </c>
      <c r="P54">
        <v>459</v>
      </c>
      <c r="Q54">
        <v>2</v>
      </c>
      <c r="R54">
        <v>196</v>
      </c>
      <c r="AH54" t="s">
        <v>397</v>
      </c>
      <c r="AI54">
        <v>3835</v>
      </c>
      <c r="AJ54">
        <v>274.65293350719998</v>
      </c>
      <c r="AK54">
        <v>3654</v>
      </c>
      <c r="AL54">
        <v>777</v>
      </c>
      <c r="AM54">
        <v>5770</v>
      </c>
      <c r="AN54">
        <v>3291</v>
      </c>
      <c r="AO54">
        <v>684</v>
      </c>
      <c r="AP54">
        <v>486</v>
      </c>
      <c r="AQ54">
        <v>946</v>
      </c>
      <c r="AR54">
        <v>530</v>
      </c>
      <c r="AS54">
        <v>437</v>
      </c>
      <c r="AT54">
        <v>6</v>
      </c>
      <c r="AV54" t="s">
        <v>380</v>
      </c>
      <c r="AW54">
        <v>295</v>
      </c>
      <c r="AX54">
        <v>90.884745762700007</v>
      </c>
      <c r="AY54">
        <v>294</v>
      </c>
      <c r="AZ54">
        <v>57</v>
      </c>
      <c r="BA54">
        <v>372</v>
      </c>
      <c r="BB54">
        <v>105</v>
      </c>
      <c r="BC54">
        <v>0</v>
      </c>
      <c r="BE54">
        <v>17</v>
      </c>
      <c r="BF54">
        <v>9</v>
      </c>
      <c r="BG54">
        <v>43</v>
      </c>
      <c r="BH54">
        <v>80</v>
      </c>
      <c r="BJ54" t="s">
        <v>405</v>
      </c>
      <c r="BK54" t="s">
        <v>405</v>
      </c>
      <c r="BL54">
        <v>57403</v>
      </c>
      <c r="BM54">
        <v>13051</v>
      </c>
      <c r="BN54">
        <v>90.347978328699995</v>
      </c>
      <c r="BO54">
        <v>84077</v>
      </c>
      <c r="BP54">
        <v>12094</v>
      </c>
      <c r="BQ54">
        <v>121.08665865810001</v>
      </c>
      <c r="BR54">
        <v>113.9369108649</v>
      </c>
      <c r="BS54">
        <v>47143</v>
      </c>
      <c r="BT54">
        <v>10293</v>
      </c>
      <c r="BU54">
        <v>89.021848418600001</v>
      </c>
      <c r="BV54">
        <v>81392</v>
      </c>
      <c r="BW54">
        <v>11727</v>
      </c>
      <c r="BX54">
        <v>117.7250835463</v>
      </c>
      <c r="BY54">
        <v>112.4759102925</v>
      </c>
      <c r="CA54" t="s">
        <v>409</v>
      </c>
      <c r="CB54" t="s">
        <v>891</v>
      </c>
      <c r="CC54" t="s">
        <v>1020</v>
      </c>
      <c r="CD54">
        <v>1398</v>
      </c>
      <c r="CE54">
        <v>290</v>
      </c>
      <c r="CF54">
        <v>85.957796852599998</v>
      </c>
      <c r="CG54">
        <v>2174</v>
      </c>
      <c r="CH54">
        <v>333</v>
      </c>
      <c r="CI54">
        <v>114.37856485739999</v>
      </c>
      <c r="CJ54">
        <v>101.0510510511</v>
      </c>
      <c r="CL54" t="s">
        <v>409</v>
      </c>
      <c r="CM54" t="s">
        <v>872</v>
      </c>
      <c r="CN54" t="s">
        <v>876</v>
      </c>
      <c r="CO54">
        <v>128</v>
      </c>
      <c r="CP54">
        <v>13</v>
      </c>
      <c r="CQ54">
        <v>67.0859375</v>
      </c>
      <c r="CR54">
        <v>298</v>
      </c>
      <c r="CS54">
        <v>42</v>
      </c>
      <c r="CT54">
        <v>60.590604026800001</v>
      </c>
      <c r="CU54">
        <v>89.547619047599994</v>
      </c>
      <c r="CW54" t="s">
        <v>409</v>
      </c>
      <c r="CX54" t="s">
        <v>882</v>
      </c>
      <c r="CY54" t="s">
        <v>886</v>
      </c>
      <c r="CZ54">
        <v>36</v>
      </c>
      <c r="DA54">
        <v>11</v>
      </c>
      <c r="DB54">
        <v>91.972222222200003</v>
      </c>
      <c r="DC54">
        <v>36</v>
      </c>
      <c r="DD54">
        <v>8</v>
      </c>
      <c r="DE54">
        <v>137.75</v>
      </c>
      <c r="DF54">
        <v>149.125</v>
      </c>
      <c r="DH54" t="s">
        <v>409</v>
      </c>
      <c r="DI54" t="s">
        <v>862</v>
      </c>
      <c r="DJ54" t="s">
        <v>866</v>
      </c>
      <c r="DK54">
        <v>54</v>
      </c>
      <c r="DL54">
        <v>12</v>
      </c>
      <c r="DM54">
        <v>80.907407407400001</v>
      </c>
      <c r="DN54">
        <v>51</v>
      </c>
      <c r="DO54">
        <v>6</v>
      </c>
      <c r="DP54">
        <v>121.9803921569</v>
      </c>
      <c r="DQ54">
        <v>115.5</v>
      </c>
    </row>
    <row r="55" spans="2:121" x14ac:dyDescent="0.2">
      <c r="F55" t="s">
        <v>50</v>
      </c>
      <c r="G55">
        <v>1866</v>
      </c>
      <c r="H55">
        <v>136.74276527329999</v>
      </c>
      <c r="I55">
        <v>2144</v>
      </c>
      <c r="J55">
        <v>301</v>
      </c>
      <c r="K55">
        <v>3070</v>
      </c>
      <c r="L55">
        <v>1268</v>
      </c>
      <c r="M55">
        <v>821</v>
      </c>
      <c r="N55">
        <v>596</v>
      </c>
      <c r="O55">
        <v>637</v>
      </c>
      <c r="P55">
        <v>312</v>
      </c>
      <c r="Q55">
        <v>2</v>
      </c>
      <c r="R55">
        <v>16</v>
      </c>
      <c r="AH55" t="s">
        <v>422</v>
      </c>
      <c r="AI55">
        <v>447</v>
      </c>
      <c r="AJ55">
        <v>323.25950783000002</v>
      </c>
      <c r="AK55">
        <v>867</v>
      </c>
      <c r="AL55">
        <v>112</v>
      </c>
      <c r="AM55">
        <v>798</v>
      </c>
      <c r="AN55">
        <v>501</v>
      </c>
      <c r="AO55">
        <v>161</v>
      </c>
      <c r="AP55">
        <v>85</v>
      </c>
      <c r="AQ55">
        <v>171</v>
      </c>
      <c r="AR55">
        <v>94</v>
      </c>
      <c r="AS55">
        <v>2</v>
      </c>
      <c r="AT55">
        <v>2</v>
      </c>
      <c r="AV55" t="s">
        <v>402</v>
      </c>
      <c r="AW55">
        <v>202</v>
      </c>
      <c r="AX55">
        <v>42.336633663400001</v>
      </c>
      <c r="AY55">
        <v>262</v>
      </c>
      <c r="AZ55">
        <v>15</v>
      </c>
      <c r="BA55">
        <v>258</v>
      </c>
      <c r="BB55">
        <v>8</v>
      </c>
      <c r="BC55">
        <v>1</v>
      </c>
      <c r="BD55">
        <v>1</v>
      </c>
      <c r="BE55">
        <v>9</v>
      </c>
      <c r="BF55">
        <v>1</v>
      </c>
      <c r="BG55">
        <v>706</v>
      </c>
      <c r="BH55">
        <v>37</v>
      </c>
      <c r="BJ55" t="s">
        <v>596</v>
      </c>
      <c r="BK55" t="s">
        <v>405</v>
      </c>
      <c r="BL55">
        <v>4348</v>
      </c>
      <c r="BM55">
        <v>986</v>
      </c>
      <c r="BN55">
        <v>91.143744250200001</v>
      </c>
      <c r="BO55">
        <v>6409</v>
      </c>
      <c r="BP55">
        <v>1138</v>
      </c>
      <c r="BQ55">
        <v>134.0663129973</v>
      </c>
      <c r="BR55">
        <v>118.30667838310001</v>
      </c>
      <c r="BS55">
        <v>6146</v>
      </c>
      <c r="BT55">
        <v>1533</v>
      </c>
      <c r="BU55">
        <v>96.356654734800003</v>
      </c>
      <c r="BV55">
        <v>9119</v>
      </c>
      <c r="BW55">
        <v>1497</v>
      </c>
      <c r="BX55">
        <v>141.9040464963</v>
      </c>
      <c r="BY55">
        <v>127.5958583834</v>
      </c>
      <c r="CA55" t="s">
        <v>414</v>
      </c>
      <c r="CB55" t="s">
        <v>891</v>
      </c>
      <c r="CC55" t="s">
        <v>1021</v>
      </c>
      <c r="CD55">
        <v>3473</v>
      </c>
      <c r="CE55">
        <v>880</v>
      </c>
      <c r="CF55">
        <v>93.452346674300003</v>
      </c>
      <c r="CG55">
        <v>4623</v>
      </c>
      <c r="CH55">
        <v>632</v>
      </c>
      <c r="CI55">
        <v>143.50551589880001</v>
      </c>
      <c r="CJ55">
        <v>127.6566455696</v>
      </c>
      <c r="CL55" t="s">
        <v>414</v>
      </c>
      <c r="CM55" t="s">
        <v>872</v>
      </c>
      <c r="CN55" t="s">
        <v>877</v>
      </c>
      <c r="CO55">
        <v>218</v>
      </c>
      <c r="CP55">
        <v>23</v>
      </c>
      <c r="CQ55">
        <v>68.151376146800004</v>
      </c>
      <c r="CR55">
        <v>592</v>
      </c>
      <c r="CS55">
        <v>80</v>
      </c>
      <c r="CT55">
        <v>62.805743243199998</v>
      </c>
      <c r="CU55">
        <v>67.3125</v>
      </c>
      <c r="CW55" t="s">
        <v>414</v>
      </c>
      <c r="CX55" t="s">
        <v>882</v>
      </c>
      <c r="CY55" t="s">
        <v>887</v>
      </c>
      <c r="CZ55">
        <v>110</v>
      </c>
      <c r="DA55">
        <v>24</v>
      </c>
      <c r="DB55">
        <v>84.327272727299999</v>
      </c>
      <c r="DC55">
        <v>91</v>
      </c>
      <c r="DD55">
        <v>14</v>
      </c>
      <c r="DE55">
        <v>148.1538461538</v>
      </c>
      <c r="DF55">
        <v>151.42857142860001</v>
      </c>
      <c r="DH55" t="s">
        <v>414</v>
      </c>
      <c r="DI55" t="s">
        <v>862</v>
      </c>
      <c r="DJ55" t="s">
        <v>867</v>
      </c>
      <c r="DK55">
        <v>104</v>
      </c>
      <c r="DL55">
        <v>14</v>
      </c>
      <c r="DM55">
        <v>75.221153846199996</v>
      </c>
      <c r="DN55">
        <v>102</v>
      </c>
      <c r="DO55">
        <v>17</v>
      </c>
      <c r="DP55">
        <v>134.6862745098</v>
      </c>
      <c r="DQ55">
        <v>143.8823529412</v>
      </c>
    </row>
    <row r="56" spans="2:121" x14ac:dyDescent="0.2">
      <c r="F56" t="s">
        <v>62</v>
      </c>
      <c r="G56">
        <v>11296</v>
      </c>
      <c r="H56">
        <v>417.90925991500001</v>
      </c>
      <c r="I56">
        <v>11212</v>
      </c>
      <c r="J56">
        <v>3165</v>
      </c>
      <c r="K56">
        <v>14644</v>
      </c>
      <c r="L56">
        <v>11253</v>
      </c>
      <c r="M56">
        <v>4519</v>
      </c>
      <c r="N56">
        <v>3713</v>
      </c>
      <c r="O56">
        <v>2316</v>
      </c>
      <c r="P56">
        <v>1822</v>
      </c>
      <c r="Q56">
        <v>0</v>
      </c>
      <c r="R56">
        <v>29</v>
      </c>
      <c r="BJ56" t="s">
        <v>604</v>
      </c>
      <c r="BK56" t="s">
        <v>405</v>
      </c>
      <c r="BL56">
        <v>4711</v>
      </c>
      <c r="BM56">
        <v>1172</v>
      </c>
      <c r="BN56">
        <v>98.810868180900002</v>
      </c>
      <c r="BO56">
        <v>5707</v>
      </c>
      <c r="BP56">
        <v>702</v>
      </c>
      <c r="BQ56">
        <v>142.49623269669999</v>
      </c>
      <c r="BR56">
        <v>140.07977207979999</v>
      </c>
      <c r="BS56">
        <v>4833</v>
      </c>
      <c r="BT56">
        <v>1173</v>
      </c>
      <c r="BU56">
        <v>97.823091247700006</v>
      </c>
      <c r="BV56">
        <v>5869</v>
      </c>
      <c r="BW56">
        <v>720</v>
      </c>
      <c r="BX56">
        <v>137.73300391890001</v>
      </c>
      <c r="BY56">
        <v>137.90694444440001</v>
      </c>
      <c r="CA56" t="s">
        <v>406</v>
      </c>
      <c r="CB56" t="s">
        <v>891</v>
      </c>
      <c r="CC56" t="s">
        <v>1022</v>
      </c>
      <c r="CD56">
        <v>2590</v>
      </c>
      <c r="CE56">
        <v>577</v>
      </c>
      <c r="CF56">
        <v>91.736293436300002</v>
      </c>
      <c r="CG56">
        <v>3348</v>
      </c>
      <c r="CH56">
        <v>452</v>
      </c>
      <c r="CI56">
        <v>145.5818399044</v>
      </c>
      <c r="CJ56">
        <v>130.57522123890001</v>
      </c>
      <c r="CL56" t="s">
        <v>406</v>
      </c>
      <c r="CM56" t="s">
        <v>872</v>
      </c>
      <c r="CN56" t="s">
        <v>878</v>
      </c>
      <c r="CO56">
        <v>169</v>
      </c>
      <c r="CP56">
        <v>15</v>
      </c>
      <c r="CQ56">
        <v>64.272189349100003</v>
      </c>
      <c r="CR56">
        <v>454</v>
      </c>
      <c r="CS56">
        <v>72</v>
      </c>
      <c r="CT56">
        <v>57.870044052899999</v>
      </c>
      <c r="CU56">
        <v>59.319444444399998</v>
      </c>
      <c r="CW56" t="s">
        <v>406</v>
      </c>
      <c r="CX56" t="s">
        <v>882</v>
      </c>
      <c r="CY56" t="s">
        <v>888</v>
      </c>
      <c r="CZ56">
        <v>69</v>
      </c>
      <c r="DA56">
        <v>14</v>
      </c>
      <c r="DB56">
        <v>85.579710144900005</v>
      </c>
      <c r="DC56">
        <v>49</v>
      </c>
      <c r="DD56">
        <v>5</v>
      </c>
      <c r="DE56">
        <v>171.5918367347</v>
      </c>
      <c r="DF56">
        <v>158.4</v>
      </c>
      <c r="DH56" t="s">
        <v>406</v>
      </c>
      <c r="DI56" t="s">
        <v>862</v>
      </c>
      <c r="DJ56" t="s">
        <v>868</v>
      </c>
      <c r="DK56">
        <v>86</v>
      </c>
      <c r="DL56">
        <v>13</v>
      </c>
      <c r="DM56">
        <v>75.011627907000005</v>
      </c>
      <c r="DN56">
        <v>59</v>
      </c>
      <c r="DO56">
        <v>15</v>
      </c>
      <c r="DP56">
        <v>152.20338983049999</v>
      </c>
      <c r="DQ56">
        <v>143.9333333333</v>
      </c>
    </row>
    <row r="57" spans="2:121" x14ac:dyDescent="0.2">
      <c r="F57" t="s">
        <v>64</v>
      </c>
      <c r="G57">
        <v>4002</v>
      </c>
      <c r="H57">
        <v>262.25537231380002</v>
      </c>
      <c r="I57">
        <v>4129</v>
      </c>
      <c r="J57">
        <v>975</v>
      </c>
      <c r="K57">
        <v>4907</v>
      </c>
      <c r="L57">
        <v>2944</v>
      </c>
      <c r="M57">
        <v>1050</v>
      </c>
      <c r="N57">
        <v>309</v>
      </c>
      <c r="O57">
        <v>1167</v>
      </c>
      <c r="P57">
        <v>684</v>
      </c>
      <c r="Q57">
        <v>0</v>
      </c>
      <c r="R57">
        <v>66</v>
      </c>
      <c r="BJ57" t="s">
        <v>612</v>
      </c>
      <c r="BK57" t="s">
        <v>405</v>
      </c>
      <c r="BL57">
        <v>3351</v>
      </c>
      <c r="BM57">
        <v>857</v>
      </c>
      <c r="BN57">
        <v>94.897045657999996</v>
      </c>
      <c r="BO57">
        <v>4231</v>
      </c>
      <c r="BP57">
        <v>568</v>
      </c>
      <c r="BQ57">
        <v>147.312692035</v>
      </c>
      <c r="BR57">
        <v>134.66901408449999</v>
      </c>
      <c r="BS57">
        <v>2869</v>
      </c>
      <c r="BT57">
        <v>641</v>
      </c>
      <c r="BU57">
        <v>86.878006274000001</v>
      </c>
      <c r="BV57">
        <v>3318</v>
      </c>
      <c r="BW57">
        <v>477</v>
      </c>
      <c r="BX57">
        <v>126.6720916215</v>
      </c>
      <c r="BY57">
        <v>121.05031446540001</v>
      </c>
      <c r="CA57" t="s">
        <v>410</v>
      </c>
      <c r="CB57" t="s">
        <v>891</v>
      </c>
      <c r="CC57" t="s">
        <v>1023</v>
      </c>
      <c r="CD57">
        <v>4693</v>
      </c>
      <c r="CE57">
        <v>1176</v>
      </c>
      <c r="CF57">
        <v>99.405497549499998</v>
      </c>
      <c r="CG57">
        <v>5836</v>
      </c>
      <c r="CH57">
        <v>714</v>
      </c>
      <c r="CI57">
        <v>141.73594928029999</v>
      </c>
      <c r="CJ57">
        <v>140.6176470588</v>
      </c>
      <c r="CL57" t="s">
        <v>410</v>
      </c>
      <c r="CM57" t="s">
        <v>872</v>
      </c>
      <c r="CN57" t="s">
        <v>879</v>
      </c>
      <c r="CO57">
        <v>286</v>
      </c>
      <c r="CP57">
        <v>32</v>
      </c>
      <c r="CQ57">
        <v>67.783216783200004</v>
      </c>
      <c r="CR57">
        <v>876</v>
      </c>
      <c r="CS57">
        <v>116</v>
      </c>
      <c r="CT57">
        <v>68.212328767100004</v>
      </c>
      <c r="CU57">
        <v>70.810344827600005</v>
      </c>
      <c r="CW57" t="s">
        <v>410</v>
      </c>
      <c r="CX57" t="s">
        <v>882</v>
      </c>
      <c r="CY57" t="s">
        <v>889</v>
      </c>
      <c r="CZ57">
        <v>97</v>
      </c>
      <c r="DA57">
        <v>36</v>
      </c>
      <c r="DB57">
        <v>102.77319587629999</v>
      </c>
      <c r="DC57">
        <v>90</v>
      </c>
      <c r="DD57">
        <v>17</v>
      </c>
      <c r="DE57">
        <v>141.8888888889</v>
      </c>
      <c r="DF57">
        <v>169.70588235290001</v>
      </c>
      <c r="DH57" t="s">
        <v>410</v>
      </c>
      <c r="DI57" t="s">
        <v>862</v>
      </c>
      <c r="DJ57" t="s">
        <v>869</v>
      </c>
      <c r="DK57">
        <v>47</v>
      </c>
      <c r="DL57">
        <v>14</v>
      </c>
      <c r="DM57">
        <v>99.723404255299997</v>
      </c>
      <c r="DN57">
        <v>43</v>
      </c>
      <c r="DO57">
        <v>5</v>
      </c>
      <c r="DP57">
        <v>127.2558139535</v>
      </c>
      <c r="DQ57">
        <v>135</v>
      </c>
    </row>
    <row r="58" spans="2:121" x14ac:dyDescent="0.2">
      <c r="F58" t="s">
        <v>54</v>
      </c>
      <c r="G58">
        <v>1378</v>
      </c>
      <c r="H58">
        <v>361.54354136429998</v>
      </c>
      <c r="I58">
        <v>975</v>
      </c>
      <c r="J58">
        <v>219</v>
      </c>
      <c r="K58">
        <v>1888</v>
      </c>
      <c r="L58">
        <v>1235</v>
      </c>
      <c r="M58">
        <v>349</v>
      </c>
      <c r="N58">
        <v>336</v>
      </c>
      <c r="O58">
        <v>86</v>
      </c>
      <c r="P58">
        <v>48</v>
      </c>
      <c r="Q58">
        <v>0</v>
      </c>
      <c r="R58">
        <v>1</v>
      </c>
      <c r="BJ58" t="s">
        <v>625</v>
      </c>
      <c r="BK58" t="s">
        <v>405</v>
      </c>
      <c r="BL58">
        <v>9551</v>
      </c>
      <c r="BM58">
        <v>1731</v>
      </c>
      <c r="BN58">
        <v>85.669772798699995</v>
      </c>
      <c r="BO58">
        <v>12645</v>
      </c>
      <c r="BP58">
        <v>1813</v>
      </c>
      <c r="BQ58">
        <v>132.8751285093</v>
      </c>
      <c r="BR58">
        <v>132.11638168779999</v>
      </c>
      <c r="BS58">
        <v>9173</v>
      </c>
      <c r="BT58">
        <v>1677</v>
      </c>
      <c r="BU58">
        <v>86.756568189299998</v>
      </c>
      <c r="BV58">
        <v>13101</v>
      </c>
      <c r="BW58">
        <v>1832</v>
      </c>
      <c r="BX58">
        <v>141.08800854899999</v>
      </c>
      <c r="BY58">
        <v>137.87991266380001</v>
      </c>
      <c r="CA58" t="s">
        <v>80</v>
      </c>
      <c r="CB58" t="s">
        <v>891</v>
      </c>
      <c r="CC58" t="s">
        <v>1024</v>
      </c>
      <c r="CD58">
        <v>5365</v>
      </c>
      <c r="CE58">
        <v>1001</v>
      </c>
      <c r="CF58">
        <v>84.657781919900003</v>
      </c>
      <c r="CG58">
        <v>10128</v>
      </c>
      <c r="CH58">
        <v>1471</v>
      </c>
      <c r="CI58">
        <v>113.18809241709999</v>
      </c>
      <c r="CJ58">
        <v>105.2440516655</v>
      </c>
      <c r="CL58" t="s">
        <v>80</v>
      </c>
      <c r="CM58" t="s">
        <v>872</v>
      </c>
      <c r="CN58" t="s">
        <v>880</v>
      </c>
      <c r="CO58">
        <v>486</v>
      </c>
      <c r="CP58">
        <v>39</v>
      </c>
      <c r="CQ58">
        <v>64.977366255099994</v>
      </c>
      <c r="CR58">
        <v>1334</v>
      </c>
      <c r="CS58">
        <v>214</v>
      </c>
      <c r="CT58">
        <v>68.643178410800004</v>
      </c>
      <c r="CU58">
        <v>75</v>
      </c>
      <c r="CW58" t="s">
        <v>80</v>
      </c>
      <c r="CX58" t="s">
        <v>882</v>
      </c>
      <c r="CY58" t="s">
        <v>890</v>
      </c>
      <c r="CZ58">
        <v>341</v>
      </c>
      <c r="DA58">
        <v>75</v>
      </c>
      <c r="DB58">
        <v>82.879765395899994</v>
      </c>
      <c r="DC58">
        <v>250</v>
      </c>
      <c r="DD58">
        <v>44</v>
      </c>
      <c r="DE58">
        <v>137.232</v>
      </c>
      <c r="DF58">
        <v>150.45454545449999</v>
      </c>
      <c r="DH58" t="s">
        <v>80</v>
      </c>
      <c r="DI58" t="s">
        <v>862</v>
      </c>
      <c r="DJ58" t="s">
        <v>870</v>
      </c>
      <c r="DK58">
        <v>459</v>
      </c>
      <c r="DL58">
        <v>80</v>
      </c>
      <c r="DM58">
        <v>79.7734204793</v>
      </c>
      <c r="DN58">
        <v>502</v>
      </c>
      <c r="DO58">
        <v>97</v>
      </c>
      <c r="DP58">
        <v>128.36055776890001</v>
      </c>
      <c r="DQ58">
        <v>133.49484536080001</v>
      </c>
    </row>
    <row r="59" spans="2:121" x14ac:dyDescent="0.2">
      <c r="F59" t="s">
        <v>46</v>
      </c>
      <c r="G59">
        <v>13349</v>
      </c>
      <c r="H59">
        <v>352.73975578699998</v>
      </c>
      <c r="I59">
        <v>15735</v>
      </c>
      <c r="J59">
        <v>3924</v>
      </c>
      <c r="K59">
        <v>17565</v>
      </c>
      <c r="L59">
        <v>12315</v>
      </c>
      <c r="M59">
        <v>3188</v>
      </c>
      <c r="N59">
        <v>1879</v>
      </c>
      <c r="O59">
        <v>3409</v>
      </c>
      <c r="P59">
        <v>2541</v>
      </c>
      <c r="Q59">
        <v>1</v>
      </c>
      <c r="R59">
        <v>229</v>
      </c>
      <c r="BJ59" t="s">
        <v>598</v>
      </c>
      <c r="BK59" t="s">
        <v>405</v>
      </c>
      <c r="BL59">
        <v>7213</v>
      </c>
      <c r="BM59">
        <v>1068</v>
      </c>
      <c r="BN59">
        <v>71.494662415099995</v>
      </c>
      <c r="BO59">
        <v>22529</v>
      </c>
      <c r="BP59">
        <v>3475</v>
      </c>
      <c r="BQ59">
        <v>68.614940743000005</v>
      </c>
      <c r="BR59">
        <v>63.04</v>
      </c>
      <c r="BS59">
        <v>8175</v>
      </c>
      <c r="BT59">
        <v>1196</v>
      </c>
      <c r="BU59">
        <v>71.168440367000002</v>
      </c>
      <c r="BV59">
        <v>23342</v>
      </c>
      <c r="BW59">
        <v>3613</v>
      </c>
      <c r="BX59">
        <v>69.020349584399995</v>
      </c>
      <c r="BY59">
        <v>64.181566565200001</v>
      </c>
      <c r="CA59" t="s">
        <v>405</v>
      </c>
      <c r="CB59" t="s">
        <v>891</v>
      </c>
      <c r="CD59">
        <v>55093</v>
      </c>
      <c r="CE59">
        <v>12711</v>
      </c>
      <c r="CF59">
        <v>91.608153485900004</v>
      </c>
      <c r="CG59">
        <v>73399</v>
      </c>
      <c r="CH59">
        <v>10418</v>
      </c>
      <c r="CI59">
        <v>132.9810215398</v>
      </c>
      <c r="CJ59">
        <v>125.76809368399999</v>
      </c>
      <c r="CL59" t="s">
        <v>405</v>
      </c>
      <c r="CM59" t="s">
        <v>872</v>
      </c>
      <c r="CO59">
        <v>3616</v>
      </c>
      <c r="CP59">
        <v>325</v>
      </c>
      <c r="CQ59">
        <v>64.305033185799999</v>
      </c>
      <c r="CR59">
        <v>10691</v>
      </c>
      <c r="CS59">
        <v>1493</v>
      </c>
      <c r="CT59">
        <v>65.583949116100001</v>
      </c>
      <c r="CU59">
        <v>72.012056262599998</v>
      </c>
      <c r="CW59" t="s">
        <v>405</v>
      </c>
      <c r="CX59" t="s">
        <v>882</v>
      </c>
      <c r="CZ59">
        <v>2376</v>
      </c>
      <c r="DA59">
        <v>584</v>
      </c>
      <c r="DB59">
        <v>87.162037037000005</v>
      </c>
      <c r="DC59">
        <v>1938</v>
      </c>
      <c r="DD59">
        <v>321</v>
      </c>
      <c r="DE59">
        <v>139.80237358100001</v>
      </c>
      <c r="DF59">
        <v>149.51713395639999</v>
      </c>
      <c r="DH59" t="s">
        <v>405</v>
      </c>
      <c r="DI59" t="s">
        <v>862</v>
      </c>
      <c r="DK59">
        <v>1764</v>
      </c>
      <c r="DL59">
        <v>332</v>
      </c>
      <c r="DM59">
        <v>80.591836734699996</v>
      </c>
      <c r="DN59">
        <v>1783</v>
      </c>
      <c r="DO59">
        <v>269</v>
      </c>
      <c r="DP59">
        <v>130.13740886150001</v>
      </c>
      <c r="DQ59">
        <v>137.2118959108</v>
      </c>
    </row>
    <row r="60" spans="2:121" x14ac:dyDescent="0.2">
      <c r="F60" t="s">
        <v>135</v>
      </c>
      <c r="G60">
        <v>545</v>
      </c>
      <c r="H60">
        <v>380.12110091739999</v>
      </c>
      <c r="I60">
        <v>498</v>
      </c>
      <c r="J60">
        <v>137</v>
      </c>
      <c r="K60">
        <v>764</v>
      </c>
      <c r="L60">
        <v>484</v>
      </c>
      <c r="M60">
        <v>158</v>
      </c>
      <c r="N60">
        <v>72</v>
      </c>
      <c r="O60">
        <v>126</v>
      </c>
      <c r="P60">
        <v>70</v>
      </c>
      <c r="Q60">
        <v>0</v>
      </c>
      <c r="R60">
        <v>1</v>
      </c>
      <c r="BJ60" t="s">
        <v>540</v>
      </c>
      <c r="BK60" t="s">
        <v>381</v>
      </c>
      <c r="BL60">
        <v>15723</v>
      </c>
      <c r="BM60">
        <v>4270</v>
      </c>
      <c r="BN60">
        <v>96.675507218700005</v>
      </c>
      <c r="BO60">
        <v>18471</v>
      </c>
      <c r="BP60">
        <v>2830</v>
      </c>
      <c r="BQ60">
        <v>151.91326944939999</v>
      </c>
      <c r="BR60">
        <v>145.20388692579999</v>
      </c>
      <c r="BS60">
        <v>14425</v>
      </c>
      <c r="BT60">
        <v>3173</v>
      </c>
      <c r="BU60">
        <v>86.782946273799993</v>
      </c>
      <c r="BV60">
        <v>14323</v>
      </c>
      <c r="BW60">
        <v>2242</v>
      </c>
      <c r="BX60">
        <v>143.94631013060001</v>
      </c>
      <c r="BY60">
        <v>127.4424620874</v>
      </c>
      <c r="CA60" t="s">
        <v>389</v>
      </c>
      <c r="CB60" t="s">
        <v>916</v>
      </c>
      <c r="CC60" t="s">
        <v>1025</v>
      </c>
      <c r="CD60">
        <v>6936</v>
      </c>
      <c r="CE60">
        <v>1668</v>
      </c>
      <c r="CF60">
        <v>90.530565167199995</v>
      </c>
      <c r="CG60">
        <v>9450</v>
      </c>
      <c r="CH60">
        <v>1082</v>
      </c>
      <c r="CI60">
        <v>137.9149206349</v>
      </c>
      <c r="CJ60">
        <v>145.9741219963</v>
      </c>
      <c r="CL60" t="s">
        <v>389</v>
      </c>
      <c r="CM60" t="s">
        <v>901</v>
      </c>
      <c r="CN60" t="s">
        <v>900</v>
      </c>
      <c r="CO60">
        <v>698</v>
      </c>
      <c r="CP60">
        <v>106</v>
      </c>
      <c r="CQ60">
        <v>71.654727793700005</v>
      </c>
      <c r="CR60">
        <v>1813</v>
      </c>
      <c r="CS60">
        <v>251</v>
      </c>
      <c r="CT60">
        <v>66.049641478200002</v>
      </c>
      <c r="CU60">
        <v>69.521912350600005</v>
      </c>
      <c r="CW60" t="s">
        <v>389</v>
      </c>
      <c r="CX60" t="s">
        <v>909</v>
      </c>
      <c r="CY60" t="s">
        <v>908</v>
      </c>
      <c r="CZ60">
        <v>212</v>
      </c>
      <c r="DA60">
        <v>69</v>
      </c>
      <c r="DB60">
        <v>98.929245283</v>
      </c>
      <c r="DC60">
        <v>126</v>
      </c>
      <c r="DD60">
        <v>30</v>
      </c>
      <c r="DE60">
        <v>155.59523809519999</v>
      </c>
      <c r="DF60">
        <v>171.9333333333</v>
      </c>
      <c r="DH60" t="s">
        <v>389</v>
      </c>
      <c r="DI60" t="s">
        <v>893</v>
      </c>
      <c r="DJ60" t="s">
        <v>892</v>
      </c>
      <c r="DK60">
        <v>193</v>
      </c>
      <c r="DL60">
        <v>53</v>
      </c>
      <c r="DM60">
        <v>93.352331606199996</v>
      </c>
      <c r="DN60">
        <v>171</v>
      </c>
      <c r="DO60">
        <v>27</v>
      </c>
      <c r="DP60">
        <v>154.41520467839999</v>
      </c>
      <c r="DQ60">
        <v>172.5185185185</v>
      </c>
    </row>
    <row r="61" spans="2:121" x14ac:dyDescent="0.2">
      <c r="F61" t="s">
        <v>56</v>
      </c>
      <c r="G61">
        <v>4508</v>
      </c>
      <c r="H61">
        <v>203.97027506649999</v>
      </c>
      <c r="I61">
        <v>6077</v>
      </c>
      <c r="J61">
        <v>1214</v>
      </c>
      <c r="K61">
        <v>5960</v>
      </c>
      <c r="L61">
        <v>2893</v>
      </c>
      <c r="M61">
        <v>582</v>
      </c>
      <c r="N61">
        <v>414</v>
      </c>
      <c r="O61">
        <v>613</v>
      </c>
      <c r="P61">
        <v>312</v>
      </c>
      <c r="Q61">
        <v>6352</v>
      </c>
      <c r="R61">
        <v>0</v>
      </c>
      <c r="BJ61" t="s">
        <v>548</v>
      </c>
      <c r="BK61" t="s">
        <v>381</v>
      </c>
      <c r="BL61">
        <v>8575</v>
      </c>
      <c r="BM61">
        <v>2302</v>
      </c>
      <c r="BN61">
        <v>100.1175510204</v>
      </c>
      <c r="BO61">
        <v>10042</v>
      </c>
      <c r="BP61">
        <v>1468</v>
      </c>
      <c r="BQ61">
        <v>138.53106950809999</v>
      </c>
      <c r="BR61">
        <v>142.81198910079999</v>
      </c>
      <c r="BS61">
        <v>8608</v>
      </c>
      <c r="BT61">
        <v>2363</v>
      </c>
      <c r="BU61">
        <v>99.7359433086</v>
      </c>
      <c r="BV61">
        <v>10235</v>
      </c>
      <c r="BW61">
        <v>1532</v>
      </c>
      <c r="BX61">
        <v>138.7209574988</v>
      </c>
      <c r="BY61">
        <v>142.3792428198</v>
      </c>
      <c r="CA61" t="s">
        <v>426</v>
      </c>
      <c r="CB61" t="s">
        <v>916</v>
      </c>
      <c r="CC61" t="s">
        <v>1026</v>
      </c>
      <c r="CD61">
        <v>20541</v>
      </c>
      <c r="CE61">
        <v>5518</v>
      </c>
      <c r="CF61">
        <v>102.0554013923</v>
      </c>
      <c r="CG61">
        <v>29159</v>
      </c>
      <c r="CH61">
        <v>3708</v>
      </c>
      <c r="CI61">
        <v>144.46222435609999</v>
      </c>
      <c r="CJ61">
        <v>143.0345199569</v>
      </c>
      <c r="CL61" t="s">
        <v>426</v>
      </c>
      <c r="CM61" t="s">
        <v>901</v>
      </c>
      <c r="CN61" t="s">
        <v>902</v>
      </c>
      <c r="CO61">
        <v>2649</v>
      </c>
      <c r="CP61">
        <v>292</v>
      </c>
      <c r="CQ61">
        <v>70.079652699099995</v>
      </c>
      <c r="CR61">
        <v>3880</v>
      </c>
      <c r="CS61">
        <v>578</v>
      </c>
      <c r="CT61">
        <v>88.253092783499994</v>
      </c>
      <c r="CU61">
        <v>108.615916955</v>
      </c>
      <c r="CW61" t="s">
        <v>426</v>
      </c>
      <c r="CX61" t="s">
        <v>909</v>
      </c>
      <c r="CY61" t="s">
        <v>910</v>
      </c>
      <c r="CZ61">
        <v>854</v>
      </c>
      <c r="DA61">
        <v>298</v>
      </c>
      <c r="DB61">
        <v>99.676814988299995</v>
      </c>
      <c r="DC61">
        <v>595</v>
      </c>
      <c r="DD61">
        <v>102</v>
      </c>
      <c r="DE61">
        <v>156.63025210079999</v>
      </c>
      <c r="DF61">
        <v>162.8823529412</v>
      </c>
      <c r="DH61" t="s">
        <v>426</v>
      </c>
      <c r="DI61" t="s">
        <v>893</v>
      </c>
      <c r="DJ61" t="s">
        <v>894</v>
      </c>
      <c r="DK61">
        <v>1027</v>
      </c>
      <c r="DL61">
        <v>327</v>
      </c>
      <c r="DM61">
        <v>96.559883154800005</v>
      </c>
      <c r="DN61">
        <v>849</v>
      </c>
      <c r="DO61">
        <v>141</v>
      </c>
      <c r="DP61">
        <v>147.59128386340001</v>
      </c>
      <c r="DQ61">
        <v>163.8936170213</v>
      </c>
    </row>
    <row r="62" spans="2:121" x14ac:dyDescent="0.2">
      <c r="BJ62" t="s">
        <v>564</v>
      </c>
      <c r="BK62" t="s">
        <v>381</v>
      </c>
      <c r="BL62">
        <v>3823</v>
      </c>
      <c r="BM62">
        <v>797</v>
      </c>
      <c r="BN62">
        <v>100.2615746796</v>
      </c>
      <c r="BO62">
        <v>6559</v>
      </c>
      <c r="BP62">
        <v>981</v>
      </c>
      <c r="BQ62">
        <v>145.28449458759999</v>
      </c>
      <c r="BR62">
        <v>129.2844036697</v>
      </c>
      <c r="BS62">
        <v>1192</v>
      </c>
      <c r="BT62">
        <v>546</v>
      </c>
      <c r="BU62">
        <v>142.90939597319999</v>
      </c>
      <c r="BV62">
        <v>8282</v>
      </c>
      <c r="BW62">
        <v>1256</v>
      </c>
      <c r="BX62">
        <v>170.2443854142</v>
      </c>
      <c r="BY62">
        <v>157.45143312100001</v>
      </c>
      <c r="CA62" t="s">
        <v>382</v>
      </c>
      <c r="CB62" t="s">
        <v>916</v>
      </c>
      <c r="CC62" t="s">
        <v>1027</v>
      </c>
      <c r="CD62">
        <v>16884</v>
      </c>
      <c r="CE62">
        <v>4365</v>
      </c>
      <c r="CF62">
        <v>95.128997867799995</v>
      </c>
      <c r="CG62">
        <v>20433</v>
      </c>
      <c r="CH62">
        <v>3161</v>
      </c>
      <c r="CI62">
        <v>142.71095776440001</v>
      </c>
      <c r="CJ62">
        <v>136.5017399557</v>
      </c>
      <c r="CL62" t="s">
        <v>382</v>
      </c>
      <c r="CM62" t="s">
        <v>901</v>
      </c>
      <c r="CN62" t="s">
        <v>903</v>
      </c>
      <c r="CO62">
        <v>1350</v>
      </c>
      <c r="CP62">
        <v>167</v>
      </c>
      <c r="CQ62">
        <v>70.068888888900005</v>
      </c>
      <c r="CR62">
        <v>1965</v>
      </c>
      <c r="CS62">
        <v>285</v>
      </c>
      <c r="CT62">
        <v>90.641730279900003</v>
      </c>
      <c r="CU62">
        <v>104.4771929825</v>
      </c>
      <c r="CW62" t="s">
        <v>382</v>
      </c>
      <c r="CX62" t="s">
        <v>909</v>
      </c>
      <c r="CY62" t="s">
        <v>911</v>
      </c>
      <c r="CZ62">
        <v>491</v>
      </c>
      <c r="DA62">
        <v>150</v>
      </c>
      <c r="DB62">
        <v>95.185336048899998</v>
      </c>
      <c r="DC62">
        <v>356</v>
      </c>
      <c r="DD62">
        <v>63</v>
      </c>
      <c r="DE62">
        <v>160.0365168539</v>
      </c>
      <c r="DF62">
        <v>170.253968254</v>
      </c>
      <c r="DH62" t="s">
        <v>382</v>
      </c>
      <c r="DI62" t="s">
        <v>893</v>
      </c>
      <c r="DJ62" t="s">
        <v>895</v>
      </c>
      <c r="DK62">
        <v>512</v>
      </c>
      <c r="DL62">
        <v>163</v>
      </c>
      <c r="DM62">
        <v>95.05078125</v>
      </c>
      <c r="DN62">
        <v>448</v>
      </c>
      <c r="DO62">
        <v>74</v>
      </c>
      <c r="DP62">
        <v>148.90625</v>
      </c>
      <c r="DQ62">
        <v>153.7162162162</v>
      </c>
    </row>
    <row r="63" spans="2:121" x14ac:dyDescent="0.2">
      <c r="BJ63" t="s">
        <v>554</v>
      </c>
      <c r="BK63" t="s">
        <v>381</v>
      </c>
      <c r="BL63">
        <v>7069</v>
      </c>
      <c r="BM63">
        <v>1621</v>
      </c>
      <c r="BN63">
        <v>88.581411798000005</v>
      </c>
      <c r="BO63">
        <v>8966</v>
      </c>
      <c r="BP63">
        <v>1012</v>
      </c>
      <c r="BQ63">
        <v>141.36660718269999</v>
      </c>
      <c r="BR63">
        <v>152.63833992089999</v>
      </c>
      <c r="BS63">
        <v>6749</v>
      </c>
      <c r="BT63">
        <v>1485</v>
      </c>
      <c r="BU63">
        <v>85.531337976000003</v>
      </c>
      <c r="BV63">
        <v>8260</v>
      </c>
      <c r="BW63">
        <v>987</v>
      </c>
      <c r="BX63">
        <v>139.3167070218</v>
      </c>
      <c r="BY63">
        <v>144.31408307999999</v>
      </c>
      <c r="CA63" t="s">
        <v>394</v>
      </c>
      <c r="CB63" t="s">
        <v>916</v>
      </c>
      <c r="CC63" t="s">
        <v>1028</v>
      </c>
      <c r="CD63">
        <v>3614</v>
      </c>
      <c r="CE63">
        <v>624</v>
      </c>
      <c r="CF63">
        <v>90.306585500799997</v>
      </c>
      <c r="CG63">
        <v>6501</v>
      </c>
      <c r="CH63">
        <v>958</v>
      </c>
      <c r="CI63">
        <v>127.6375942163</v>
      </c>
      <c r="CJ63">
        <v>116.3935281837</v>
      </c>
      <c r="CL63" t="s">
        <v>394</v>
      </c>
      <c r="CM63" t="s">
        <v>901</v>
      </c>
      <c r="CN63" t="s">
        <v>904</v>
      </c>
      <c r="CO63">
        <v>392</v>
      </c>
      <c r="CP63">
        <v>61</v>
      </c>
      <c r="CQ63">
        <v>68.772959183699996</v>
      </c>
      <c r="CR63">
        <v>914</v>
      </c>
      <c r="CS63">
        <v>122</v>
      </c>
      <c r="CT63">
        <v>73.690371991199996</v>
      </c>
      <c r="CU63">
        <v>69.877049180300006</v>
      </c>
      <c r="CW63" t="s">
        <v>394</v>
      </c>
      <c r="CX63" t="s">
        <v>909</v>
      </c>
      <c r="CY63" t="s">
        <v>912</v>
      </c>
      <c r="CZ63">
        <v>120</v>
      </c>
      <c r="DA63">
        <v>39</v>
      </c>
      <c r="DB63">
        <v>98.366666666699999</v>
      </c>
      <c r="DC63">
        <v>78</v>
      </c>
      <c r="DD63">
        <v>16</v>
      </c>
      <c r="DE63">
        <v>150.30769230769999</v>
      </c>
      <c r="DF63">
        <v>159.3125</v>
      </c>
      <c r="DH63" t="s">
        <v>394</v>
      </c>
      <c r="DI63" t="s">
        <v>893</v>
      </c>
      <c r="DJ63" t="s">
        <v>896</v>
      </c>
      <c r="DK63">
        <v>179</v>
      </c>
      <c r="DL63">
        <v>57</v>
      </c>
      <c r="DM63">
        <v>97.955307262600002</v>
      </c>
      <c r="DN63">
        <v>119</v>
      </c>
      <c r="DO63">
        <v>26</v>
      </c>
      <c r="DP63">
        <v>147.9411764706</v>
      </c>
      <c r="DQ63">
        <v>179.3461538462</v>
      </c>
    </row>
    <row r="64" spans="2:121" x14ac:dyDescent="0.2">
      <c r="BJ64" t="s">
        <v>550</v>
      </c>
      <c r="BK64" t="s">
        <v>381</v>
      </c>
      <c r="BL64">
        <v>9535</v>
      </c>
      <c r="BM64">
        <v>1985</v>
      </c>
      <c r="BN64">
        <v>89.423911903499999</v>
      </c>
      <c r="BO64">
        <v>11705</v>
      </c>
      <c r="BP64">
        <v>1990</v>
      </c>
      <c r="BQ64">
        <v>132.40879965830001</v>
      </c>
      <c r="BR64">
        <v>127.1105527638</v>
      </c>
      <c r="BS64">
        <v>9488</v>
      </c>
      <c r="BT64">
        <v>1997</v>
      </c>
      <c r="BU64">
        <v>90.132588532900002</v>
      </c>
      <c r="BV64">
        <v>12449</v>
      </c>
      <c r="BW64">
        <v>2022</v>
      </c>
      <c r="BX64">
        <v>138.8406297695</v>
      </c>
      <c r="BY64">
        <v>130.53313550940001</v>
      </c>
      <c r="CA64" t="s">
        <v>428</v>
      </c>
      <c r="CB64" t="s">
        <v>916</v>
      </c>
      <c r="CC64" t="s">
        <v>1029</v>
      </c>
      <c r="CD64">
        <v>3059</v>
      </c>
      <c r="CE64">
        <v>888</v>
      </c>
      <c r="CF64">
        <v>108.3664596273</v>
      </c>
      <c r="CG64">
        <v>3230</v>
      </c>
      <c r="CH64">
        <v>520</v>
      </c>
      <c r="CI64">
        <v>161.5857585139</v>
      </c>
      <c r="CJ64">
        <v>152.01730769229999</v>
      </c>
      <c r="CL64" t="s">
        <v>428</v>
      </c>
      <c r="CM64" t="s">
        <v>901</v>
      </c>
      <c r="CN64" t="s">
        <v>905</v>
      </c>
      <c r="CO64">
        <v>522</v>
      </c>
      <c r="CP64">
        <v>59</v>
      </c>
      <c r="CQ64">
        <v>71.568965517199999</v>
      </c>
      <c r="CR64">
        <v>701</v>
      </c>
      <c r="CS64">
        <v>118</v>
      </c>
      <c r="CT64">
        <v>99.112696148400005</v>
      </c>
      <c r="CU64">
        <v>116.47457627119999</v>
      </c>
      <c r="CW64" t="s">
        <v>428</v>
      </c>
      <c r="CX64" t="s">
        <v>909</v>
      </c>
      <c r="CY64" t="s">
        <v>913</v>
      </c>
      <c r="CZ64">
        <v>16</v>
      </c>
      <c r="DA64">
        <v>3</v>
      </c>
      <c r="DB64">
        <v>73.75</v>
      </c>
      <c r="DC64">
        <v>4</v>
      </c>
      <c r="DD64">
        <v>0</v>
      </c>
      <c r="DE64">
        <v>144.5</v>
      </c>
      <c r="DF64">
        <v>0</v>
      </c>
      <c r="DH64" t="s">
        <v>428</v>
      </c>
      <c r="DI64" t="s">
        <v>893</v>
      </c>
      <c r="DJ64" t="s">
        <v>897</v>
      </c>
      <c r="DK64">
        <v>16</v>
      </c>
      <c r="DL64">
        <v>5</v>
      </c>
      <c r="DM64">
        <v>90.4375</v>
      </c>
      <c r="DN64">
        <v>17</v>
      </c>
      <c r="DO64">
        <v>1</v>
      </c>
      <c r="DP64">
        <v>115.23529411760001</v>
      </c>
      <c r="DQ64">
        <v>62</v>
      </c>
    </row>
    <row r="65" spans="62:121" x14ac:dyDescent="0.2">
      <c r="BJ65" t="s">
        <v>614</v>
      </c>
      <c r="BK65" t="s">
        <v>381</v>
      </c>
      <c r="BL65">
        <v>3109</v>
      </c>
      <c r="BM65">
        <v>918</v>
      </c>
      <c r="BN65">
        <v>108.7050498553</v>
      </c>
      <c r="BO65">
        <v>3169</v>
      </c>
      <c r="BP65">
        <v>510</v>
      </c>
      <c r="BQ65">
        <v>165.05648469549999</v>
      </c>
      <c r="BR65">
        <v>154.8039215686</v>
      </c>
      <c r="BS65">
        <v>3103</v>
      </c>
      <c r="BT65">
        <v>899</v>
      </c>
      <c r="BU65">
        <v>109.7006123107</v>
      </c>
      <c r="BV65">
        <v>3160</v>
      </c>
      <c r="BW65">
        <v>491</v>
      </c>
      <c r="BX65">
        <v>179.45791139240001</v>
      </c>
      <c r="BY65">
        <v>160.20366598780001</v>
      </c>
      <c r="CA65" t="s">
        <v>384</v>
      </c>
      <c r="CB65" t="s">
        <v>916</v>
      </c>
      <c r="CC65" t="s">
        <v>1030</v>
      </c>
      <c r="CD65">
        <v>8846</v>
      </c>
      <c r="CE65">
        <v>2427</v>
      </c>
      <c r="CF65">
        <v>100.8517974226</v>
      </c>
      <c r="CG65">
        <v>10832</v>
      </c>
      <c r="CH65">
        <v>1568</v>
      </c>
      <c r="CI65">
        <v>135.6274926145</v>
      </c>
      <c r="CJ65">
        <v>139.46045918370001</v>
      </c>
      <c r="CL65" t="s">
        <v>384</v>
      </c>
      <c r="CM65" t="s">
        <v>901</v>
      </c>
      <c r="CN65" t="s">
        <v>906</v>
      </c>
      <c r="CO65">
        <v>776</v>
      </c>
      <c r="CP65">
        <v>91</v>
      </c>
      <c r="CQ65">
        <v>69.207474226800002</v>
      </c>
      <c r="CR65">
        <v>1184</v>
      </c>
      <c r="CS65">
        <v>164</v>
      </c>
      <c r="CT65">
        <v>88.462837837799995</v>
      </c>
      <c r="CU65">
        <v>100.6158536585</v>
      </c>
      <c r="CW65" t="s">
        <v>384</v>
      </c>
      <c r="CX65" t="s">
        <v>909</v>
      </c>
      <c r="CY65" t="s">
        <v>914</v>
      </c>
      <c r="CZ65">
        <v>277</v>
      </c>
      <c r="DA65">
        <v>100</v>
      </c>
      <c r="DB65">
        <v>98.599277978299995</v>
      </c>
      <c r="DC65">
        <v>196</v>
      </c>
      <c r="DD65">
        <v>30</v>
      </c>
      <c r="DE65">
        <v>159.42857142860001</v>
      </c>
      <c r="DF65">
        <v>171.9333333333</v>
      </c>
      <c r="DH65" t="s">
        <v>384</v>
      </c>
      <c r="DI65" t="s">
        <v>893</v>
      </c>
      <c r="DJ65" t="s">
        <v>898</v>
      </c>
      <c r="DK65">
        <v>286</v>
      </c>
      <c r="DL65">
        <v>93</v>
      </c>
      <c r="DM65">
        <v>97.412587412600004</v>
      </c>
      <c r="DN65">
        <v>211</v>
      </c>
      <c r="DO65">
        <v>33</v>
      </c>
      <c r="DP65">
        <v>142.80094786730001</v>
      </c>
      <c r="DQ65">
        <v>155.75757575759999</v>
      </c>
    </row>
    <row r="66" spans="62:121" x14ac:dyDescent="0.2">
      <c r="BJ66" t="s">
        <v>381</v>
      </c>
      <c r="BK66" t="s">
        <v>381</v>
      </c>
      <c r="BL66">
        <v>67233</v>
      </c>
      <c r="BM66">
        <v>17178</v>
      </c>
      <c r="BN66">
        <v>97.956122737300007</v>
      </c>
      <c r="BO66">
        <v>85529</v>
      </c>
      <c r="BP66">
        <v>12058</v>
      </c>
      <c r="BQ66">
        <v>145.40444761430001</v>
      </c>
      <c r="BR66">
        <v>142.90968651520001</v>
      </c>
      <c r="BS66">
        <v>62195</v>
      </c>
      <c r="BT66">
        <v>15000</v>
      </c>
      <c r="BU66">
        <v>93.857480504899996</v>
      </c>
      <c r="BV66">
        <v>80612</v>
      </c>
      <c r="BW66">
        <v>11600</v>
      </c>
      <c r="BX66">
        <v>144.00173671409999</v>
      </c>
      <c r="BY66">
        <v>139.96275862069999</v>
      </c>
      <c r="CA66" t="s">
        <v>385</v>
      </c>
      <c r="CB66" t="s">
        <v>916</v>
      </c>
      <c r="CC66" t="s">
        <v>1031</v>
      </c>
      <c r="CD66">
        <v>9271</v>
      </c>
      <c r="CE66">
        <v>1913</v>
      </c>
      <c r="CF66">
        <v>88.785028583799999</v>
      </c>
      <c r="CG66">
        <v>12009</v>
      </c>
      <c r="CH66">
        <v>1982</v>
      </c>
      <c r="CI66">
        <v>129.01532184199999</v>
      </c>
      <c r="CJ66">
        <v>124.2396569122</v>
      </c>
      <c r="CL66" t="s">
        <v>385</v>
      </c>
      <c r="CM66" t="s">
        <v>901</v>
      </c>
      <c r="CN66" t="s">
        <v>907</v>
      </c>
      <c r="CO66">
        <v>659</v>
      </c>
      <c r="CP66">
        <v>98</v>
      </c>
      <c r="CQ66">
        <v>72.306525037900002</v>
      </c>
      <c r="CR66">
        <v>1605</v>
      </c>
      <c r="CS66">
        <v>231</v>
      </c>
      <c r="CT66">
        <v>67.661682243000001</v>
      </c>
      <c r="CU66">
        <v>74.645021645</v>
      </c>
      <c r="CW66" t="s">
        <v>385</v>
      </c>
      <c r="CX66" t="s">
        <v>909</v>
      </c>
      <c r="CY66" t="s">
        <v>915</v>
      </c>
      <c r="CZ66">
        <v>284</v>
      </c>
      <c r="DA66">
        <v>105</v>
      </c>
      <c r="DB66">
        <v>100.5070422535</v>
      </c>
      <c r="DC66">
        <v>157</v>
      </c>
      <c r="DD66">
        <v>29</v>
      </c>
      <c r="DE66">
        <v>154.4968152866</v>
      </c>
      <c r="DF66">
        <v>165.2068965517</v>
      </c>
      <c r="DH66" t="s">
        <v>385</v>
      </c>
      <c r="DI66" t="s">
        <v>893</v>
      </c>
      <c r="DJ66" t="s">
        <v>899</v>
      </c>
      <c r="DK66">
        <v>416</v>
      </c>
      <c r="DL66">
        <v>124</v>
      </c>
      <c r="DM66">
        <v>92.076923076900002</v>
      </c>
      <c r="DN66">
        <v>367</v>
      </c>
      <c r="DO66">
        <v>68</v>
      </c>
      <c r="DP66">
        <v>146.73841961849999</v>
      </c>
      <c r="DQ66">
        <v>156.8970588235</v>
      </c>
    </row>
    <row r="67" spans="62:121" x14ac:dyDescent="0.2">
      <c r="BJ67" t="s">
        <v>542</v>
      </c>
      <c r="BK67" t="s">
        <v>381</v>
      </c>
      <c r="BL67">
        <v>19399</v>
      </c>
      <c r="BM67">
        <v>5285</v>
      </c>
      <c r="BN67">
        <v>103.4715191505</v>
      </c>
      <c r="BO67">
        <v>26617</v>
      </c>
      <c r="BP67">
        <v>3267</v>
      </c>
      <c r="BQ67">
        <v>148.2456700605</v>
      </c>
      <c r="BR67">
        <v>149.810835629</v>
      </c>
      <c r="BS67">
        <v>18630</v>
      </c>
      <c r="BT67">
        <v>4537</v>
      </c>
      <c r="BU67">
        <v>95.755072463800005</v>
      </c>
      <c r="BV67">
        <v>23903</v>
      </c>
      <c r="BW67">
        <v>3070</v>
      </c>
      <c r="BX67">
        <v>136.82307660129999</v>
      </c>
      <c r="BY67">
        <v>142.31986970680001</v>
      </c>
      <c r="CA67" t="s">
        <v>381</v>
      </c>
      <c r="CB67" t="s">
        <v>916</v>
      </c>
      <c r="CD67">
        <v>69151</v>
      </c>
      <c r="CE67">
        <v>17403</v>
      </c>
      <c r="CF67">
        <v>96.940319012000003</v>
      </c>
      <c r="CG67">
        <v>91614</v>
      </c>
      <c r="CH67">
        <v>12979</v>
      </c>
      <c r="CI67">
        <v>139.73671054639999</v>
      </c>
      <c r="CJ67">
        <v>136.7801063256</v>
      </c>
      <c r="CL67" t="s">
        <v>381</v>
      </c>
      <c r="CM67" t="s">
        <v>901</v>
      </c>
      <c r="CO67">
        <v>7046</v>
      </c>
      <c r="CP67">
        <v>874</v>
      </c>
      <c r="CQ67">
        <v>70.383479988600001</v>
      </c>
      <c r="CR67">
        <v>12062</v>
      </c>
      <c r="CS67">
        <v>1749</v>
      </c>
      <c r="CT67">
        <v>82.113165312600003</v>
      </c>
      <c r="CU67">
        <v>94.922241280700007</v>
      </c>
      <c r="CW67" t="s">
        <v>381</v>
      </c>
      <c r="CX67" t="s">
        <v>909</v>
      </c>
      <c r="CZ67">
        <v>2254</v>
      </c>
      <c r="DA67">
        <v>764</v>
      </c>
      <c r="DB67">
        <v>98.346495119799997</v>
      </c>
      <c r="DC67">
        <v>1512</v>
      </c>
      <c r="DD67">
        <v>270</v>
      </c>
      <c r="DE67">
        <v>157.128968254</v>
      </c>
      <c r="DF67">
        <v>166.65185185190001</v>
      </c>
      <c r="DH67" t="s">
        <v>381</v>
      </c>
      <c r="DI67" t="s">
        <v>893</v>
      </c>
      <c r="DK67">
        <v>2629</v>
      </c>
      <c r="DL67">
        <v>822</v>
      </c>
      <c r="DM67">
        <v>95.471662229000003</v>
      </c>
      <c r="DN67">
        <v>2182</v>
      </c>
      <c r="DO67">
        <v>370</v>
      </c>
      <c r="DP67">
        <v>147.5563703025</v>
      </c>
      <c r="DQ67">
        <v>161.2864864865</v>
      </c>
    </row>
    <row r="68" spans="62:121" x14ac:dyDescent="0.2">
      <c r="BJ68" t="s">
        <v>308</v>
      </c>
      <c r="BK68" t="s">
        <v>696</v>
      </c>
      <c r="BL68">
        <v>9243</v>
      </c>
      <c r="BM68">
        <v>2314</v>
      </c>
      <c r="BN68">
        <v>88.014281077600003</v>
      </c>
      <c r="BO68">
        <v>7778</v>
      </c>
      <c r="BP68">
        <v>1297</v>
      </c>
      <c r="BQ68">
        <v>137.4308305477</v>
      </c>
      <c r="BR68">
        <v>147.87047031610001</v>
      </c>
      <c r="BS68">
        <v>2460</v>
      </c>
      <c r="BT68">
        <v>1080</v>
      </c>
      <c r="BU68">
        <v>121.46300813009999</v>
      </c>
      <c r="BV68">
        <v>1303</v>
      </c>
      <c r="BW68">
        <v>250</v>
      </c>
      <c r="BX68">
        <v>134.66768994629999</v>
      </c>
      <c r="BY68">
        <v>152.08799999999999</v>
      </c>
      <c r="CA68" t="s">
        <v>699</v>
      </c>
      <c r="CD68">
        <v>353838</v>
      </c>
      <c r="CE68">
        <v>82444</v>
      </c>
      <c r="CF68">
        <v>92.506112967000007</v>
      </c>
      <c r="CG68">
        <v>478709</v>
      </c>
      <c r="CH68">
        <v>69206</v>
      </c>
      <c r="CI68">
        <v>127.8952683154</v>
      </c>
      <c r="CJ68">
        <v>126.2427824177</v>
      </c>
      <c r="CL68" t="s">
        <v>699</v>
      </c>
      <c r="CO68">
        <v>353838</v>
      </c>
      <c r="CP68">
        <v>82444</v>
      </c>
      <c r="CQ68">
        <v>92.506112967000007</v>
      </c>
      <c r="CR68">
        <v>478709</v>
      </c>
      <c r="CS68">
        <v>69206</v>
      </c>
      <c r="CT68">
        <v>127.8952683154</v>
      </c>
      <c r="CU68">
        <v>126.2427824177</v>
      </c>
      <c r="CW68" t="s">
        <v>699</v>
      </c>
      <c r="CZ68">
        <v>353838</v>
      </c>
      <c r="DA68">
        <v>82444</v>
      </c>
      <c r="DB68">
        <v>92.506112967000007</v>
      </c>
      <c r="DC68">
        <v>478709</v>
      </c>
      <c r="DD68">
        <v>69206</v>
      </c>
      <c r="DE68">
        <v>127.8952683154</v>
      </c>
      <c r="DF68">
        <v>126.2427824177</v>
      </c>
      <c r="DH68" t="s">
        <v>699</v>
      </c>
      <c r="DK68">
        <v>353838</v>
      </c>
      <c r="DL68">
        <v>82444</v>
      </c>
      <c r="DM68">
        <v>92.506112967000007</v>
      </c>
      <c r="DN68">
        <v>478709</v>
      </c>
      <c r="DO68">
        <v>69206</v>
      </c>
      <c r="DP68">
        <v>127.8952683154</v>
      </c>
      <c r="DQ68">
        <v>126.2427824177</v>
      </c>
    </row>
    <row r="69" spans="62:121" x14ac:dyDescent="0.2">
      <c r="BJ69" t="s">
        <v>211</v>
      </c>
      <c r="BK69" t="s">
        <v>696</v>
      </c>
      <c r="BL69">
        <v>63</v>
      </c>
      <c r="BM69">
        <v>17</v>
      </c>
      <c r="BN69">
        <v>96.365079365100001</v>
      </c>
      <c r="BO69">
        <v>70</v>
      </c>
      <c r="BP69">
        <v>8</v>
      </c>
      <c r="BQ69">
        <v>143.5285714286</v>
      </c>
      <c r="BR69">
        <v>141.625</v>
      </c>
      <c r="BS69">
        <v>3448</v>
      </c>
      <c r="BT69">
        <v>592</v>
      </c>
      <c r="BU69">
        <v>71.610788863099998</v>
      </c>
      <c r="BV69">
        <v>4069</v>
      </c>
      <c r="BW69">
        <v>550</v>
      </c>
      <c r="BX69">
        <v>127.4639960678</v>
      </c>
      <c r="BY69">
        <v>137.92727272729999</v>
      </c>
    </row>
    <row r="70" spans="62:121" x14ac:dyDescent="0.2">
      <c r="BJ70" t="s">
        <v>696</v>
      </c>
      <c r="BK70" t="s">
        <v>696</v>
      </c>
      <c r="BL70">
        <v>10937</v>
      </c>
      <c r="BM70">
        <v>2786</v>
      </c>
      <c r="BN70">
        <v>88.419859193600004</v>
      </c>
      <c r="BO70">
        <v>9629</v>
      </c>
      <c r="BP70">
        <v>1536</v>
      </c>
      <c r="BQ70">
        <v>139.3936026586</v>
      </c>
      <c r="BR70">
        <v>149.1725260417</v>
      </c>
      <c r="BS70">
        <v>10937</v>
      </c>
      <c r="BT70">
        <v>2786</v>
      </c>
      <c r="BU70">
        <v>88.419859193600004</v>
      </c>
      <c r="BV70">
        <v>9629</v>
      </c>
      <c r="BW70">
        <v>1536</v>
      </c>
      <c r="BX70">
        <v>139.3936026586</v>
      </c>
      <c r="BY70">
        <v>149.1725260417</v>
      </c>
    </row>
    <row r="71" spans="62:121" x14ac:dyDescent="0.2">
      <c r="BJ71" t="s">
        <v>213</v>
      </c>
      <c r="BK71" t="s">
        <v>696</v>
      </c>
      <c r="BL71">
        <v>1631</v>
      </c>
      <c r="BM71">
        <v>455</v>
      </c>
      <c r="BN71">
        <v>90.411404046599998</v>
      </c>
      <c r="BO71">
        <v>1781</v>
      </c>
      <c r="BP71">
        <v>231</v>
      </c>
      <c r="BQ71">
        <v>147.80291970799999</v>
      </c>
      <c r="BR71">
        <v>156.74458874460001</v>
      </c>
      <c r="BS71">
        <v>5029</v>
      </c>
      <c r="BT71">
        <v>1114</v>
      </c>
      <c r="BU71">
        <v>83.781069795199997</v>
      </c>
      <c r="BV71">
        <v>4257</v>
      </c>
      <c r="BW71">
        <v>736</v>
      </c>
      <c r="BX71">
        <v>152.2428940568</v>
      </c>
      <c r="BY71">
        <v>156.58559782610001</v>
      </c>
    </row>
    <row r="72" spans="62:121" x14ac:dyDescent="0.2">
      <c r="BJ72" t="s">
        <v>209</v>
      </c>
      <c r="BK72" t="s">
        <v>697</v>
      </c>
      <c r="BL72">
        <v>6330</v>
      </c>
      <c r="BM72">
        <v>824</v>
      </c>
      <c r="BN72">
        <v>67.996524486599995</v>
      </c>
      <c r="BO72">
        <v>15816</v>
      </c>
      <c r="BP72">
        <v>2192</v>
      </c>
      <c r="BQ72">
        <v>70.975025290800005</v>
      </c>
      <c r="BR72">
        <v>74.803832116799995</v>
      </c>
      <c r="BS72">
        <v>6349</v>
      </c>
      <c r="BT72">
        <v>820</v>
      </c>
      <c r="BU72">
        <v>67.717435816700004</v>
      </c>
      <c r="BV72">
        <v>15883</v>
      </c>
      <c r="BW72">
        <v>2201</v>
      </c>
      <c r="BX72">
        <v>71.146697727100005</v>
      </c>
      <c r="BY72">
        <v>74.933212176300003</v>
      </c>
    </row>
    <row r="73" spans="62:121" x14ac:dyDescent="0.2">
      <c r="BJ73" t="s">
        <v>224</v>
      </c>
      <c r="BK73" t="s">
        <v>697</v>
      </c>
      <c r="BL73">
        <v>724</v>
      </c>
      <c r="BM73">
        <v>372</v>
      </c>
      <c r="BN73">
        <v>177.99723756910001</v>
      </c>
      <c r="BO73">
        <v>2012</v>
      </c>
      <c r="BP73">
        <v>285</v>
      </c>
      <c r="BQ73">
        <v>53.924950298200002</v>
      </c>
      <c r="BR73">
        <v>53.178947368400003</v>
      </c>
      <c r="BS73">
        <v>664</v>
      </c>
      <c r="BT73">
        <v>371</v>
      </c>
      <c r="BU73">
        <v>190.8298192771</v>
      </c>
      <c r="BV73">
        <v>1699</v>
      </c>
      <c r="BW73">
        <v>237</v>
      </c>
      <c r="BX73">
        <v>41.524426132999999</v>
      </c>
      <c r="BY73">
        <v>35.573839662399998</v>
      </c>
    </row>
    <row r="74" spans="62:121" x14ac:dyDescent="0.2">
      <c r="BJ74" t="s">
        <v>210</v>
      </c>
      <c r="BK74" t="s">
        <v>697</v>
      </c>
      <c r="BL74">
        <v>12412</v>
      </c>
      <c r="BM74">
        <v>1414</v>
      </c>
      <c r="BN74">
        <v>70.109490815300006</v>
      </c>
      <c r="BO74">
        <v>17651</v>
      </c>
      <c r="BP74">
        <v>2640</v>
      </c>
      <c r="BQ74">
        <v>90.440314996300003</v>
      </c>
      <c r="BR74">
        <v>106.17878787879999</v>
      </c>
      <c r="BS74">
        <v>12446</v>
      </c>
      <c r="BT74">
        <v>1426</v>
      </c>
      <c r="BU74">
        <v>70.208018640500001</v>
      </c>
      <c r="BV74">
        <v>17771</v>
      </c>
      <c r="BW74">
        <v>2660</v>
      </c>
      <c r="BX74">
        <v>90.890889651699993</v>
      </c>
      <c r="BY74">
        <v>106.6060150376</v>
      </c>
    </row>
    <row r="75" spans="62:121" x14ac:dyDescent="0.2">
      <c r="BJ75" t="s">
        <v>212</v>
      </c>
      <c r="BK75" t="s">
        <v>697</v>
      </c>
      <c r="BL75">
        <v>7014</v>
      </c>
      <c r="BM75">
        <v>536</v>
      </c>
      <c r="BN75">
        <v>61.465355004300001</v>
      </c>
      <c r="BO75">
        <v>20207</v>
      </c>
      <c r="BP75">
        <v>2781</v>
      </c>
      <c r="BQ75">
        <v>66.746919384400002</v>
      </c>
      <c r="BR75">
        <v>72.020855807299995</v>
      </c>
      <c r="BS75">
        <v>7020</v>
      </c>
      <c r="BT75">
        <v>528</v>
      </c>
      <c r="BU75">
        <v>61.222079772100003</v>
      </c>
      <c r="BV75">
        <v>20333</v>
      </c>
      <c r="BW75">
        <v>2800</v>
      </c>
      <c r="BX75">
        <v>66.904047607300001</v>
      </c>
      <c r="BY75">
        <v>72.427499999999995</v>
      </c>
    </row>
    <row r="76" spans="62:121" x14ac:dyDescent="0.2">
      <c r="BJ76" t="s">
        <v>697</v>
      </c>
      <c r="BK76" t="s">
        <v>697</v>
      </c>
      <c r="BL76">
        <v>26480</v>
      </c>
      <c r="BM76">
        <v>3146</v>
      </c>
      <c r="BN76">
        <v>70.264539274900002</v>
      </c>
      <c r="BO76">
        <v>55686</v>
      </c>
      <c r="BP76">
        <v>7898</v>
      </c>
      <c r="BQ76">
        <v>74.994702438700003</v>
      </c>
      <c r="BR76">
        <v>83.531020511500003</v>
      </c>
      <c r="BS76">
        <v>26479</v>
      </c>
      <c r="BT76">
        <v>3145</v>
      </c>
      <c r="BU76">
        <v>70.253295064</v>
      </c>
      <c r="BV76">
        <v>55686</v>
      </c>
      <c r="BW76">
        <v>7898</v>
      </c>
      <c r="BX76">
        <v>74.994702438700003</v>
      </c>
      <c r="BY76">
        <v>83.531020511500003</v>
      </c>
    </row>
    <row r="77" spans="62:121" x14ac:dyDescent="0.2">
      <c r="BJ77" t="s">
        <v>307</v>
      </c>
      <c r="BK77" t="s">
        <v>698</v>
      </c>
      <c r="BL77">
        <v>7363</v>
      </c>
      <c r="BM77">
        <v>2146</v>
      </c>
      <c r="BN77">
        <v>92.420073339699996</v>
      </c>
      <c r="BO77">
        <v>4668</v>
      </c>
      <c r="BP77">
        <v>801</v>
      </c>
      <c r="BQ77">
        <v>150.17395029990001</v>
      </c>
      <c r="BR77">
        <v>158.31710362050001</v>
      </c>
      <c r="BS77">
        <v>1893</v>
      </c>
      <c r="BT77">
        <v>750</v>
      </c>
      <c r="BU77">
        <v>107.9043845747</v>
      </c>
      <c r="BV77">
        <v>233</v>
      </c>
      <c r="BW77">
        <v>84</v>
      </c>
      <c r="BX77">
        <v>132.74678111590001</v>
      </c>
      <c r="BY77">
        <v>125.7142857143</v>
      </c>
    </row>
    <row r="78" spans="62:121" x14ac:dyDescent="0.2">
      <c r="BJ78" t="s">
        <v>957</v>
      </c>
      <c r="BK78" t="s">
        <v>698</v>
      </c>
      <c r="BL78">
        <v>1652</v>
      </c>
      <c r="BM78">
        <v>423</v>
      </c>
      <c r="BN78">
        <v>86.684019370499996</v>
      </c>
      <c r="BO78">
        <v>1695</v>
      </c>
      <c r="BP78">
        <v>249</v>
      </c>
      <c r="BQ78">
        <v>131.43303834810001</v>
      </c>
      <c r="BR78">
        <v>146.5542168675</v>
      </c>
      <c r="BS78">
        <v>3936</v>
      </c>
      <c r="BT78">
        <v>856</v>
      </c>
      <c r="BU78">
        <v>79.481961382099996</v>
      </c>
      <c r="BV78">
        <v>3757</v>
      </c>
      <c r="BW78">
        <v>562</v>
      </c>
      <c r="BX78">
        <v>133.8235294118</v>
      </c>
      <c r="BY78">
        <v>148.47686832740001</v>
      </c>
    </row>
    <row r="79" spans="62:121" x14ac:dyDescent="0.2">
      <c r="BJ79" t="s">
        <v>698</v>
      </c>
      <c r="BK79" t="s">
        <v>698</v>
      </c>
      <c r="BL79">
        <v>10629</v>
      </c>
      <c r="BM79">
        <v>3133</v>
      </c>
      <c r="BN79">
        <v>92.826136042900004</v>
      </c>
      <c r="BO79">
        <v>7730</v>
      </c>
      <c r="BP79">
        <v>1276</v>
      </c>
      <c r="BQ79">
        <v>147.1657179819</v>
      </c>
      <c r="BR79">
        <v>157.07131661439999</v>
      </c>
      <c r="BS79">
        <v>10629</v>
      </c>
      <c r="BT79">
        <v>3133</v>
      </c>
      <c r="BU79">
        <v>92.826136042900004</v>
      </c>
      <c r="BV79">
        <v>7730</v>
      </c>
      <c r="BW79">
        <v>1276</v>
      </c>
      <c r="BX79">
        <v>147.1657179819</v>
      </c>
      <c r="BY79">
        <v>157.07131661439999</v>
      </c>
    </row>
    <row r="80" spans="62:121" x14ac:dyDescent="0.2">
      <c r="BJ80" t="s">
        <v>958</v>
      </c>
      <c r="BK80" t="s">
        <v>698</v>
      </c>
      <c r="BL80">
        <v>1614</v>
      </c>
      <c r="BM80">
        <v>564</v>
      </c>
      <c r="BN80">
        <v>100.9653035936</v>
      </c>
      <c r="BO80">
        <v>1367</v>
      </c>
      <c r="BP80">
        <v>226</v>
      </c>
      <c r="BQ80">
        <v>156.4008778347</v>
      </c>
      <c r="BR80">
        <v>164.24336283189999</v>
      </c>
      <c r="BS80">
        <v>4800</v>
      </c>
      <c r="BT80">
        <v>1527</v>
      </c>
      <c r="BU80">
        <v>97.821875000000006</v>
      </c>
      <c r="BV80">
        <v>3740</v>
      </c>
      <c r="BW80">
        <v>630</v>
      </c>
      <c r="BX80">
        <v>161.4668449198</v>
      </c>
      <c r="BY80">
        <v>168.919047619</v>
      </c>
    </row>
    <row r="81" spans="62:77" x14ac:dyDescent="0.2">
      <c r="BJ81" t="s">
        <v>699</v>
      </c>
      <c r="BL81">
        <v>353838</v>
      </c>
      <c r="BM81">
        <v>82444</v>
      </c>
      <c r="BN81" s="153">
        <v>92.506112967000007</v>
      </c>
      <c r="BO81">
        <v>478709</v>
      </c>
      <c r="BP81">
        <v>69206</v>
      </c>
      <c r="BQ81">
        <v>127.8952683154</v>
      </c>
      <c r="BR81">
        <v>126.2427824177</v>
      </c>
      <c r="BS81">
        <v>353838</v>
      </c>
      <c r="BT81">
        <v>82444</v>
      </c>
      <c r="BU81">
        <v>92.506112967000007</v>
      </c>
      <c r="BV81">
        <v>478709</v>
      </c>
      <c r="BW81">
        <v>69206</v>
      </c>
      <c r="BX81">
        <v>127.8952683154</v>
      </c>
      <c r="BY81">
        <v>126.2427824177</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353838</CP_Inventory>
    <Fiscal_Year xmlns="c9744be7-b815-40bc-84fa-afc9c406d9bc">2016</Fiscal_Year>
    <CP_Backlog xmlns="c9744be7-b815-40bc-84fa-afc9c406d9bc">82444</CP_Backlog>
    <Creation_date xmlns="c9744be7-b815-40bc-84fa-afc9c406d9bc">2016-02-22T00:00:00</Creation_date>
    <Data_date xmlns="c9744be7-b815-40bc-84fa-afc9c406d9bc">2016-02-20T00:00:00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c9744be7-b815-40bc-84fa-afc9c406d9bc"/>
    <ds:schemaRef ds:uri="fef9c9dc-374b-4157-9e06-089f148416e5"/>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February 20,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2016-02-22T13:49:03Z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