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<sst xmlns="http://schemas.openxmlformats.org/spreadsheetml/2006/main" count="4089" uniqueCount="1064">
  <si>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</si>
  <si>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</si>
  <si>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</si>
  <si>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</si>
  <si>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</si>
  <si>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</si>
  <si>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</si>
  <si>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</si>
  <si>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</si>
  <si>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</si>
  <si>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</si>
  <si>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</si>
  <si>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</si>
  <si>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</si>
  <si>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</si>
  <si>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</si>
  <si>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</si>
  <si>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</si>
  <si>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</si>
  <si>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</si>
  <si>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</si>
  <si>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</si>
  <si>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</si>
  <si>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</si>
  <si>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</si>
  <si>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</si>
  <si>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</si>
  <si>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</si>
  <si>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</si>
  <si>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</si>
  <si>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</si>
  <si>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</si>
  <si>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</si>
  <si>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</si>
  <si>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</si>
  <si>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</si>
  <si>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</si>
  <si>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</si>
  <si>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</si>
  <si>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</si>
  <si>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</si>
  <si>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</si>
  <si>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</si>
  <si>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</si>
  <si>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</si>
  <si>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</si>
  <si>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</si>
  <si>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</si>
  <si>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</si>
  <si>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</si>
  <si>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</si>
  <si>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</si>
  <si>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</si>
  <si>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</si>
  <si>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</si>
  <si>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</si>
  <si>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</si>
  <si>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</si>
  <si>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</si>
  <si>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</si>
  <si>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</si>
  <si>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</si>
  <si>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</si>
  <si>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</si>
  <si>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</si>
  <si>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</si>
  <si>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</si>
  <si>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</si>
  <si>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</si>
  <si>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</si>
  <si>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</si>
  <si>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</si>
  <si>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</si>
  <si>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</si>
  <si>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</si>
  <si>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</si>
  <si>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</si>
  <si>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</si>
  <si>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</si>
  <si>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</si>
  <si>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</si>
  <si>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</si>
  <si>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</si>
  <si>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</si>
  <si>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</si>
  <si>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</si>
  <si>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</si>
  <si>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</si>
  <si>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</si>
  <si>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</si>
  <si>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</si>
  <si>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</si>
  <si>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</si>
  <si>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</si>
  <si>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</si>
  <si>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</si>
  <si>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</si>
  <si>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</si>
  <si>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</si>
  <si>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</si>
  <si>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</si>
  <si>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</si>
  <si>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</si>
  <si>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</si>
  <si>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</si>
  <si>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</si>
  <si>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</si>
  <si>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</si>
  <si>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</si>
  <si>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</si>
  <si>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</si>
  <si>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</si>
  <si>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</si>
  <si>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</si>
  <si>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</si>
  <si>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</si>
  <si>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</si>
  <si>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</si>
  <si>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</si>
  <si>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</si>
  <si>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</si>
  <si>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</si>
  <si>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</si>
  <si>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</si>
  <si>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</si>
  <si>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</si>
  <si>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</si>
  <si>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</si>
  <si>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</si>
  <si>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</si>
  <si>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</si>
  <si>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</si>
  <si>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</si>
  <si>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</si>
  <si>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</si>
  <si>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</si>
  <si>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</si>
  <si>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</si>
  <si>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</si>
  <si>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</si>
  <si>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</si>
  <si>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</si>
  <si>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</si>
  <si>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</si>
  <si>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</si>
  <si>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</si>
  <si>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</si>
  <si>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</si>
  <si>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</si>
  <si>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</si>
  <si>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</si>
  <si>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</si>
  <si>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</si>
  <si>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</si>
  <si>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</si>
  <si>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</si>
  <si>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</si>
  <si>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</si>
  <si>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</si>
  <si>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</si>
  <si>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</si>
  <si>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</si>
  <si>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</si>
  <si>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</si>
  <si>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</si>
  <si>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</si>
  <si>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</si>
  <si>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</si>
  <si>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</si>
  <si>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</si>
  <si>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</si>
  <si>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</si>
  <si>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</si>
  <si>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</si>
  <si>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</si>
  <si>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</si>
  <si>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</si>
  <si>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</si>
  <si>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</si>
  <si>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</si>
  <si>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</si>
  <si>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</si>
  <si>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</si>
  <si>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</si>
  <si>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</si>
  <si>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</si>
  <si>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</si>
  <si>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</si>
  <si>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</si>
  <si>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</si>
  <si>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</si>
  <si>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</si>
  <si>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</si>
  <si>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</si>
  <si>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</si>
  <si>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</si>
  <si>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</si>
  <si>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</si>
  <si>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</si>
  <si>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</si>
  <si>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</si>
  <si>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</si>
  <si>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</si>
  <si>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</si>
  <si>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</si>
  <si>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</si>
  <si>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</si>
  <si>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</si>
  <si>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</si>
  <si>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</si>
  <si>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</si>
  <si>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</si>
  <si>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</si>
  <si>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</si>
  <si>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</si>
  <si>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</si>
  <si>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</si>
  <si>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</si>
  <si>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</si>
  <si>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</si>
  <si>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</si>
  <si>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</si>
  <si>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</si>
  <si>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</si>
  <si>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</si>
  <si>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</si>
  <si>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</si>
  <si>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</si>
  <si>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</si>
  <si>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</si>
  <si>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</si>
  <si>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</si>
  <si>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</si>
  <si>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</si>
  <si>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</si>
  <si>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</si>
  <si>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</si>
  <si>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</si>
  <si>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</si>
  <si>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</si>
  <si>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</si>
  <si>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</si>
  <si>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</si>
  <si>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</si>
  <si>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</si>
  <si>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</si>
  <si>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</si>
  <si>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</si>
  <si>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</si>
  <si>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</si>
  <si>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</si>
  <si>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</si>
  <si>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</si>
  <si>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</si>
  <si>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</si>
  <si>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</si>
  <si>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</si>
  <si>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</si>
  <si>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</si>
  <si>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</si>
  <si>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</si>
  <si>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</si>
  <si>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</si>
  <si>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</si>
  <si>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</si>
  <si>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</si>
  <si>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</si>
  <si>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</si>
  <si>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</si>
  <si>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</si>
  <si>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</si>
  <si>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</si>
  <si>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</si>
  <si>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</si>
  <si>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</si>
  <si>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</si>
  <si>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</si>
  <si>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</si>
  <si>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</si>
  <si>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</si>
  <si>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</si>
  <si>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</si>
  <si>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</si>
  <si>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</si>
  <si>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</si>
  <si>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</si>
  <si>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</si>
  <si>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</si>
  <si>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</si>
  <si>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</si>
  <si>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</si>
  <si>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</si>
  <si>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</si>
  <si>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</si>
  <si>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</si>
  <si>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</si>
  <si>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</si>
  <si>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</si>
  <si>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</si>
  <si>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</si>
  <si>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</si>
  <si>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</si>
  <si>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</si>
  <si>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</si>
  <si>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</si>
  <si>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</si>
  <si>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</si>
  <si>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</si>
  <si>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</si>
  <si>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</si>
  <si>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</si>
  <si>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</si>
  <si>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</si>
  <si>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</si>
  <si>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</si>
  <si>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</si>
  <si>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</si>
  <si>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</si>
  <si>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</si>
  <si>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</si>
  <si>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</si>
  <si>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</si>
  <si>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</si>
  <si>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</si>
  <si>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</si>
  <si>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</si>
  <si>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</si>
  <si>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</si>
  <si>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</si>
  <si>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</si>
  <si>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</si>
  <si>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</si>
  <si>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</si>
  <si>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</si>
  <si>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</si>
  <si>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</si>
  <si>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</si>
  <si>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</si>
  <si>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</si>
  <si>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</si>
  <si>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</si>
  <si>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</si>
  <si>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</si>
  <si>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</si>
  <si>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</si>
  <si>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</si>
  <si>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</si>
  <si>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</si>
  <si>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</si>
  <si>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</si>
  <si>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</si>
  <si>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</si>
  <si>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</si>
  <si>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</si>
  <si>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</si>
  <si>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</si>
  <si>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</si>
  <si>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</si>
  <si>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</si>
  <si>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</si>
  <si>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</si>
  <si>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</si>
  <si>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</si>
  <si>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</si>
  <si>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</si>
  <si>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</si>
  <si>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</si>
  <si>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</si>
  <si>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</si>
  <si>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</si>
  <si>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</si>
  <si>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</si>
  <si>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</si>
  <si>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</si>
  <si>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</si>
  <si>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</si>
  <si>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</si>
  <si>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</si>
  <si>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</si>
  <si>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</si>
  <si>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</si>
  <si>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</si>
  <si>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</si>
  <si>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</si>
  <si>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</si>
  <si>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</si>
  <si>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</si>
  <si>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</si>
  <si>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</si>
  <si>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</si>
  <si>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</si>
  <si>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</si>
  <si>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</si>
  <si>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</si>
  <si>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</si>
  <si>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</si>
  <si>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</si>
  <si>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</si>
  <si>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</si>
  <si>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</si>
  <si>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</si>
  <si>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</si>
  <si>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</si>
  <si>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</si>
  <si>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</si>
  <si>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</si>
  <si>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</si>
  <si>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</si>
  <si>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</si>
  <si>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</si>
  <si>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</si>
  <si>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</si>
  <si>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</si>
  <si>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</si>
  <si>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</si>
  <si>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</si>
  <si>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</si>
  <si>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</si>
  <si>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</si>
  <si>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</si>
  <si>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</si>
  <si>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</si>
  <si>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</si>
  <si>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</si>
  <si>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</si>
  <si>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</si>
  <si>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</si>
  <si>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</si>
  <si>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</si>
  <si>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</si>
  <si>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</si>
  <si>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</si>
  <si>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</si>
  <si>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</si>
  <si>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</si>
  <si>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</si>
  <si>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</si>
  <si>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</si>
  <si>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</si>
  <si>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</si>
  <si>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</si>
  <si>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</si>
  <si>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</si>
  <si>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</si>
  <si>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</si>
  <si>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</si>
  <si>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</si>
  <si>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</si>
  <si>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</si>
  <si>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</si>
  <si>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</si>
  <si>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</si>
  <si>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</si>
  <si>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</si>
  <si>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</si>
  <si>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</si>
  <si>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</si>
  <si>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</si>
  <si>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</si>
  <si>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</si>
  <si>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</si>
  <si>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</si>
  <si>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</si>
  <si>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</si>
  <si>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</si>
  <si>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</si>
  <si>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</si>
  <si>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</si>
  <si>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</si>
  <si>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</si>
  <si>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</si>
  <si>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</si>
  <si>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</si>
  <si>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</si>
  <si>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</si>
  <si>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</si>
  <si>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</si>
  <si>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</si>
  <si>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</si>
  <si>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</si>
  <si>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</si>
  <si>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</si>
  <si>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</si>
  <si>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</si>
  <si>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</si>
  <si>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</si>
  <si>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</si>
  <si>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</si>
  <si>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</si>
  <si>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</si>
  <si>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</si>
  <si>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</si>
  <si>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</si>
  <si>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</si>
  <si>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</si>
  <si>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</si>
  <si>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</si>
  <si>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</si>
  <si>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</si>
  <si>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</si>
  <si>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</si>
  <si>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</si>
  <si>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</si>
  <si>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</si>
  <si>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</si>
  <si>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</si>
  <si>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</si>
  <si>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</si>
  <si>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</si>
  <si>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</si>
  <si>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</si>
  <si>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</si>
  <si>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</si>
  <si>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</si>
  <si>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</si>
  <si>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</si>
  <si>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</si>
  <si>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</si>
  <si>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</si>
  <si>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</si>
  <si>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</si>
  <si>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</si>
  <si>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</si>
  <si>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</si>
  <si>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</si>
  <si>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</si>
  <si>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</si>
  <si>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</si>
  <si>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</si>
  <si>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</si>
  <si>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</si>
  <si>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</si>
  <si>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</si>
  <si>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</si>
  <si>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</si>
  <si>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</si>
  <si>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</si>
  <si>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</si>
  <si>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</si>
  <si>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</si>
  <si>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</si>
  <si>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</si>
  <si>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</si>
  <si>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</si>
  <si>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</si>
  <si>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</si>
  <si>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</si>
  <si>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</si>
  <si>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</si>
  <si>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</si>
  <si>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</si>
  <si>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</si>
  <si>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</si>
  <si>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</si>
  <si>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</si>
  <si>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</si>
  <si>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</si>
  <si>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</si>
  <si>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</si>
  <si>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</si>
  <si>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</si>
  <si>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</si>
  <si>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</si>
  <si>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</si>
  <si>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</si>
  <si>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</si>
  <si>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</si>
  <si>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</si>
  <si>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</si>
  <si>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</si>
  <si>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</si>
  <si>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</si>
  <si>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</si>
  <si>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</si>
  <si>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</si>
  <si>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</si>
  <si>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</si>
  <si>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</si>
  <si>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</si>
  <si>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</si>
  <si>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</si>
  <si>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</si>
  <si>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</si>
  <si>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</si>
  <si>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</si>
  <si>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</si>
  <si>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</si>
  <si>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</si>
  <si>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</si>
  <si>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</si>
  <si>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</si>
  <si>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</si>
  <si>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</si>
  <si>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</si>
  <si>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</si>
  <si>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</si>
  <si>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</si>
  <si>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</si>
  <si>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</si>
  <si>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</si>
  <si>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</si>
  <si>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</si>
  <si>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</si>
  <si>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</si>
  <si>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</si>
  <si>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</si>
  <si>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</si>
  <si>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</si>
  <si>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</si>
  <si>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</si>
  <si>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</si>
  <si>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</si>
  <si>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</si>
  <si>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</si>
  <si>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</si>
  <si>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</si>
  <si>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</si>
  <si>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</si>
  <si>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</si>
  <si>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</si>
  <si>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</si>
  <si>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</si>
  <si>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</si>
  <si>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</si>
  <si>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</si>
  <si>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</si>
  <si>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</si>
  <si>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</si>
  <si>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</si>
  <si>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</si>
  <si>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</si>
  <si>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</si>
  <si>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</si>
  <si>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</si>
  <si>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</si>
  <si>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</si>
  <si>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</si>
  <si>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</si>
  <si>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</si>
  <si>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</si>
  <si>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</si>
  <si>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</si>
  <si>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</si>
  <si>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</si>
  <si>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</si>
  <si>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</si>
  <si>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</si>
  <si>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</si>
  <si>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</si>
  <si>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</si>
  <si>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</si>
  <si>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</si>
  <si>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</si>
  <si>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</si>
  <si>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</si>
  <si>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</si>
  <si>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</si>
  <si>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</si>
  <si>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</si>
  <si>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</si>
  <si>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</si>
  <si>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</si>
  <si>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</si>
  <si>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</si>
  <si>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</si>
  <si>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</si>
  <si>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</si>
  <si>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</si>
  <si>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</si>
  <si>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</si>
  <si>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</si>
  <si>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</si>
  <si>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</si>
  <si>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</si>
  <si>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</si>
  <si>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</si>
  <si>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</si>
  <si>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</si>
  <si>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</si>
  <si>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</si>
  <si>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</si>
  <si>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</si>
  <si>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</si>
  <si>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</si>
  <si>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</si>
  <si>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</si>
  <si>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</si>
  <si>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</si>
  <si>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</si>
  <si>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</si>
  <si>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</si>
  <si>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</si>
  <si>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</si>
  <si>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</si>
  <si>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</si>
  <si>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</si>
  <si>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</si>
  <si>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</si>
  <si>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</si>
  <si>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</si>
  <si>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</si>
  <si>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</si>
  <si>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</si>
  <si>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</si>
  <si>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</si>
  <si>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</si>
  <si>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</si>
  <si>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</si>
  <si>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</si>
  <si>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</si>
  <si>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</si>
  <si>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</si>
  <si>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</si>
  <si>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</si>
  <si>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</si>
  <si>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</si>
  <si>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</si>
  <si>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</si>
  <si>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</si>
  <si>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</si>
  <si>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</si>
  <si>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</si>
  <si>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</si>
  <si>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</si>
  <si>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</si>
  <si>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</si>
  <si>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</si>
  <si>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</si>
  <si>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</si>
  <si>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</si>
  <si>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</si>
  <si>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</si>
  <si>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</si>
  <si>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</si>
  <si>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</si>
  <si>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</si>
  <si>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</si>
  <si>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</si>
  <si>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</si>
  <si>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</si>
  <si>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</si>
  <si>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</si>
  <si>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</si>
  <si>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</si>
  <si>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</si>
  <si>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</si>
  <si>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</si>
  <si>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</si>
  <si>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</si>
  <si>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</si>
  <si>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</si>
  <si>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</si>
  <si>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</si>
  <si>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</si>
  <si>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</si>
  <si>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</si>
  <si>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</si>
  <si>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</si>
  <si>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</si>
  <si>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</si>
  <si>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</si>
  <si>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</si>
  <si>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</si>
  <si>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</si>
  <si>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</si>
  <si>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</si>
  <si>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</si>
  <si>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</si>
  <si>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</si>
  <si>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</si>
  <si>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</si>
  <si>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</si>
  <si>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</si>
  <si>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</si>
  <si>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</si>
  <si>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</si>
  <si>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</si>
  <si>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</si>
  <si>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</si>
  <si>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</si>
  <si>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</si>
  <si>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</si>
  <si>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</si>
  <si>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</si>
  <si>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</si>
  <si>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</si>
  <si>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</si>
  <si>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</si>
  <si>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</si>
  <si>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</si>
  <si>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</si>
  <si>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</si>
  <si>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</si>
  <si>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</si>
  <si>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</si>
  <si>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</si>
  <si>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</si>
  <si>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</si>
  <si>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</si>
  <si>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</si>
  <si>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</si>
  <si>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</si>
  <si>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</si>
  <si>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</si>
  <si>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</si>
  <si>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</si>
  <si>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</si>
  <si>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</si>
  <si>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</si>
  <si>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</si>
  <si>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</si>
  <si>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</si>
  <si>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</si>
  <si>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</si>
  <si>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</si>
  <si>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</si>
  <si>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</si>
  <si>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</si>
  <si>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</si>
  <si>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</si>
  <si>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</si>
  <si>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</si>
  <si>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</si>
  <si>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</si>
  <si>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</si>
  <si>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</si>
  <si>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</si>
  <si>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</si>
  <si>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</si>
  <si>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</si>
  <si>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</si>
  <si>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</si>
  <si>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</si>
  <si>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</si>
  <si>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</si>
  <si>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</si>
  <si>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</si>
  <si>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</si>
  <si>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</si>
  <si>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</si>
  <si>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</si>
  <si>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</si>
  <si>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</si>
  <si>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</si>
  <si>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</si>
  <si>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</si>
  <si>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</si>
  <si>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</si>
  <si>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</si>
  <si>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</si>
  <si>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</si>
  <si>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</si>
  <si>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</si>
  <si>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</si>
  <si>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</si>
  <si>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</si>
  <si>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</si>
  <si>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</si>
  <si>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</si>
  <si>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</si>
  <si>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</si>
  <si>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</si>
  <si>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</si>
  <si>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</si>
  <si>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</si>
  <si>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</si>
  <si>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</si>
  <si>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</si>
  <si>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</si>
  <si>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</si>
  <si>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</si>
  <si>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</si>
  <si>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</si>
  <si>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</si>
  <si>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</si>
  <si>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</si>
  <si>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</si>
  <si>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</si>
  <si>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</si>
  <si>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</si>
  <si>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</si>
  <si>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</si>
  <si>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</si>
  <si>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</si>
  <si>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</si>
  <si>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</si>
  <si>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</si>
  <si>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</si>
  <si>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</si>
  <si>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</si>
  <si>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</si>
  <si>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</si>
  <si>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</si>
  <si>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</si>
  <si>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</si>
  <si>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</si>
  <si>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</si>
  <si>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</si>
  <si>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</si>
  <si>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</si>
  <si>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</si>
  <si>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</si>
  <si>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</si>
  <si>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</si>
  <si>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</si>
  <si>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</si>
  <si>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</si>
  <si>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</si>
  <si>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</si>
  <si>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</si>
  <si>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</si>
  <si>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</si>
  <si>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</si>
  <si>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</si>
  <si>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</si>
  <si>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</si>
  <si>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</si>
  <si>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</si>
  <si>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</si>
  <si>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</si>
  <si>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</si>
  <si>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</si>
  <si>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</si>
  <si>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</si>
  <si>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</si>
  <si>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</si>
  <si>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</si>
  <si>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</si>
  <si>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</si>
  <si>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</si>
  <si>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</si>
  <si>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</si>
  <si>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</si>
  <si>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</si>
  <si>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</si>
  <si>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</si>
  <si>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</si>
  <si>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</si>
  <si>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</si>
  <si>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</si>
  <si>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</si>
  <si>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</si>
  <si>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</si>
  <si>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</si>
  <si>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</si>
  <si>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</si>
  <si>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</si>
  <si>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</si>
  <si>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</si>
  <si>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</si>
  <si>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</si>
  <si>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</si>
  <si>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</si>
  <si>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</si>
  <si>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</si>
  <si>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</si>
  <si>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</si>
  <si>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</si>
  <si>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</si>
  <si>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</si>
  <si>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</si>
  <si>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</si>
  <si>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</si>
  <si>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</si>
  <si>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</si>
  <si>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</si>
  <si>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</si>
  <si>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</si>
  <si>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</si>
  <si>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</si>
  <si>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</si>
  <si>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</si>
  <si>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</si>
  <si>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</si>
  <si>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</si>
  <si>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</si>
  <si>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</si>
  <si>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</si>
  <si>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</si>
  <si>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</si>
  <si>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</si>
  <si>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</si>
  <si>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</si>
  <si>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</si>
  <si>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</si>
  <si>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</si>
  <si>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</si>
  <si>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</si>
  <si>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</si>
  <si>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</si>
  <si>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</si>
  <si>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</si>
  <si>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</si>
  <si>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</si>
  <si>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</si>
  <si>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</si>
  <si>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</si>
  <si>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</si>
  <si>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</si>
  <si>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</si>
  <si>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</si>
  <si>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</si>
  <si>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</si>
  <si>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</si>
  <si>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</si>
  <si>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</si>
  <si>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</si>
  <si>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</si>
  <si>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</si>
  <si>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</si>
  <si>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</si>
  <si>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</si>
  <si>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</si>
  <si>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</si>
  <si>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</si>
  <si>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</si>
  <si>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</si>
  <si>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</si>
  <si>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</si>
  <si>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</si>
  <si>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</si>
  <si>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</si>
  <si>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</si>
  <si>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</si>
  <si>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</si>
  <si>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</si>
  <si>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</si>
  <si>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</si>
  <si>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</si>
  <si>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</si>
  <si>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</si>
  <si>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</si>
  <si>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</si>
  <si>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</si>
  <si>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</si>
  <si>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</si>
  <si>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</si>
  <si>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</si>
  <si>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</si>
  <si>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</si>
  <si>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</si>
  <si>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</si>
  <si>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</si>
  <si>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</si>
  <si>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</si>
  <si>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</si>
  <si>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</si>
  <si>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</si>
  <si>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</si>
  <si>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</si>
  <si>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</si>
  <si>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</si>
  <si>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</si>
  <si>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</si>
  <si>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</si>
  <si>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</si>
  <si>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</si>
  <si>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</si>
  <si>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</si>
  <si>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</si>
  <si>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</si>
  <si>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</si>
  <si>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Current Pending on 03/12/2016</t>
  </si>
  <si>
    <t>Prior Pending on 03/05/2016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</si>
</sst>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303</v>
      </c>
      <c r="B1" s="275"/>
      <c r="C1" s="275"/>
      <c r="D1" s="275"/>
      <c r="E1" s="275"/>
      <c r="F1" s="275"/>
      <c r="G1" s="275"/>
      <c r="H1" s="275"/>
      <c r="I1" s="275"/>
      <c r="J1" s="275"/>
      <c r="K1" s="275"/>
      <c r="L1" s="275"/>
      <c r="M1" s="275"/>
      <c r="N1" s="275"/>
      <c r="O1" s="275"/>
      <c r="P1" s="276"/>
    </row>
    <row r="2" spans="1:16" ht="29.25" customHeight="1" x14ac:dyDescent="0.2">
      <c r="A2" s="268" t="s">
        <v>305</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301</v>
      </c>
      <c r="B8" s="266"/>
      <c r="C8" s="266"/>
      <c r="D8" s="266"/>
      <c r="E8" s="266"/>
      <c r="F8" s="266"/>
      <c r="G8" s="267"/>
      <c r="H8" s="265" t="s">
        <v>302</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1049</v>
      </c>
      <c r="C2" t="s">
        <v>503</v>
      </c>
      <c r="D2" t="s">
        <v>919</v>
      </c>
      <c r="E2" t="s">
        <v>920</v>
      </c>
      <c r="F2" t="s">
        <v>921</v>
      </c>
      <c r="G2" t="s">
        <v>922</v>
      </c>
      <c r="H2" t="s">
        <v>924</v>
      </c>
      <c r="I2" t="s">
        <v>1043</v>
      </c>
      <c r="J2" t="s">
        <v>925</v>
      </c>
      <c r="K2" t="s">
        <v>926</v>
      </c>
      <c r="L2" t="s">
        <v>923</v>
      </c>
      <c r="M2" t="s">
        <v>928</v>
      </c>
      <c r="N2" t="s">
        <v>929</v>
      </c>
      <c r="O2" t="s">
        <v>930</v>
      </c>
      <c r="P2" t="s">
        <v>931</v>
      </c>
    </row>
    <row r="3" spans="2:16" x14ac:dyDescent="0.2">
      <c r="B3" t="s">
        <v>587</v>
      </c>
      <c r="C3" t="s">
        <v>405</v>
      </c>
      <c r="D3" s="18">
        <v>42432.520127314812</v>
      </c>
      <c r="E3" t="s">
        <v>163</v>
      </c>
      <c r="F3" s="19">
        <v>0.98152296827327201</v>
      </c>
      <c r="G3" s="19">
        <v>0.93864234537213032</v>
      </c>
      <c r="H3" s="19">
        <v>0.9274861489101075</v>
      </c>
      <c r="I3" s="19">
        <v>4.3011622371369782E-2</v>
      </c>
      <c r="J3" s="19">
        <v>0.90065990368883686</v>
      </c>
      <c r="K3" s="19">
        <v>5.1457019590306033E-2</v>
      </c>
      <c r="L3" s="19"/>
      <c r="M3" s="19"/>
      <c r="N3" s="19"/>
      <c r="O3" s="19"/>
      <c r="P3" s="19"/>
    </row>
    <row r="4" spans="2:16" x14ac:dyDescent="0.2">
      <c r="B4" t="s">
        <v>646</v>
      </c>
      <c r="C4" t="s">
        <v>405</v>
      </c>
      <c r="D4" s="18">
        <v>42432.520127314812</v>
      </c>
      <c r="E4" t="s">
        <v>188</v>
      </c>
      <c r="F4" s="19">
        <v>0.98379024673796445</v>
      </c>
      <c r="G4" s="19">
        <v>0.96342383107088991</v>
      </c>
      <c r="H4" s="19">
        <v>0.89741381585893776</v>
      </c>
      <c r="I4" s="19">
        <v>4.4005792738900734E-2</v>
      </c>
      <c r="J4" s="19">
        <v>0.93758938558644933</v>
      </c>
      <c r="K4" s="19">
        <v>4.4945441302217122E-2</v>
      </c>
      <c r="L4" s="19"/>
      <c r="M4" s="19"/>
      <c r="N4" s="19"/>
      <c r="O4" s="19"/>
      <c r="P4" s="19"/>
    </row>
    <row r="5" spans="2:16" x14ac:dyDescent="0.2">
      <c r="B5" t="s">
        <v>540</v>
      </c>
      <c r="C5" t="s">
        <v>381</v>
      </c>
      <c r="D5" s="18">
        <v>42432.520127314812</v>
      </c>
      <c r="E5" t="s">
        <v>145</v>
      </c>
      <c r="F5" s="19">
        <v>0.9045365367987831</v>
      </c>
      <c r="G5" s="19">
        <v>0.78992502110333196</v>
      </c>
      <c r="H5" s="19">
        <v>0.87395739401998074</v>
      </c>
      <c r="I5" s="19">
        <v>4.9602388493165679E-2</v>
      </c>
      <c r="J5" s="19">
        <v>0.86567098967574874</v>
      </c>
      <c r="K5" s="19">
        <v>5.0072863985853998E-2</v>
      </c>
      <c r="L5" s="19"/>
      <c r="M5" s="19"/>
      <c r="N5" s="19"/>
      <c r="O5" s="19"/>
      <c r="P5" s="19"/>
    </row>
    <row r="6" spans="2:16" x14ac:dyDescent="0.2">
      <c r="B6" t="s">
        <v>534</v>
      </c>
      <c r="C6" t="s">
        <v>370</v>
      </c>
      <c r="D6" s="18">
        <v>42432.520127314812</v>
      </c>
      <c r="E6" t="s">
        <v>143</v>
      </c>
      <c r="F6" s="19">
        <v>0.95664475242074976</v>
      </c>
      <c r="G6" s="19">
        <v>0.86998606431804815</v>
      </c>
      <c r="H6" s="19">
        <v>0.85108545456160656</v>
      </c>
      <c r="I6" s="19">
        <v>4.3496417076770939E-2</v>
      </c>
      <c r="J6" s="19">
        <v>0.89294980607428187</v>
      </c>
      <c r="K6" s="19">
        <v>4.6118555211209722E-2</v>
      </c>
      <c r="L6" s="19"/>
      <c r="M6" s="19"/>
      <c r="N6" s="19"/>
      <c r="O6" s="19"/>
      <c r="P6" s="19"/>
    </row>
    <row r="7" spans="2:16" x14ac:dyDescent="0.2">
      <c r="B7" t="s">
        <v>602</v>
      </c>
      <c r="C7" t="s">
        <v>405</v>
      </c>
      <c r="D7" s="18">
        <v>42432.520127314812</v>
      </c>
      <c r="E7" t="s">
        <v>169</v>
      </c>
      <c r="F7" s="19">
        <v>0.94692742491695814</v>
      </c>
      <c r="G7" s="19">
        <v>0.89536699010471699</v>
      </c>
      <c r="H7" s="19">
        <v>0.93004833512352325</v>
      </c>
      <c r="I7" s="19">
        <v>4.814139549931859E-2</v>
      </c>
      <c r="J7" s="19">
        <v>0.96947133508248129</v>
      </c>
      <c r="K7" s="19">
        <v>2.7484461672568017E-2</v>
      </c>
      <c r="L7" s="19"/>
      <c r="M7" s="19"/>
      <c r="N7" s="19"/>
      <c r="O7" s="19"/>
      <c r="P7" s="19"/>
    </row>
    <row r="8" spans="2:16" x14ac:dyDescent="0.2">
      <c r="B8" t="s">
        <v>513</v>
      </c>
      <c r="C8" t="s">
        <v>370</v>
      </c>
      <c r="D8" s="18">
        <v>42432.520127314812</v>
      </c>
      <c r="E8" t="s">
        <v>136</v>
      </c>
      <c r="F8" s="19">
        <v>0.91190420553369655</v>
      </c>
      <c r="G8" s="19">
        <v>0.84011142566782804</v>
      </c>
      <c r="H8" s="19">
        <v>0.81741423842264183</v>
      </c>
      <c r="I8" s="19">
        <v>5.9520752012706242E-2</v>
      </c>
      <c r="J8" s="19">
        <v>0.90628525230118873</v>
      </c>
      <c r="K8" s="19">
        <v>5.7878499162111796E-2</v>
      </c>
      <c r="L8" s="19"/>
      <c r="M8" s="19"/>
      <c r="N8" s="19"/>
      <c r="O8" s="19"/>
      <c r="P8" s="19"/>
    </row>
    <row r="9" spans="2:16" x14ac:dyDescent="0.2">
      <c r="B9" t="s">
        <v>521</v>
      </c>
      <c r="C9" t="s">
        <v>370</v>
      </c>
      <c r="D9" s="18">
        <v>42432.520127314812</v>
      </c>
      <c r="E9" t="s">
        <v>139</v>
      </c>
      <c r="F9" s="19">
        <v>0.94683501844841622</v>
      </c>
      <c r="G9" s="19">
        <v>0.91499803690616399</v>
      </c>
      <c r="H9" s="19">
        <v>0.88032567070749035</v>
      </c>
      <c r="I9" s="19">
        <v>5.1481816406506696E-2</v>
      </c>
      <c r="J9" s="19">
        <v>0.87020944250579457</v>
      </c>
      <c r="K9" s="19">
        <v>4.9002853568726794E-2</v>
      </c>
      <c r="L9" s="19"/>
      <c r="M9" s="19"/>
      <c r="N9" s="19"/>
      <c r="O9" s="19"/>
      <c r="P9" s="19"/>
    </row>
    <row r="10" spans="2:16" x14ac:dyDescent="0.2">
      <c r="B10" t="s">
        <v>638</v>
      </c>
      <c r="C10" t="s">
        <v>386</v>
      </c>
      <c r="D10" s="18">
        <v>42432.520127314812</v>
      </c>
      <c r="E10" t="s">
        <v>674</v>
      </c>
      <c r="F10" s="19">
        <v>0.94491955413531148</v>
      </c>
      <c r="G10" s="19">
        <v>0.89421603300913655</v>
      </c>
      <c r="H10" s="19">
        <v>0.8659771949027002</v>
      </c>
      <c r="I10" s="19">
        <v>5.5171569626139887E-2</v>
      </c>
      <c r="J10" s="19">
        <v>0.86259074789893075</v>
      </c>
      <c r="K10" s="19">
        <v>5.9432173518089042E-2</v>
      </c>
      <c r="L10" s="19"/>
      <c r="M10" s="19"/>
      <c r="N10" s="19"/>
      <c r="O10" s="19"/>
      <c r="P10" s="19"/>
    </row>
    <row r="11" spans="2:16" x14ac:dyDescent="0.2">
      <c r="B11" t="s">
        <v>568</v>
      </c>
      <c r="C11" t="s">
        <v>391</v>
      </c>
      <c r="D11" s="18">
        <v>42432.520127314812</v>
      </c>
      <c r="E11" t="s">
        <v>155</v>
      </c>
      <c r="F11" s="19">
        <v>0.97693469124062693</v>
      </c>
      <c r="G11" s="19">
        <v>0.9148853530483233</v>
      </c>
      <c r="H11" s="19">
        <v>0.89335585690397079</v>
      </c>
      <c r="I11" s="19">
        <v>4.6480729020327731E-2</v>
      </c>
      <c r="J11" s="19">
        <v>0.8617115142557199</v>
      </c>
      <c r="K11" s="19">
        <v>5.0500034780389315E-2</v>
      </c>
      <c r="L11" s="252"/>
      <c r="M11" s="252"/>
      <c r="N11" s="252"/>
      <c r="O11" s="252"/>
      <c r="P11" s="252"/>
    </row>
    <row r="12" spans="2:16" x14ac:dyDescent="0.2">
      <c r="B12" t="s">
        <v>560</v>
      </c>
      <c r="C12" t="s">
        <v>391</v>
      </c>
      <c r="D12" s="18">
        <v>42432.520127314812</v>
      </c>
      <c r="E12" t="s">
        <v>152</v>
      </c>
      <c r="F12" s="19">
        <v>0.9823086311485022</v>
      </c>
      <c r="G12" s="19">
        <v>0.90810198689132138</v>
      </c>
      <c r="H12" s="19">
        <v>0.91666145598852788</v>
      </c>
      <c r="I12" s="19">
        <v>4.2805220178629713E-2</v>
      </c>
      <c r="J12" s="19">
        <v>0.85177395949867873</v>
      </c>
      <c r="K12" s="19">
        <v>5.9358120505019089E-2</v>
      </c>
      <c r="L12" s="19"/>
      <c r="M12" s="19"/>
      <c r="N12" s="19"/>
      <c r="O12" s="19"/>
      <c r="P12" s="19"/>
    </row>
    <row r="13" spans="2:16" x14ac:dyDescent="0.2">
      <c r="B13" t="s">
        <v>548</v>
      </c>
      <c r="C13" t="s">
        <v>381</v>
      </c>
      <c r="D13" s="18">
        <v>42432.520127314812</v>
      </c>
      <c r="E13" t="s">
        <v>148</v>
      </c>
      <c r="F13" s="19">
        <v>0.96658611977271414</v>
      </c>
      <c r="G13" s="19">
        <v>0.89062883310164354</v>
      </c>
      <c r="H13" s="19">
        <v>0.92558695990187101</v>
      </c>
      <c r="I13" s="19">
        <v>4.9791104860763651E-2</v>
      </c>
      <c r="J13" s="19">
        <v>0.90835349184809333</v>
      </c>
      <c r="K13" s="19">
        <v>5.5294789056758657E-2</v>
      </c>
      <c r="L13" s="19"/>
      <c r="M13" s="19"/>
      <c r="N13" s="19"/>
      <c r="O13" s="19"/>
      <c r="P13" s="19"/>
    </row>
    <row r="14" spans="2:16" x14ac:dyDescent="0.2">
      <c r="B14" t="s">
        <v>386</v>
      </c>
      <c r="C14" t="s">
        <v>386</v>
      </c>
      <c r="D14" s="18">
        <v>42432.520127314812</v>
      </c>
      <c r="E14" t="s">
        <v>665</v>
      </c>
      <c r="F14" s="19">
        <v>0.96094478436313158</v>
      </c>
      <c r="G14" s="19">
        <v>0.89043776381808759</v>
      </c>
      <c r="H14" s="19">
        <v>0.90717514674994282</v>
      </c>
      <c r="I14" s="19">
        <v>1.6758071899728649E-2</v>
      </c>
      <c r="J14" s="19">
        <v>0.92484259781270761</v>
      </c>
      <c r="K14" s="19">
        <v>1.6904742839576416E-2</v>
      </c>
      <c r="L14" s="19"/>
      <c r="M14" s="19"/>
      <c r="N14" s="19"/>
      <c r="O14" s="19"/>
      <c r="P14" s="19"/>
    </row>
    <row r="15" spans="2:16" x14ac:dyDescent="0.2">
      <c r="B15" t="s">
        <v>585</v>
      </c>
      <c r="C15" t="s">
        <v>386</v>
      </c>
      <c r="D15" s="18">
        <v>42432.520127314812</v>
      </c>
      <c r="E15" t="s">
        <v>162</v>
      </c>
      <c r="F15" s="19">
        <v>0.98854472732315035</v>
      </c>
      <c r="G15" s="19">
        <v>0.94132420091324187</v>
      </c>
      <c r="H15" s="19">
        <v>0.9313960550607574</v>
      </c>
      <c r="I15" s="19">
        <v>4.0605707939483864E-2</v>
      </c>
      <c r="J15" s="19">
        <v>0.89792055679258298</v>
      </c>
      <c r="K15" s="19">
        <v>4.7749909021467543E-2</v>
      </c>
      <c r="L15" s="19"/>
      <c r="M15" s="19"/>
      <c r="N15" s="19"/>
      <c r="O15" s="19"/>
      <c r="P15" s="19"/>
    </row>
    <row r="16" spans="2:16" x14ac:dyDescent="0.2">
      <c r="B16" t="s">
        <v>577</v>
      </c>
      <c r="C16" t="s">
        <v>391</v>
      </c>
      <c r="D16" s="18">
        <v>42432.520127314812</v>
      </c>
      <c r="E16" t="s">
        <v>159</v>
      </c>
      <c r="F16" s="19">
        <v>0.94159344918223031</v>
      </c>
      <c r="G16" s="19">
        <v>0.94205839251493639</v>
      </c>
      <c r="H16" s="19">
        <v>0.97437043444828897</v>
      </c>
      <c r="I16" s="19">
        <v>2.8186502447786168E-2</v>
      </c>
      <c r="J16" s="19">
        <v>0.98223689159708116</v>
      </c>
      <c r="K16" s="19">
        <v>1.8955489404097178E-2</v>
      </c>
      <c r="L16" s="252"/>
      <c r="M16" s="252"/>
      <c r="N16" s="252"/>
      <c r="O16" s="252"/>
      <c r="P16" s="252"/>
    </row>
    <row r="17" spans="2:16" x14ac:dyDescent="0.2">
      <c r="B17" t="s">
        <v>570</v>
      </c>
      <c r="C17" t="s">
        <v>391</v>
      </c>
      <c r="D17" s="18">
        <v>42432.520127314812</v>
      </c>
      <c r="E17" t="s">
        <v>156</v>
      </c>
      <c r="F17" s="19">
        <v>0.96879420928038762</v>
      </c>
      <c r="G17" s="19">
        <v>0.96240734453686416</v>
      </c>
      <c r="H17" s="19">
        <v>0.89471414510042446</v>
      </c>
      <c r="I17" s="19">
        <v>4.6704661054438074E-2</v>
      </c>
      <c r="J17" s="19">
        <v>0.90546770241805485</v>
      </c>
      <c r="K17" s="19">
        <v>4.75099778611024E-2</v>
      </c>
      <c r="L17" s="19"/>
      <c r="M17" s="19"/>
      <c r="N17" s="19"/>
      <c r="O17" s="19"/>
      <c r="P17" s="19"/>
    </row>
    <row r="18" spans="2:16" x14ac:dyDescent="0.2">
      <c r="B18" t="s">
        <v>634</v>
      </c>
      <c r="C18" t="s">
        <v>391</v>
      </c>
      <c r="D18" s="18">
        <v>42432.520127314812</v>
      </c>
      <c r="E18" t="s">
        <v>183</v>
      </c>
      <c r="F18" s="19">
        <v>0.95970923826111676</v>
      </c>
      <c r="G18" s="19">
        <v>0.92874911158493267</v>
      </c>
      <c r="H18" s="19">
        <v>0.92311311876529278</v>
      </c>
      <c r="I18" s="19">
        <v>4.3249975424955241E-2</v>
      </c>
      <c r="J18" s="19">
        <v>0.97026422862289119</v>
      </c>
      <c r="K18" s="19">
        <v>3.0068371393810123E-2</v>
      </c>
      <c r="L18" s="19"/>
      <c r="M18" s="19"/>
      <c r="N18" s="19"/>
      <c r="O18" s="19"/>
      <c r="P18" s="19"/>
    </row>
    <row r="19" spans="2:16" x14ac:dyDescent="0.2">
      <c r="B19" t="s">
        <v>632</v>
      </c>
      <c r="C19" t="s">
        <v>386</v>
      </c>
      <c r="D19" s="18">
        <v>42432.520127314812</v>
      </c>
      <c r="E19" t="s">
        <v>182</v>
      </c>
      <c r="F19" s="19">
        <v>1</v>
      </c>
      <c r="G19" s="19">
        <v>1</v>
      </c>
      <c r="H19" s="19">
        <v>0.9574038195405481</v>
      </c>
      <c r="I19" s="19">
        <v>3.6504728883069999E-2</v>
      </c>
      <c r="J19" s="19">
        <v>0.96216613071377177</v>
      </c>
      <c r="K19" s="19">
        <v>3.138725382444342E-2</v>
      </c>
      <c r="L19" s="19"/>
      <c r="M19" s="19"/>
      <c r="N19" s="19"/>
      <c r="O19" s="19"/>
      <c r="P19" s="19"/>
    </row>
    <row r="20" spans="2:16" x14ac:dyDescent="0.2">
      <c r="B20" t="s">
        <v>523</v>
      </c>
      <c r="C20" t="s">
        <v>370</v>
      </c>
      <c r="D20" s="18">
        <v>42432.520127314812</v>
      </c>
      <c r="E20" t="s">
        <v>140</v>
      </c>
      <c r="F20" s="19">
        <v>0.977359311763775</v>
      </c>
      <c r="G20" s="19">
        <v>0.93942667156952875</v>
      </c>
      <c r="H20" s="19">
        <v>0.92156946053007049</v>
      </c>
      <c r="I20" s="19">
        <v>4.3180953110503066E-2</v>
      </c>
      <c r="J20" s="19">
        <v>0.96537208039109179</v>
      </c>
      <c r="K20" s="19">
        <v>3.1791942793363503E-2</v>
      </c>
      <c r="L20" s="19"/>
      <c r="M20" s="19"/>
      <c r="N20" s="19"/>
      <c r="O20" s="19"/>
      <c r="P20" s="19"/>
    </row>
    <row r="21" spans="2:16" x14ac:dyDescent="0.2">
      <c r="B21" t="s">
        <v>642</v>
      </c>
      <c r="C21" t="s">
        <v>405</v>
      </c>
      <c r="D21" s="18">
        <v>42432.520127314812</v>
      </c>
      <c r="E21" t="s">
        <v>186</v>
      </c>
      <c r="F21" s="19">
        <v>0.98268068098193662</v>
      </c>
      <c r="G21" s="19">
        <v>0.91372299351022757</v>
      </c>
      <c r="H21" s="19">
        <v>0.8898439657553161</v>
      </c>
      <c r="I21" s="19">
        <v>4.5913145802491971E-2</v>
      </c>
      <c r="J21" s="19">
        <v>0.96466050505785605</v>
      </c>
      <c r="K21" s="19">
        <v>2.8927610609039717E-2</v>
      </c>
      <c r="L21" s="19"/>
      <c r="M21" s="19"/>
      <c r="N21" s="19"/>
      <c r="O21" s="19"/>
      <c r="P21" s="19"/>
    </row>
    <row r="22" spans="2:16" x14ac:dyDescent="0.2">
      <c r="B22" t="s">
        <v>620</v>
      </c>
      <c r="C22" t="s">
        <v>386</v>
      </c>
      <c r="D22" s="18">
        <v>42432.520127314812</v>
      </c>
      <c r="E22" t="s">
        <v>177</v>
      </c>
      <c r="F22" s="19">
        <v>0.9171244832991009</v>
      </c>
      <c r="G22" s="19">
        <v>0.73470518552485775</v>
      </c>
      <c r="H22" s="19">
        <v>0.85683149317638285</v>
      </c>
      <c r="I22" s="19">
        <v>4.7064771548325411E-2</v>
      </c>
      <c r="J22" s="19">
        <v>0.90269903729862444</v>
      </c>
      <c r="K22" s="19">
        <v>4.4879451013187154E-2</v>
      </c>
      <c r="L22" s="19"/>
      <c r="M22" s="19"/>
      <c r="N22" s="19"/>
      <c r="O22" s="19"/>
      <c r="P22" s="19"/>
    </row>
    <row r="23" spans="2:16" x14ac:dyDescent="0.2">
      <c r="B23" t="s">
        <v>538</v>
      </c>
      <c r="C23" t="s">
        <v>370</v>
      </c>
      <c r="D23" s="18">
        <v>42432.520127314812</v>
      </c>
      <c r="E23" t="s">
        <v>144</v>
      </c>
      <c r="F23" s="19">
        <v>0.96304442126429202</v>
      </c>
      <c r="G23" s="19">
        <v>0.91944325021496132</v>
      </c>
      <c r="H23" s="19">
        <v>0.89204618107666112</v>
      </c>
      <c r="I23" s="19">
        <v>4.6369593936788009E-2</v>
      </c>
      <c r="J23" s="19">
        <v>0.88674323156682033</v>
      </c>
      <c r="K23" s="19">
        <v>5.4365069197528156E-2</v>
      </c>
      <c r="L23" s="19"/>
      <c r="M23" s="19"/>
      <c r="N23" s="19"/>
      <c r="O23" s="19"/>
      <c r="P23" s="19"/>
    </row>
    <row r="24" spans="2:16" x14ac:dyDescent="0.2">
      <c r="B24" t="s">
        <v>562</v>
      </c>
      <c r="C24" t="s">
        <v>391</v>
      </c>
      <c r="D24" s="18">
        <v>42432.520127314812</v>
      </c>
      <c r="E24" t="s">
        <v>153</v>
      </c>
      <c r="F24" s="19">
        <v>0.93407163123260062</v>
      </c>
      <c r="G24" s="19">
        <v>0.91298708288482233</v>
      </c>
      <c r="H24" s="19">
        <v>0.91330169481299961</v>
      </c>
      <c r="I24" s="19">
        <v>4.6682138975066324E-2</v>
      </c>
      <c r="J24" s="19">
        <v>0.9522415792582245</v>
      </c>
      <c r="K24" s="19">
        <v>3.0355908153093338E-2</v>
      </c>
      <c r="L24" s="19"/>
      <c r="M24" s="19"/>
      <c r="N24" s="19"/>
      <c r="O24" s="19"/>
      <c r="P24" s="19"/>
    </row>
    <row r="25" spans="2:16" x14ac:dyDescent="0.2">
      <c r="B25" t="s">
        <v>556</v>
      </c>
      <c r="C25" t="s">
        <v>386</v>
      </c>
      <c r="D25" s="18">
        <v>42432.520127314812</v>
      </c>
      <c r="E25" t="s">
        <v>151</v>
      </c>
      <c r="F25" s="19">
        <v>0.92788263760265488</v>
      </c>
      <c r="G25" s="19">
        <v>0.84558840587779482</v>
      </c>
      <c r="H25" s="19">
        <v>0.88605571139694705</v>
      </c>
      <c r="I25" s="19">
        <v>4.5078307785768316E-2</v>
      </c>
      <c r="J25" s="19">
        <v>0.89925609094045267</v>
      </c>
      <c r="K25" s="19">
        <v>5.0860225114589423E-2</v>
      </c>
      <c r="L25" s="19"/>
      <c r="M25" s="19"/>
      <c r="N25" s="19"/>
      <c r="O25" s="19"/>
      <c r="P25" s="19"/>
    </row>
    <row r="26" spans="2:16" x14ac:dyDescent="0.2">
      <c r="B26" t="s">
        <v>579</v>
      </c>
      <c r="C26" t="s">
        <v>391</v>
      </c>
      <c r="D26" s="18">
        <v>42432.520127314812</v>
      </c>
      <c r="E26" t="s">
        <v>160</v>
      </c>
      <c r="F26" s="19">
        <v>0.95173768637885325</v>
      </c>
      <c r="G26" s="19">
        <v>0.90277314428690569</v>
      </c>
      <c r="H26" s="19">
        <v>0.94156647729774956</v>
      </c>
      <c r="I26" s="19">
        <v>4.1738894869437715E-2</v>
      </c>
      <c r="J26" s="19">
        <v>0.98298273155416016</v>
      </c>
      <c r="K26" s="19">
        <v>2.0823192159682122E-2</v>
      </c>
      <c r="L26" s="19"/>
      <c r="M26" s="19"/>
      <c r="N26" s="19"/>
      <c r="O26" s="19"/>
      <c r="P26" s="19"/>
    </row>
    <row r="27" spans="2:16" x14ac:dyDescent="0.2">
      <c r="B27" t="s">
        <v>608</v>
      </c>
      <c r="C27" t="s">
        <v>386</v>
      </c>
      <c r="D27" s="18">
        <v>42432.520127314812</v>
      </c>
      <c r="E27" t="s">
        <v>172</v>
      </c>
      <c r="F27" s="19">
        <v>0.94467312004996151</v>
      </c>
      <c r="G27" s="19">
        <v>0.85355447388979033</v>
      </c>
      <c r="H27" s="19">
        <v>0.8916521892388648</v>
      </c>
      <c r="I27" s="19">
        <v>5.1683167174944984E-2</v>
      </c>
      <c r="J27" s="19">
        <v>0.93599117562265766</v>
      </c>
      <c r="K27" s="19">
        <v>4.3828472167093083E-2</v>
      </c>
      <c r="L27" s="19"/>
      <c r="M27" s="19"/>
      <c r="N27" s="19"/>
      <c r="O27" s="19"/>
      <c r="P27" s="19"/>
    </row>
    <row r="28" spans="2:16" x14ac:dyDescent="0.2">
      <c r="B28" t="s">
        <v>594</v>
      </c>
      <c r="C28" t="s">
        <v>405</v>
      </c>
      <c r="D28" s="18">
        <v>42432.520127314812</v>
      </c>
      <c r="E28" t="s">
        <v>166</v>
      </c>
      <c r="F28" s="19">
        <v>0.86186304540873859</v>
      </c>
      <c r="G28" s="19">
        <v>0.73284653204707628</v>
      </c>
      <c r="H28" s="19">
        <v>0.85813748152130087</v>
      </c>
      <c r="I28" s="19">
        <v>4.79411838605057E-2</v>
      </c>
      <c r="J28" s="19">
        <v>0.85168372184230889</v>
      </c>
      <c r="K28" s="19">
        <v>5.3998032561480898E-2</v>
      </c>
      <c r="L28" s="19"/>
      <c r="M28" s="19"/>
      <c r="N28" s="19"/>
      <c r="O28" s="19"/>
      <c r="P28" s="19"/>
    </row>
    <row r="29" spans="2:16" x14ac:dyDescent="0.2">
      <c r="B29" t="s">
        <v>564</v>
      </c>
      <c r="C29" t="s">
        <v>381</v>
      </c>
      <c r="D29" s="18">
        <v>42432.520127314812</v>
      </c>
      <c r="E29" t="s">
        <v>154</v>
      </c>
      <c r="F29" s="19">
        <v>0.97548141319867865</v>
      </c>
      <c r="G29" s="19">
        <v>0.88811823236757381</v>
      </c>
      <c r="H29" s="19">
        <v>0.91089763930382517</v>
      </c>
      <c r="I29" s="19">
        <v>4.5533468421649702E-2</v>
      </c>
      <c r="J29" s="19">
        <v>0.90770183602524224</v>
      </c>
      <c r="K29" s="19">
        <v>4.490924236943563E-2</v>
      </c>
      <c r="L29" s="19"/>
      <c r="M29" s="19"/>
      <c r="N29" s="19"/>
      <c r="O29" s="19"/>
      <c r="P29" s="19"/>
    </row>
    <row r="30" spans="2:16" x14ac:dyDescent="0.2">
      <c r="B30" t="s">
        <v>623</v>
      </c>
      <c r="C30" t="s">
        <v>370</v>
      </c>
      <c r="D30" s="18">
        <v>42432.520127314812</v>
      </c>
      <c r="E30" t="s">
        <v>178</v>
      </c>
      <c r="F30" s="19">
        <v>0.89238739469000705</v>
      </c>
      <c r="G30" s="19">
        <v>0.81924244483711661</v>
      </c>
      <c r="H30" s="19">
        <v>0.90718586469957752</v>
      </c>
      <c r="I30" s="19">
        <v>4.3201662546459477E-2</v>
      </c>
      <c r="J30" s="19">
        <v>0.90951602545390842</v>
      </c>
      <c r="K30" s="19">
        <v>4.8228557645968451E-2</v>
      </c>
      <c r="L30" s="19"/>
      <c r="M30" s="19"/>
      <c r="N30" s="19"/>
      <c r="O30" s="19"/>
      <c r="P30" s="19"/>
    </row>
    <row r="31" spans="2:16" x14ac:dyDescent="0.2">
      <c r="B31" t="s">
        <v>616</v>
      </c>
      <c r="C31" t="s">
        <v>405</v>
      </c>
      <c r="D31" s="18">
        <v>42432.520127314812</v>
      </c>
      <c r="E31" t="s">
        <v>176</v>
      </c>
      <c r="F31" s="19">
        <v>0.92795015259409952</v>
      </c>
      <c r="G31" s="19">
        <v>0.91900382226469179</v>
      </c>
      <c r="H31" s="19">
        <v>0.91979233905214886</v>
      </c>
      <c r="I31" s="19">
        <v>4.81348634813763E-2</v>
      </c>
      <c r="J31" s="19">
        <v>0.97392224788298687</v>
      </c>
      <c r="K31" s="19">
        <v>2.7932273387966264E-2</v>
      </c>
      <c r="L31" s="19"/>
      <c r="M31" s="19"/>
      <c r="N31" s="19"/>
      <c r="O31" s="19"/>
      <c r="P31" s="19"/>
    </row>
    <row r="32" spans="2:16" x14ac:dyDescent="0.2">
      <c r="B32" t="s">
        <v>391</v>
      </c>
      <c r="C32" t="s">
        <v>391</v>
      </c>
      <c r="D32" s="18">
        <v>42432.520127314812</v>
      </c>
      <c r="E32" t="s">
        <v>664</v>
      </c>
      <c r="F32" s="19">
        <v>0.96654375648985769</v>
      </c>
      <c r="G32" s="19">
        <v>0.93882634376737817</v>
      </c>
      <c r="H32" s="19">
        <v>0.93057560131290107</v>
      </c>
      <c r="I32" s="19">
        <v>1.3161462427086476E-2</v>
      </c>
      <c r="J32" s="19">
        <v>0.90490140611323477</v>
      </c>
      <c r="K32" s="19">
        <v>1.9758285084876731E-2</v>
      </c>
      <c r="L32" s="19"/>
      <c r="M32" s="19"/>
      <c r="N32" s="19"/>
      <c r="O32" s="19"/>
      <c r="P32" s="19"/>
    </row>
    <row r="33" spans="2:16" x14ac:dyDescent="0.2">
      <c r="B33" t="s">
        <v>209</v>
      </c>
      <c r="C33" t="s">
        <v>391</v>
      </c>
      <c r="D33" s="18">
        <v>42432.520127314812</v>
      </c>
      <c r="E33" t="s">
        <v>157</v>
      </c>
      <c r="F33" s="19">
        <v>0.99374761227712927</v>
      </c>
      <c r="G33" s="19">
        <v>0.97490911964596183</v>
      </c>
      <c r="H33" s="19">
        <v>0.97107923305764543</v>
      </c>
      <c r="I33" s="19">
        <v>3.2062390510806366E-2</v>
      </c>
      <c r="J33" s="19">
        <v>0.90400463072850157</v>
      </c>
      <c r="K33" s="19">
        <v>5.1279790245871197E-2</v>
      </c>
      <c r="L33" s="19">
        <v>0.92422260144103152</v>
      </c>
      <c r="M33" s="19">
        <v>0.93853459984072274</v>
      </c>
      <c r="N33" s="19">
        <v>4.2579632236083145E-2</v>
      </c>
      <c r="O33" s="19">
        <v>0.98716762796096769</v>
      </c>
      <c r="P33" s="19">
        <v>1.4458487764192113E-2</v>
      </c>
    </row>
    <row r="34" spans="2:16" x14ac:dyDescent="0.2">
      <c r="B34" t="s">
        <v>572</v>
      </c>
      <c r="C34" t="s">
        <v>391</v>
      </c>
      <c r="D34" s="18">
        <v>42432.520127314812</v>
      </c>
      <c r="E34" t="s">
        <v>157</v>
      </c>
      <c r="F34" s="19">
        <v>0.99374761227712927</v>
      </c>
      <c r="G34" s="19">
        <v>0.97490911964596183</v>
      </c>
      <c r="H34" s="19">
        <v>0.97107923305764543</v>
      </c>
      <c r="I34" s="19">
        <v>3.2062390510806366E-2</v>
      </c>
      <c r="J34" s="19">
        <v>0.90400463072850157</v>
      </c>
      <c r="K34" s="19">
        <v>5.1279790245871197E-2</v>
      </c>
      <c r="L34" s="19">
        <v>0.92422260144103152</v>
      </c>
      <c r="M34" s="19">
        <v>0.93853459984072274</v>
      </c>
      <c r="N34" s="19">
        <v>4.2579632236083145E-2</v>
      </c>
      <c r="O34" s="19">
        <v>0.98716762796096769</v>
      </c>
      <c r="P34" s="19">
        <v>1.4458487764192113E-2</v>
      </c>
    </row>
    <row r="35" spans="2:16" x14ac:dyDescent="0.2">
      <c r="B35" t="s">
        <v>554</v>
      </c>
      <c r="C35" t="s">
        <v>381</v>
      </c>
      <c r="D35" s="18">
        <v>42432.520127314812</v>
      </c>
      <c r="E35" t="s">
        <v>150</v>
      </c>
      <c r="F35" s="19">
        <v>0.93181630325776965</v>
      </c>
      <c r="G35" s="19">
        <v>0.81388238355451481</v>
      </c>
      <c r="H35" s="19">
        <v>0.8923907853546883</v>
      </c>
      <c r="I35" s="19">
        <v>4.5284891449034956E-2</v>
      </c>
      <c r="J35" s="19">
        <v>0.92311367389328647</v>
      </c>
      <c r="K35" s="19">
        <v>4.5793504549610307E-2</v>
      </c>
      <c r="L35" s="19"/>
      <c r="M35" s="19"/>
      <c r="N35" s="19"/>
      <c r="O35" s="19"/>
      <c r="P35" s="19"/>
    </row>
    <row r="36" spans="2:16" x14ac:dyDescent="0.2">
      <c r="B36" t="s">
        <v>610</v>
      </c>
      <c r="C36" t="s">
        <v>386</v>
      </c>
      <c r="D36" s="18">
        <v>42432.520127314812</v>
      </c>
      <c r="E36" t="s">
        <v>173</v>
      </c>
      <c r="F36" s="19">
        <v>0.95622955285380684</v>
      </c>
      <c r="G36" s="19">
        <v>0.93123100753195454</v>
      </c>
      <c r="H36" s="19">
        <v>0.91546783136339105</v>
      </c>
      <c r="I36" s="19">
        <v>4.680403411782251E-2</v>
      </c>
      <c r="J36" s="19">
        <v>0.93740784048432924</v>
      </c>
      <c r="K36" s="19">
        <v>4.9018211947158011E-2</v>
      </c>
      <c r="L36" s="19"/>
      <c r="M36" s="19"/>
      <c r="N36" s="19"/>
      <c r="O36" s="19"/>
      <c r="P36" s="19"/>
    </row>
    <row r="37" spans="2:16" x14ac:dyDescent="0.2">
      <c r="B37" t="s">
        <v>550</v>
      </c>
      <c r="C37" t="s">
        <v>381</v>
      </c>
      <c r="D37" s="18">
        <v>42432.520127314812</v>
      </c>
      <c r="E37" t="s">
        <v>91</v>
      </c>
      <c r="F37" s="19">
        <v>0.95455890198763771</v>
      </c>
      <c r="G37" s="19">
        <v>0.91044980119284291</v>
      </c>
      <c r="H37" s="19">
        <v>0.94213989037551504</v>
      </c>
      <c r="I37" s="19">
        <v>3.5779999774809286E-2</v>
      </c>
      <c r="J37" s="19">
        <v>0.92455789557569557</v>
      </c>
      <c r="K37" s="19">
        <v>4.4476915489875778E-2</v>
      </c>
      <c r="L37" s="19"/>
      <c r="M37" s="19"/>
      <c r="N37" s="19"/>
      <c r="O37" s="19"/>
      <c r="P37" s="19"/>
    </row>
    <row r="38" spans="2:16" x14ac:dyDescent="0.2">
      <c r="B38" t="s">
        <v>552</v>
      </c>
      <c r="C38" t="s">
        <v>386</v>
      </c>
      <c r="D38" s="18">
        <v>42432.520127314812</v>
      </c>
      <c r="E38" t="s">
        <v>149</v>
      </c>
      <c r="F38" s="19">
        <v>0.93241355209662047</v>
      </c>
      <c r="G38" s="19">
        <v>0.91132390312605238</v>
      </c>
      <c r="H38" s="19">
        <v>0.92132615837130982</v>
      </c>
      <c r="I38" s="19">
        <v>4.3069037507337808E-2</v>
      </c>
      <c r="J38" s="19">
        <v>0.94882740155660894</v>
      </c>
      <c r="K38" s="19">
        <v>3.5634659801475052E-2</v>
      </c>
      <c r="L38" s="19"/>
      <c r="M38" s="19"/>
      <c r="N38" s="19"/>
      <c r="O38" s="19"/>
      <c r="P38" s="19"/>
    </row>
    <row r="39" spans="2:16" x14ac:dyDescent="0.2">
      <c r="B39" t="s">
        <v>519</v>
      </c>
      <c r="C39" t="s">
        <v>370</v>
      </c>
      <c r="D39" s="18">
        <v>42432.520127314812</v>
      </c>
      <c r="E39" t="s">
        <v>138</v>
      </c>
      <c r="F39" s="19">
        <v>0.87175914839889401</v>
      </c>
      <c r="G39" s="19">
        <v>0.80800611026904123</v>
      </c>
      <c r="H39" s="19">
        <v>0.88516471778237038</v>
      </c>
      <c r="I39" s="19">
        <v>5.06192468171556E-2</v>
      </c>
      <c r="J39" s="19">
        <v>0.9259891474205949</v>
      </c>
      <c r="K39" s="19">
        <v>4.1509331338272164E-2</v>
      </c>
      <c r="L39" s="19"/>
      <c r="M39" s="19"/>
      <c r="N39" s="19"/>
      <c r="O39" s="19"/>
      <c r="P39" s="19"/>
    </row>
    <row r="40" spans="2:16" x14ac:dyDescent="0.2">
      <c r="B40" t="s">
        <v>525</v>
      </c>
      <c r="C40" t="s">
        <v>370</v>
      </c>
      <c r="D40" s="18">
        <v>42432.520127314812</v>
      </c>
      <c r="E40" t="s">
        <v>141</v>
      </c>
      <c r="F40" s="19">
        <v>0.93398216035828141</v>
      </c>
      <c r="G40" s="19">
        <v>0.86562082777036053</v>
      </c>
      <c r="H40" s="19">
        <v>0.88854634714594771</v>
      </c>
      <c r="I40" s="19">
        <v>4.3260926008857364E-2</v>
      </c>
      <c r="J40" s="19">
        <v>0.86908732126622024</v>
      </c>
      <c r="K40" s="19">
        <v>4.7505234261764999E-2</v>
      </c>
      <c r="L40" s="19"/>
      <c r="M40" s="19"/>
      <c r="N40" s="19"/>
      <c r="O40" s="19"/>
      <c r="P40" s="19"/>
    </row>
    <row r="41" spans="2:16" x14ac:dyDescent="0.2">
      <c r="B41" t="s">
        <v>370</v>
      </c>
      <c r="C41" t="s">
        <v>370</v>
      </c>
      <c r="D41" s="18">
        <v>42432.520127314812</v>
      </c>
      <c r="E41" t="s">
        <v>663</v>
      </c>
      <c r="F41" s="19">
        <v>0.95557790426099298</v>
      </c>
      <c r="G41" s="19">
        <v>0.88645764313115494</v>
      </c>
      <c r="H41" s="19">
        <v>0.87092179976127115</v>
      </c>
      <c r="I41" s="19">
        <v>1.6816553628524675E-2</v>
      </c>
      <c r="J41" s="19">
        <v>0.88925276889927019</v>
      </c>
      <c r="K41" s="19">
        <v>1.662764650893564E-2</v>
      </c>
      <c r="L41" s="19"/>
      <c r="M41" s="19"/>
      <c r="N41" s="19"/>
      <c r="O41" s="19"/>
      <c r="P41" s="19"/>
    </row>
    <row r="42" spans="2:16" x14ac:dyDescent="0.2">
      <c r="B42" t="s">
        <v>592</v>
      </c>
      <c r="C42" t="s">
        <v>405</v>
      </c>
      <c r="D42" s="18">
        <v>42432.520127314812</v>
      </c>
      <c r="E42" t="s">
        <v>165</v>
      </c>
      <c r="F42" s="19">
        <v>0.96876376806814513</v>
      </c>
      <c r="G42" s="19">
        <v>0.90196561127101949</v>
      </c>
      <c r="H42" s="19">
        <v>0.93112480274760978</v>
      </c>
      <c r="I42" s="19">
        <v>3.8399654089009159E-2</v>
      </c>
      <c r="J42" s="19">
        <v>0.90312454877246173</v>
      </c>
      <c r="K42" s="19">
        <v>4.8906544120157706E-2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405</v>
      </c>
      <c r="C44" t="s">
        <v>405</v>
      </c>
      <c r="D44" s="18">
        <v>42432.520127314812</v>
      </c>
      <c r="E44" t="s">
        <v>666</v>
      </c>
      <c r="F44" s="19">
        <v>0.95916420513250789</v>
      </c>
      <c r="G44" s="19">
        <v>0.86477332638326387</v>
      </c>
      <c r="H44" s="19">
        <v>0.89758404674255499</v>
      </c>
      <c r="I44" s="19">
        <v>1.7002159742744851E-2</v>
      </c>
      <c r="J44" s="19">
        <v>0.92862199401031464</v>
      </c>
      <c r="K44" s="19">
        <v>1.5749008519610898E-2</v>
      </c>
      <c r="L44" s="19"/>
      <c r="M44" s="19"/>
      <c r="N44" s="19"/>
      <c r="O44" s="19"/>
      <c r="P44" s="19"/>
    </row>
    <row r="45" spans="2:16" x14ac:dyDescent="0.2">
      <c r="B45" t="s">
        <v>210</v>
      </c>
      <c r="C45" t="s">
        <v>370</v>
      </c>
      <c r="D45" s="18">
        <v>42432.520127314812</v>
      </c>
      <c r="E45" t="s">
        <v>99</v>
      </c>
      <c r="F45" s="19">
        <v>0.99121389420870898</v>
      </c>
      <c r="G45" s="19">
        <v>0.96566773348850743</v>
      </c>
      <c r="H45" s="19">
        <v>0.8793692893290479</v>
      </c>
      <c r="I45" s="19">
        <v>4.8103667096399363E-2</v>
      </c>
      <c r="J45" s="19">
        <v>0.8849994555440801</v>
      </c>
      <c r="K45" s="19">
        <v>5.325367906225132E-2</v>
      </c>
      <c r="L45" s="19">
        <v>0.87550630160799647</v>
      </c>
      <c r="M45" s="19">
        <v>0.92704294329542236</v>
      </c>
      <c r="N45" s="19">
        <v>4.3471140061487432E-2</v>
      </c>
      <c r="O45" s="19">
        <v>0.92988522134158136</v>
      </c>
      <c r="P45" s="19">
        <v>4.854351026991871E-2</v>
      </c>
    </row>
    <row r="46" spans="2:16" x14ac:dyDescent="0.2">
      <c r="B46" t="s">
        <v>527</v>
      </c>
      <c r="C46" t="s">
        <v>370</v>
      </c>
      <c r="D46" s="18">
        <v>42432.520127314812</v>
      </c>
      <c r="E46" t="s">
        <v>99</v>
      </c>
      <c r="F46" s="19">
        <v>0.99121389420870898</v>
      </c>
      <c r="G46" s="19">
        <v>0.96566773348850743</v>
      </c>
      <c r="H46" s="19">
        <v>0.8793692893290479</v>
      </c>
      <c r="I46" s="19">
        <v>4.8103667096399363E-2</v>
      </c>
      <c r="J46" s="19">
        <v>0.8849994555440801</v>
      </c>
      <c r="K46" s="19">
        <v>5.325367906225132E-2</v>
      </c>
      <c r="L46" s="19">
        <v>0.87550630160799647</v>
      </c>
      <c r="M46" s="19">
        <v>0.92704294329542236</v>
      </c>
      <c r="N46" s="19">
        <v>4.3471140061487432E-2</v>
      </c>
      <c r="O46" s="19">
        <v>0.92988522134158136</v>
      </c>
      <c r="P46" s="19">
        <v>4.854351026991871E-2</v>
      </c>
    </row>
    <row r="47" spans="2:16" x14ac:dyDescent="0.2">
      <c r="B47" t="s">
        <v>596</v>
      </c>
      <c r="C47" t="s">
        <v>405</v>
      </c>
      <c r="D47" s="18">
        <v>42432.520127314812</v>
      </c>
      <c r="E47" t="s">
        <v>167</v>
      </c>
      <c r="F47" s="19">
        <v>0.98663103338674008</v>
      </c>
      <c r="G47" s="19">
        <v>0.94119157678479715</v>
      </c>
      <c r="H47" s="19">
        <v>0.88629979354926036</v>
      </c>
      <c r="I47" s="19">
        <v>5.3236240287481564E-2</v>
      </c>
      <c r="J47" s="19">
        <v>0.92685631792272682</v>
      </c>
      <c r="K47" s="19">
        <v>4.599342356771878E-2</v>
      </c>
      <c r="L47" s="19"/>
      <c r="M47" s="19"/>
      <c r="N47" s="19"/>
      <c r="O47" s="19"/>
      <c r="P47" s="19"/>
    </row>
    <row r="48" spans="2:16" x14ac:dyDescent="0.2">
      <c r="B48" t="s">
        <v>530</v>
      </c>
      <c r="C48" t="s">
        <v>370</v>
      </c>
      <c r="D48" s="18">
        <v>42432.520127314812</v>
      </c>
      <c r="E48" t="s">
        <v>142</v>
      </c>
      <c r="F48" s="19">
        <v>0.90680195341278813</v>
      </c>
      <c r="G48" s="19">
        <v>0.84817855843683421</v>
      </c>
      <c r="H48" s="19">
        <v>0.89047310559173898</v>
      </c>
      <c r="I48" s="19">
        <v>4.7394938646536461E-2</v>
      </c>
      <c r="J48" s="19">
        <v>0.88265955570030807</v>
      </c>
      <c r="K48" s="19">
        <v>6.0579988722067386E-2</v>
      </c>
      <c r="L48" s="19"/>
      <c r="M48" s="19"/>
      <c r="N48" s="19"/>
      <c r="O48" s="19"/>
      <c r="P48" s="19"/>
    </row>
    <row r="49" spans="2:16" x14ac:dyDescent="0.2">
      <c r="B49" t="s">
        <v>604</v>
      </c>
      <c r="C49" t="s">
        <v>405</v>
      </c>
      <c r="D49" s="18">
        <v>42432.520127314812</v>
      </c>
      <c r="E49" t="s">
        <v>170</v>
      </c>
      <c r="F49" s="19">
        <v>0.96593158301548843</v>
      </c>
      <c r="G49" s="19">
        <v>0.91513119533527698</v>
      </c>
      <c r="H49" s="19">
        <v>0.90105212256202083</v>
      </c>
      <c r="I49" s="19">
        <v>5.0741203936989693E-2</v>
      </c>
      <c r="J49" s="19">
        <v>0.95067937878515318</v>
      </c>
      <c r="K49" s="19">
        <v>3.5751202494647957E-2</v>
      </c>
      <c r="L49" s="19"/>
      <c r="M49" s="19"/>
      <c r="N49" s="19"/>
      <c r="O49" s="19"/>
      <c r="P49" s="19"/>
    </row>
    <row r="50" spans="2:16" x14ac:dyDescent="0.2">
      <c r="B50" t="s">
        <v>515</v>
      </c>
      <c r="C50" t="s">
        <v>370</v>
      </c>
      <c r="D50" s="18">
        <v>42432.520127314812</v>
      </c>
      <c r="E50" t="s">
        <v>137</v>
      </c>
      <c r="F50" s="19">
        <v>0.95798786001290515</v>
      </c>
      <c r="G50" s="19">
        <v>0.92001515553034507</v>
      </c>
      <c r="H50" s="19">
        <v>0.85715713301682139</v>
      </c>
      <c r="I50" s="19">
        <v>6.334556323353048E-2</v>
      </c>
      <c r="J50" s="19">
        <v>0.92896146581998584</v>
      </c>
      <c r="K50" s="19">
        <v>4.3014360322444531E-2</v>
      </c>
      <c r="L50" s="19"/>
      <c r="M50" s="19"/>
      <c r="N50" s="19"/>
      <c r="O50" s="19"/>
      <c r="P50" s="19"/>
    </row>
    <row r="51" spans="2:16" x14ac:dyDescent="0.2">
      <c r="B51" t="s">
        <v>612</v>
      </c>
      <c r="C51" t="s">
        <v>405</v>
      </c>
      <c r="D51" s="18">
        <v>42432.520127314812</v>
      </c>
      <c r="E51" t="s">
        <v>174</v>
      </c>
      <c r="F51" s="19">
        <v>0.96016023256924887</v>
      </c>
      <c r="G51" s="19">
        <v>0.93723183902944218</v>
      </c>
      <c r="H51" s="19">
        <v>0.89680159200609699</v>
      </c>
      <c r="I51" s="19">
        <v>4.9644846425214058E-2</v>
      </c>
      <c r="J51" s="19">
        <v>0.93258331458878407</v>
      </c>
      <c r="K51" s="19">
        <v>4.7660624804852107E-2</v>
      </c>
      <c r="L51" s="19"/>
      <c r="M51" s="19"/>
      <c r="N51" s="19"/>
      <c r="O51" s="19"/>
      <c r="P51" s="19"/>
    </row>
    <row r="52" spans="2:16" x14ac:dyDescent="0.2">
      <c r="B52" t="s">
        <v>536</v>
      </c>
      <c r="C52" t="s">
        <v>370</v>
      </c>
      <c r="D52" s="18">
        <v>42432.520127314812</v>
      </c>
      <c r="E52" t="s">
        <v>103</v>
      </c>
      <c r="F52" s="19">
        <v>0.94965168039917702</v>
      </c>
      <c r="G52" s="19">
        <v>0.90889856494541887</v>
      </c>
      <c r="H52" s="19">
        <v>0.90058813212864519</v>
      </c>
      <c r="I52" s="19">
        <v>5.007267739440948E-2</v>
      </c>
      <c r="J52" s="19">
        <v>0.91471194036455505</v>
      </c>
      <c r="K52" s="19">
        <v>4.3935413472033676E-2</v>
      </c>
      <c r="L52" s="19"/>
      <c r="M52" s="19"/>
      <c r="N52" s="19"/>
      <c r="O52" s="19"/>
      <c r="P52" s="19"/>
    </row>
    <row r="53" spans="2:16" x14ac:dyDescent="0.2">
      <c r="B53" t="s">
        <v>589</v>
      </c>
      <c r="C53" t="s">
        <v>386</v>
      </c>
      <c r="D53" s="18">
        <v>42432.520127314812</v>
      </c>
      <c r="E53" t="s">
        <v>164</v>
      </c>
      <c r="F53" s="19">
        <v>0.99386266478604735</v>
      </c>
      <c r="G53" s="19">
        <v>0.96143367955048531</v>
      </c>
      <c r="H53" s="19">
        <v>0.92945347570921011</v>
      </c>
      <c r="I53" s="19">
        <v>3.9703887637157396E-2</v>
      </c>
      <c r="J53" s="19">
        <v>0.95390004562382402</v>
      </c>
      <c r="K53" s="19">
        <v>3.5714699502600811E-2</v>
      </c>
      <c r="L53" s="252"/>
      <c r="M53" s="252"/>
      <c r="N53" s="252"/>
      <c r="O53" s="252"/>
      <c r="P53" s="252"/>
    </row>
    <row r="54" spans="2:16" x14ac:dyDescent="0.2">
      <c r="B54" t="s">
        <v>625</v>
      </c>
      <c r="C54" t="s">
        <v>405</v>
      </c>
      <c r="D54" s="18">
        <v>42432.520127314812</v>
      </c>
      <c r="E54" t="s">
        <v>179</v>
      </c>
      <c r="F54" s="19">
        <v>0.96830034280112354</v>
      </c>
      <c r="G54" s="19">
        <v>0.81870169627622202</v>
      </c>
      <c r="H54" s="19">
        <v>0.8839176898309411</v>
      </c>
      <c r="I54" s="19">
        <v>4.3575290337360288E-2</v>
      </c>
      <c r="J54" s="19">
        <v>0.93299260191001565</v>
      </c>
      <c r="K54" s="19">
        <v>4.1627322536157862E-2</v>
      </c>
      <c r="L54" s="19"/>
      <c r="M54" s="19"/>
      <c r="N54" s="19"/>
      <c r="O54" s="19"/>
      <c r="P54" s="19"/>
    </row>
    <row r="55" spans="2:16" x14ac:dyDescent="0.2">
      <c r="B55" t="s">
        <v>614</v>
      </c>
      <c r="C55" t="s">
        <v>381</v>
      </c>
      <c r="D55" s="18">
        <v>42432.520127314812</v>
      </c>
      <c r="E55" t="s">
        <v>175</v>
      </c>
      <c r="F55" s="19">
        <v>0.93428517600623673</v>
      </c>
      <c r="G55" s="19">
        <v>0.85551628699169679</v>
      </c>
      <c r="H55" s="19">
        <v>0.85150386792054111</v>
      </c>
      <c r="I55" s="19">
        <v>5.2809514863270762E-2</v>
      </c>
      <c r="J55" s="19">
        <v>0.83042336068227907</v>
      </c>
      <c r="K55" s="19">
        <v>5.9586244413741912E-2</v>
      </c>
      <c r="L55" s="19"/>
      <c r="M55" s="19"/>
      <c r="N55" s="19"/>
      <c r="O55" s="19"/>
      <c r="P55" s="19"/>
    </row>
    <row r="56" spans="2:16" x14ac:dyDescent="0.2">
      <c r="B56" t="s">
        <v>598</v>
      </c>
      <c r="C56" t="s">
        <v>405</v>
      </c>
      <c r="D56" s="18">
        <v>42432.520127314812</v>
      </c>
      <c r="E56" t="s">
        <v>168</v>
      </c>
      <c r="F56" s="19">
        <v>0.96569436438145306</v>
      </c>
      <c r="G56" s="19">
        <v>0.85683683822910306</v>
      </c>
      <c r="H56" s="19">
        <v>0.90701802421417488</v>
      </c>
      <c r="I56" s="19">
        <v>4.3449378255961124E-2</v>
      </c>
      <c r="J56" s="19">
        <v>0.9526829111831554</v>
      </c>
      <c r="K56" s="19">
        <v>3.5221274738979957E-2</v>
      </c>
      <c r="L56" s="19"/>
      <c r="M56" s="19"/>
      <c r="N56" s="19"/>
      <c r="O56" s="19"/>
      <c r="P56" s="19"/>
    </row>
    <row r="57" spans="2:16" x14ac:dyDescent="0.2">
      <c r="B57" t="s">
        <v>636</v>
      </c>
      <c r="C57" t="s">
        <v>391</v>
      </c>
      <c r="D57" s="18">
        <v>42432.520127314812</v>
      </c>
      <c r="E57" t="s">
        <v>184</v>
      </c>
      <c r="F57" s="19">
        <v>1</v>
      </c>
      <c r="G57" s="19">
        <v>1</v>
      </c>
      <c r="H57" s="19">
        <v>0.94317302377003864</v>
      </c>
      <c r="I57" s="19">
        <v>3.8310555053824871E-2</v>
      </c>
      <c r="J57" s="19">
        <v>0.94301130524152099</v>
      </c>
      <c r="K57" s="19">
        <v>3.7114093788170377E-2</v>
      </c>
      <c r="L57" s="19"/>
      <c r="M57" s="19"/>
      <c r="N57" s="19"/>
      <c r="O57" s="19"/>
      <c r="P57" s="19"/>
    </row>
    <row r="58" spans="2:16" x14ac:dyDescent="0.2">
      <c r="B58" t="s">
        <v>381</v>
      </c>
      <c r="C58" t="s">
        <v>381</v>
      </c>
      <c r="D58" s="18">
        <v>42432.520127314812</v>
      </c>
      <c r="E58" t="s">
        <v>662</v>
      </c>
      <c r="F58" s="19">
        <v>0.94027790290080937</v>
      </c>
      <c r="G58" s="19">
        <v>0.86635192895393853</v>
      </c>
      <c r="H58" s="19">
        <v>0.89186623714669921</v>
      </c>
      <c r="I58" s="19">
        <v>2.1372312262949153E-2</v>
      </c>
      <c r="J58" s="19">
        <v>0.88760900912379381</v>
      </c>
      <c r="K58" s="19">
        <v>2.6600375327668929E-2</v>
      </c>
      <c r="L58" s="19"/>
      <c r="M58" s="19"/>
      <c r="N58" s="19"/>
      <c r="O58" s="19"/>
      <c r="P58" s="19"/>
    </row>
    <row r="59" spans="2:16" x14ac:dyDescent="0.2">
      <c r="B59" t="s">
        <v>575</v>
      </c>
      <c r="C59" t="s">
        <v>391</v>
      </c>
      <c r="D59" s="18">
        <v>42432.520127314812</v>
      </c>
      <c r="E59" t="s">
        <v>158</v>
      </c>
      <c r="F59" s="19">
        <v>0.91261142814001317</v>
      </c>
      <c r="G59" s="19">
        <v>0.91571619727284326</v>
      </c>
      <c r="H59" s="19">
        <v>0.91634329717346308</v>
      </c>
      <c r="I59" s="19">
        <v>4.2619988561815134E-2</v>
      </c>
      <c r="J59" s="19">
        <v>0.86279298922386682</v>
      </c>
      <c r="K59" s="19">
        <v>5.3623007563230157E-2</v>
      </c>
      <c r="L59" s="19"/>
      <c r="M59" s="19"/>
      <c r="N59" s="19"/>
      <c r="O59" s="19"/>
      <c r="P59" s="19"/>
    </row>
    <row r="60" spans="2:16" x14ac:dyDescent="0.2">
      <c r="B60" t="s">
        <v>212</v>
      </c>
      <c r="C60" t="s">
        <v>391</v>
      </c>
      <c r="D60" s="18">
        <v>42432.520127314812</v>
      </c>
      <c r="E60" t="s">
        <v>161</v>
      </c>
      <c r="F60" s="19">
        <v>1</v>
      </c>
      <c r="G60" s="19">
        <v>1</v>
      </c>
      <c r="H60" s="19">
        <v>0.96325314537684936</v>
      </c>
      <c r="I60" s="19">
        <v>3.2664027871080276E-2</v>
      </c>
      <c r="J60" s="19">
        <v>0.88316225830721928</v>
      </c>
      <c r="K60" s="19">
        <v>5.2493988761096448E-2</v>
      </c>
      <c r="L60" s="19">
        <v>0.90907012593405445</v>
      </c>
      <c r="M60" s="19">
        <v>0.97911641164116403</v>
      </c>
      <c r="N60" s="19">
        <v>2.5382772230777704E-2</v>
      </c>
      <c r="O60" s="19">
        <v>0.99046064280963619</v>
      </c>
      <c r="P60" s="19">
        <v>1.4221748131100186E-2</v>
      </c>
    </row>
    <row r="61" spans="2:16" x14ac:dyDescent="0.2">
      <c r="B61" t="s">
        <v>581</v>
      </c>
      <c r="C61" t="s">
        <v>391</v>
      </c>
      <c r="D61" s="18">
        <v>42432.520127314812</v>
      </c>
      <c r="E61" t="s">
        <v>161</v>
      </c>
      <c r="F61" s="19">
        <v>1</v>
      </c>
      <c r="G61" s="19">
        <v>1</v>
      </c>
      <c r="H61" s="19">
        <v>0.96325314537684936</v>
      </c>
      <c r="I61" s="19">
        <v>3.2664027871080276E-2</v>
      </c>
      <c r="J61" s="19">
        <v>0.88316225830721928</v>
      </c>
      <c r="K61" s="19">
        <v>5.2493988761096448E-2</v>
      </c>
      <c r="L61" s="19">
        <v>0.90907012593405445</v>
      </c>
      <c r="M61" s="19">
        <v>0.97911641164116403</v>
      </c>
      <c r="N61" s="19">
        <v>2.5382772230777704E-2</v>
      </c>
      <c r="O61" s="19">
        <v>0.99046064280963619</v>
      </c>
      <c r="P61" s="19">
        <v>1.4221748131100186E-2</v>
      </c>
    </row>
    <row r="62" spans="2:16" x14ac:dyDescent="0.2">
      <c r="B62" t="s">
        <v>542</v>
      </c>
      <c r="C62" t="s">
        <v>381</v>
      </c>
      <c r="D62" s="18">
        <v>42432.520127314812</v>
      </c>
      <c r="E62" t="s">
        <v>146</v>
      </c>
      <c r="F62" s="19">
        <v>0.93597588130974108</v>
      </c>
      <c r="G62" s="19">
        <v>0.88935845176249917</v>
      </c>
      <c r="H62" s="19">
        <v>0.86308554830531292</v>
      </c>
      <c r="I62" s="19">
        <v>5.539118313573866E-2</v>
      </c>
      <c r="J62" s="19">
        <v>0.86860141925663081</v>
      </c>
      <c r="K62" s="19">
        <v>5.865139267780705E-2</v>
      </c>
      <c r="L62" s="19"/>
      <c r="M62" s="19"/>
      <c r="N62" s="19"/>
      <c r="O62" s="19"/>
      <c r="P62" s="19"/>
    </row>
    <row r="63" spans="2:16" x14ac:dyDescent="0.2">
      <c r="B63" t="s">
        <v>628</v>
      </c>
      <c r="C63" t="s">
        <v>370</v>
      </c>
      <c r="D63" s="18">
        <v>42432.520127314812</v>
      </c>
      <c r="E63" t="s">
        <v>180</v>
      </c>
      <c r="F63" s="19">
        <v>0.98428433183777608</v>
      </c>
      <c r="G63" s="19">
        <v>0.90675241157556274</v>
      </c>
      <c r="H63" s="19">
        <v>0.87796734813943222</v>
      </c>
      <c r="I63" s="19">
        <v>5.6847485559842426E-2</v>
      </c>
      <c r="J63" s="19">
        <v>0.95482820570401983</v>
      </c>
      <c r="K63" s="19">
        <v>3.9342749550427103E-2</v>
      </c>
      <c r="L63" s="19"/>
      <c r="M63" s="19"/>
      <c r="N63" s="19"/>
      <c r="O63" s="19"/>
      <c r="P63" s="19"/>
    </row>
    <row r="64" spans="2:16" x14ac:dyDescent="0.2">
      <c r="B64" t="s">
        <v>697</v>
      </c>
      <c r="C64" t="s">
        <v>6</v>
      </c>
      <c r="D64" s="18">
        <v>42432.520127314812</v>
      </c>
      <c r="E64" t="s">
        <v>438</v>
      </c>
      <c r="F64" s="19"/>
      <c r="G64" s="19"/>
      <c r="H64" s="19"/>
      <c r="I64" s="19"/>
      <c r="J64" s="19"/>
      <c r="K64" s="19"/>
      <c r="L64" s="19">
        <v>0.90256863252037189</v>
      </c>
      <c r="M64" s="19">
        <v>0.94991467966112864</v>
      </c>
      <c r="N64" s="19">
        <v>2.1965192651069002E-2</v>
      </c>
      <c r="O64" s="19">
        <v>0.96860189371887662</v>
      </c>
      <c r="P64" s="19">
        <v>1.8412519106738544E-2</v>
      </c>
    </row>
    <row r="65" spans="2:16" x14ac:dyDescent="0.2">
      <c r="B65" t="s">
        <v>699</v>
      </c>
      <c r="C65" t="s">
        <v>6</v>
      </c>
      <c r="D65" s="18">
        <v>42432.520127314812</v>
      </c>
      <c r="E65" t="s">
        <v>438</v>
      </c>
      <c r="F65" s="19">
        <v>0.95680143989940214</v>
      </c>
      <c r="G65" s="19">
        <v>0.88865938028937774</v>
      </c>
      <c r="H65" s="19">
        <v>0.89849409779437717</v>
      </c>
      <c r="I65" s="19">
        <v>7.721999991102564E-3</v>
      </c>
      <c r="J65" s="19">
        <v>0.9049602630756779</v>
      </c>
      <c r="K65" s="19">
        <v>8.8512179735798207E-3</v>
      </c>
      <c r="L65" s="19">
        <v>0.90256863252037189</v>
      </c>
      <c r="M65" s="19">
        <v>0.94991467966112864</v>
      </c>
      <c r="N65" s="19">
        <v>2.1965192651069002E-2</v>
      </c>
      <c r="O65" s="19">
        <v>0.96860189371887662</v>
      </c>
      <c r="P65" s="19">
        <v>1.8412519106738544E-2</v>
      </c>
    </row>
    <row r="66" spans="2:16" x14ac:dyDescent="0.2">
      <c r="B66" t="s">
        <v>606</v>
      </c>
      <c r="C66" t="s">
        <v>386</v>
      </c>
      <c r="D66" s="18">
        <v>42432.520127314812</v>
      </c>
      <c r="E66" t="s">
        <v>171</v>
      </c>
      <c r="F66" s="19">
        <v>0.96394430454415614</v>
      </c>
      <c r="G66" s="19">
        <v>0.91768157251795368</v>
      </c>
      <c r="H66" s="19">
        <v>0.91671351575184512</v>
      </c>
      <c r="I66" s="19">
        <v>4.2452020283560897E-2</v>
      </c>
      <c r="J66" s="19">
        <v>0.89461209327944691</v>
      </c>
      <c r="K66" s="19">
        <v>4.9437166575368036E-2</v>
      </c>
      <c r="L66" s="19"/>
      <c r="M66" s="19"/>
      <c r="N66" s="19"/>
      <c r="O66" s="19"/>
      <c r="P66" s="19"/>
    </row>
    <row r="67" spans="2:16" x14ac:dyDescent="0.2">
      <c r="B67" t="s">
        <v>671</v>
      </c>
      <c r="C67" t="s">
        <v>370</v>
      </c>
      <c r="D67" s="18">
        <v>42432.520127314812</v>
      </c>
      <c r="E67" t="s">
        <v>670</v>
      </c>
      <c r="F67" s="152">
        <v>0.92441152662073178</v>
      </c>
      <c r="G67" s="152">
        <v>0.89812138728323698</v>
      </c>
      <c r="H67" s="152">
        <v>0.90146484051538556</v>
      </c>
      <c r="I67" s="152">
        <v>0.10254957345666249</v>
      </c>
      <c r="J67" s="152">
        <v>0.81914499539213093</v>
      </c>
      <c r="K67" s="152">
        <v>4.1101219723981404E-2</v>
      </c>
      <c r="L67" s="152"/>
      <c r="M67" s="152"/>
      <c r="N67" s="152"/>
      <c r="O67" s="152"/>
      <c r="P67" s="152"/>
    </row>
    <row r="68" spans="2:16" x14ac:dyDescent="0.2">
      <c r="B68" t="s">
        <v>630</v>
      </c>
      <c r="C68" t="s">
        <v>370</v>
      </c>
      <c r="D68" s="18">
        <v>42432.520127314812</v>
      </c>
      <c r="E68" t="s">
        <v>89</v>
      </c>
      <c r="F68" s="152">
        <v>0.91065920267866485</v>
      </c>
      <c r="G68" s="152">
        <v>0.75269611341039921</v>
      </c>
      <c r="H68" s="152">
        <v>0.83407208913926767</v>
      </c>
      <c r="I68" s="152">
        <v>5.2283654255967489E-2</v>
      </c>
      <c r="J68" s="152">
        <v>0.90382260101010092</v>
      </c>
      <c r="K68" s="152">
        <v>4.0650383914480843E-2</v>
      </c>
      <c r="L68" s="152"/>
      <c r="M68" s="152"/>
      <c r="N68" s="152"/>
      <c r="O68" s="152"/>
      <c r="P68" s="152"/>
    </row>
    <row r="69" spans="2:16" x14ac:dyDescent="0.2">
      <c r="B69" t="s">
        <v>640</v>
      </c>
      <c r="C69" t="s">
        <v>391</v>
      </c>
      <c r="D69" s="18">
        <v>42432.520127314812</v>
      </c>
      <c r="E69" t="s">
        <v>185</v>
      </c>
      <c r="F69" s="152">
        <v>0.9537028314230388</v>
      </c>
      <c r="G69" s="152">
        <v>0.87215088282504016</v>
      </c>
      <c r="H69" s="152">
        <v>0.91660432977273443</v>
      </c>
      <c r="I69" s="152">
        <v>4.3615573179598355E-2</v>
      </c>
      <c r="J69" s="152">
        <v>0.90152308886301891</v>
      </c>
      <c r="K69" s="152">
        <v>6.1635096031135601E-2</v>
      </c>
      <c r="L69" s="152"/>
      <c r="M69" s="152"/>
      <c r="N69" s="152"/>
      <c r="O69" s="152"/>
      <c r="P69" s="152"/>
    </row>
    <row r="70" spans="2:16" x14ac:dyDescent="0.2">
      <c r="B70" t="s">
        <v>644</v>
      </c>
      <c r="C70" t="s">
        <v>370</v>
      </c>
      <c r="D70" s="18">
        <v>42432.520127314812</v>
      </c>
      <c r="E70" t="s">
        <v>187</v>
      </c>
      <c r="F70" s="152">
        <v>0.93981307560078786</v>
      </c>
      <c r="G70" s="152">
        <v>0.89596337910944657</v>
      </c>
      <c r="H70" s="152">
        <v>0.86461939288212908</v>
      </c>
      <c r="I70" s="152">
        <v>4.9839851386708107E-2</v>
      </c>
      <c r="J70" s="152">
        <v>0.87411245155810391</v>
      </c>
      <c r="K70" s="152">
        <v>5.4843963057410294E-2</v>
      </c>
      <c r="L70" s="152"/>
      <c r="M70" s="152"/>
      <c r="N70" s="152"/>
      <c r="O70" s="152"/>
      <c r="P70" s="152"/>
    </row>
    <row r="71" spans="2:16" x14ac:dyDescent="0.2">
      <c r="B71" t="s">
        <v>544</v>
      </c>
      <c r="C71" t="s">
        <v>370</v>
      </c>
      <c r="D71" s="18">
        <v>42432.520127314812</v>
      </c>
      <c r="E71" t="s">
        <v>147</v>
      </c>
      <c r="F71" s="152">
        <v>0.96463071464182426</v>
      </c>
      <c r="G71" s="152">
        <v>0.83396470067788231</v>
      </c>
      <c r="H71" s="152">
        <v>0.83450003385804394</v>
      </c>
      <c r="I71" s="152">
        <v>5.3520418773903559E-2</v>
      </c>
      <c r="J71" s="152">
        <v>0.93483940936385457</v>
      </c>
      <c r="K71" s="152">
        <v>4.0211457684258815E-2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951</v>
      </c>
      <c r="C2" t="s">
        <v>952</v>
      </c>
      <c r="D2" t="s">
        <v>133</v>
      </c>
      <c r="F2" t="s">
        <v>946</v>
      </c>
      <c r="G2" t="s">
        <v>933</v>
      </c>
      <c r="H2" t="s">
        <v>934</v>
      </c>
      <c r="I2" t="s">
        <v>935</v>
      </c>
      <c r="J2" t="s">
        <v>936</v>
      </c>
      <c r="K2" t="s">
        <v>937</v>
      </c>
      <c r="L2" t="s">
        <v>938</v>
      </c>
      <c r="M2" t="s">
        <v>939</v>
      </c>
      <c r="N2" t="s">
        <v>940</v>
      </c>
      <c r="O2" t="s">
        <v>941</v>
      </c>
      <c r="P2" t="s">
        <v>942</v>
      </c>
      <c r="Q2" t="s">
        <v>943</v>
      </c>
      <c r="R2" t="s">
        <v>944</v>
      </c>
      <c r="S2" t="s">
        <v>945</v>
      </c>
      <c r="V2" t="s">
        <v>947</v>
      </c>
      <c r="W2" t="s">
        <v>933</v>
      </c>
      <c r="X2" t="s">
        <v>934</v>
      </c>
      <c r="Y2" t="s">
        <v>935</v>
      </c>
      <c r="Z2" t="s">
        <v>936</v>
      </c>
      <c r="AA2" t="s">
        <v>937</v>
      </c>
      <c r="AB2" t="s">
        <v>938</v>
      </c>
      <c r="AC2" t="s">
        <v>939</v>
      </c>
      <c r="AD2" t="s">
        <v>940</v>
      </c>
      <c r="AE2" t="s">
        <v>941</v>
      </c>
      <c r="AF2" t="s">
        <v>942</v>
      </c>
      <c r="AG2" t="s">
        <v>943</v>
      </c>
      <c r="AH2" t="s">
        <v>944</v>
      </c>
      <c r="AI2" t="s">
        <v>945</v>
      </c>
      <c r="AL2" t="s">
        <v>948</v>
      </c>
      <c r="AM2" t="s">
        <v>933</v>
      </c>
      <c r="AN2" t="s">
        <v>934</v>
      </c>
      <c r="AO2" t="s">
        <v>935</v>
      </c>
      <c r="AP2" t="s">
        <v>936</v>
      </c>
      <c r="AQ2" t="s">
        <v>937</v>
      </c>
      <c r="AR2" t="s">
        <v>938</v>
      </c>
      <c r="AS2" t="s">
        <v>939</v>
      </c>
      <c r="AT2" t="s">
        <v>940</v>
      </c>
      <c r="AU2" t="s">
        <v>941</v>
      </c>
      <c r="AV2" t="s">
        <v>942</v>
      </c>
      <c r="AW2" t="s">
        <v>943</v>
      </c>
      <c r="AX2" t="s">
        <v>944</v>
      </c>
      <c r="AY2" t="s">
        <v>945</v>
      </c>
    </row>
    <row r="3" spans="2:51" x14ac:dyDescent="0.2">
      <c r="B3" t="s">
        <v>954</v>
      </c>
      <c r="C3">
        <v>399107</v>
      </c>
      <c r="D3">
        <v>422.31194071589999</v>
      </c>
      <c r="F3" t="s">
        <v>8</v>
      </c>
      <c r="G3">
        <v>10553</v>
      </c>
      <c r="P3">
        <v>10553</v>
      </c>
      <c r="Q3">
        <v>178.54601459579999</v>
      </c>
      <c r="V3" t="s">
        <v>309</v>
      </c>
      <c r="W3">
        <v>427</v>
      </c>
      <c r="X3">
        <v>301</v>
      </c>
      <c r="Y3">
        <v>337.96345514950002</v>
      </c>
      <c r="Z3">
        <v>30</v>
      </c>
      <c r="AA3">
        <v>701.86666666669998</v>
      </c>
      <c r="AB3">
        <v>78</v>
      </c>
      <c r="AC3">
        <v>587.17948717950003</v>
      </c>
      <c r="AD3">
        <v>30</v>
      </c>
      <c r="AE3">
        <v>714.13333333330002</v>
      </c>
      <c r="AF3">
        <v>16</v>
      </c>
      <c r="AG3">
        <v>232.625</v>
      </c>
      <c r="AH3">
        <v>2</v>
      </c>
      <c r="AI3">
        <v>148</v>
      </c>
      <c r="AL3" t="s">
        <v>309</v>
      </c>
      <c r="AM3">
        <v>3</v>
      </c>
      <c r="AN3">
        <v>3</v>
      </c>
      <c r="AO3">
        <v>193.6666666667</v>
      </c>
      <c r="AP3">
        <v>2</v>
      </c>
      <c r="AQ3">
        <v>1015</v>
      </c>
    </row>
    <row r="4" spans="2:51" x14ac:dyDescent="0.2">
      <c r="B4" t="s">
        <v>953</v>
      </c>
      <c r="C4">
        <v>35768</v>
      </c>
      <c r="D4">
        <v>422.31194071589999</v>
      </c>
      <c r="F4" t="s">
        <v>8</v>
      </c>
      <c r="G4">
        <v>10553</v>
      </c>
      <c r="P4">
        <v>10553</v>
      </c>
      <c r="Q4">
        <v>178.54601459579999</v>
      </c>
      <c r="V4" t="s">
        <v>8</v>
      </c>
      <c r="W4">
        <v>4584</v>
      </c>
      <c r="X4">
        <v>3416</v>
      </c>
      <c r="Y4">
        <v>465.31683748170002</v>
      </c>
      <c r="Z4">
        <v>449</v>
      </c>
      <c r="AA4">
        <v>458.56570155899999</v>
      </c>
      <c r="AB4">
        <v>449</v>
      </c>
      <c r="AC4">
        <v>499.14922049</v>
      </c>
      <c r="AD4">
        <v>683</v>
      </c>
      <c r="AE4">
        <v>864.50219619330005</v>
      </c>
      <c r="AF4">
        <v>33</v>
      </c>
      <c r="AG4">
        <v>350.27272727270002</v>
      </c>
      <c r="AH4">
        <v>3</v>
      </c>
      <c r="AI4">
        <v>675.66666666670005</v>
      </c>
      <c r="AL4" t="s">
        <v>8</v>
      </c>
      <c r="AM4">
        <v>63</v>
      </c>
      <c r="AN4">
        <v>54</v>
      </c>
      <c r="AO4">
        <v>216.9259259259</v>
      </c>
      <c r="AP4">
        <v>5</v>
      </c>
      <c r="AQ4">
        <v>271.39999999999998</v>
      </c>
      <c r="AR4">
        <v>9</v>
      </c>
      <c r="AS4">
        <v>205.1111111111</v>
      </c>
    </row>
    <row r="5" spans="2:51" x14ac:dyDescent="0.2">
      <c r="B5" t="s">
        <v>965</v>
      </c>
      <c r="C5">
        <v>23832</v>
      </c>
      <c r="D5">
        <v>556.81105236660005</v>
      </c>
      <c r="F5" t="s">
        <v>43</v>
      </c>
      <c r="G5">
        <v>630</v>
      </c>
      <c r="H5">
        <v>526</v>
      </c>
      <c r="I5">
        <v>262.53041825100001</v>
      </c>
      <c r="J5">
        <v>25</v>
      </c>
      <c r="K5">
        <v>563.96</v>
      </c>
      <c r="L5">
        <v>77</v>
      </c>
      <c r="M5">
        <v>254.8831168831</v>
      </c>
      <c r="N5">
        <v>26</v>
      </c>
      <c r="O5">
        <v>266.42307692309998</v>
      </c>
      <c r="R5">
        <v>1</v>
      </c>
      <c r="S5">
        <v>239</v>
      </c>
      <c r="V5" t="s">
        <v>8</v>
      </c>
      <c r="W5">
        <v>5011</v>
      </c>
      <c r="X5">
        <v>3717</v>
      </c>
      <c r="Y5">
        <v>455.00107642630002</v>
      </c>
      <c r="Z5">
        <v>479</v>
      </c>
      <c r="AA5">
        <v>473.80375782879997</v>
      </c>
      <c r="AB5">
        <v>527</v>
      </c>
      <c r="AC5">
        <v>512.17836812140001</v>
      </c>
      <c r="AD5">
        <v>713</v>
      </c>
      <c r="AE5">
        <v>858.17531556799997</v>
      </c>
      <c r="AF5">
        <v>49</v>
      </c>
      <c r="AG5">
        <v>311.85714285709997</v>
      </c>
      <c r="AH5">
        <v>5</v>
      </c>
      <c r="AI5">
        <v>464.6</v>
      </c>
      <c r="AL5" t="s">
        <v>8</v>
      </c>
      <c r="AM5">
        <v>66</v>
      </c>
      <c r="AN5">
        <v>57</v>
      </c>
      <c r="AO5">
        <v>215.701754386</v>
      </c>
      <c r="AP5">
        <v>7</v>
      </c>
      <c r="AQ5">
        <v>483.85714285709997</v>
      </c>
      <c r="AR5">
        <v>9</v>
      </c>
      <c r="AS5">
        <v>205.1111111111</v>
      </c>
    </row>
    <row r="6" spans="2:51" x14ac:dyDescent="0.2">
      <c r="B6" t="s">
        <v>241</v>
      </c>
      <c r="C6">
        <v>53325</v>
      </c>
      <c r="D6">
        <v>593.46038443509997</v>
      </c>
      <c r="F6" t="s">
        <v>37</v>
      </c>
      <c r="G6">
        <v>8195</v>
      </c>
      <c r="H6">
        <v>6478</v>
      </c>
      <c r="I6">
        <v>451.9921271998</v>
      </c>
      <c r="J6">
        <v>329</v>
      </c>
      <c r="K6">
        <v>816.95744680849998</v>
      </c>
      <c r="L6">
        <v>1145</v>
      </c>
      <c r="M6">
        <v>639.18078602620005</v>
      </c>
      <c r="N6">
        <v>550</v>
      </c>
      <c r="O6">
        <v>607.71090909090003</v>
      </c>
      <c r="R6">
        <v>22</v>
      </c>
      <c r="S6">
        <v>668.13636363640001</v>
      </c>
      <c r="V6" t="s">
        <v>400</v>
      </c>
      <c r="W6">
        <v>1366</v>
      </c>
      <c r="X6">
        <v>724</v>
      </c>
      <c r="Y6">
        <v>186.33977900549999</v>
      </c>
      <c r="Z6">
        <v>173</v>
      </c>
      <c r="AA6">
        <v>272.96531791910002</v>
      </c>
      <c r="AB6">
        <v>446</v>
      </c>
      <c r="AC6">
        <v>287.52242152470001</v>
      </c>
      <c r="AD6">
        <v>122</v>
      </c>
      <c r="AE6">
        <v>281.54918032789999</v>
      </c>
      <c r="AF6">
        <v>74</v>
      </c>
      <c r="AG6">
        <v>180.56756756760001</v>
      </c>
      <c r="AL6" t="s">
        <v>400</v>
      </c>
      <c r="AM6">
        <v>24</v>
      </c>
      <c r="AN6">
        <v>17</v>
      </c>
      <c r="AO6">
        <v>109.6470588235</v>
      </c>
      <c r="AP6">
        <v>17</v>
      </c>
      <c r="AQ6">
        <v>258.4117647059</v>
      </c>
      <c r="AR6">
        <v>7</v>
      </c>
      <c r="AS6">
        <v>163</v>
      </c>
    </row>
    <row r="7" spans="2:51" x14ac:dyDescent="0.2">
      <c r="B7" t="s">
        <v>240</v>
      </c>
      <c r="C7">
        <v>237379</v>
      </c>
      <c r="D7">
        <v>406.4166315594</v>
      </c>
      <c r="F7" t="s">
        <v>42</v>
      </c>
      <c r="G7">
        <v>5337</v>
      </c>
      <c r="H7">
        <v>3725</v>
      </c>
      <c r="I7">
        <v>391.27489932890001</v>
      </c>
      <c r="J7">
        <v>870</v>
      </c>
      <c r="K7">
        <v>490.29655172410003</v>
      </c>
      <c r="L7">
        <v>1020</v>
      </c>
      <c r="M7">
        <v>593.8137254902</v>
      </c>
      <c r="N7">
        <v>568</v>
      </c>
      <c r="O7">
        <v>417.92077464789998</v>
      </c>
      <c r="R7">
        <v>24</v>
      </c>
      <c r="S7">
        <v>461.5</v>
      </c>
      <c r="V7" t="s">
        <v>392</v>
      </c>
      <c r="W7">
        <v>13427</v>
      </c>
      <c r="X7">
        <v>9907</v>
      </c>
      <c r="Y7">
        <v>642.88281013419999</v>
      </c>
      <c r="Z7">
        <v>469</v>
      </c>
      <c r="AA7">
        <v>1169.2366737740001</v>
      </c>
      <c r="AB7">
        <v>2461</v>
      </c>
      <c r="AC7">
        <v>1286.4238114587999</v>
      </c>
      <c r="AD7">
        <v>868</v>
      </c>
      <c r="AE7">
        <v>903.59101382489996</v>
      </c>
      <c r="AF7">
        <v>171</v>
      </c>
      <c r="AG7">
        <v>225.57894736840001</v>
      </c>
      <c r="AH7">
        <v>20</v>
      </c>
      <c r="AI7">
        <v>859.35</v>
      </c>
      <c r="AL7" t="s">
        <v>392</v>
      </c>
      <c r="AM7">
        <v>345</v>
      </c>
      <c r="AN7">
        <v>265</v>
      </c>
      <c r="AO7">
        <v>493</v>
      </c>
      <c r="AP7">
        <v>41</v>
      </c>
      <c r="AQ7">
        <v>902.70731707319999</v>
      </c>
      <c r="AR7">
        <v>77</v>
      </c>
      <c r="AS7">
        <v>463.85714285709997</v>
      </c>
      <c r="AT7">
        <v>3</v>
      </c>
      <c r="AU7">
        <v>154.6666666667</v>
      </c>
    </row>
    <row r="8" spans="2:51" x14ac:dyDescent="0.2">
      <c r="B8" t="s">
        <v>242</v>
      </c>
      <c r="C8">
        <v>24680</v>
      </c>
      <c r="D8">
        <v>525.64513252819995</v>
      </c>
      <c r="F8" t="s">
        <v>50</v>
      </c>
      <c r="G8">
        <v>985</v>
      </c>
      <c r="H8">
        <v>284</v>
      </c>
      <c r="I8">
        <v>90.816901408500001</v>
      </c>
      <c r="J8">
        <v>373</v>
      </c>
      <c r="K8">
        <v>189.74798927609999</v>
      </c>
      <c r="L8">
        <v>489</v>
      </c>
      <c r="M8">
        <v>207.327198364</v>
      </c>
      <c r="N8">
        <v>209</v>
      </c>
      <c r="O8">
        <v>210.21531100479999</v>
      </c>
      <c r="R8">
        <v>3</v>
      </c>
      <c r="S8">
        <v>379.3333333333</v>
      </c>
      <c r="V8" t="s">
        <v>423</v>
      </c>
      <c r="W8">
        <v>1315</v>
      </c>
      <c r="X8">
        <v>845</v>
      </c>
      <c r="Y8">
        <v>202.90414201179999</v>
      </c>
      <c r="Z8">
        <v>227</v>
      </c>
      <c r="AA8">
        <v>330.11894273130002</v>
      </c>
      <c r="AB8">
        <v>177</v>
      </c>
      <c r="AC8">
        <v>133.25988700560001</v>
      </c>
      <c r="AD8">
        <v>205</v>
      </c>
      <c r="AE8">
        <v>384.7219512195</v>
      </c>
      <c r="AF8">
        <v>84</v>
      </c>
      <c r="AG8">
        <v>158.4761904762</v>
      </c>
      <c r="AH8">
        <v>4</v>
      </c>
      <c r="AI8">
        <v>363.25</v>
      </c>
      <c r="AL8" t="s">
        <v>423</v>
      </c>
      <c r="AM8">
        <v>35</v>
      </c>
      <c r="AN8">
        <v>29</v>
      </c>
      <c r="AO8">
        <v>141</v>
      </c>
      <c r="AP8">
        <v>7</v>
      </c>
      <c r="AQ8">
        <v>226.57142857139999</v>
      </c>
      <c r="AR8">
        <v>6</v>
      </c>
      <c r="AS8">
        <v>256.5</v>
      </c>
    </row>
    <row r="9" spans="2:51" x14ac:dyDescent="0.2">
      <c r="B9" t="s">
        <v>243</v>
      </c>
      <c r="C9">
        <v>10553</v>
      </c>
      <c r="D9">
        <v>178.54601459579999</v>
      </c>
      <c r="F9" t="s">
        <v>81</v>
      </c>
      <c r="G9">
        <v>1188</v>
      </c>
      <c r="H9">
        <v>799</v>
      </c>
      <c r="I9">
        <v>193.57446808509999</v>
      </c>
      <c r="J9">
        <v>226</v>
      </c>
      <c r="K9">
        <v>326.19469026550001</v>
      </c>
      <c r="L9">
        <v>168</v>
      </c>
      <c r="M9">
        <v>108.79761904759999</v>
      </c>
      <c r="N9">
        <v>217</v>
      </c>
      <c r="O9">
        <v>384.1843317972</v>
      </c>
      <c r="R9">
        <v>4</v>
      </c>
      <c r="S9">
        <v>363.25</v>
      </c>
      <c r="V9" t="s">
        <v>393</v>
      </c>
      <c r="W9">
        <v>8191</v>
      </c>
      <c r="X9">
        <v>6345</v>
      </c>
      <c r="Y9">
        <v>506.3825059102</v>
      </c>
      <c r="Z9">
        <v>323</v>
      </c>
      <c r="AA9">
        <v>842.29102167179997</v>
      </c>
      <c r="AB9">
        <v>1303</v>
      </c>
      <c r="AC9">
        <v>968.90713737529995</v>
      </c>
      <c r="AD9">
        <v>419</v>
      </c>
      <c r="AE9">
        <v>704.50357995230002</v>
      </c>
      <c r="AF9">
        <v>122</v>
      </c>
      <c r="AG9">
        <v>176.7786885246</v>
      </c>
      <c r="AH9">
        <v>2</v>
      </c>
      <c r="AI9">
        <v>173.5</v>
      </c>
      <c r="AL9" t="s">
        <v>393</v>
      </c>
      <c r="AM9">
        <v>158</v>
      </c>
      <c r="AN9">
        <v>136</v>
      </c>
      <c r="AO9">
        <v>456.91911764709999</v>
      </c>
      <c r="AP9">
        <v>22</v>
      </c>
      <c r="AQ9">
        <v>861.72727272730003</v>
      </c>
      <c r="AR9">
        <v>20</v>
      </c>
      <c r="AS9">
        <v>196.7</v>
      </c>
      <c r="AT9">
        <v>2</v>
      </c>
      <c r="AU9">
        <v>229</v>
      </c>
    </row>
    <row r="10" spans="2:51" x14ac:dyDescent="0.2">
      <c r="B10" t="s">
        <v>949</v>
      </c>
      <c r="C10">
        <v>535</v>
      </c>
      <c r="D10">
        <v>464.05233644859999</v>
      </c>
      <c r="F10" t="s">
        <v>76</v>
      </c>
      <c r="G10">
        <v>1803</v>
      </c>
      <c r="H10">
        <v>743</v>
      </c>
      <c r="I10">
        <v>117.3458950202</v>
      </c>
      <c r="J10">
        <v>567</v>
      </c>
      <c r="K10">
        <v>210.0423280423</v>
      </c>
      <c r="L10">
        <v>980</v>
      </c>
      <c r="M10">
        <v>279.56224489800002</v>
      </c>
      <c r="N10">
        <v>80</v>
      </c>
      <c r="O10">
        <v>176.83750000000001</v>
      </c>
      <c r="V10" t="s">
        <v>395</v>
      </c>
      <c r="W10">
        <v>8345</v>
      </c>
      <c r="X10">
        <v>6406</v>
      </c>
      <c r="Y10">
        <v>448.98813612240002</v>
      </c>
      <c r="Z10">
        <v>330</v>
      </c>
      <c r="AA10">
        <v>802.5090909091</v>
      </c>
      <c r="AB10">
        <v>1135</v>
      </c>
      <c r="AC10">
        <v>642.01057268720001</v>
      </c>
      <c r="AD10">
        <v>544</v>
      </c>
      <c r="AE10">
        <v>601.1801470588</v>
      </c>
      <c r="AF10">
        <v>238</v>
      </c>
      <c r="AG10">
        <v>178.06302521009999</v>
      </c>
      <c r="AH10">
        <v>22</v>
      </c>
      <c r="AI10">
        <v>668.13636363640001</v>
      </c>
      <c r="AL10" t="s">
        <v>395</v>
      </c>
      <c r="AM10">
        <v>335</v>
      </c>
      <c r="AN10">
        <v>238</v>
      </c>
      <c r="AO10">
        <v>385.30252100839999</v>
      </c>
      <c r="AP10">
        <v>17</v>
      </c>
      <c r="AQ10">
        <v>606.29411764710005</v>
      </c>
      <c r="AR10">
        <v>88</v>
      </c>
      <c r="AS10">
        <v>399.53409090909997</v>
      </c>
      <c r="AT10">
        <v>9</v>
      </c>
      <c r="AU10">
        <v>218</v>
      </c>
    </row>
    <row r="11" spans="2:51" x14ac:dyDescent="0.2">
      <c r="F11" t="s">
        <v>38</v>
      </c>
      <c r="G11">
        <v>13456</v>
      </c>
      <c r="H11">
        <v>10072</v>
      </c>
      <c r="I11">
        <v>649.76936060369997</v>
      </c>
      <c r="J11">
        <v>454</v>
      </c>
      <c r="K11">
        <v>1218.5044052863</v>
      </c>
      <c r="L11">
        <v>2511</v>
      </c>
      <c r="M11">
        <v>1301.7172441258001</v>
      </c>
      <c r="N11">
        <v>853</v>
      </c>
      <c r="O11">
        <v>918.71746776079999</v>
      </c>
      <c r="R11">
        <v>20</v>
      </c>
      <c r="S11">
        <v>859.35</v>
      </c>
      <c r="V11" t="s">
        <v>396</v>
      </c>
      <c r="W11">
        <v>5616</v>
      </c>
      <c r="X11">
        <v>3735</v>
      </c>
      <c r="Y11">
        <v>395.42195448460001</v>
      </c>
      <c r="Z11">
        <v>855</v>
      </c>
      <c r="AA11">
        <v>490.38011695910001</v>
      </c>
      <c r="AB11">
        <v>1020</v>
      </c>
      <c r="AC11">
        <v>602.68921568630003</v>
      </c>
      <c r="AD11">
        <v>579</v>
      </c>
      <c r="AE11">
        <v>428.32124352329998</v>
      </c>
      <c r="AF11">
        <v>258</v>
      </c>
      <c r="AG11">
        <v>180.26744186050001</v>
      </c>
      <c r="AH11">
        <v>24</v>
      </c>
      <c r="AI11">
        <v>461.5</v>
      </c>
      <c r="AL11" t="s">
        <v>396</v>
      </c>
      <c r="AM11">
        <v>248</v>
      </c>
      <c r="AN11">
        <v>197</v>
      </c>
      <c r="AO11">
        <v>372.88832487309998</v>
      </c>
      <c r="AP11">
        <v>12</v>
      </c>
      <c r="AQ11">
        <v>651.91666666670005</v>
      </c>
      <c r="AR11">
        <v>46</v>
      </c>
      <c r="AS11">
        <v>359.02173913040002</v>
      </c>
      <c r="AT11">
        <v>5</v>
      </c>
      <c r="AU11">
        <v>462.2</v>
      </c>
    </row>
    <row r="12" spans="2:51" x14ac:dyDescent="0.2">
      <c r="F12" t="s">
        <v>56</v>
      </c>
      <c r="G12">
        <v>3211</v>
      </c>
      <c r="H12">
        <v>2735</v>
      </c>
      <c r="I12">
        <v>294.86142595979999</v>
      </c>
      <c r="J12">
        <v>377</v>
      </c>
      <c r="K12">
        <v>440.04244031830001</v>
      </c>
      <c r="L12">
        <v>433</v>
      </c>
      <c r="M12">
        <v>304.99769053120002</v>
      </c>
      <c r="N12">
        <v>43</v>
      </c>
      <c r="O12">
        <v>143.86046511629999</v>
      </c>
      <c r="V12" t="s">
        <v>398</v>
      </c>
      <c r="W12">
        <v>6636</v>
      </c>
      <c r="X12">
        <v>5613</v>
      </c>
      <c r="Y12">
        <v>300.9611615892</v>
      </c>
      <c r="Z12">
        <v>505</v>
      </c>
      <c r="AA12">
        <v>577.74455445540002</v>
      </c>
      <c r="AB12">
        <v>295</v>
      </c>
      <c r="AC12">
        <v>226.57966101689999</v>
      </c>
      <c r="AD12">
        <v>465</v>
      </c>
      <c r="AE12">
        <v>365.72258064520003</v>
      </c>
      <c r="AF12">
        <v>247</v>
      </c>
      <c r="AG12">
        <v>172.33198380569999</v>
      </c>
      <c r="AH12">
        <v>16</v>
      </c>
      <c r="AI12">
        <v>334.25</v>
      </c>
      <c r="AL12" t="s">
        <v>398</v>
      </c>
      <c r="AM12">
        <v>223</v>
      </c>
      <c r="AN12">
        <v>182</v>
      </c>
      <c r="AO12">
        <v>391.5</v>
      </c>
      <c r="AP12">
        <v>9</v>
      </c>
      <c r="AQ12">
        <v>446.3333333333</v>
      </c>
      <c r="AR12">
        <v>36</v>
      </c>
      <c r="AS12">
        <v>235.94444444440001</v>
      </c>
      <c r="AT12">
        <v>5</v>
      </c>
      <c r="AU12">
        <v>368.6</v>
      </c>
    </row>
    <row r="13" spans="2:51" x14ac:dyDescent="0.2">
      <c r="F13" t="s">
        <v>75</v>
      </c>
      <c r="G13">
        <v>6314</v>
      </c>
      <c r="H13">
        <v>5582</v>
      </c>
      <c r="I13">
        <v>295.24955213189997</v>
      </c>
      <c r="J13">
        <v>507</v>
      </c>
      <c r="K13">
        <v>578.78106508880001</v>
      </c>
      <c r="L13">
        <v>255</v>
      </c>
      <c r="M13">
        <v>176.568627451</v>
      </c>
      <c r="N13">
        <v>462</v>
      </c>
      <c r="O13">
        <v>358.7489177489</v>
      </c>
      <c r="R13">
        <v>15</v>
      </c>
      <c r="S13">
        <v>328.26666666670002</v>
      </c>
      <c r="V13" t="s">
        <v>401</v>
      </c>
      <c r="W13">
        <v>1114</v>
      </c>
      <c r="X13">
        <v>305</v>
      </c>
      <c r="Y13">
        <v>132.06557377050001</v>
      </c>
      <c r="Z13">
        <v>374</v>
      </c>
      <c r="AA13">
        <v>193.22459893050001</v>
      </c>
      <c r="AB13">
        <v>488</v>
      </c>
      <c r="AC13">
        <v>218.50819672130001</v>
      </c>
      <c r="AD13">
        <v>208</v>
      </c>
      <c r="AE13">
        <v>212.1634615385</v>
      </c>
      <c r="AF13">
        <v>111</v>
      </c>
      <c r="AG13">
        <v>207.56756756760001</v>
      </c>
      <c r="AH13">
        <v>2</v>
      </c>
      <c r="AI13">
        <v>357</v>
      </c>
      <c r="AL13" t="s">
        <v>401</v>
      </c>
      <c r="AM13">
        <v>28</v>
      </c>
      <c r="AN13">
        <v>17</v>
      </c>
      <c r="AO13">
        <v>161.23529411760001</v>
      </c>
      <c r="AP13">
        <v>5</v>
      </c>
      <c r="AQ13">
        <v>256</v>
      </c>
      <c r="AR13">
        <v>8</v>
      </c>
      <c r="AS13">
        <v>184.625</v>
      </c>
      <c r="AT13">
        <v>3</v>
      </c>
      <c r="AU13">
        <v>138.3333333333</v>
      </c>
    </row>
    <row r="14" spans="2:51" x14ac:dyDescent="0.2">
      <c r="F14" t="s">
        <v>41</v>
      </c>
      <c r="G14">
        <v>1269</v>
      </c>
      <c r="H14">
        <v>693</v>
      </c>
      <c r="I14">
        <v>159.37229437229999</v>
      </c>
      <c r="J14">
        <v>175</v>
      </c>
      <c r="K14">
        <v>275.96571428570002</v>
      </c>
      <c r="L14">
        <v>452</v>
      </c>
      <c r="M14">
        <v>284.2743362832</v>
      </c>
      <c r="N14">
        <v>124</v>
      </c>
      <c r="O14">
        <v>283.25</v>
      </c>
      <c r="V14" t="s">
        <v>402</v>
      </c>
      <c r="W14">
        <v>2174</v>
      </c>
      <c r="X14">
        <v>950</v>
      </c>
      <c r="Y14">
        <v>168.74947368420001</v>
      </c>
      <c r="Z14">
        <v>559</v>
      </c>
      <c r="AA14">
        <v>213.9570661896</v>
      </c>
      <c r="AB14">
        <v>992</v>
      </c>
      <c r="AC14">
        <v>285.67540322579998</v>
      </c>
      <c r="AD14">
        <v>95</v>
      </c>
      <c r="AE14">
        <v>250.3263157895</v>
      </c>
      <c r="AF14">
        <v>137</v>
      </c>
      <c r="AG14">
        <v>184.79562043799999</v>
      </c>
      <c r="AL14" t="s">
        <v>402</v>
      </c>
      <c r="AM14">
        <v>36</v>
      </c>
      <c r="AN14">
        <v>26</v>
      </c>
      <c r="AO14">
        <v>94.653846153800004</v>
      </c>
      <c r="AP14">
        <v>12</v>
      </c>
      <c r="AQ14">
        <v>394.5833333333</v>
      </c>
      <c r="AR14">
        <v>4</v>
      </c>
      <c r="AS14">
        <v>76</v>
      </c>
      <c r="AT14">
        <v>6</v>
      </c>
      <c r="AU14">
        <v>89</v>
      </c>
    </row>
    <row r="15" spans="2:51" x14ac:dyDescent="0.2">
      <c r="F15" t="s">
        <v>74</v>
      </c>
      <c r="G15">
        <v>209</v>
      </c>
      <c r="H15">
        <v>71</v>
      </c>
      <c r="I15">
        <v>121.71830985920001</v>
      </c>
      <c r="J15">
        <v>118</v>
      </c>
      <c r="K15">
        <v>188.39830508470001</v>
      </c>
      <c r="L15">
        <v>86</v>
      </c>
      <c r="M15">
        <v>210.3953488372</v>
      </c>
      <c r="N15">
        <v>42</v>
      </c>
      <c r="O15">
        <v>243.6666666667</v>
      </c>
      <c r="R15">
        <v>10</v>
      </c>
      <c r="S15">
        <v>250.8</v>
      </c>
      <c r="V15" t="s">
        <v>397</v>
      </c>
      <c r="W15">
        <v>3329</v>
      </c>
      <c r="X15">
        <v>2719</v>
      </c>
      <c r="Y15">
        <v>301.9080544318</v>
      </c>
      <c r="Z15">
        <v>373</v>
      </c>
      <c r="AA15">
        <v>443.79892761389999</v>
      </c>
      <c r="AB15">
        <v>441</v>
      </c>
      <c r="AC15">
        <v>315.52380952380003</v>
      </c>
      <c r="AD15">
        <v>62</v>
      </c>
      <c r="AE15">
        <v>245.1612903226</v>
      </c>
      <c r="AF15">
        <v>106</v>
      </c>
      <c r="AG15">
        <v>142.00943396229999</v>
      </c>
      <c r="AH15">
        <v>1</v>
      </c>
      <c r="AI15">
        <v>123</v>
      </c>
      <c r="AL15" t="s">
        <v>397</v>
      </c>
      <c r="AM15">
        <v>105</v>
      </c>
      <c r="AN15">
        <v>79</v>
      </c>
      <c r="AO15">
        <v>302.88607594939998</v>
      </c>
      <c r="AR15">
        <v>22</v>
      </c>
      <c r="AS15">
        <v>399.86363636359999</v>
      </c>
      <c r="AT15">
        <v>4</v>
      </c>
      <c r="AU15">
        <v>388.25</v>
      </c>
    </row>
    <row r="16" spans="2:51" x14ac:dyDescent="0.2">
      <c r="F16" t="s">
        <v>48</v>
      </c>
      <c r="G16">
        <v>8340</v>
      </c>
      <c r="H16">
        <v>6579</v>
      </c>
      <c r="I16">
        <v>509.3546131631</v>
      </c>
      <c r="J16">
        <v>331</v>
      </c>
      <c r="K16">
        <v>853.06344410880001</v>
      </c>
      <c r="L16">
        <v>1339</v>
      </c>
      <c r="M16">
        <v>969.39805825240001</v>
      </c>
      <c r="N16">
        <v>420</v>
      </c>
      <c r="O16">
        <v>705.67380952379995</v>
      </c>
      <c r="R16">
        <v>2</v>
      </c>
      <c r="S16">
        <v>173.5</v>
      </c>
      <c r="V16" t="s">
        <v>420</v>
      </c>
      <c r="W16">
        <v>487</v>
      </c>
      <c r="X16">
        <v>386</v>
      </c>
      <c r="Y16">
        <v>263.81606217619998</v>
      </c>
      <c r="Z16">
        <v>20</v>
      </c>
      <c r="AA16">
        <v>670.75</v>
      </c>
      <c r="AB16">
        <v>65</v>
      </c>
      <c r="AC16">
        <v>339.26153846149998</v>
      </c>
      <c r="AD16">
        <v>15</v>
      </c>
      <c r="AE16">
        <v>253.8</v>
      </c>
      <c r="AF16">
        <v>20</v>
      </c>
      <c r="AG16">
        <v>152.35</v>
      </c>
      <c r="AH16">
        <v>1</v>
      </c>
      <c r="AI16">
        <v>239</v>
      </c>
      <c r="AL16" t="s">
        <v>420</v>
      </c>
      <c r="AM16">
        <v>6</v>
      </c>
      <c r="AN16">
        <v>5</v>
      </c>
      <c r="AO16">
        <v>208</v>
      </c>
      <c r="AP16">
        <v>4</v>
      </c>
      <c r="AQ16">
        <v>388.75</v>
      </c>
      <c r="AR16">
        <v>1</v>
      </c>
      <c r="AS16">
        <v>164</v>
      </c>
    </row>
    <row r="17" spans="6:49" x14ac:dyDescent="0.2">
      <c r="F17" t="s">
        <v>391</v>
      </c>
      <c r="G17">
        <v>50937</v>
      </c>
      <c r="H17">
        <v>38287</v>
      </c>
      <c r="I17">
        <v>450.81562932589998</v>
      </c>
      <c r="J17">
        <v>4352</v>
      </c>
      <c r="K17">
        <v>537.3285845588</v>
      </c>
      <c r="L17">
        <v>8955</v>
      </c>
      <c r="M17">
        <v>741.61038525959998</v>
      </c>
      <c r="N17">
        <v>3594</v>
      </c>
      <c r="O17">
        <v>561.3052309405</v>
      </c>
      <c r="R17">
        <v>101</v>
      </c>
      <c r="S17">
        <v>530.4059405941</v>
      </c>
      <c r="V17" t="s">
        <v>421</v>
      </c>
      <c r="W17">
        <v>193</v>
      </c>
      <c r="X17">
        <v>53</v>
      </c>
      <c r="Y17">
        <v>248.03773584909999</v>
      </c>
      <c r="Z17">
        <v>31</v>
      </c>
      <c r="AA17">
        <v>277.03225806450001</v>
      </c>
      <c r="AB17">
        <v>45</v>
      </c>
      <c r="AC17">
        <v>279</v>
      </c>
      <c r="AD17">
        <v>43</v>
      </c>
      <c r="AE17">
        <v>256.37209302330001</v>
      </c>
      <c r="AF17">
        <v>42</v>
      </c>
      <c r="AG17">
        <v>249.8571428571</v>
      </c>
      <c r="AH17">
        <v>10</v>
      </c>
      <c r="AI17">
        <v>250.8</v>
      </c>
      <c r="AL17" t="s">
        <v>421</v>
      </c>
      <c r="AM17">
        <v>7</v>
      </c>
      <c r="AN17">
        <v>6</v>
      </c>
      <c r="AO17">
        <v>165.3333333333</v>
      </c>
      <c r="AP17">
        <v>6</v>
      </c>
      <c r="AQ17">
        <v>209.8333333333</v>
      </c>
      <c r="AR17">
        <v>1</v>
      </c>
      <c r="AS17">
        <v>374</v>
      </c>
    </row>
    <row r="18" spans="6:49" x14ac:dyDescent="0.2">
      <c r="F18" t="s">
        <v>68</v>
      </c>
      <c r="G18">
        <v>3099</v>
      </c>
      <c r="H18">
        <v>2475</v>
      </c>
      <c r="I18">
        <v>284.2387878788</v>
      </c>
      <c r="J18">
        <v>233</v>
      </c>
      <c r="K18">
        <v>448.02575107299998</v>
      </c>
      <c r="L18">
        <v>396</v>
      </c>
      <c r="M18">
        <v>303.2070707071</v>
      </c>
      <c r="N18">
        <v>219</v>
      </c>
      <c r="O18">
        <v>509.89041095890002</v>
      </c>
      <c r="R18">
        <v>9</v>
      </c>
      <c r="S18">
        <v>574.55555555559999</v>
      </c>
      <c r="V18" t="s">
        <v>391</v>
      </c>
      <c r="W18">
        <v>52193</v>
      </c>
      <c r="X18">
        <v>37988</v>
      </c>
      <c r="Y18">
        <v>449.28066757919999</v>
      </c>
      <c r="Z18">
        <v>4239</v>
      </c>
      <c r="AA18">
        <v>542.07690493040002</v>
      </c>
      <c r="AB18">
        <v>8868</v>
      </c>
      <c r="AC18">
        <v>739.08863328819996</v>
      </c>
      <c r="AD18">
        <v>3625</v>
      </c>
      <c r="AE18">
        <v>561.5900689655</v>
      </c>
      <c r="AF18">
        <v>1610</v>
      </c>
      <c r="AG18">
        <v>183.3664596273</v>
      </c>
      <c r="AH18">
        <v>102</v>
      </c>
      <c r="AI18">
        <v>526.41176470590005</v>
      </c>
      <c r="AL18" t="s">
        <v>391</v>
      </c>
      <c r="AM18">
        <v>1550</v>
      </c>
      <c r="AN18">
        <v>1197</v>
      </c>
      <c r="AO18">
        <v>389.56975772769999</v>
      </c>
      <c r="AP18">
        <v>152</v>
      </c>
      <c r="AQ18">
        <v>611.34210526319998</v>
      </c>
      <c r="AR18">
        <v>316</v>
      </c>
      <c r="AS18">
        <v>359.5411392405</v>
      </c>
      <c r="AT18">
        <v>37</v>
      </c>
      <c r="AU18">
        <v>257.83783783780001</v>
      </c>
    </row>
    <row r="19" spans="6:49" x14ac:dyDescent="0.2">
      <c r="F19" t="s">
        <v>34</v>
      </c>
      <c r="G19">
        <v>946</v>
      </c>
      <c r="H19">
        <v>607</v>
      </c>
      <c r="I19">
        <v>245.3607907743</v>
      </c>
      <c r="J19">
        <v>82</v>
      </c>
      <c r="K19">
        <v>546.57317073169997</v>
      </c>
      <c r="L19">
        <v>172</v>
      </c>
      <c r="M19">
        <v>229.28488372090001</v>
      </c>
      <c r="N19">
        <v>160</v>
      </c>
      <c r="O19">
        <v>591.8125</v>
      </c>
      <c r="R19">
        <v>7</v>
      </c>
      <c r="S19">
        <v>256.28571428570001</v>
      </c>
      <c r="V19" t="s">
        <v>409</v>
      </c>
      <c r="W19">
        <v>1034</v>
      </c>
      <c r="X19">
        <v>622</v>
      </c>
      <c r="Y19">
        <v>258.46623794210001</v>
      </c>
      <c r="Z19">
        <v>86</v>
      </c>
      <c r="AA19">
        <v>551.56976744190001</v>
      </c>
      <c r="AB19">
        <v>177</v>
      </c>
      <c r="AC19">
        <v>247.20903954799999</v>
      </c>
      <c r="AD19">
        <v>155</v>
      </c>
      <c r="AE19">
        <v>585.72903225810001</v>
      </c>
      <c r="AF19">
        <v>74</v>
      </c>
      <c r="AG19">
        <v>142.95945945950001</v>
      </c>
      <c r="AH19">
        <v>6</v>
      </c>
      <c r="AI19">
        <v>294.1666666667</v>
      </c>
      <c r="AL19" t="s">
        <v>409</v>
      </c>
      <c r="AM19">
        <v>9</v>
      </c>
      <c r="AN19">
        <v>9</v>
      </c>
      <c r="AO19">
        <v>121.55555555559999</v>
      </c>
      <c r="AP19">
        <v>8</v>
      </c>
      <c r="AQ19">
        <v>323.75</v>
      </c>
    </row>
    <row r="20" spans="6:49" x14ac:dyDescent="0.2">
      <c r="F20" t="s">
        <v>55</v>
      </c>
      <c r="G20">
        <v>942</v>
      </c>
      <c r="H20">
        <v>446</v>
      </c>
      <c r="I20">
        <v>198.62780269059999</v>
      </c>
      <c r="J20">
        <v>192</v>
      </c>
      <c r="K20">
        <v>336.0260416667</v>
      </c>
      <c r="L20">
        <v>155</v>
      </c>
      <c r="M20">
        <v>298.52903225810002</v>
      </c>
      <c r="N20">
        <v>337</v>
      </c>
      <c r="O20">
        <v>611.53709198809997</v>
      </c>
      <c r="R20">
        <v>4</v>
      </c>
      <c r="S20">
        <v>563.75</v>
      </c>
      <c r="V20" t="s">
        <v>425</v>
      </c>
      <c r="W20">
        <v>309</v>
      </c>
      <c r="X20">
        <v>138</v>
      </c>
      <c r="Y20">
        <v>191.0362318841</v>
      </c>
      <c r="Z20">
        <v>89</v>
      </c>
      <c r="AA20">
        <v>243.25842696629999</v>
      </c>
      <c r="AB20">
        <v>74</v>
      </c>
      <c r="AC20">
        <v>199.82432432429999</v>
      </c>
      <c r="AD20">
        <v>61</v>
      </c>
      <c r="AE20">
        <v>488.2786885246</v>
      </c>
      <c r="AF20">
        <v>36</v>
      </c>
      <c r="AG20">
        <v>128.6111111111</v>
      </c>
      <c r="AL20" t="s">
        <v>425</v>
      </c>
      <c r="AM20">
        <v>4</v>
      </c>
      <c r="AN20">
        <v>3</v>
      </c>
      <c r="AO20">
        <v>65.333333333300004</v>
      </c>
      <c r="AP20">
        <v>2</v>
      </c>
      <c r="AQ20">
        <v>191.5</v>
      </c>
      <c r="AR20">
        <v>1</v>
      </c>
      <c r="AS20">
        <v>66</v>
      </c>
    </row>
    <row r="21" spans="6:49" x14ac:dyDescent="0.2">
      <c r="F21" t="s">
        <v>62</v>
      </c>
      <c r="G21">
        <v>8540</v>
      </c>
      <c r="H21">
        <v>7037</v>
      </c>
      <c r="I21">
        <v>396.2130169106</v>
      </c>
      <c r="J21">
        <v>731</v>
      </c>
      <c r="K21">
        <v>605.41176470590005</v>
      </c>
      <c r="L21">
        <v>1107</v>
      </c>
      <c r="M21">
        <v>614.22493224929997</v>
      </c>
      <c r="N21">
        <v>393</v>
      </c>
      <c r="O21">
        <v>590.5267175573</v>
      </c>
      <c r="R21">
        <v>3</v>
      </c>
      <c r="S21">
        <v>771.66666666670005</v>
      </c>
      <c r="V21" t="s">
        <v>429</v>
      </c>
      <c r="W21">
        <v>1221</v>
      </c>
      <c r="X21">
        <v>926</v>
      </c>
      <c r="Y21">
        <v>303.23110151190002</v>
      </c>
      <c r="Z21">
        <v>71</v>
      </c>
      <c r="AA21">
        <v>526.98591549299999</v>
      </c>
      <c r="AB21">
        <v>183</v>
      </c>
      <c r="AC21">
        <v>397.58469945360002</v>
      </c>
      <c r="AD21">
        <v>58</v>
      </c>
      <c r="AE21">
        <v>462.05172413790001</v>
      </c>
      <c r="AF21">
        <v>53</v>
      </c>
      <c r="AG21">
        <v>169.77358490570001</v>
      </c>
      <c r="AH21">
        <v>1</v>
      </c>
      <c r="AI21">
        <v>382</v>
      </c>
      <c r="AL21" t="s">
        <v>429</v>
      </c>
      <c r="AM21">
        <v>10</v>
      </c>
      <c r="AN21">
        <v>8</v>
      </c>
      <c r="AO21">
        <v>191.125</v>
      </c>
      <c r="AP21">
        <v>6</v>
      </c>
      <c r="AQ21">
        <v>308.3333333333</v>
      </c>
      <c r="AR21">
        <v>2</v>
      </c>
      <c r="AS21">
        <v>178.5</v>
      </c>
    </row>
    <row r="22" spans="6:49" x14ac:dyDescent="0.2">
      <c r="F22" t="s">
        <v>64</v>
      </c>
      <c r="G22">
        <v>7237</v>
      </c>
      <c r="H22">
        <v>5456</v>
      </c>
      <c r="I22">
        <v>400.22030791790002</v>
      </c>
      <c r="J22">
        <v>333</v>
      </c>
      <c r="K22">
        <v>546.18318318319996</v>
      </c>
      <c r="L22">
        <v>1368</v>
      </c>
      <c r="M22">
        <v>744.89692982459997</v>
      </c>
      <c r="N22">
        <v>395</v>
      </c>
      <c r="O22">
        <v>581.8734177215</v>
      </c>
      <c r="R22">
        <v>18</v>
      </c>
      <c r="S22">
        <v>484.8888888889</v>
      </c>
      <c r="V22" t="s">
        <v>414</v>
      </c>
      <c r="W22">
        <v>3183</v>
      </c>
      <c r="X22">
        <v>2456</v>
      </c>
      <c r="Y22">
        <v>292.36726384360003</v>
      </c>
      <c r="Z22">
        <v>227</v>
      </c>
      <c r="AA22">
        <v>452.48458149779998</v>
      </c>
      <c r="AB22">
        <v>404</v>
      </c>
      <c r="AC22">
        <v>329.64108910890002</v>
      </c>
      <c r="AD22">
        <v>223</v>
      </c>
      <c r="AE22">
        <v>505.52466367710002</v>
      </c>
      <c r="AF22">
        <v>91</v>
      </c>
      <c r="AG22">
        <v>229.3956043956</v>
      </c>
      <c r="AH22">
        <v>9</v>
      </c>
      <c r="AI22">
        <v>574.55555555559999</v>
      </c>
      <c r="AL22" t="s">
        <v>414</v>
      </c>
      <c r="AM22">
        <v>37</v>
      </c>
      <c r="AN22">
        <v>22</v>
      </c>
      <c r="AO22">
        <v>188.04545454550001</v>
      </c>
      <c r="AP22">
        <v>19</v>
      </c>
      <c r="AQ22">
        <v>216.7894736842</v>
      </c>
      <c r="AR22">
        <v>8</v>
      </c>
      <c r="AS22">
        <v>137.375</v>
      </c>
      <c r="AT22">
        <v>7</v>
      </c>
      <c r="AU22">
        <v>312.42857142859998</v>
      </c>
    </row>
    <row r="23" spans="6:49" x14ac:dyDescent="0.2">
      <c r="F23" t="s">
        <v>73</v>
      </c>
      <c r="G23">
        <v>5134</v>
      </c>
      <c r="H23">
        <v>4088</v>
      </c>
      <c r="I23">
        <v>271.4931506849</v>
      </c>
      <c r="J23">
        <v>574</v>
      </c>
      <c r="K23">
        <v>424.61324041810002</v>
      </c>
      <c r="L23">
        <v>745</v>
      </c>
      <c r="M23">
        <v>370.4510067114</v>
      </c>
      <c r="N23">
        <v>286</v>
      </c>
      <c r="O23">
        <v>450.46853146849998</v>
      </c>
      <c r="R23">
        <v>15</v>
      </c>
      <c r="S23">
        <v>337.6</v>
      </c>
      <c r="V23" t="s">
        <v>410</v>
      </c>
      <c r="W23">
        <v>5429</v>
      </c>
      <c r="X23">
        <v>3656</v>
      </c>
      <c r="Y23">
        <v>377.73194748359998</v>
      </c>
      <c r="Z23">
        <v>366</v>
      </c>
      <c r="AA23">
        <v>528.95081967210001</v>
      </c>
      <c r="AB23">
        <v>1392</v>
      </c>
      <c r="AC23">
        <v>551.62787356319996</v>
      </c>
      <c r="AD23">
        <v>246</v>
      </c>
      <c r="AE23">
        <v>496.27642276419999</v>
      </c>
      <c r="AF23">
        <v>123</v>
      </c>
      <c r="AG23">
        <v>139.01626016259999</v>
      </c>
      <c r="AH23">
        <v>12</v>
      </c>
      <c r="AI23">
        <v>245.0833333333</v>
      </c>
      <c r="AL23" t="s">
        <v>410</v>
      </c>
      <c r="AM23">
        <v>45</v>
      </c>
      <c r="AN23">
        <v>36</v>
      </c>
      <c r="AO23">
        <v>263.25</v>
      </c>
      <c r="AP23">
        <v>15</v>
      </c>
      <c r="AQ23">
        <v>361.86666666669998</v>
      </c>
      <c r="AR23">
        <v>9</v>
      </c>
      <c r="AS23">
        <v>145.44444444440001</v>
      </c>
    </row>
    <row r="24" spans="6:49" x14ac:dyDescent="0.2">
      <c r="F24" t="s">
        <v>45</v>
      </c>
      <c r="G24">
        <v>1493</v>
      </c>
      <c r="H24">
        <v>1171</v>
      </c>
      <c r="I24">
        <v>297.23911187020002</v>
      </c>
      <c r="J24">
        <v>91</v>
      </c>
      <c r="K24">
        <v>569.38461538460001</v>
      </c>
      <c r="L24">
        <v>254</v>
      </c>
      <c r="M24">
        <v>459.46456692909999</v>
      </c>
      <c r="N24">
        <v>66</v>
      </c>
      <c r="O24">
        <v>511.8181818182</v>
      </c>
      <c r="R24">
        <v>2</v>
      </c>
      <c r="S24">
        <v>312.5</v>
      </c>
      <c r="V24" t="s">
        <v>427</v>
      </c>
      <c r="W24">
        <v>7358</v>
      </c>
      <c r="X24">
        <v>5444</v>
      </c>
      <c r="Y24">
        <v>400.10194709770002</v>
      </c>
      <c r="Z24">
        <v>349</v>
      </c>
      <c r="AA24">
        <v>541.97421203440001</v>
      </c>
      <c r="AB24">
        <v>1334</v>
      </c>
      <c r="AC24">
        <v>722.21289355320005</v>
      </c>
      <c r="AD24">
        <v>411</v>
      </c>
      <c r="AE24">
        <v>594.17518248179999</v>
      </c>
      <c r="AF24">
        <v>151</v>
      </c>
      <c r="AG24">
        <v>200.88741721849999</v>
      </c>
      <c r="AH24">
        <v>18</v>
      </c>
      <c r="AI24">
        <v>484.8888888889</v>
      </c>
      <c r="AL24" t="s">
        <v>427</v>
      </c>
      <c r="AM24">
        <v>106</v>
      </c>
      <c r="AN24">
        <v>71</v>
      </c>
      <c r="AO24">
        <v>245.07042253520001</v>
      </c>
      <c r="AP24">
        <v>44</v>
      </c>
      <c r="AQ24">
        <v>325.54545454549998</v>
      </c>
      <c r="AR24">
        <v>30</v>
      </c>
      <c r="AS24">
        <v>296.39999999999998</v>
      </c>
      <c r="AT24">
        <v>5</v>
      </c>
      <c r="AU24">
        <v>259.39999999999998</v>
      </c>
    </row>
    <row r="25" spans="6:49" x14ac:dyDescent="0.2">
      <c r="F25" t="s">
        <v>66</v>
      </c>
      <c r="G25">
        <v>5397</v>
      </c>
      <c r="H25">
        <v>3700</v>
      </c>
      <c r="I25">
        <v>380.26189189190001</v>
      </c>
      <c r="J25">
        <v>361</v>
      </c>
      <c r="K25">
        <v>538.19667590029997</v>
      </c>
      <c r="L25">
        <v>1439</v>
      </c>
      <c r="M25">
        <v>556.33148019459998</v>
      </c>
      <c r="N25">
        <v>246</v>
      </c>
      <c r="O25">
        <v>502.26016260159997</v>
      </c>
      <c r="R25">
        <v>12</v>
      </c>
      <c r="S25">
        <v>288.5833333333</v>
      </c>
      <c r="V25" t="s">
        <v>408</v>
      </c>
      <c r="W25">
        <v>18518</v>
      </c>
      <c r="X25">
        <v>14747</v>
      </c>
      <c r="Y25">
        <v>333.11209059470002</v>
      </c>
      <c r="Z25">
        <v>1973</v>
      </c>
      <c r="AA25">
        <v>489.92448048659998</v>
      </c>
      <c r="AB25">
        <v>2165</v>
      </c>
      <c r="AC25">
        <v>436.18244803699997</v>
      </c>
      <c r="AD25">
        <v>900</v>
      </c>
      <c r="AE25">
        <v>451.14111111109997</v>
      </c>
      <c r="AF25">
        <v>685</v>
      </c>
      <c r="AG25">
        <v>165.83503649639999</v>
      </c>
      <c r="AH25">
        <v>21</v>
      </c>
      <c r="AI25">
        <v>302.23809523810002</v>
      </c>
      <c r="AL25" t="s">
        <v>408</v>
      </c>
      <c r="AM25">
        <v>394</v>
      </c>
      <c r="AN25">
        <v>291</v>
      </c>
      <c r="AO25">
        <v>252.439862543</v>
      </c>
      <c r="AP25">
        <v>150</v>
      </c>
      <c r="AQ25">
        <v>369.08</v>
      </c>
      <c r="AR25">
        <v>90</v>
      </c>
      <c r="AS25">
        <v>215.5444444444</v>
      </c>
      <c r="AT25">
        <v>13</v>
      </c>
      <c r="AU25">
        <v>172.1538461538</v>
      </c>
    </row>
    <row r="26" spans="6:49" x14ac:dyDescent="0.2">
      <c r="F26" t="s">
        <v>32</v>
      </c>
      <c r="G26">
        <v>218</v>
      </c>
      <c r="H26">
        <v>96</v>
      </c>
      <c r="I26">
        <v>107.46875</v>
      </c>
      <c r="J26">
        <v>89</v>
      </c>
      <c r="K26">
        <v>223.6516853933</v>
      </c>
      <c r="L26">
        <v>61</v>
      </c>
      <c r="M26">
        <v>142.3606557377</v>
      </c>
      <c r="N26">
        <v>61</v>
      </c>
      <c r="O26">
        <v>471.5573770492</v>
      </c>
      <c r="V26" t="s">
        <v>406</v>
      </c>
      <c r="W26">
        <v>1888</v>
      </c>
      <c r="X26">
        <v>1392</v>
      </c>
      <c r="Y26">
        <v>299.4274425287</v>
      </c>
      <c r="Z26">
        <v>221</v>
      </c>
      <c r="AA26">
        <v>439.1176470588</v>
      </c>
      <c r="AB26">
        <v>330</v>
      </c>
      <c r="AC26">
        <v>285.96969696970001</v>
      </c>
      <c r="AD26">
        <v>97</v>
      </c>
      <c r="AE26">
        <v>365.67010309279999</v>
      </c>
      <c r="AF26">
        <v>68</v>
      </c>
      <c r="AG26">
        <v>188.3235294118</v>
      </c>
      <c r="AH26">
        <v>1</v>
      </c>
      <c r="AI26">
        <v>211</v>
      </c>
      <c r="AL26" t="s">
        <v>406</v>
      </c>
      <c r="AM26">
        <v>30</v>
      </c>
      <c r="AN26">
        <v>22</v>
      </c>
      <c r="AO26">
        <v>341.86363636359999</v>
      </c>
      <c r="AP26">
        <v>13</v>
      </c>
      <c r="AQ26">
        <v>276.69230769230001</v>
      </c>
      <c r="AR26">
        <v>8</v>
      </c>
      <c r="AS26">
        <v>137.25</v>
      </c>
    </row>
    <row r="27" spans="6:49" x14ac:dyDescent="0.2">
      <c r="F27" t="s">
        <v>71</v>
      </c>
      <c r="G27">
        <v>4319</v>
      </c>
      <c r="H27">
        <v>3908</v>
      </c>
      <c r="I27">
        <v>229.47210849539999</v>
      </c>
      <c r="J27">
        <v>612</v>
      </c>
      <c r="K27">
        <v>379.4950980392</v>
      </c>
      <c r="L27">
        <v>209</v>
      </c>
      <c r="M27">
        <v>125.6267942584</v>
      </c>
      <c r="N27">
        <v>188</v>
      </c>
      <c r="O27">
        <v>241.05319148940001</v>
      </c>
      <c r="R27">
        <v>14</v>
      </c>
      <c r="S27">
        <v>224.42857142860001</v>
      </c>
      <c r="V27" t="s">
        <v>80</v>
      </c>
      <c r="W27">
        <v>5323</v>
      </c>
      <c r="X27">
        <v>4103</v>
      </c>
      <c r="Y27">
        <v>279.68169631979998</v>
      </c>
      <c r="Z27">
        <v>584</v>
      </c>
      <c r="AA27">
        <v>436.35102739730002</v>
      </c>
      <c r="AB27">
        <v>762</v>
      </c>
      <c r="AC27">
        <v>394.17847769029999</v>
      </c>
      <c r="AD27">
        <v>295</v>
      </c>
      <c r="AE27">
        <v>464.52881355929998</v>
      </c>
      <c r="AF27">
        <v>149</v>
      </c>
      <c r="AG27">
        <v>161.66442953020001</v>
      </c>
      <c r="AH27">
        <v>14</v>
      </c>
      <c r="AI27">
        <v>304.92857142859998</v>
      </c>
      <c r="AL27" t="s">
        <v>80</v>
      </c>
      <c r="AM27">
        <v>91</v>
      </c>
      <c r="AN27">
        <v>68</v>
      </c>
      <c r="AO27">
        <v>202.0882352941</v>
      </c>
      <c r="AP27">
        <v>22</v>
      </c>
      <c r="AQ27">
        <v>301.59090909090003</v>
      </c>
      <c r="AR27">
        <v>21</v>
      </c>
      <c r="AS27">
        <v>119.80952380950001</v>
      </c>
      <c r="AT27">
        <v>2</v>
      </c>
      <c r="AU27">
        <v>160.5</v>
      </c>
    </row>
    <row r="28" spans="6:49" x14ac:dyDescent="0.2">
      <c r="F28" t="s">
        <v>31</v>
      </c>
      <c r="G28">
        <v>1709</v>
      </c>
      <c r="H28">
        <v>1296</v>
      </c>
      <c r="I28">
        <v>292.51774691359998</v>
      </c>
      <c r="J28">
        <v>211</v>
      </c>
      <c r="K28">
        <v>437.16587677730001</v>
      </c>
      <c r="L28">
        <v>323</v>
      </c>
      <c r="M28">
        <v>272.86377708980001</v>
      </c>
      <c r="N28">
        <v>89</v>
      </c>
      <c r="O28">
        <v>328.95505617980001</v>
      </c>
      <c r="R28">
        <v>1</v>
      </c>
      <c r="S28">
        <v>211</v>
      </c>
      <c r="V28" t="s">
        <v>405</v>
      </c>
      <c r="W28">
        <v>44263</v>
      </c>
      <c r="X28">
        <v>33484</v>
      </c>
      <c r="Y28">
        <v>335.14093298289998</v>
      </c>
      <c r="Z28">
        <v>3966</v>
      </c>
      <c r="AA28">
        <v>481.70827029750001</v>
      </c>
      <c r="AB28">
        <v>6821</v>
      </c>
      <c r="AC28">
        <v>488.90822460049998</v>
      </c>
      <c r="AD28">
        <v>2446</v>
      </c>
      <c r="AE28">
        <v>492.6112019624</v>
      </c>
      <c r="AF28">
        <v>1430</v>
      </c>
      <c r="AG28">
        <v>169.9342657343</v>
      </c>
      <c r="AH28">
        <v>82</v>
      </c>
      <c r="AI28">
        <v>363.58536585370001</v>
      </c>
      <c r="AL28" t="s">
        <v>405</v>
      </c>
      <c r="AM28">
        <v>726</v>
      </c>
      <c r="AN28">
        <v>530</v>
      </c>
      <c r="AO28">
        <v>242.55849056599999</v>
      </c>
      <c r="AP28">
        <v>279</v>
      </c>
      <c r="AQ28">
        <v>337.94982078850001</v>
      </c>
      <c r="AR28">
        <v>169</v>
      </c>
      <c r="AS28">
        <v>205.5384615385</v>
      </c>
      <c r="AT28">
        <v>27</v>
      </c>
      <c r="AU28">
        <v>223.8148148148</v>
      </c>
    </row>
    <row r="29" spans="6:49" x14ac:dyDescent="0.2">
      <c r="F29" t="s">
        <v>52</v>
      </c>
      <c r="G29">
        <v>4864</v>
      </c>
      <c r="H29">
        <v>3776</v>
      </c>
      <c r="I29">
        <v>317.79396186439999</v>
      </c>
      <c r="J29">
        <v>658</v>
      </c>
      <c r="K29">
        <v>453.44832826750002</v>
      </c>
      <c r="L29">
        <v>816</v>
      </c>
      <c r="M29">
        <v>261.33088235290001</v>
      </c>
      <c r="N29">
        <v>271</v>
      </c>
      <c r="O29">
        <v>357.4612546125</v>
      </c>
      <c r="R29">
        <v>1</v>
      </c>
      <c r="S29">
        <v>29</v>
      </c>
      <c r="V29" t="s">
        <v>389</v>
      </c>
      <c r="W29">
        <v>10612</v>
      </c>
      <c r="X29">
        <v>5125</v>
      </c>
      <c r="Y29">
        <v>274.6179972672</v>
      </c>
      <c r="Z29">
        <v>670</v>
      </c>
      <c r="AA29">
        <v>587.18358208960001</v>
      </c>
      <c r="AB29">
        <v>3685</v>
      </c>
      <c r="AC29">
        <v>737.66540027140002</v>
      </c>
      <c r="AD29">
        <v>1282</v>
      </c>
      <c r="AE29">
        <v>490.63387978140003</v>
      </c>
      <c r="AF29">
        <v>495</v>
      </c>
      <c r="AG29">
        <v>173.1434343434</v>
      </c>
      <c r="AH29">
        <v>25</v>
      </c>
      <c r="AI29">
        <v>510.8</v>
      </c>
      <c r="AL29" t="s">
        <v>389</v>
      </c>
      <c r="AM29">
        <v>288</v>
      </c>
      <c r="AN29">
        <v>207</v>
      </c>
      <c r="AO29">
        <v>363.03381642509999</v>
      </c>
      <c r="AP29">
        <v>17</v>
      </c>
      <c r="AQ29">
        <v>486.8235294118</v>
      </c>
      <c r="AR29">
        <v>71</v>
      </c>
      <c r="AS29">
        <v>420.18309859150003</v>
      </c>
      <c r="AT29">
        <v>10</v>
      </c>
      <c r="AU29">
        <v>125.1</v>
      </c>
    </row>
    <row r="30" spans="6:49" x14ac:dyDescent="0.2">
      <c r="F30" t="s">
        <v>405</v>
      </c>
      <c r="G30">
        <v>43898</v>
      </c>
      <c r="H30">
        <v>34056</v>
      </c>
      <c r="I30">
        <v>330.74503758520001</v>
      </c>
      <c r="J30">
        <v>4167</v>
      </c>
      <c r="K30">
        <v>472.94432445400003</v>
      </c>
      <c r="L30">
        <v>7045</v>
      </c>
      <c r="M30">
        <v>487.48289567069997</v>
      </c>
      <c r="N30">
        <v>2711</v>
      </c>
      <c r="O30">
        <v>501.94135005530001</v>
      </c>
      <c r="R30">
        <v>86</v>
      </c>
      <c r="S30">
        <v>381.36046511630002</v>
      </c>
      <c r="V30" t="s">
        <v>426</v>
      </c>
      <c r="W30">
        <v>31287</v>
      </c>
      <c r="X30">
        <v>27178</v>
      </c>
      <c r="Y30">
        <v>462.74867530170002</v>
      </c>
      <c r="Z30">
        <v>1590</v>
      </c>
      <c r="AA30">
        <v>732.07610062890001</v>
      </c>
      <c r="AB30">
        <v>950</v>
      </c>
      <c r="AC30">
        <v>395.10421052629999</v>
      </c>
      <c r="AD30">
        <v>2189</v>
      </c>
      <c r="AE30">
        <v>337.18318867059998</v>
      </c>
      <c r="AF30">
        <v>952</v>
      </c>
      <c r="AG30">
        <v>175.53571428570001</v>
      </c>
      <c r="AH30">
        <v>18</v>
      </c>
      <c r="AI30">
        <v>329.05555555559999</v>
      </c>
      <c r="AL30" t="s">
        <v>426</v>
      </c>
      <c r="AM30">
        <v>576</v>
      </c>
      <c r="AN30">
        <v>474</v>
      </c>
      <c r="AO30">
        <v>295.80168776369999</v>
      </c>
      <c r="AP30">
        <v>116</v>
      </c>
      <c r="AQ30">
        <v>446.61206896549999</v>
      </c>
      <c r="AR30">
        <v>95</v>
      </c>
      <c r="AS30">
        <v>168.96842105260001</v>
      </c>
      <c r="AT30">
        <v>6</v>
      </c>
      <c r="AU30">
        <v>395.6666666667</v>
      </c>
      <c r="AV30">
        <v>1</v>
      </c>
      <c r="AW30">
        <v>5</v>
      </c>
    </row>
    <row r="31" spans="6:49" x14ac:dyDescent="0.2">
      <c r="F31" t="s">
        <v>25</v>
      </c>
      <c r="G31">
        <v>18380</v>
      </c>
      <c r="H31">
        <v>16097</v>
      </c>
      <c r="I31">
        <v>542.81683752720005</v>
      </c>
      <c r="J31">
        <v>1094</v>
      </c>
      <c r="K31">
        <v>816.94789762339997</v>
      </c>
      <c r="L31">
        <v>1313</v>
      </c>
      <c r="M31">
        <v>473.092916984</v>
      </c>
      <c r="N31">
        <v>945</v>
      </c>
      <c r="O31">
        <v>368.36836518050001</v>
      </c>
      <c r="R31">
        <v>25</v>
      </c>
      <c r="S31">
        <v>298.95999999999998</v>
      </c>
      <c r="V31" t="s">
        <v>382</v>
      </c>
      <c r="W31">
        <v>18955</v>
      </c>
      <c r="X31">
        <v>16016</v>
      </c>
      <c r="Y31">
        <v>541.22330460850003</v>
      </c>
      <c r="Z31">
        <v>1111</v>
      </c>
      <c r="AA31">
        <v>805.38703870389998</v>
      </c>
      <c r="AB31">
        <v>1404</v>
      </c>
      <c r="AC31">
        <v>495.87393162389998</v>
      </c>
      <c r="AD31">
        <v>1005</v>
      </c>
      <c r="AE31">
        <v>371.04091816369998</v>
      </c>
      <c r="AF31">
        <v>505</v>
      </c>
      <c r="AG31">
        <v>171.67063492060001</v>
      </c>
      <c r="AH31">
        <v>25</v>
      </c>
      <c r="AI31">
        <v>298.95999999999998</v>
      </c>
      <c r="AL31" t="s">
        <v>382</v>
      </c>
      <c r="AM31">
        <v>355</v>
      </c>
      <c r="AN31">
        <v>261</v>
      </c>
      <c r="AO31">
        <v>323.65900383140001</v>
      </c>
      <c r="AP31">
        <v>66</v>
      </c>
      <c r="AQ31">
        <v>522.40909090909997</v>
      </c>
      <c r="AR31">
        <v>72</v>
      </c>
      <c r="AS31">
        <v>195.31944444440001</v>
      </c>
      <c r="AT31">
        <v>22</v>
      </c>
      <c r="AU31">
        <v>242.9090909091</v>
      </c>
    </row>
    <row r="32" spans="6:49" x14ac:dyDescent="0.2">
      <c r="F32" t="s">
        <v>39</v>
      </c>
      <c r="G32">
        <v>13125</v>
      </c>
      <c r="H32">
        <v>10454</v>
      </c>
      <c r="I32">
        <v>379.16024107909999</v>
      </c>
      <c r="J32">
        <v>407</v>
      </c>
      <c r="K32">
        <v>677.54054054050005</v>
      </c>
      <c r="L32">
        <v>1738</v>
      </c>
      <c r="M32">
        <v>509.22612197929999</v>
      </c>
      <c r="N32">
        <v>907</v>
      </c>
      <c r="O32">
        <v>582.32083792720005</v>
      </c>
      <c r="R32">
        <v>26</v>
      </c>
      <c r="S32">
        <v>584.03846153849997</v>
      </c>
      <c r="V32" t="s">
        <v>394</v>
      </c>
      <c r="W32">
        <v>3303</v>
      </c>
      <c r="X32">
        <v>2096</v>
      </c>
      <c r="Y32">
        <v>469.12213740459998</v>
      </c>
      <c r="Z32">
        <v>420</v>
      </c>
      <c r="AA32">
        <v>430.50714285710001</v>
      </c>
      <c r="AB32">
        <v>579</v>
      </c>
      <c r="AC32">
        <v>559.85664939549997</v>
      </c>
      <c r="AD32">
        <v>498</v>
      </c>
      <c r="AE32">
        <v>607.06626506019995</v>
      </c>
      <c r="AF32">
        <v>124</v>
      </c>
      <c r="AG32">
        <v>160.564516129</v>
      </c>
      <c r="AH32">
        <v>6</v>
      </c>
      <c r="AI32">
        <v>693.66666666670005</v>
      </c>
      <c r="AL32" t="s">
        <v>394</v>
      </c>
      <c r="AM32">
        <v>127</v>
      </c>
      <c r="AN32">
        <v>98</v>
      </c>
      <c r="AO32">
        <v>458.11224489799997</v>
      </c>
      <c r="AP32">
        <v>8</v>
      </c>
      <c r="AQ32">
        <v>626.125</v>
      </c>
      <c r="AR32">
        <v>25</v>
      </c>
      <c r="AS32">
        <v>313.72000000000003</v>
      </c>
      <c r="AT32">
        <v>3</v>
      </c>
      <c r="AU32">
        <v>388.3333333333</v>
      </c>
      <c r="AV32">
        <v>1</v>
      </c>
      <c r="AW32">
        <v>689</v>
      </c>
    </row>
    <row r="33" spans="6:49" x14ac:dyDescent="0.2">
      <c r="F33" t="s">
        <v>72</v>
      </c>
      <c r="G33">
        <v>5708</v>
      </c>
      <c r="H33">
        <v>2756</v>
      </c>
      <c r="I33">
        <v>359.21887477310003</v>
      </c>
      <c r="J33">
        <v>444</v>
      </c>
      <c r="K33">
        <v>618.8130630631</v>
      </c>
      <c r="L33">
        <v>1926</v>
      </c>
      <c r="M33">
        <v>697.14953271030004</v>
      </c>
      <c r="N33">
        <v>1019</v>
      </c>
      <c r="O33">
        <v>965.60942100099999</v>
      </c>
      <c r="R33">
        <v>7</v>
      </c>
      <c r="S33">
        <v>573.14285714289997</v>
      </c>
      <c r="V33" t="s">
        <v>385</v>
      </c>
      <c r="W33">
        <v>7149</v>
      </c>
      <c r="X33">
        <v>4490</v>
      </c>
      <c r="Y33">
        <v>287.50400890869997</v>
      </c>
      <c r="Z33">
        <v>443</v>
      </c>
      <c r="AA33">
        <v>626.93227990970001</v>
      </c>
      <c r="AB33">
        <v>1515</v>
      </c>
      <c r="AC33">
        <v>363.43300330030002</v>
      </c>
      <c r="AD33">
        <v>767</v>
      </c>
      <c r="AE33">
        <v>451.59582790090002</v>
      </c>
      <c r="AF33">
        <v>364</v>
      </c>
      <c r="AG33">
        <v>180.37637362640001</v>
      </c>
      <c r="AH33">
        <v>13</v>
      </c>
      <c r="AI33">
        <v>587.23076923079998</v>
      </c>
      <c r="AL33" t="s">
        <v>385</v>
      </c>
      <c r="AM33">
        <v>262</v>
      </c>
      <c r="AN33">
        <v>201</v>
      </c>
      <c r="AO33">
        <v>299.67661691540002</v>
      </c>
      <c r="AP33">
        <v>14</v>
      </c>
      <c r="AQ33">
        <v>450.28571428570001</v>
      </c>
      <c r="AR33">
        <v>53</v>
      </c>
      <c r="AS33">
        <v>301.20754716980002</v>
      </c>
      <c r="AT33">
        <v>8</v>
      </c>
      <c r="AU33">
        <v>461.75</v>
      </c>
    </row>
    <row r="34" spans="6:49" x14ac:dyDescent="0.2">
      <c r="F34" t="s">
        <v>58</v>
      </c>
      <c r="G34">
        <v>6575</v>
      </c>
      <c r="H34">
        <v>4345</v>
      </c>
      <c r="I34">
        <v>269.13555811280003</v>
      </c>
      <c r="J34">
        <v>440</v>
      </c>
      <c r="K34">
        <v>614.00681818179999</v>
      </c>
      <c r="L34">
        <v>1453</v>
      </c>
      <c r="M34">
        <v>329.9139710943</v>
      </c>
      <c r="N34">
        <v>763</v>
      </c>
      <c r="O34">
        <v>443.45347313240001</v>
      </c>
      <c r="R34">
        <v>14</v>
      </c>
      <c r="S34">
        <v>551.14285714289997</v>
      </c>
      <c r="V34" t="s">
        <v>428</v>
      </c>
      <c r="W34">
        <v>5828</v>
      </c>
      <c r="X34">
        <v>2686</v>
      </c>
      <c r="Y34">
        <v>359.13035381750001</v>
      </c>
      <c r="Z34">
        <v>426</v>
      </c>
      <c r="AA34">
        <v>611.30985915489998</v>
      </c>
      <c r="AB34">
        <v>1873</v>
      </c>
      <c r="AC34">
        <v>696.55312333159998</v>
      </c>
      <c r="AD34">
        <v>993</v>
      </c>
      <c r="AE34">
        <v>962.83585095670003</v>
      </c>
      <c r="AF34">
        <v>270</v>
      </c>
      <c r="AG34">
        <v>168.4148148148</v>
      </c>
      <c r="AH34">
        <v>6</v>
      </c>
      <c r="AI34">
        <v>659.83333333329995</v>
      </c>
      <c r="AL34" t="s">
        <v>428</v>
      </c>
      <c r="AM34">
        <v>114</v>
      </c>
      <c r="AN34">
        <v>76</v>
      </c>
      <c r="AO34">
        <v>310.7894736842</v>
      </c>
      <c r="AP34">
        <v>15</v>
      </c>
      <c r="AQ34">
        <v>441.3333333333</v>
      </c>
      <c r="AR34">
        <v>28</v>
      </c>
      <c r="AS34">
        <v>205</v>
      </c>
      <c r="AT34">
        <v>10</v>
      </c>
      <c r="AU34">
        <v>353.5</v>
      </c>
    </row>
    <row r="35" spans="6:49" x14ac:dyDescent="0.2">
      <c r="F35" t="s">
        <v>53</v>
      </c>
      <c r="G35">
        <v>4792</v>
      </c>
      <c r="H35">
        <v>3172</v>
      </c>
      <c r="I35">
        <v>507.12168978559998</v>
      </c>
      <c r="J35">
        <v>575</v>
      </c>
      <c r="K35">
        <v>455.0556521739</v>
      </c>
      <c r="L35">
        <v>902</v>
      </c>
      <c r="M35">
        <v>550.08314855879996</v>
      </c>
      <c r="N35">
        <v>712</v>
      </c>
      <c r="O35">
        <v>601.50702247189997</v>
      </c>
      <c r="R35">
        <v>6</v>
      </c>
      <c r="S35">
        <v>693.66666666670005</v>
      </c>
      <c r="V35" t="s">
        <v>384</v>
      </c>
      <c r="W35">
        <v>13342</v>
      </c>
      <c r="X35">
        <v>10342</v>
      </c>
      <c r="Y35">
        <v>381.23044193020002</v>
      </c>
      <c r="Z35">
        <v>425</v>
      </c>
      <c r="AA35">
        <v>672.47529411760001</v>
      </c>
      <c r="AB35">
        <v>1733</v>
      </c>
      <c r="AC35">
        <v>514.1684939411</v>
      </c>
      <c r="AD35">
        <v>908</v>
      </c>
      <c r="AE35">
        <v>576.01101321589999</v>
      </c>
      <c r="AF35">
        <v>333</v>
      </c>
      <c r="AG35">
        <v>181.9909638554</v>
      </c>
      <c r="AH35">
        <v>26</v>
      </c>
      <c r="AI35">
        <v>584.03846153849997</v>
      </c>
      <c r="AL35" t="s">
        <v>384</v>
      </c>
      <c r="AM35">
        <v>176</v>
      </c>
      <c r="AN35">
        <v>142</v>
      </c>
      <c r="AO35">
        <v>277.5070422535</v>
      </c>
      <c r="AP35">
        <v>31</v>
      </c>
      <c r="AQ35">
        <v>381.3548387097</v>
      </c>
      <c r="AR35">
        <v>30</v>
      </c>
      <c r="AS35">
        <v>175</v>
      </c>
      <c r="AT35">
        <v>4</v>
      </c>
      <c r="AU35">
        <v>206.25</v>
      </c>
    </row>
    <row r="36" spans="6:49" x14ac:dyDescent="0.2">
      <c r="F36" t="s">
        <v>57</v>
      </c>
      <c r="G36">
        <v>10149</v>
      </c>
      <c r="H36">
        <v>5057</v>
      </c>
      <c r="I36">
        <v>265.72561819980001</v>
      </c>
      <c r="J36">
        <v>669</v>
      </c>
      <c r="K36">
        <v>581.13004484299995</v>
      </c>
      <c r="L36">
        <v>3769</v>
      </c>
      <c r="M36">
        <v>738.87821703370003</v>
      </c>
      <c r="N36">
        <v>1296</v>
      </c>
      <c r="O36">
        <v>487.63861003860001</v>
      </c>
      <c r="R36">
        <v>27</v>
      </c>
      <c r="S36">
        <v>504.3703703704</v>
      </c>
      <c r="V36" t="s">
        <v>381</v>
      </c>
      <c r="W36">
        <v>90476</v>
      </c>
      <c r="X36">
        <v>67933</v>
      </c>
      <c r="Y36">
        <v>439.16699300699997</v>
      </c>
      <c r="Z36">
        <v>5085</v>
      </c>
      <c r="AA36">
        <v>679.83539823010005</v>
      </c>
      <c r="AB36">
        <v>11739</v>
      </c>
      <c r="AC36">
        <v>584.40318596129998</v>
      </c>
      <c r="AD36">
        <v>7642</v>
      </c>
      <c r="AE36">
        <v>506.17779523439998</v>
      </c>
      <c r="AF36">
        <v>3043</v>
      </c>
      <c r="AG36">
        <v>174.54718842490001</v>
      </c>
      <c r="AH36">
        <v>119</v>
      </c>
      <c r="AI36">
        <v>479.89075630249999</v>
      </c>
      <c r="AL36" t="s">
        <v>381</v>
      </c>
      <c r="AM36">
        <v>1898</v>
      </c>
      <c r="AN36">
        <v>1459</v>
      </c>
      <c r="AO36">
        <v>320.7601096642</v>
      </c>
      <c r="AP36">
        <v>267</v>
      </c>
      <c r="AQ36">
        <v>465.60674157300002</v>
      </c>
      <c r="AR36">
        <v>374</v>
      </c>
      <c r="AS36">
        <v>253.3288770053</v>
      </c>
      <c r="AT36">
        <v>63</v>
      </c>
      <c r="AU36">
        <v>288.69841269839998</v>
      </c>
      <c r="AV36">
        <v>2</v>
      </c>
      <c r="AW36">
        <v>347</v>
      </c>
    </row>
    <row r="37" spans="6:49" x14ac:dyDescent="0.2">
      <c r="F37" t="s">
        <v>77</v>
      </c>
      <c r="G37">
        <v>30481</v>
      </c>
      <c r="H37">
        <v>27588</v>
      </c>
      <c r="I37">
        <v>462.79279344600002</v>
      </c>
      <c r="J37">
        <v>1552</v>
      </c>
      <c r="K37">
        <v>733.22100515459999</v>
      </c>
      <c r="L37">
        <v>757</v>
      </c>
      <c r="M37">
        <v>304.71202113610002</v>
      </c>
      <c r="N37">
        <v>2122</v>
      </c>
      <c r="O37">
        <v>320.68614514609999</v>
      </c>
      <c r="R37">
        <v>14</v>
      </c>
      <c r="S37">
        <v>283.14285714290003</v>
      </c>
      <c r="V37" t="s">
        <v>407</v>
      </c>
      <c r="W37">
        <v>507</v>
      </c>
      <c r="X37">
        <v>259</v>
      </c>
      <c r="Y37">
        <v>137.4131274131</v>
      </c>
      <c r="Z37">
        <v>240</v>
      </c>
      <c r="AA37">
        <v>193.88749999999999</v>
      </c>
      <c r="AB37">
        <v>91</v>
      </c>
      <c r="AC37">
        <v>144.6043956044</v>
      </c>
      <c r="AD37">
        <v>101</v>
      </c>
      <c r="AE37">
        <v>230.98019801980001</v>
      </c>
      <c r="AF37">
        <v>52</v>
      </c>
      <c r="AG37">
        <v>173.07692307689999</v>
      </c>
      <c r="AH37">
        <v>4</v>
      </c>
      <c r="AI37">
        <v>400.5</v>
      </c>
      <c r="AL37" t="s">
        <v>407</v>
      </c>
      <c r="AM37">
        <v>16</v>
      </c>
      <c r="AN37">
        <v>10</v>
      </c>
      <c r="AO37">
        <v>107</v>
      </c>
      <c r="AP37">
        <v>10</v>
      </c>
      <c r="AQ37">
        <v>205.4</v>
      </c>
      <c r="AR37">
        <v>5</v>
      </c>
      <c r="AS37">
        <v>286.39999999999998</v>
      </c>
      <c r="AT37">
        <v>1</v>
      </c>
      <c r="AU37">
        <v>89</v>
      </c>
    </row>
    <row r="38" spans="6:49" x14ac:dyDescent="0.2">
      <c r="F38" t="s">
        <v>381</v>
      </c>
      <c r="G38">
        <v>89210</v>
      </c>
      <c r="H38">
        <v>69469</v>
      </c>
      <c r="I38">
        <v>440.21070816719998</v>
      </c>
      <c r="J38">
        <v>5181</v>
      </c>
      <c r="K38">
        <v>676.08724184519997</v>
      </c>
      <c r="L38">
        <v>11858</v>
      </c>
      <c r="M38">
        <v>576.82197672459995</v>
      </c>
      <c r="N38">
        <v>7764</v>
      </c>
      <c r="O38">
        <v>507.44072164950001</v>
      </c>
      <c r="R38">
        <v>119</v>
      </c>
      <c r="S38">
        <v>471.68907563030001</v>
      </c>
      <c r="V38" t="s">
        <v>411</v>
      </c>
      <c r="W38">
        <v>41706</v>
      </c>
      <c r="X38">
        <v>29836</v>
      </c>
      <c r="Y38">
        <v>460.43196138889999</v>
      </c>
      <c r="Z38">
        <v>2145</v>
      </c>
      <c r="AA38">
        <v>678.434032634</v>
      </c>
      <c r="AB38">
        <v>8464</v>
      </c>
      <c r="AC38">
        <v>722.66611531189994</v>
      </c>
      <c r="AD38">
        <v>2200</v>
      </c>
      <c r="AE38">
        <v>541.47406733390005</v>
      </c>
      <c r="AF38">
        <v>1153</v>
      </c>
      <c r="AG38">
        <v>178.64440589770001</v>
      </c>
      <c r="AH38">
        <v>53</v>
      </c>
      <c r="AI38">
        <v>595.39622641510005</v>
      </c>
      <c r="AL38" t="s">
        <v>411</v>
      </c>
      <c r="AM38">
        <v>527</v>
      </c>
      <c r="AN38">
        <v>361</v>
      </c>
      <c r="AO38">
        <v>307.63988919669998</v>
      </c>
      <c r="AP38">
        <v>211</v>
      </c>
      <c r="AQ38">
        <v>514.83412322269999</v>
      </c>
      <c r="AR38">
        <v>148</v>
      </c>
      <c r="AS38">
        <v>310.06756756760001</v>
      </c>
      <c r="AT38">
        <v>17</v>
      </c>
      <c r="AU38">
        <v>363.3529411765</v>
      </c>
      <c r="AV38">
        <v>1</v>
      </c>
      <c r="AW38">
        <v>2</v>
      </c>
    </row>
    <row r="39" spans="6:49" x14ac:dyDescent="0.2">
      <c r="F39" t="s">
        <v>79</v>
      </c>
      <c r="G39">
        <v>19580</v>
      </c>
      <c r="H39">
        <v>14948</v>
      </c>
      <c r="I39">
        <v>412.62409686910001</v>
      </c>
      <c r="J39">
        <v>1131</v>
      </c>
      <c r="K39">
        <v>655.83996463309995</v>
      </c>
      <c r="L39">
        <v>3668</v>
      </c>
      <c r="M39">
        <v>759.76090512539997</v>
      </c>
      <c r="N39">
        <v>936</v>
      </c>
      <c r="O39">
        <v>471.04914529910002</v>
      </c>
      <c r="R39">
        <v>28</v>
      </c>
      <c r="S39">
        <v>670.64285714289997</v>
      </c>
      <c r="V39" t="s">
        <v>419</v>
      </c>
      <c r="W39">
        <v>436</v>
      </c>
      <c r="X39">
        <v>233</v>
      </c>
      <c r="Y39">
        <v>175.8583690987</v>
      </c>
      <c r="Z39">
        <v>82</v>
      </c>
      <c r="AA39">
        <v>241.82926829269999</v>
      </c>
      <c r="AB39">
        <v>114</v>
      </c>
      <c r="AC39">
        <v>307.55263157889999</v>
      </c>
      <c r="AD39">
        <v>62</v>
      </c>
      <c r="AE39">
        <v>449.56451612900003</v>
      </c>
      <c r="AF39">
        <v>25</v>
      </c>
      <c r="AG39">
        <v>291.16000000000003</v>
      </c>
      <c r="AH39">
        <v>2</v>
      </c>
      <c r="AI39">
        <v>576.5</v>
      </c>
      <c r="AL39" t="s">
        <v>419</v>
      </c>
      <c r="AM39">
        <v>7</v>
      </c>
      <c r="AN39">
        <v>6</v>
      </c>
      <c r="AO39">
        <v>222.6666666667</v>
      </c>
      <c r="AP39">
        <v>3</v>
      </c>
      <c r="AQ39">
        <v>208.6666666667</v>
      </c>
      <c r="AR39">
        <v>1</v>
      </c>
      <c r="AS39">
        <v>194</v>
      </c>
    </row>
    <row r="40" spans="6:49" x14ac:dyDescent="0.2">
      <c r="F40" t="s">
        <v>40</v>
      </c>
      <c r="G40">
        <v>6414</v>
      </c>
      <c r="H40">
        <v>3678</v>
      </c>
      <c r="I40">
        <v>271.62669929309999</v>
      </c>
      <c r="J40">
        <v>217</v>
      </c>
      <c r="K40">
        <v>544.04147465439996</v>
      </c>
      <c r="L40">
        <v>2358</v>
      </c>
      <c r="M40">
        <v>748.12213740460004</v>
      </c>
      <c r="N40">
        <v>359</v>
      </c>
      <c r="O40">
        <v>416.3676880223</v>
      </c>
      <c r="R40">
        <v>19</v>
      </c>
      <c r="S40">
        <v>335.42105263159999</v>
      </c>
      <c r="V40" t="s">
        <v>422</v>
      </c>
      <c r="W40">
        <v>274</v>
      </c>
      <c r="X40">
        <v>175</v>
      </c>
      <c r="Y40">
        <v>260.47428571429998</v>
      </c>
      <c r="Z40">
        <v>72</v>
      </c>
      <c r="AA40">
        <v>411.9583333333</v>
      </c>
      <c r="AB40">
        <v>50</v>
      </c>
      <c r="AC40">
        <v>412.18</v>
      </c>
      <c r="AD40">
        <v>26</v>
      </c>
      <c r="AE40">
        <v>350.88461538460001</v>
      </c>
      <c r="AF40">
        <v>22</v>
      </c>
      <c r="AG40">
        <v>212.1818181818</v>
      </c>
      <c r="AH40">
        <v>1</v>
      </c>
      <c r="AI40">
        <v>376</v>
      </c>
      <c r="AL40" t="s">
        <v>422</v>
      </c>
      <c r="AM40">
        <v>6</v>
      </c>
      <c r="AN40">
        <v>2</v>
      </c>
      <c r="AO40">
        <v>544.5</v>
      </c>
      <c r="AR40">
        <v>4</v>
      </c>
      <c r="AS40">
        <v>184</v>
      </c>
    </row>
    <row r="41" spans="6:49" x14ac:dyDescent="0.2">
      <c r="F41" t="s">
        <v>46</v>
      </c>
      <c r="G41">
        <v>20483</v>
      </c>
      <c r="H41">
        <v>14400</v>
      </c>
      <c r="I41">
        <v>522.01479269389995</v>
      </c>
      <c r="J41">
        <v>1027</v>
      </c>
      <c r="K41">
        <v>715.83544303799999</v>
      </c>
      <c r="L41">
        <v>4830</v>
      </c>
      <c r="M41">
        <v>701.22380952380001</v>
      </c>
      <c r="N41">
        <v>1229</v>
      </c>
      <c r="O41">
        <v>611.75876120620001</v>
      </c>
      <c r="R41">
        <v>24</v>
      </c>
      <c r="S41">
        <v>511.7916666667</v>
      </c>
      <c r="V41" t="s">
        <v>412</v>
      </c>
      <c r="W41">
        <v>5336</v>
      </c>
      <c r="X41">
        <v>4082</v>
      </c>
      <c r="Y41">
        <v>479.10338069570003</v>
      </c>
      <c r="Z41">
        <v>280</v>
      </c>
      <c r="AA41">
        <v>895.4035714286</v>
      </c>
      <c r="AB41">
        <v>594</v>
      </c>
      <c r="AC41">
        <v>279.95286195289998</v>
      </c>
      <c r="AD41">
        <v>471</v>
      </c>
      <c r="AE41">
        <v>562.39490445859997</v>
      </c>
      <c r="AF41">
        <v>185</v>
      </c>
      <c r="AG41">
        <v>200.71891891889999</v>
      </c>
      <c r="AH41">
        <v>4</v>
      </c>
      <c r="AI41">
        <v>232</v>
      </c>
      <c r="AL41" t="s">
        <v>412</v>
      </c>
      <c r="AM41">
        <v>164</v>
      </c>
      <c r="AN41">
        <v>122</v>
      </c>
      <c r="AO41">
        <v>391.99180327869999</v>
      </c>
      <c r="AP41">
        <v>18</v>
      </c>
      <c r="AQ41">
        <v>709.38888888890006</v>
      </c>
      <c r="AR41">
        <v>39</v>
      </c>
      <c r="AS41">
        <v>318.12820512820002</v>
      </c>
      <c r="AT41">
        <v>3</v>
      </c>
      <c r="AU41">
        <v>682.66666666670005</v>
      </c>
    </row>
    <row r="42" spans="6:49" x14ac:dyDescent="0.2">
      <c r="F42" t="s">
        <v>49</v>
      </c>
      <c r="G42">
        <v>4635</v>
      </c>
      <c r="H42">
        <v>3090</v>
      </c>
      <c r="I42">
        <v>317.72783171520001</v>
      </c>
      <c r="J42">
        <v>302</v>
      </c>
      <c r="K42">
        <v>571.33443708610002</v>
      </c>
      <c r="L42">
        <v>1024</v>
      </c>
      <c r="M42">
        <v>390.9794921875</v>
      </c>
      <c r="N42">
        <v>505</v>
      </c>
      <c r="O42">
        <v>582.69306930690004</v>
      </c>
      <c r="R42">
        <v>16</v>
      </c>
      <c r="S42">
        <v>508</v>
      </c>
      <c r="V42" t="s">
        <v>404</v>
      </c>
      <c r="W42">
        <v>6522</v>
      </c>
      <c r="X42">
        <v>3667</v>
      </c>
      <c r="Y42">
        <v>279.50640850830001</v>
      </c>
      <c r="Z42">
        <v>212</v>
      </c>
      <c r="AA42">
        <v>545.37735849060005</v>
      </c>
      <c r="AB42">
        <v>2247</v>
      </c>
      <c r="AC42">
        <v>735.58388963059997</v>
      </c>
      <c r="AD42">
        <v>353</v>
      </c>
      <c r="AE42">
        <v>434.00283286119998</v>
      </c>
      <c r="AF42">
        <v>238</v>
      </c>
      <c r="AG42">
        <v>179.15966386549999</v>
      </c>
      <c r="AH42">
        <v>17</v>
      </c>
      <c r="AI42">
        <v>350.4705882353</v>
      </c>
      <c r="AL42" t="s">
        <v>404</v>
      </c>
      <c r="AM42">
        <v>85</v>
      </c>
      <c r="AN42">
        <v>59</v>
      </c>
      <c r="AO42">
        <v>253.05084745760001</v>
      </c>
      <c r="AP42">
        <v>24</v>
      </c>
      <c r="AQ42">
        <v>260.6666666667</v>
      </c>
      <c r="AR42">
        <v>23</v>
      </c>
      <c r="AS42">
        <v>542.69565217390004</v>
      </c>
      <c r="AT42">
        <v>3</v>
      </c>
      <c r="AU42">
        <v>181</v>
      </c>
    </row>
    <row r="43" spans="6:49" x14ac:dyDescent="0.2">
      <c r="F43" t="s">
        <v>36</v>
      </c>
      <c r="G43">
        <v>218</v>
      </c>
      <c r="H43">
        <v>151</v>
      </c>
      <c r="I43">
        <v>257.5298013245</v>
      </c>
      <c r="J43">
        <v>79</v>
      </c>
      <c r="K43">
        <v>413.01265822779999</v>
      </c>
      <c r="L43">
        <v>40</v>
      </c>
      <c r="M43">
        <v>286.35000000000002</v>
      </c>
      <c r="N43">
        <v>27</v>
      </c>
      <c r="O43">
        <v>333.74074074070001</v>
      </c>
      <c r="V43" t="s">
        <v>413</v>
      </c>
      <c r="W43">
        <v>4652</v>
      </c>
      <c r="X43">
        <v>2964</v>
      </c>
      <c r="Y43">
        <v>205.22031039140001</v>
      </c>
      <c r="Z43">
        <v>527</v>
      </c>
      <c r="AA43">
        <v>337.7039848197</v>
      </c>
      <c r="AB43">
        <v>943</v>
      </c>
      <c r="AC43">
        <v>255.5355249205</v>
      </c>
      <c r="AD43">
        <v>467</v>
      </c>
      <c r="AE43">
        <v>311.98501070660001</v>
      </c>
      <c r="AF43">
        <v>273</v>
      </c>
      <c r="AG43">
        <v>184.58241758240001</v>
      </c>
      <c r="AH43">
        <v>5</v>
      </c>
      <c r="AI43">
        <v>166</v>
      </c>
      <c r="AL43" t="s">
        <v>413</v>
      </c>
      <c r="AM43">
        <v>99</v>
      </c>
      <c r="AN43">
        <v>70</v>
      </c>
      <c r="AO43">
        <v>161.0142857143</v>
      </c>
      <c r="AP43">
        <v>46</v>
      </c>
      <c r="AQ43">
        <v>247.41304347830001</v>
      </c>
      <c r="AR43">
        <v>22</v>
      </c>
      <c r="AS43">
        <v>184.86363636359999</v>
      </c>
      <c r="AT43">
        <v>6</v>
      </c>
      <c r="AU43">
        <v>316.8333333333</v>
      </c>
      <c r="AV43">
        <v>1</v>
      </c>
      <c r="AW43">
        <v>220</v>
      </c>
    </row>
    <row r="44" spans="6:49" x14ac:dyDescent="0.2">
      <c r="F44" t="s">
        <v>27</v>
      </c>
      <c r="G44">
        <v>4326</v>
      </c>
      <c r="H44">
        <v>2908</v>
      </c>
      <c r="I44">
        <v>195.40543328749999</v>
      </c>
      <c r="J44">
        <v>526</v>
      </c>
      <c r="K44">
        <v>333.44486692020001</v>
      </c>
      <c r="L44">
        <v>937</v>
      </c>
      <c r="M44">
        <v>247.03201707580001</v>
      </c>
      <c r="N44">
        <v>476</v>
      </c>
      <c r="O44">
        <v>306.59663865549999</v>
      </c>
      <c r="R44">
        <v>5</v>
      </c>
      <c r="S44">
        <v>166</v>
      </c>
      <c r="V44" t="s">
        <v>388</v>
      </c>
      <c r="W44">
        <v>5995</v>
      </c>
      <c r="X44">
        <v>4883</v>
      </c>
      <c r="Y44">
        <v>447.98423100550002</v>
      </c>
      <c r="Z44">
        <v>323</v>
      </c>
      <c r="AA44">
        <v>673.66253869970001</v>
      </c>
      <c r="AB44">
        <v>534</v>
      </c>
      <c r="AC44">
        <v>418.08052434460001</v>
      </c>
      <c r="AD44">
        <v>373</v>
      </c>
      <c r="AE44">
        <v>434.68632707770001</v>
      </c>
      <c r="AF44">
        <v>184</v>
      </c>
      <c r="AG44">
        <v>181.03260869569999</v>
      </c>
      <c r="AH44">
        <v>21</v>
      </c>
      <c r="AI44">
        <v>374.85714285709997</v>
      </c>
      <c r="AL44" t="s">
        <v>388</v>
      </c>
      <c r="AM44">
        <v>198</v>
      </c>
      <c r="AN44">
        <v>154</v>
      </c>
      <c r="AO44">
        <v>391.53246753249999</v>
      </c>
      <c r="AP44">
        <v>9</v>
      </c>
      <c r="AQ44">
        <v>767.11111111109994</v>
      </c>
      <c r="AR44">
        <v>43</v>
      </c>
      <c r="AS44">
        <v>264.79069767440001</v>
      </c>
      <c r="AT44">
        <v>1</v>
      </c>
      <c r="AU44">
        <v>194</v>
      </c>
    </row>
    <row r="45" spans="6:49" x14ac:dyDescent="0.2">
      <c r="F45" t="s">
        <v>51</v>
      </c>
      <c r="G45">
        <v>5302</v>
      </c>
      <c r="H45">
        <v>4219</v>
      </c>
      <c r="I45">
        <v>482.01303626449999</v>
      </c>
      <c r="J45">
        <v>285</v>
      </c>
      <c r="K45">
        <v>912.11929824560002</v>
      </c>
      <c r="L45">
        <v>594</v>
      </c>
      <c r="M45">
        <v>260.93097643099998</v>
      </c>
      <c r="N45">
        <v>484</v>
      </c>
      <c r="O45">
        <v>579.88842975210002</v>
      </c>
      <c r="R45">
        <v>5</v>
      </c>
      <c r="S45">
        <v>284.60000000000002</v>
      </c>
      <c r="V45" t="s">
        <v>390</v>
      </c>
      <c r="W45">
        <v>4851</v>
      </c>
      <c r="X45">
        <v>3130</v>
      </c>
      <c r="Y45">
        <v>325.50543130990002</v>
      </c>
      <c r="Z45">
        <v>309</v>
      </c>
      <c r="AA45">
        <v>577.13592233010002</v>
      </c>
      <c r="AB45">
        <v>1044</v>
      </c>
      <c r="AC45">
        <v>401.21839080460001</v>
      </c>
      <c r="AD45">
        <v>510</v>
      </c>
      <c r="AE45">
        <v>589.63921568629996</v>
      </c>
      <c r="AF45">
        <v>151</v>
      </c>
      <c r="AG45">
        <v>237.4900662252</v>
      </c>
      <c r="AH45">
        <v>16</v>
      </c>
      <c r="AI45">
        <v>508</v>
      </c>
      <c r="AL45" t="s">
        <v>390</v>
      </c>
      <c r="AM45">
        <v>174</v>
      </c>
      <c r="AN45">
        <v>126</v>
      </c>
      <c r="AO45">
        <v>319.80158730160002</v>
      </c>
      <c r="AP45">
        <v>6</v>
      </c>
      <c r="AQ45">
        <v>452.3333333333</v>
      </c>
      <c r="AR45">
        <v>46</v>
      </c>
      <c r="AS45">
        <v>409.02173913040002</v>
      </c>
      <c r="AT45">
        <v>2</v>
      </c>
      <c r="AU45">
        <v>471.5</v>
      </c>
    </row>
    <row r="46" spans="6:49" x14ac:dyDescent="0.2">
      <c r="F46" t="s">
        <v>59</v>
      </c>
      <c r="G46">
        <v>5836</v>
      </c>
      <c r="H46">
        <v>4904</v>
      </c>
      <c r="I46">
        <v>450.70942088089998</v>
      </c>
      <c r="J46">
        <v>313</v>
      </c>
      <c r="K46">
        <v>672.08306709270005</v>
      </c>
      <c r="L46">
        <v>535</v>
      </c>
      <c r="M46">
        <v>393.71775700929999</v>
      </c>
      <c r="N46">
        <v>377</v>
      </c>
      <c r="O46">
        <v>448.81432360740001</v>
      </c>
      <c r="R46">
        <v>20</v>
      </c>
      <c r="S46">
        <v>391.65</v>
      </c>
      <c r="V46" t="s">
        <v>386</v>
      </c>
      <c r="W46">
        <v>70279</v>
      </c>
      <c r="X46">
        <v>49229</v>
      </c>
      <c r="Y46">
        <v>419.56688130980001</v>
      </c>
      <c r="Z46">
        <v>4190</v>
      </c>
      <c r="AA46">
        <v>594.62911694510001</v>
      </c>
      <c r="AB46">
        <v>14081</v>
      </c>
      <c r="AC46">
        <v>631.18535615370001</v>
      </c>
      <c r="AD46">
        <v>4563</v>
      </c>
      <c r="AE46">
        <v>499.26046919539999</v>
      </c>
      <c r="AF46">
        <v>2283</v>
      </c>
      <c r="AG46">
        <v>186.7100306614</v>
      </c>
      <c r="AH46">
        <v>123</v>
      </c>
      <c r="AI46">
        <v>474.82113821140001</v>
      </c>
      <c r="AL46" t="s">
        <v>386</v>
      </c>
      <c r="AM46">
        <v>1276</v>
      </c>
      <c r="AN46">
        <v>910</v>
      </c>
      <c r="AO46">
        <v>317.76703296699998</v>
      </c>
      <c r="AP46">
        <v>327</v>
      </c>
      <c r="AQ46">
        <v>462.7951070336</v>
      </c>
      <c r="AR46">
        <v>331</v>
      </c>
      <c r="AS46">
        <v>324.49848942599999</v>
      </c>
      <c r="AT46">
        <v>33</v>
      </c>
      <c r="AU46">
        <v>360.45454545450002</v>
      </c>
      <c r="AV46">
        <v>2</v>
      </c>
      <c r="AW46">
        <v>111</v>
      </c>
    </row>
    <row r="47" spans="6:49" x14ac:dyDescent="0.2">
      <c r="F47" t="s">
        <v>181</v>
      </c>
      <c r="G47">
        <v>343</v>
      </c>
      <c r="H47">
        <v>183</v>
      </c>
      <c r="I47">
        <v>105.3114754098</v>
      </c>
      <c r="J47">
        <v>78</v>
      </c>
      <c r="K47">
        <v>237.57692307689999</v>
      </c>
      <c r="L47">
        <v>99</v>
      </c>
      <c r="M47">
        <v>277.23232323230002</v>
      </c>
      <c r="N47">
        <v>59</v>
      </c>
      <c r="O47">
        <v>442.6949152542</v>
      </c>
      <c r="R47">
        <v>2</v>
      </c>
      <c r="S47">
        <v>576.5</v>
      </c>
      <c r="V47" t="s">
        <v>417</v>
      </c>
      <c r="W47">
        <v>448</v>
      </c>
      <c r="X47">
        <v>306</v>
      </c>
      <c r="Y47">
        <v>258.54901960780001</v>
      </c>
      <c r="Z47">
        <v>44</v>
      </c>
      <c r="AA47">
        <v>376.02272727270002</v>
      </c>
      <c r="AB47">
        <v>39</v>
      </c>
      <c r="AC47">
        <v>414.87179487179998</v>
      </c>
      <c r="AD47">
        <v>77</v>
      </c>
      <c r="AE47">
        <v>264.97402597400003</v>
      </c>
      <c r="AF47">
        <v>23</v>
      </c>
      <c r="AG47">
        <v>212.21739130430001</v>
      </c>
      <c r="AH47">
        <v>3</v>
      </c>
      <c r="AI47">
        <v>208.6666666667</v>
      </c>
      <c r="AL47" t="s">
        <v>417</v>
      </c>
      <c r="AM47">
        <v>24</v>
      </c>
      <c r="AN47">
        <v>23</v>
      </c>
      <c r="AO47">
        <v>193.82608695650001</v>
      </c>
      <c r="AP47">
        <v>5</v>
      </c>
      <c r="AQ47">
        <v>281</v>
      </c>
      <c r="AR47">
        <v>1</v>
      </c>
      <c r="AS47">
        <v>29</v>
      </c>
    </row>
    <row r="48" spans="6:49" x14ac:dyDescent="0.2">
      <c r="F48" t="s">
        <v>70</v>
      </c>
      <c r="G48">
        <v>1162</v>
      </c>
      <c r="H48">
        <v>959</v>
      </c>
      <c r="I48">
        <v>236.99791449430001</v>
      </c>
      <c r="J48">
        <v>257</v>
      </c>
      <c r="K48">
        <v>194.25680933850001</v>
      </c>
      <c r="L48">
        <v>93</v>
      </c>
      <c r="M48">
        <v>126.76344086020001</v>
      </c>
      <c r="N48">
        <v>107</v>
      </c>
      <c r="O48">
        <v>207.43925233639999</v>
      </c>
      <c r="R48">
        <v>3</v>
      </c>
      <c r="S48">
        <v>261.6666666667</v>
      </c>
      <c r="V48" t="s">
        <v>418</v>
      </c>
      <c r="W48">
        <v>102</v>
      </c>
      <c r="X48">
        <v>65</v>
      </c>
      <c r="Y48">
        <v>157.52307692310001</v>
      </c>
      <c r="Z48">
        <v>50</v>
      </c>
      <c r="AA48">
        <v>223.28</v>
      </c>
      <c r="AB48">
        <v>6</v>
      </c>
      <c r="AC48">
        <v>297</v>
      </c>
      <c r="AD48">
        <v>20</v>
      </c>
      <c r="AE48">
        <v>392.85</v>
      </c>
      <c r="AF48">
        <v>10</v>
      </c>
      <c r="AG48">
        <v>163.19999999999999</v>
      </c>
      <c r="AH48">
        <v>1</v>
      </c>
      <c r="AI48">
        <v>206</v>
      </c>
      <c r="AL48" t="s">
        <v>418</v>
      </c>
      <c r="AM48">
        <v>8</v>
      </c>
      <c r="AN48">
        <v>7</v>
      </c>
      <c r="AO48">
        <v>181.42857142860001</v>
      </c>
      <c r="AP48">
        <v>4</v>
      </c>
      <c r="AQ48">
        <v>232</v>
      </c>
      <c r="AT48">
        <v>1</v>
      </c>
      <c r="AU48">
        <v>646</v>
      </c>
    </row>
    <row r="49" spans="6:49" x14ac:dyDescent="0.2">
      <c r="F49" t="s">
        <v>386</v>
      </c>
      <c r="G49">
        <v>68299</v>
      </c>
      <c r="H49">
        <v>49440</v>
      </c>
      <c r="I49">
        <v>419.96781892839999</v>
      </c>
      <c r="J49">
        <v>4215</v>
      </c>
      <c r="K49">
        <v>596.51459074729996</v>
      </c>
      <c r="L49">
        <v>14178</v>
      </c>
      <c r="M49">
        <v>633.79454083789994</v>
      </c>
      <c r="N49">
        <v>4559</v>
      </c>
      <c r="O49">
        <v>502.17270133860001</v>
      </c>
      <c r="R49">
        <v>122</v>
      </c>
      <c r="S49">
        <v>472.01639344260002</v>
      </c>
      <c r="V49" t="s">
        <v>424</v>
      </c>
      <c r="W49">
        <v>608</v>
      </c>
      <c r="X49">
        <v>364</v>
      </c>
      <c r="Y49">
        <v>363.52197802199998</v>
      </c>
      <c r="Z49">
        <v>54</v>
      </c>
      <c r="AA49">
        <v>537.94444444440001</v>
      </c>
      <c r="AB49">
        <v>139</v>
      </c>
      <c r="AC49">
        <v>447.52517985610001</v>
      </c>
      <c r="AD49">
        <v>77</v>
      </c>
      <c r="AE49">
        <v>606</v>
      </c>
      <c r="AF49">
        <v>26</v>
      </c>
      <c r="AG49">
        <v>153.88461538460001</v>
      </c>
      <c r="AH49">
        <v>2</v>
      </c>
      <c r="AI49">
        <v>179.5</v>
      </c>
      <c r="AL49" t="s">
        <v>424</v>
      </c>
      <c r="AM49">
        <v>14</v>
      </c>
      <c r="AN49">
        <v>14</v>
      </c>
      <c r="AO49">
        <v>283.42857142859998</v>
      </c>
      <c r="AP49">
        <v>2</v>
      </c>
      <c r="AQ49">
        <v>325</v>
      </c>
    </row>
    <row r="50" spans="6:49" x14ac:dyDescent="0.2">
      <c r="F50" t="s">
        <v>212</v>
      </c>
      <c r="G50">
        <v>1592</v>
      </c>
      <c r="H50">
        <v>1132</v>
      </c>
      <c r="I50">
        <v>249.3975265018</v>
      </c>
      <c r="J50">
        <v>620</v>
      </c>
      <c r="K50">
        <v>381.30161290320001</v>
      </c>
      <c r="L50">
        <v>399</v>
      </c>
      <c r="M50">
        <v>262.30325814539998</v>
      </c>
      <c r="N50">
        <v>61</v>
      </c>
      <c r="O50">
        <v>253.67213114750001</v>
      </c>
      <c r="V50" t="s">
        <v>377</v>
      </c>
      <c r="W50">
        <v>5719</v>
      </c>
      <c r="X50">
        <v>4562</v>
      </c>
      <c r="Y50">
        <v>573.31587023240002</v>
      </c>
      <c r="Z50">
        <v>168</v>
      </c>
      <c r="AA50">
        <v>835.83333333329995</v>
      </c>
      <c r="AB50">
        <v>780</v>
      </c>
      <c r="AC50">
        <v>792.48589743590003</v>
      </c>
      <c r="AD50">
        <v>287</v>
      </c>
      <c r="AE50">
        <v>622.75609756100005</v>
      </c>
      <c r="AF50">
        <v>87</v>
      </c>
      <c r="AG50">
        <v>133.85057471260001</v>
      </c>
      <c r="AH50">
        <v>3</v>
      </c>
      <c r="AI50">
        <v>743</v>
      </c>
      <c r="AL50" t="s">
        <v>377</v>
      </c>
      <c r="AM50">
        <v>81</v>
      </c>
      <c r="AN50">
        <v>71</v>
      </c>
      <c r="AO50">
        <v>254.2394366197</v>
      </c>
      <c r="AP50">
        <v>15</v>
      </c>
      <c r="AQ50">
        <v>364.3333333333</v>
      </c>
      <c r="AR50">
        <v>7</v>
      </c>
      <c r="AS50">
        <v>293.85714285709997</v>
      </c>
      <c r="AT50">
        <v>3</v>
      </c>
      <c r="AU50">
        <v>370.6666666667</v>
      </c>
    </row>
    <row r="51" spans="6:49" x14ac:dyDescent="0.2">
      <c r="F51" t="s">
        <v>209</v>
      </c>
      <c r="G51">
        <v>2634</v>
      </c>
      <c r="H51">
        <v>2011</v>
      </c>
      <c r="I51">
        <v>389.6255594232</v>
      </c>
      <c r="J51">
        <v>178</v>
      </c>
      <c r="K51">
        <v>692.82584269660003</v>
      </c>
      <c r="L51">
        <v>569</v>
      </c>
      <c r="M51">
        <v>362.13532513180002</v>
      </c>
      <c r="N51">
        <v>54</v>
      </c>
      <c r="O51">
        <v>328.7222222222</v>
      </c>
      <c r="V51" t="s">
        <v>60</v>
      </c>
      <c r="W51">
        <v>5326</v>
      </c>
      <c r="X51">
        <v>3541</v>
      </c>
      <c r="Y51">
        <v>249.6331544761</v>
      </c>
      <c r="Z51">
        <v>728</v>
      </c>
      <c r="AA51">
        <v>407.86675824180003</v>
      </c>
      <c r="AB51">
        <v>897</v>
      </c>
      <c r="AC51">
        <v>290.12709030100001</v>
      </c>
      <c r="AD51">
        <v>626</v>
      </c>
      <c r="AE51">
        <v>611.24760383390003</v>
      </c>
      <c r="AF51">
        <v>246</v>
      </c>
      <c r="AG51">
        <v>172.1382113821</v>
      </c>
      <c r="AH51">
        <v>16</v>
      </c>
      <c r="AI51">
        <v>868</v>
      </c>
      <c r="AL51" t="s">
        <v>60</v>
      </c>
      <c r="AM51">
        <v>251</v>
      </c>
      <c r="AN51">
        <v>214</v>
      </c>
      <c r="AO51">
        <v>256.3130841121</v>
      </c>
      <c r="AP51">
        <v>35</v>
      </c>
      <c r="AQ51">
        <v>365.94285714289998</v>
      </c>
      <c r="AR51">
        <v>29</v>
      </c>
      <c r="AS51">
        <v>257.75862068970002</v>
      </c>
      <c r="AT51">
        <v>8</v>
      </c>
      <c r="AU51">
        <v>179.625</v>
      </c>
    </row>
    <row r="52" spans="6:49" x14ac:dyDescent="0.2">
      <c r="F52" t="s">
        <v>210</v>
      </c>
      <c r="G52">
        <v>2676</v>
      </c>
      <c r="H52">
        <v>2152</v>
      </c>
      <c r="I52">
        <v>275.13104089220002</v>
      </c>
      <c r="J52">
        <v>477</v>
      </c>
      <c r="K52">
        <v>401.96016771490002</v>
      </c>
      <c r="L52">
        <v>420</v>
      </c>
      <c r="M52">
        <v>195.2214285714</v>
      </c>
      <c r="N52">
        <v>104</v>
      </c>
      <c r="O52">
        <v>270.91346153849997</v>
      </c>
      <c r="V52" t="s">
        <v>379</v>
      </c>
      <c r="W52">
        <v>15268</v>
      </c>
      <c r="X52">
        <v>10545</v>
      </c>
      <c r="Y52">
        <v>373.01052731409999</v>
      </c>
      <c r="Z52">
        <v>631</v>
      </c>
      <c r="AA52">
        <v>776.93819334390002</v>
      </c>
      <c r="AB52">
        <v>3656</v>
      </c>
      <c r="AC52">
        <v>778.42970459519995</v>
      </c>
      <c r="AD52">
        <v>734</v>
      </c>
      <c r="AE52">
        <v>545.97138964579995</v>
      </c>
      <c r="AF52">
        <v>327</v>
      </c>
      <c r="AG52">
        <v>158.4495412844</v>
      </c>
      <c r="AH52">
        <v>6</v>
      </c>
      <c r="AI52">
        <v>500.1666666667</v>
      </c>
      <c r="AL52" t="s">
        <v>379</v>
      </c>
      <c r="AM52">
        <v>163</v>
      </c>
      <c r="AN52">
        <v>133</v>
      </c>
      <c r="AO52">
        <v>238.962406015</v>
      </c>
      <c r="AP52">
        <v>29</v>
      </c>
      <c r="AQ52">
        <v>304.27586206900003</v>
      </c>
      <c r="AR52">
        <v>17</v>
      </c>
      <c r="AS52">
        <v>200.3529411765</v>
      </c>
      <c r="AT52">
        <v>11</v>
      </c>
      <c r="AU52">
        <v>247.0909090909</v>
      </c>
      <c r="AV52">
        <v>2</v>
      </c>
      <c r="AW52">
        <v>2.5</v>
      </c>
    </row>
    <row r="53" spans="6:49" x14ac:dyDescent="0.2">
      <c r="F53" t="s">
        <v>463</v>
      </c>
      <c r="G53">
        <v>6902</v>
      </c>
      <c r="H53">
        <v>5295</v>
      </c>
      <c r="I53">
        <v>313.11369216240001</v>
      </c>
      <c r="J53">
        <v>1275</v>
      </c>
      <c r="K53">
        <v>432.52156862750002</v>
      </c>
      <c r="L53">
        <v>1388</v>
      </c>
      <c r="M53">
        <v>282.93011527380003</v>
      </c>
      <c r="N53">
        <v>219</v>
      </c>
      <c r="O53">
        <v>280.36529680370001</v>
      </c>
      <c r="V53" t="s">
        <v>375</v>
      </c>
      <c r="W53">
        <v>4071</v>
      </c>
      <c r="X53">
        <v>2816</v>
      </c>
      <c r="Y53">
        <v>319.10191761359999</v>
      </c>
      <c r="Z53">
        <v>450</v>
      </c>
      <c r="AA53">
        <v>485.07333333330001</v>
      </c>
      <c r="AB53">
        <v>544</v>
      </c>
      <c r="AC53">
        <v>279.8529411765</v>
      </c>
      <c r="AD53">
        <v>557</v>
      </c>
      <c r="AE53">
        <v>526.12926391379995</v>
      </c>
      <c r="AF53">
        <v>146</v>
      </c>
      <c r="AG53">
        <v>214.13013698629999</v>
      </c>
      <c r="AH53">
        <v>8</v>
      </c>
      <c r="AI53">
        <v>695</v>
      </c>
      <c r="AL53" t="s">
        <v>375</v>
      </c>
      <c r="AM53">
        <v>174</v>
      </c>
      <c r="AN53">
        <v>132</v>
      </c>
      <c r="AO53">
        <v>246.38636363640001</v>
      </c>
      <c r="AP53">
        <v>26</v>
      </c>
      <c r="AQ53">
        <v>303.96153846150003</v>
      </c>
      <c r="AR53">
        <v>35</v>
      </c>
      <c r="AS53">
        <v>199.82857142859999</v>
      </c>
      <c r="AT53">
        <v>7</v>
      </c>
      <c r="AU53">
        <v>256.85714285709997</v>
      </c>
    </row>
    <row r="54" spans="6:49" x14ac:dyDescent="0.2">
      <c r="F54" t="s">
        <v>78</v>
      </c>
      <c r="G54">
        <v>409</v>
      </c>
      <c r="H54">
        <v>301</v>
      </c>
      <c r="I54">
        <v>212.51495016609999</v>
      </c>
      <c r="J54">
        <v>51</v>
      </c>
      <c r="K54">
        <v>360.4705882353</v>
      </c>
      <c r="L54">
        <v>30</v>
      </c>
      <c r="M54">
        <v>312.06666666669997</v>
      </c>
      <c r="N54">
        <v>75</v>
      </c>
      <c r="O54">
        <v>240.17333333330001</v>
      </c>
      <c r="R54">
        <v>3</v>
      </c>
      <c r="S54">
        <v>208.6666666667</v>
      </c>
      <c r="V54" t="s">
        <v>374</v>
      </c>
      <c r="W54">
        <v>1231</v>
      </c>
      <c r="X54">
        <v>801</v>
      </c>
      <c r="Y54">
        <v>208.202247191</v>
      </c>
      <c r="Z54">
        <v>124</v>
      </c>
      <c r="AA54">
        <v>302.11290322579998</v>
      </c>
      <c r="AB54">
        <v>205</v>
      </c>
      <c r="AC54">
        <v>215.40487804879999</v>
      </c>
      <c r="AD54">
        <v>144</v>
      </c>
      <c r="AE54">
        <v>291.3611111111</v>
      </c>
      <c r="AF54">
        <v>73</v>
      </c>
      <c r="AG54">
        <v>166.69863013700001</v>
      </c>
      <c r="AH54">
        <v>8</v>
      </c>
      <c r="AI54">
        <v>149.25</v>
      </c>
      <c r="AL54" t="s">
        <v>374</v>
      </c>
      <c r="AM54">
        <v>55</v>
      </c>
      <c r="AN54">
        <v>48</v>
      </c>
      <c r="AO54">
        <v>251.1875</v>
      </c>
      <c r="AP54">
        <v>7</v>
      </c>
      <c r="AQ54">
        <v>350.28571428570001</v>
      </c>
      <c r="AR54">
        <v>7</v>
      </c>
      <c r="AS54">
        <v>175.71428571429999</v>
      </c>
    </row>
    <row r="55" spans="6:49" x14ac:dyDescent="0.2">
      <c r="F55" t="s">
        <v>35</v>
      </c>
      <c r="G55">
        <v>3260</v>
      </c>
      <c r="H55">
        <v>2055</v>
      </c>
      <c r="I55">
        <v>460.9094449854</v>
      </c>
      <c r="J55">
        <v>270</v>
      </c>
      <c r="K55">
        <v>481.98518518520001</v>
      </c>
      <c r="L55">
        <v>871</v>
      </c>
      <c r="M55">
        <v>537.83467278989997</v>
      </c>
      <c r="N55">
        <v>323</v>
      </c>
      <c r="O55">
        <v>646.21981424149999</v>
      </c>
      <c r="R55">
        <v>11</v>
      </c>
      <c r="S55">
        <v>346</v>
      </c>
      <c r="V55" t="s">
        <v>376</v>
      </c>
      <c r="W55">
        <v>7238</v>
      </c>
      <c r="X55">
        <v>5028</v>
      </c>
      <c r="Y55">
        <v>397.0672235481</v>
      </c>
      <c r="Z55">
        <v>464</v>
      </c>
      <c r="AA55">
        <v>527.13146551720001</v>
      </c>
      <c r="AB55">
        <v>949</v>
      </c>
      <c r="AC55">
        <v>434.99157007380001</v>
      </c>
      <c r="AD55">
        <v>972</v>
      </c>
      <c r="AE55">
        <v>675.16563786009999</v>
      </c>
      <c r="AF55">
        <v>278</v>
      </c>
      <c r="AG55">
        <v>186.11870503599999</v>
      </c>
      <c r="AH55">
        <v>11</v>
      </c>
      <c r="AI55">
        <v>516.54545454549998</v>
      </c>
      <c r="AL55" t="s">
        <v>376</v>
      </c>
      <c r="AM55">
        <v>231</v>
      </c>
      <c r="AN55">
        <v>184</v>
      </c>
      <c r="AO55">
        <v>284.36956521740001</v>
      </c>
      <c r="AP55">
        <v>47</v>
      </c>
      <c r="AQ55">
        <v>367.23404255320003</v>
      </c>
      <c r="AR55">
        <v>34</v>
      </c>
      <c r="AS55">
        <v>205.9117647059</v>
      </c>
      <c r="AT55">
        <v>13</v>
      </c>
      <c r="AU55">
        <v>349.15384615379998</v>
      </c>
    </row>
    <row r="56" spans="6:49" x14ac:dyDescent="0.2">
      <c r="F56" t="s">
        <v>61</v>
      </c>
      <c r="G56">
        <v>2528</v>
      </c>
      <c r="H56">
        <v>1899</v>
      </c>
      <c r="I56">
        <v>322.0242232754</v>
      </c>
      <c r="J56">
        <v>301</v>
      </c>
      <c r="K56">
        <v>548.77740863789995</v>
      </c>
      <c r="L56">
        <v>241</v>
      </c>
      <c r="M56">
        <v>76.290456431500004</v>
      </c>
      <c r="N56">
        <v>386</v>
      </c>
      <c r="O56">
        <v>468.44300518130001</v>
      </c>
      <c r="R56">
        <v>2</v>
      </c>
      <c r="S56">
        <v>531</v>
      </c>
      <c r="V56" t="s">
        <v>373</v>
      </c>
      <c r="W56">
        <v>273</v>
      </c>
      <c r="X56">
        <v>135</v>
      </c>
      <c r="Y56">
        <v>145.45185185189999</v>
      </c>
      <c r="Z56">
        <v>117</v>
      </c>
      <c r="AA56">
        <v>165.11965811970001</v>
      </c>
      <c r="AB56">
        <v>70</v>
      </c>
      <c r="AC56">
        <v>165.31428571430001</v>
      </c>
      <c r="AD56">
        <v>33</v>
      </c>
      <c r="AE56">
        <v>246.9090909091</v>
      </c>
      <c r="AF56">
        <v>31</v>
      </c>
      <c r="AG56">
        <v>191.5806451613</v>
      </c>
      <c r="AH56">
        <v>4</v>
      </c>
      <c r="AI56">
        <v>185.5</v>
      </c>
      <c r="AL56" t="s">
        <v>373</v>
      </c>
      <c r="AM56">
        <v>16</v>
      </c>
      <c r="AN56">
        <v>12</v>
      </c>
      <c r="AO56">
        <v>226.6666666667</v>
      </c>
      <c r="AP56">
        <v>7</v>
      </c>
      <c r="AQ56">
        <v>406.57142857140002</v>
      </c>
      <c r="AR56">
        <v>3</v>
      </c>
      <c r="AS56">
        <v>395.3333333333</v>
      </c>
      <c r="AT56">
        <v>1</v>
      </c>
      <c r="AU56">
        <v>95</v>
      </c>
    </row>
    <row r="57" spans="6:49" x14ac:dyDescent="0.2">
      <c r="F57" t="s">
        <v>24</v>
      </c>
      <c r="G57">
        <v>1849</v>
      </c>
      <c r="H57">
        <v>1112</v>
      </c>
      <c r="I57">
        <v>199.5782374101</v>
      </c>
      <c r="J57">
        <v>355</v>
      </c>
      <c r="K57">
        <v>261.53802816899997</v>
      </c>
      <c r="L57">
        <v>517</v>
      </c>
      <c r="M57">
        <v>329.667311412</v>
      </c>
      <c r="N57">
        <v>207</v>
      </c>
      <c r="O57">
        <v>542.13526570049999</v>
      </c>
      <c r="R57">
        <v>13</v>
      </c>
      <c r="S57">
        <v>758.30769230769999</v>
      </c>
      <c r="V57" t="s">
        <v>372</v>
      </c>
      <c r="W57">
        <v>3369</v>
      </c>
      <c r="X57">
        <v>1960</v>
      </c>
      <c r="Y57">
        <v>445.64828994380002</v>
      </c>
      <c r="Z57">
        <v>352</v>
      </c>
      <c r="AA57">
        <v>419.84659090909997</v>
      </c>
      <c r="AB57">
        <v>889</v>
      </c>
      <c r="AC57">
        <v>503.77390326210002</v>
      </c>
      <c r="AD57">
        <v>351</v>
      </c>
      <c r="AE57">
        <v>607.22507122510001</v>
      </c>
      <c r="AF57">
        <v>157</v>
      </c>
      <c r="AG57">
        <v>148.45859872610001</v>
      </c>
      <c r="AH57">
        <v>12</v>
      </c>
      <c r="AI57">
        <v>221.1666666667</v>
      </c>
      <c r="AL57" t="s">
        <v>372</v>
      </c>
      <c r="AM57">
        <v>98</v>
      </c>
      <c r="AN57">
        <v>79</v>
      </c>
      <c r="AO57">
        <v>260.74683544300001</v>
      </c>
      <c r="AP57">
        <v>20</v>
      </c>
      <c r="AQ57">
        <v>387.1</v>
      </c>
      <c r="AR57">
        <v>16</v>
      </c>
      <c r="AS57">
        <v>261.6875</v>
      </c>
      <c r="AT57">
        <v>3</v>
      </c>
      <c r="AU57">
        <v>301.6666666667</v>
      </c>
    </row>
    <row r="58" spans="6:49" x14ac:dyDescent="0.2">
      <c r="F58" t="s">
        <v>69</v>
      </c>
      <c r="G58">
        <v>15516</v>
      </c>
      <c r="H58">
        <v>10902</v>
      </c>
      <c r="I58">
        <v>365.25355471979998</v>
      </c>
      <c r="J58">
        <v>620</v>
      </c>
      <c r="K58">
        <v>779.00645161290004</v>
      </c>
      <c r="L58">
        <v>3879</v>
      </c>
      <c r="M58">
        <v>786.98324310390001</v>
      </c>
      <c r="N58">
        <v>730</v>
      </c>
      <c r="O58">
        <v>531.71780821920004</v>
      </c>
      <c r="R58">
        <v>5</v>
      </c>
      <c r="S58">
        <v>441.2</v>
      </c>
      <c r="V58" t="s">
        <v>416</v>
      </c>
      <c r="W58">
        <v>639</v>
      </c>
      <c r="X58">
        <v>485</v>
      </c>
      <c r="Y58">
        <v>259.82886597940001</v>
      </c>
      <c r="Z58">
        <v>75</v>
      </c>
      <c r="AA58">
        <v>544.29333333329998</v>
      </c>
      <c r="AB58">
        <v>79</v>
      </c>
      <c r="AC58">
        <v>194.45569620250001</v>
      </c>
      <c r="AD58">
        <v>41</v>
      </c>
      <c r="AE58">
        <v>330.0975609756</v>
      </c>
      <c r="AF58">
        <v>33</v>
      </c>
      <c r="AG58">
        <v>209.1818181818</v>
      </c>
      <c r="AH58">
        <v>1</v>
      </c>
      <c r="AI58">
        <v>1359</v>
      </c>
      <c r="AL58" t="s">
        <v>416</v>
      </c>
      <c r="AM58">
        <v>16</v>
      </c>
      <c r="AN58">
        <v>14</v>
      </c>
      <c r="AO58">
        <v>322.85714285709997</v>
      </c>
      <c r="AP58">
        <v>2</v>
      </c>
      <c r="AQ58">
        <v>296.5</v>
      </c>
      <c r="AR58">
        <v>2</v>
      </c>
      <c r="AS58">
        <v>61.5</v>
      </c>
    </row>
    <row r="59" spans="6:49" x14ac:dyDescent="0.2">
      <c r="F59" t="s">
        <v>44</v>
      </c>
      <c r="G59">
        <v>1116</v>
      </c>
      <c r="H59">
        <v>770</v>
      </c>
      <c r="I59">
        <v>192.1844155844</v>
      </c>
      <c r="J59">
        <v>121</v>
      </c>
      <c r="K59">
        <v>292.08264462810001</v>
      </c>
      <c r="L59">
        <v>206</v>
      </c>
      <c r="M59">
        <v>180.9514563107</v>
      </c>
      <c r="N59">
        <v>132</v>
      </c>
      <c r="O59">
        <v>283.53030303029999</v>
      </c>
      <c r="R59">
        <v>8</v>
      </c>
      <c r="S59">
        <v>149.25</v>
      </c>
      <c r="V59" t="s">
        <v>380</v>
      </c>
      <c r="W59">
        <v>2374</v>
      </c>
      <c r="X59">
        <v>1517</v>
      </c>
      <c r="Y59">
        <v>368.0823994726</v>
      </c>
      <c r="Z59">
        <v>259</v>
      </c>
      <c r="AA59">
        <v>416.40926640930002</v>
      </c>
      <c r="AB59">
        <v>178</v>
      </c>
      <c r="AC59">
        <v>280.42696629210002</v>
      </c>
      <c r="AD59">
        <v>541</v>
      </c>
      <c r="AE59">
        <v>505.3733826248</v>
      </c>
      <c r="AF59">
        <v>132</v>
      </c>
      <c r="AG59">
        <v>182.06060606060001</v>
      </c>
      <c r="AH59">
        <v>6</v>
      </c>
      <c r="AI59">
        <v>641.5</v>
      </c>
      <c r="AL59" t="s">
        <v>380</v>
      </c>
      <c r="AM59">
        <v>43</v>
      </c>
      <c r="AN59">
        <v>33</v>
      </c>
      <c r="AO59">
        <v>245.15151515150001</v>
      </c>
      <c r="AP59">
        <v>9</v>
      </c>
      <c r="AQ59">
        <v>354.6666666667</v>
      </c>
      <c r="AR59">
        <v>10</v>
      </c>
      <c r="AS59">
        <v>203.9</v>
      </c>
    </row>
    <row r="60" spans="6:49" x14ac:dyDescent="0.2">
      <c r="F60" t="s">
        <v>60</v>
      </c>
      <c r="G60">
        <v>3088</v>
      </c>
      <c r="H60">
        <v>2294</v>
      </c>
      <c r="I60">
        <v>249.5553618134</v>
      </c>
      <c r="J60">
        <v>388</v>
      </c>
      <c r="K60">
        <v>534.82216494850002</v>
      </c>
      <c r="L60">
        <v>367</v>
      </c>
      <c r="M60">
        <v>207.30790190740001</v>
      </c>
      <c r="N60">
        <v>422</v>
      </c>
      <c r="O60">
        <v>653.32701421800004</v>
      </c>
      <c r="R60">
        <v>5</v>
      </c>
      <c r="S60">
        <v>1028.2</v>
      </c>
      <c r="V60" t="s">
        <v>383</v>
      </c>
      <c r="W60">
        <v>10078</v>
      </c>
      <c r="X60">
        <v>7218</v>
      </c>
      <c r="Y60">
        <v>261.78151842620002</v>
      </c>
      <c r="Z60">
        <v>1063</v>
      </c>
      <c r="AA60">
        <v>487.6829727187</v>
      </c>
      <c r="AB60">
        <v>1318</v>
      </c>
      <c r="AC60">
        <v>218.08118361149999</v>
      </c>
      <c r="AD60">
        <v>971</v>
      </c>
      <c r="AE60">
        <v>362.59938208030002</v>
      </c>
      <c r="AF60">
        <v>548</v>
      </c>
      <c r="AG60">
        <v>180.1824817518</v>
      </c>
      <c r="AH60">
        <v>23</v>
      </c>
      <c r="AI60">
        <v>242.52173913039999</v>
      </c>
      <c r="AL60" t="s">
        <v>383</v>
      </c>
      <c r="AM60">
        <v>205</v>
      </c>
      <c r="AN60">
        <v>166</v>
      </c>
      <c r="AO60">
        <v>258.44578313250003</v>
      </c>
      <c r="AP60">
        <v>32</v>
      </c>
      <c r="AQ60">
        <v>379.8125</v>
      </c>
      <c r="AR60">
        <v>26</v>
      </c>
      <c r="AS60">
        <v>168.6538461538</v>
      </c>
      <c r="AT60">
        <v>12</v>
      </c>
      <c r="AU60">
        <v>207</v>
      </c>
      <c r="AV60">
        <v>1</v>
      </c>
      <c r="AW60">
        <v>458</v>
      </c>
    </row>
    <row r="61" spans="6:49" x14ac:dyDescent="0.2">
      <c r="F61" t="s">
        <v>33</v>
      </c>
      <c r="G61">
        <v>5740</v>
      </c>
      <c r="H61">
        <v>4636</v>
      </c>
      <c r="I61">
        <v>595.1829163072</v>
      </c>
      <c r="J61">
        <v>167</v>
      </c>
      <c r="K61">
        <v>921.88622754489995</v>
      </c>
      <c r="L61">
        <v>803</v>
      </c>
      <c r="M61">
        <v>793.17061021170002</v>
      </c>
      <c r="N61">
        <v>297</v>
      </c>
      <c r="O61">
        <v>650.4074074074</v>
      </c>
      <c r="R61">
        <v>4</v>
      </c>
      <c r="S61">
        <v>805.75</v>
      </c>
      <c r="V61" t="s">
        <v>415</v>
      </c>
      <c r="W61">
        <v>597</v>
      </c>
      <c r="X61">
        <v>390</v>
      </c>
      <c r="Y61">
        <v>422.15897435900001</v>
      </c>
      <c r="Z61">
        <v>19</v>
      </c>
      <c r="AA61">
        <v>834.47368421049998</v>
      </c>
      <c r="AB61">
        <v>152</v>
      </c>
      <c r="AC61">
        <v>794.13157894740004</v>
      </c>
      <c r="AD61">
        <v>41</v>
      </c>
      <c r="AE61">
        <v>582.14634146339995</v>
      </c>
      <c r="AF61">
        <v>14</v>
      </c>
      <c r="AG61">
        <v>105.92857142859999</v>
      </c>
      <c r="AL61" t="s">
        <v>415</v>
      </c>
      <c r="AM61">
        <v>14</v>
      </c>
      <c r="AN61">
        <v>12</v>
      </c>
      <c r="AO61">
        <v>291.5833333333</v>
      </c>
      <c r="AP61">
        <v>3</v>
      </c>
      <c r="AQ61">
        <v>331</v>
      </c>
      <c r="AR61">
        <v>2</v>
      </c>
      <c r="AS61">
        <v>122</v>
      </c>
    </row>
    <row r="62" spans="6:49" x14ac:dyDescent="0.2">
      <c r="F62" t="s">
        <v>47</v>
      </c>
      <c r="G62">
        <v>2026</v>
      </c>
      <c r="H62">
        <v>1352</v>
      </c>
      <c r="I62">
        <v>338.89423076920002</v>
      </c>
      <c r="J62">
        <v>257</v>
      </c>
      <c r="K62">
        <v>401.45136186769997</v>
      </c>
      <c r="L62">
        <v>147</v>
      </c>
      <c r="M62">
        <v>200.9795918367</v>
      </c>
      <c r="N62">
        <v>521</v>
      </c>
      <c r="O62">
        <v>480.01919385799999</v>
      </c>
      <c r="R62">
        <v>6</v>
      </c>
      <c r="S62">
        <v>641.5</v>
      </c>
      <c r="V62" t="s">
        <v>370</v>
      </c>
      <c r="W62">
        <v>57341</v>
      </c>
      <c r="X62">
        <v>39733</v>
      </c>
      <c r="Y62">
        <v>361.10777478540001</v>
      </c>
      <c r="Z62">
        <v>4598</v>
      </c>
      <c r="AA62">
        <v>507.76989995650001</v>
      </c>
      <c r="AB62">
        <v>9901</v>
      </c>
      <c r="AC62">
        <v>539.99989900009996</v>
      </c>
      <c r="AD62">
        <v>5472</v>
      </c>
      <c r="AE62">
        <v>532.25237573100003</v>
      </c>
      <c r="AF62">
        <v>2131</v>
      </c>
      <c r="AG62">
        <v>174.51712810890001</v>
      </c>
      <c r="AH62">
        <v>104</v>
      </c>
      <c r="AI62">
        <v>451.22115384620002</v>
      </c>
      <c r="AL62" t="s">
        <v>370</v>
      </c>
      <c r="AM62">
        <v>1393</v>
      </c>
      <c r="AN62">
        <v>1142</v>
      </c>
      <c r="AO62">
        <v>257.10507880910001</v>
      </c>
      <c r="AP62">
        <v>243</v>
      </c>
      <c r="AQ62">
        <v>350.67901234570002</v>
      </c>
      <c r="AR62">
        <v>189</v>
      </c>
      <c r="AS62">
        <v>213.5238095238</v>
      </c>
      <c r="AT62">
        <v>59</v>
      </c>
      <c r="AU62">
        <v>266.67796610170001</v>
      </c>
      <c r="AV62">
        <v>3</v>
      </c>
      <c r="AW62">
        <v>154.3333333333</v>
      </c>
    </row>
    <row r="63" spans="6:49" x14ac:dyDescent="0.2">
      <c r="F63" t="s">
        <v>54</v>
      </c>
      <c r="G63">
        <v>577</v>
      </c>
      <c r="H63">
        <v>466</v>
      </c>
      <c r="I63">
        <v>235.63304721029999</v>
      </c>
      <c r="J63">
        <v>68</v>
      </c>
      <c r="K63">
        <v>555</v>
      </c>
      <c r="L63">
        <v>71</v>
      </c>
      <c r="M63">
        <v>95.450704225400003</v>
      </c>
      <c r="N63">
        <v>40</v>
      </c>
      <c r="O63">
        <v>267.7</v>
      </c>
      <c r="V63" t="s">
        <v>699</v>
      </c>
      <c r="W63">
        <v>319563</v>
      </c>
      <c r="X63">
        <v>232084</v>
      </c>
      <c r="Y63">
        <v>408.54544044329998</v>
      </c>
      <c r="Z63">
        <v>22557</v>
      </c>
      <c r="AA63">
        <v>563.83632575249999</v>
      </c>
      <c r="AB63">
        <v>51937</v>
      </c>
      <c r="AC63">
        <v>601.75920827159996</v>
      </c>
      <c r="AD63">
        <v>24461</v>
      </c>
      <c r="AE63">
        <v>527.84166837049997</v>
      </c>
      <c r="AF63">
        <v>10546</v>
      </c>
      <c r="AG63">
        <v>178.53376327769999</v>
      </c>
      <c r="AH63">
        <v>535</v>
      </c>
      <c r="AI63">
        <v>464.05233644859999</v>
      </c>
      <c r="AL63" t="s">
        <v>699</v>
      </c>
      <c r="AM63">
        <v>6909</v>
      </c>
      <c r="AN63">
        <v>5295</v>
      </c>
      <c r="AO63">
        <v>313.11369216240001</v>
      </c>
      <c r="AP63">
        <v>1275</v>
      </c>
      <c r="AQ63">
        <v>432.52156862750002</v>
      </c>
      <c r="AR63">
        <v>1388</v>
      </c>
      <c r="AS63">
        <v>282.93011527380003</v>
      </c>
      <c r="AT63">
        <v>219</v>
      </c>
      <c r="AU63">
        <v>280.36529680370001</v>
      </c>
      <c r="AV63">
        <v>7</v>
      </c>
      <c r="AW63">
        <v>197</v>
      </c>
    </row>
    <row r="64" spans="6:49" x14ac:dyDescent="0.2">
      <c r="F64" t="s">
        <v>65</v>
      </c>
      <c r="G64">
        <v>5094</v>
      </c>
      <c r="H64">
        <v>3977</v>
      </c>
      <c r="I64">
        <v>568.51043500130004</v>
      </c>
      <c r="J64">
        <v>162</v>
      </c>
      <c r="K64">
        <v>1161.3827160494</v>
      </c>
      <c r="L64">
        <v>194</v>
      </c>
      <c r="M64">
        <v>645.79896907219995</v>
      </c>
      <c r="N64">
        <v>920</v>
      </c>
      <c r="O64">
        <v>894.09021739130003</v>
      </c>
      <c r="R64">
        <v>3</v>
      </c>
      <c r="S64">
        <v>744.66666666670005</v>
      </c>
    </row>
    <row r="65" spans="6:19" x14ac:dyDescent="0.2">
      <c r="F65" t="s">
        <v>67</v>
      </c>
      <c r="G65">
        <v>369</v>
      </c>
      <c r="H65">
        <v>182</v>
      </c>
      <c r="I65">
        <v>80.362637362599997</v>
      </c>
      <c r="J65">
        <v>203</v>
      </c>
      <c r="K65">
        <v>182.81773399010001</v>
      </c>
      <c r="L65">
        <v>117</v>
      </c>
      <c r="M65">
        <v>133.11965811970001</v>
      </c>
      <c r="N65">
        <v>64</v>
      </c>
      <c r="O65">
        <v>215.71875</v>
      </c>
      <c r="R65">
        <v>6</v>
      </c>
      <c r="S65">
        <v>158.1666666667</v>
      </c>
    </row>
    <row r="66" spans="6:19" x14ac:dyDescent="0.2">
      <c r="F66" t="s">
        <v>82</v>
      </c>
      <c r="G66">
        <v>174</v>
      </c>
      <c r="H66">
        <v>37</v>
      </c>
      <c r="I66">
        <v>1055.0810810810999</v>
      </c>
      <c r="J66">
        <v>8</v>
      </c>
      <c r="K66">
        <v>1430.5</v>
      </c>
      <c r="L66">
        <v>66</v>
      </c>
      <c r="M66">
        <v>690.89393939390004</v>
      </c>
      <c r="N66">
        <v>68</v>
      </c>
      <c r="O66">
        <v>638.73529411760001</v>
      </c>
      <c r="R66">
        <v>3</v>
      </c>
      <c r="S66">
        <v>189</v>
      </c>
    </row>
    <row r="67" spans="6:19" x14ac:dyDescent="0.2">
      <c r="F67" t="s">
        <v>63</v>
      </c>
      <c r="G67">
        <v>5708</v>
      </c>
      <c r="H67">
        <v>3871</v>
      </c>
      <c r="I67">
        <v>273.23043141310001</v>
      </c>
      <c r="J67">
        <v>569</v>
      </c>
      <c r="K67">
        <v>374.75571177500001</v>
      </c>
      <c r="L67">
        <v>1150</v>
      </c>
      <c r="M67">
        <v>386.33217391300002</v>
      </c>
      <c r="N67">
        <v>674</v>
      </c>
      <c r="O67">
        <v>601.52225519290005</v>
      </c>
      <c r="R67">
        <v>13</v>
      </c>
      <c r="S67">
        <v>559.07692307690002</v>
      </c>
    </row>
    <row r="68" spans="6:19" x14ac:dyDescent="0.2">
      <c r="F68" t="s">
        <v>431</v>
      </c>
      <c r="G68">
        <v>21</v>
      </c>
      <c r="H68">
        <v>8</v>
      </c>
      <c r="I68">
        <v>473.875</v>
      </c>
      <c r="L68">
        <v>4</v>
      </c>
      <c r="M68">
        <v>655</v>
      </c>
      <c r="N68">
        <v>8</v>
      </c>
      <c r="O68">
        <v>199.75</v>
      </c>
      <c r="R68">
        <v>1</v>
      </c>
      <c r="S68">
        <v>416</v>
      </c>
    </row>
    <row r="69" spans="6:19" x14ac:dyDescent="0.2">
      <c r="F69" t="s">
        <v>83</v>
      </c>
      <c r="G69">
        <v>9114</v>
      </c>
      <c r="H69">
        <v>6919</v>
      </c>
      <c r="I69">
        <v>244.67235149589999</v>
      </c>
      <c r="J69">
        <v>1048</v>
      </c>
      <c r="K69">
        <v>480.39217557249998</v>
      </c>
      <c r="L69">
        <v>1230</v>
      </c>
      <c r="M69">
        <v>170.17154471539999</v>
      </c>
      <c r="N69">
        <v>942</v>
      </c>
      <c r="O69">
        <v>350.2675159236</v>
      </c>
      <c r="R69">
        <v>23</v>
      </c>
      <c r="S69">
        <v>242.52173913039999</v>
      </c>
    </row>
    <row r="70" spans="6:19" x14ac:dyDescent="0.2">
      <c r="F70" t="s">
        <v>135</v>
      </c>
      <c r="G70">
        <v>84</v>
      </c>
      <c r="H70">
        <v>51</v>
      </c>
      <c r="I70">
        <v>106.0196078431</v>
      </c>
      <c r="J70">
        <v>54</v>
      </c>
      <c r="K70">
        <v>212.7037037037</v>
      </c>
      <c r="L70">
        <v>8</v>
      </c>
      <c r="M70">
        <v>452.625</v>
      </c>
      <c r="N70">
        <v>24</v>
      </c>
      <c r="O70">
        <v>513.25</v>
      </c>
      <c r="R70">
        <v>1</v>
      </c>
      <c r="S70">
        <v>206</v>
      </c>
    </row>
    <row r="71" spans="6:19" x14ac:dyDescent="0.2">
      <c r="F71" t="s">
        <v>370</v>
      </c>
      <c r="G71">
        <v>56673</v>
      </c>
      <c r="H71">
        <v>40832</v>
      </c>
      <c r="I71">
        <v>366.10017144260001</v>
      </c>
      <c r="J71">
        <v>4642</v>
      </c>
      <c r="K71">
        <v>515.32227488149999</v>
      </c>
      <c r="L71">
        <v>9901</v>
      </c>
      <c r="M71">
        <v>540.57529542470002</v>
      </c>
      <c r="N71">
        <v>5833</v>
      </c>
      <c r="O71">
        <v>566.45516886680002</v>
      </c>
      <c r="R71">
        <v>107</v>
      </c>
      <c r="S71">
        <v>450.30841121499998</v>
      </c>
    </row>
    <row r="72" spans="6:19" x14ac:dyDescent="0.2">
      <c r="F72" t="s">
        <v>699</v>
      </c>
      <c r="G72">
        <v>326472</v>
      </c>
      <c r="H72">
        <v>237379</v>
      </c>
      <c r="I72">
        <v>406.4166315594</v>
      </c>
      <c r="J72">
        <v>23832</v>
      </c>
      <c r="K72">
        <v>556.81105236660005</v>
      </c>
      <c r="L72">
        <v>53325</v>
      </c>
      <c r="M72">
        <v>593.46038443509997</v>
      </c>
      <c r="N72">
        <v>24680</v>
      </c>
      <c r="O72">
        <v>525.64513252819995</v>
      </c>
      <c r="P72">
        <v>10553</v>
      </c>
      <c r="Q72">
        <v>178.54601459579999</v>
      </c>
      <c r="R72">
        <v>535</v>
      </c>
      <c r="S72">
        <v>464.05233644859999</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495</v>
      </c>
      <c r="B1" t="s">
        <v>367</v>
      </c>
      <c r="C1" t="s">
        <v>494</v>
      </c>
      <c r="D1" t="s">
        <v>496</v>
      </c>
      <c r="E1" t="s">
        <v>497</v>
      </c>
      <c r="F1" t="s">
        <v>498</v>
      </c>
      <c r="G1" t="s">
        <v>499</v>
      </c>
      <c r="H1" t="s">
        <v>500</v>
      </c>
      <c r="I1" t="s">
        <v>501</v>
      </c>
      <c r="J1" t="s">
        <v>502</v>
      </c>
      <c r="K1" t="s">
        <v>503</v>
      </c>
      <c r="L1" t="s">
        <v>368</v>
      </c>
      <c r="M1" t="s">
        <v>504</v>
      </c>
      <c r="N1" t="s">
        <v>505</v>
      </c>
      <c r="O1" t="s">
        <v>506</v>
      </c>
      <c r="P1" t="s">
        <v>507</v>
      </c>
      <c r="Q1" t="s">
        <v>508</v>
      </c>
      <c r="R1" t="s">
        <v>679</v>
      </c>
    </row>
    <row r="2" spans="1:18" x14ac:dyDescent="0.2">
      <c r="A2">
        <v>1</v>
      </c>
      <c r="B2">
        <v>-99</v>
      </c>
      <c r="C2" t="s">
        <v>438</v>
      </c>
      <c r="D2" t="s">
        <v>699</v>
      </c>
      <c r="E2" t="s">
        <v>438</v>
      </c>
      <c r="F2" t="s">
        <v>699</v>
      </c>
      <c r="G2" t="s">
        <v>438</v>
      </c>
      <c r="H2" t="s">
        <v>6</v>
      </c>
      <c r="I2">
        <v>-99</v>
      </c>
      <c r="J2">
        <v>1</v>
      </c>
      <c r="K2" t="s">
        <v>6</v>
      </c>
      <c r="L2">
        <v>-99</v>
      </c>
      <c r="M2" t="s">
        <v>655</v>
      </c>
      <c r="N2" t="s">
        <v>655</v>
      </c>
      <c r="O2">
        <v>-99</v>
      </c>
      <c r="P2">
        <v>-99</v>
      </c>
      <c r="Q2">
        <v>1</v>
      </c>
      <c r="R2" t="s">
        <v>655</v>
      </c>
    </row>
    <row r="3" spans="1:18" x14ac:dyDescent="0.2">
      <c r="A3">
        <v>2</v>
      </c>
      <c r="B3">
        <v>-99</v>
      </c>
      <c r="C3" t="s">
        <v>439</v>
      </c>
      <c r="D3" t="s">
        <v>6</v>
      </c>
      <c r="E3" t="s">
        <v>439</v>
      </c>
      <c r="F3" t="s">
        <v>1036</v>
      </c>
      <c r="G3" t="s">
        <v>438</v>
      </c>
      <c r="H3" t="s">
        <v>6</v>
      </c>
      <c r="I3">
        <v>-99</v>
      </c>
      <c r="J3">
        <v>1</v>
      </c>
      <c r="K3" t="s">
        <v>6</v>
      </c>
      <c r="L3">
        <v>-99</v>
      </c>
      <c r="M3" t="s">
        <v>655</v>
      </c>
      <c r="N3" t="s">
        <v>655</v>
      </c>
      <c r="O3">
        <v>-99</v>
      </c>
      <c r="P3">
        <v>-99</v>
      </c>
      <c r="Q3">
        <v>1</v>
      </c>
      <c r="R3" t="s">
        <v>655</v>
      </c>
    </row>
    <row r="4" spans="1:18" x14ac:dyDescent="0.2">
      <c r="A4">
        <v>3</v>
      </c>
      <c r="B4">
        <v>-99</v>
      </c>
      <c r="C4" t="s">
        <v>656</v>
      </c>
      <c r="D4" t="s">
        <v>6</v>
      </c>
      <c r="E4" t="s">
        <v>656</v>
      </c>
      <c r="F4" t="s">
        <v>1038</v>
      </c>
      <c r="G4" t="s">
        <v>438</v>
      </c>
      <c r="H4" t="s">
        <v>6</v>
      </c>
      <c r="I4">
        <v>-99</v>
      </c>
      <c r="J4">
        <v>1</v>
      </c>
      <c r="K4" t="s">
        <v>6</v>
      </c>
      <c r="L4">
        <v>-99</v>
      </c>
      <c r="M4" t="s">
        <v>655</v>
      </c>
      <c r="N4" t="s">
        <v>655</v>
      </c>
      <c r="O4">
        <v>-99</v>
      </c>
      <c r="P4">
        <v>-99</v>
      </c>
      <c r="Q4">
        <v>1</v>
      </c>
      <c r="R4" t="s">
        <v>208</v>
      </c>
    </row>
    <row r="5" spans="1:18" x14ac:dyDescent="0.2">
      <c r="A5">
        <v>4</v>
      </c>
      <c r="B5">
        <v>-99</v>
      </c>
      <c r="C5" t="s">
        <v>440</v>
      </c>
      <c r="D5" t="s">
        <v>6</v>
      </c>
      <c r="E5" t="s">
        <v>440</v>
      </c>
      <c r="F5" t="s">
        <v>1044</v>
      </c>
      <c r="G5" t="s">
        <v>438</v>
      </c>
      <c r="H5" t="s">
        <v>6</v>
      </c>
      <c r="I5">
        <v>-99</v>
      </c>
      <c r="J5">
        <v>1</v>
      </c>
      <c r="K5" t="s">
        <v>6</v>
      </c>
      <c r="L5">
        <v>-99</v>
      </c>
      <c r="M5" t="s">
        <v>655</v>
      </c>
      <c r="N5" t="s">
        <v>655</v>
      </c>
      <c r="O5">
        <v>-99</v>
      </c>
      <c r="P5">
        <v>-99</v>
      </c>
      <c r="Q5">
        <v>1</v>
      </c>
      <c r="R5" t="s">
        <v>684</v>
      </c>
    </row>
    <row r="6" spans="1:18" x14ac:dyDescent="0.2">
      <c r="A6">
        <v>5</v>
      </c>
      <c r="B6">
        <v>-99</v>
      </c>
      <c r="C6" t="s">
        <v>441</v>
      </c>
      <c r="D6" t="s">
        <v>6</v>
      </c>
      <c r="E6" t="s">
        <v>441</v>
      </c>
      <c r="F6" t="s">
        <v>696</v>
      </c>
      <c r="G6" t="s">
        <v>438</v>
      </c>
      <c r="H6" t="s">
        <v>6</v>
      </c>
      <c r="I6">
        <v>-99</v>
      </c>
      <c r="J6">
        <v>1</v>
      </c>
      <c r="K6" t="s">
        <v>6</v>
      </c>
      <c r="L6">
        <v>-99</v>
      </c>
      <c r="M6" t="s">
        <v>655</v>
      </c>
      <c r="N6" t="s">
        <v>655</v>
      </c>
      <c r="O6">
        <v>-99</v>
      </c>
      <c r="P6">
        <v>-99</v>
      </c>
      <c r="Q6">
        <v>1</v>
      </c>
      <c r="R6" t="s">
        <v>680</v>
      </c>
    </row>
    <row r="7" spans="1:18" x14ac:dyDescent="0.2">
      <c r="A7">
        <v>6</v>
      </c>
      <c r="B7">
        <v>-99</v>
      </c>
      <c r="C7" t="s">
        <v>442</v>
      </c>
      <c r="D7" t="s">
        <v>6</v>
      </c>
      <c r="E7" t="s">
        <v>442</v>
      </c>
      <c r="F7" t="s">
        <v>1039</v>
      </c>
      <c r="G7" t="s">
        <v>438</v>
      </c>
      <c r="H7" t="s">
        <v>6</v>
      </c>
      <c r="I7">
        <v>-99</v>
      </c>
      <c r="J7">
        <v>1</v>
      </c>
      <c r="K7" t="s">
        <v>6</v>
      </c>
      <c r="L7">
        <v>-99</v>
      </c>
      <c r="M7" t="s">
        <v>655</v>
      </c>
      <c r="N7" t="s">
        <v>655</v>
      </c>
      <c r="O7">
        <v>-99</v>
      </c>
      <c r="P7">
        <v>-99</v>
      </c>
      <c r="Q7">
        <v>1</v>
      </c>
      <c r="R7" t="s">
        <v>681</v>
      </c>
    </row>
    <row r="8" spans="1:18" x14ac:dyDescent="0.2">
      <c r="A8">
        <v>7</v>
      </c>
      <c r="B8">
        <v>-99</v>
      </c>
      <c r="C8" t="s">
        <v>443</v>
      </c>
      <c r="D8" t="s">
        <v>6</v>
      </c>
      <c r="E8" t="s">
        <v>443</v>
      </c>
      <c r="F8" t="s">
        <v>1045</v>
      </c>
      <c r="G8" t="s">
        <v>438</v>
      </c>
      <c r="H8" t="s">
        <v>6</v>
      </c>
      <c r="I8">
        <v>-99</v>
      </c>
      <c r="J8">
        <v>1</v>
      </c>
      <c r="K8" t="s">
        <v>6</v>
      </c>
      <c r="L8">
        <v>-99</v>
      </c>
      <c r="M8" t="s">
        <v>655</v>
      </c>
      <c r="N8" t="s">
        <v>655</v>
      </c>
      <c r="O8">
        <v>-99</v>
      </c>
      <c r="P8">
        <v>-99</v>
      </c>
      <c r="Q8">
        <v>1</v>
      </c>
      <c r="R8" t="s">
        <v>682</v>
      </c>
    </row>
    <row r="9" spans="1:18" x14ac:dyDescent="0.2">
      <c r="A9">
        <v>8</v>
      </c>
      <c r="B9">
        <v>-99</v>
      </c>
      <c r="C9" t="s">
        <v>444</v>
      </c>
      <c r="D9" t="s">
        <v>6</v>
      </c>
      <c r="E9" t="s">
        <v>444</v>
      </c>
      <c r="F9" t="s">
        <v>1046</v>
      </c>
      <c r="G9" t="s">
        <v>438</v>
      </c>
      <c r="H9" t="s">
        <v>6</v>
      </c>
      <c r="I9">
        <v>-99</v>
      </c>
      <c r="J9">
        <v>1</v>
      </c>
      <c r="K9" t="s">
        <v>6</v>
      </c>
      <c r="L9">
        <v>-99</v>
      </c>
      <c r="M9" t="s">
        <v>655</v>
      </c>
      <c r="N9" t="s">
        <v>655</v>
      </c>
      <c r="O9">
        <v>-99</v>
      </c>
      <c r="P9">
        <v>-99</v>
      </c>
      <c r="Q9">
        <v>1</v>
      </c>
      <c r="R9" t="s">
        <v>399</v>
      </c>
    </row>
    <row r="10" spans="1:18" x14ac:dyDescent="0.2">
      <c r="A10">
        <v>9</v>
      </c>
      <c r="B10">
        <v>-99</v>
      </c>
      <c r="C10" t="s">
        <v>445</v>
      </c>
      <c r="D10" t="s">
        <v>6</v>
      </c>
      <c r="E10" t="s">
        <v>445</v>
      </c>
      <c r="F10" t="s">
        <v>1047</v>
      </c>
      <c r="G10" t="s">
        <v>438</v>
      </c>
      <c r="H10" t="s">
        <v>6</v>
      </c>
      <c r="I10">
        <v>-99</v>
      </c>
      <c r="J10">
        <v>1</v>
      </c>
      <c r="K10" t="s">
        <v>6</v>
      </c>
      <c r="L10">
        <v>-99</v>
      </c>
      <c r="M10" t="s">
        <v>655</v>
      </c>
      <c r="N10" t="s">
        <v>655</v>
      </c>
      <c r="O10">
        <v>-99</v>
      </c>
      <c r="P10">
        <v>-99</v>
      </c>
      <c r="Q10">
        <v>1</v>
      </c>
      <c r="R10" t="s">
        <v>685</v>
      </c>
    </row>
    <row r="11" spans="1:18" x14ac:dyDescent="0.2">
      <c r="A11">
        <v>10</v>
      </c>
      <c r="B11">
        <v>-99</v>
      </c>
      <c r="C11" t="s">
        <v>446</v>
      </c>
      <c r="D11" t="s">
        <v>6</v>
      </c>
      <c r="E11" t="s">
        <v>446</v>
      </c>
      <c r="F11" t="s">
        <v>1048</v>
      </c>
      <c r="G11" t="s">
        <v>438</v>
      </c>
      <c r="H11" t="s">
        <v>6</v>
      </c>
      <c r="I11">
        <v>-99</v>
      </c>
      <c r="J11">
        <v>1</v>
      </c>
      <c r="K11" t="s">
        <v>6</v>
      </c>
      <c r="L11">
        <v>-99</v>
      </c>
      <c r="M11" t="s">
        <v>655</v>
      </c>
      <c r="N11" t="s">
        <v>655</v>
      </c>
      <c r="O11">
        <v>-99</v>
      </c>
      <c r="P11">
        <v>-99</v>
      </c>
      <c r="Q11">
        <v>1</v>
      </c>
      <c r="R11" t="s">
        <v>655</v>
      </c>
    </row>
    <row r="12" spans="1:18" x14ac:dyDescent="0.2">
      <c r="A12">
        <v>11</v>
      </c>
      <c r="B12">
        <v>-99</v>
      </c>
      <c r="C12" t="s">
        <v>448</v>
      </c>
      <c r="D12" t="s">
        <v>509</v>
      </c>
      <c r="E12" t="s">
        <v>657</v>
      </c>
      <c r="F12" t="s">
        <v>129</v>
      </c>
      <c r="G12" t="s">
        <v>657</v>
      </c>
      <c r="H12" t="s">
        <v>371</v>
      </c>
      <c r="I12">
        <v>-99</v>
      </c>
      <c r="J12">
        <v>-99</v>
      </c>
      <c r="K12" t="s">
        <v>655</v>
      </c>
      <c r="L12">
        <v>-99</v>
      </c>
      <c r="M12" t="s">
        <v>655</v>
      </c>
      <c r="N12" t="s">
        <v>655</v>
      </c>
      <c r="O12">
        <v>-99</v>
      </c>
      <c r="P12">
        <v>-99</v>
      </c>
      <c r="Q12">
        <v>2</v>
      </c>
      <c r="R12" t="s">
        <v>655</v>
      </c>
    </row>
    <row r="13" spans="1:18" x14ac:dyDescent="0.2">
      <c r="A13">
        <v>12</v>
      </c>
      <c r="B13">
        <v>-99</v>
      </c>
      <c r="C13" t="s">
        <v>450</v>
      </c>
      <c r="D13" t="s">
        <v>509</v>
      </c>
      <c r="E13" t="s">
        <v>658</v>
      </c>
      <c r="F13" t="s">
        <v>130</v>
      </c>
      <c r="G13" t="s">
        <v>658</v>
      </c>
      <c r="H13" t="s">
        <v>378</v>
      </c>
      <c r="I13">
        <v>-99</v>
      </c>
      <c r="J13">
        <v>-99</v>
      </c>
      <c r="K13" t="s">
        <v>655</v>
      </c>
      <c r="L13">
        <v>-99</v>
      </c>
      <c r="M13" t="s">
        <v>655</v>
      </c>
      <c r="N13" t="s">
        <v>655</v>
      </c>
      <c r="O13">
        <v>-99</v>
      </c>
      <c r="P13">
        <v>-99</v>
      </c>
      <c r="Q13">
        <v>2</v>
      </c>
      <c r="R13" t="s">
        <v>655</v>
      </c>
    </row>
    <row r="14" spans="1:18" x14ac:dyDescent="0.2">
      <c r="A14">
        <v>13</v>
      </c>
      <c r="B14">
        <v>-99</v>
      </c>
      <c r="C14" t="s">
        <v>453</v>
      </c>
      <c r="D14" t="s">
        <v>509</v>
      </c>
      <c r="E14" t="s">
        <v>659</v>
      </c>
      <c r="F14" t="s">
        <v>131</v>
      </c>
      <c r="G14" t="s">
        <v>659</v>
      </c>
      <c r="H14" t="s">
        <v>387</v>
      </c>
      <c r="I14">
        <v>-99</v>
      </c>
      <c r="J14">
        <v>-99</v>
      </c>
      <c r="K14" t="s">
        <v>655</v>
      </c>
      <c r="L14">
        <v>-99</v>
      </c>
      <c r="M14" t="s">
        <v>655</v>
      </c>
      <c r="N14" t="s">
        <v>655</v>
      </c>
      <c r="O14">
        <v>-99</v>
      </c>
      <c r="P14">
        <v>-99</v>
      </c>
      <c r="Q14">
        <v>2</v>
      </c>
      <c r="R14" t="s">
        <v>655</v>
      </c>
    </row>
    <row r="15" spans="1:18" x14ac:dyDescent="0.2">
      <c r="A15">
        <v>14</v>
      </c>
      <c r="B15">
        <v>-99</v>
      </c>
      <c r="C15" t="s">
        <v>660</v>
      </c>
      <c r="D15" t="s">
        <v>509</v>
      </c>
      <c r="E15" t="s">
        <v>661</v>
      </c>
      <c r="F15" t="s">
        <v>132</v>
      </c>
      <c r="G15" t="s">
        <v>661</v>
      </c>
      <c r="H15" t="s">
        <v>403</v>
      </c>
      <c r="I15">
        <v>-99</v>
      </c>
      <c r="J15">
        <v>-99</v>
      </c>
      <c r="K15" t="s">
        <v>655</v>
      </c>
      <c r="L15">
        <v>-99</v>
      </c>
      <c r="M15" t="s">
        <v>655</v>
      </c>
      <c r="N15" t="s">
        <v>655</v>
      </c>
      <c r="O15">
        <v>-99</v>
      </c>
      <c r="P15">
        <v>-99</v>
      </c>
      <c r="Q15">
        <v>2</v>
      </c>
      <c r="R15" t="s">
        <v>655</v>
      </c>
    </row>
    <row r="16" spans="1:18" x14ac:dyDescent="0.2">
      <c r="A16">
        <v>15</v>
      </c>
      <c r="B16">
        <v>-99</v>
      </c>
      <c r="C16" t="s">
        <v>663</v>
      </c>
      <c r="D16" t="s">
        <v>430</v>
      </c>
      <c r="E16" t="s">
        <v>663</v>
      </c>
      <c r="F16" t="s">
        <v>430</v>
      </c>
      <c r="G16" t="s">
        <v>655</v>
      </c>
      <c r="H16" t="s">
        <v>655</v>
      </c>
      <c r="I16">
        <v>-99</v>
      </c>
      <c r="J16">
        <v>30</v>
      </c>
      <c r="K16" t="s">
        <v>370</v>
      </c>
      <c r="L16">
        <v>-99</v>
      </c>
      <c r="M16" t="s">
        <v>655</v>
      </c>
      <c r="N16" t="s">
        <v>655</v>
      </c>
      <c r="O16">
        <v>-99</v>
      </c>
      <c r="P16">
        <v>-99</v>
      </c>
      <c r="Q16">
        <v>3</v>
      </c>
      <c r="R16" t="s">
        <v>655</v>
      </c>
    </row>
    <row r="17" spans="1:18" x14ac:dyDescent="0.2">
      <c r="A17">
        <v>16</v>
      </c>
      <c r="B17">
        <v>-99</v>
      </c>
      <c r="C17" t="s">
        <v>662</v>
      </c>
      <c r="D17" t="s">
        <v>436</v>
      </c>
      <c r="E17" t="s">
        <v>662</v>
      </c>
      <c r="F17" t="s">
        <v>436</v>
      </c>
      <c r="G17" t="s">
        <v>655</v>
      </c>
      <c r="H17" t="s">
        <v>655</v>
      </c>
      <c r="I17">
        <v>-99</v>
      </c>
      <c r="J17">
        <v>31</v>
      </c>
      <c r="K17" t="s">
        <v>381</v>
      </c>
      <c r="L17">
        <v>-99</v>
      </c>
      <c r="M17" t="s">
        <v>655</v>
      </c>
      <c r="N17" t="s">
        <v>655</v>
      </c>
      <c r="O17">
        <v>-99</v>
      </c>
      <c r="P17">
        <v>-99</v>
      </c>
      <c r="Q17">
        <v>3</v>
      </c>
      <c r="R17" t="s">
        <v>655</v>
      </c>
    </row>
    <row r="18" spans="1:18" x14ac:dyDescent="0.2">
      <c r="A18">
        <v>17</v>
      </c>
      <c r="B18">
        <v>-99</v>
      </c>
      <c r="C18" t="s">
        <v>664</v>
      </c>
      <c r="D18" t="s">
        <v>434</v>
      </c>
      <c r="E18" t="s">
        <v>664</v>
      </c>
      <c r="F18" t="s">
        <v>434</v>
      </c>
      <c r="G18" t="s">
        <v>655</v>
      </c>
      <c r="H18" t="s">
        <v>655</v>
      </c>
      <c r="I18">
        <v>-99</v>
      </c>
      <c r="J18">
        <v>32</v>
      </c>
      <c r="K18" t="s">
        <v>391</v>
      </c>
      <c r="L18">
        <v>-99</v>
      </c>
      <c r="M18" t="s">
        <v>655</v>
      </c>
      <c r="N18" t="s">
        <v>655</v>
      </c>
      <c r="O18">
        <v>-99</v>
      </c>
      <c r="P18">
        <v>-99</v>
      </c>
      <c r="Q18">
        <v>3</v>
      </c>
      <c r="R18" t="s">
        <v>655</v>
      </c>
    </row>
    <row r="19" spans="1:18" x14ac:dyDescent="0.2">
      <c r="A19">
        <v>18</v>
      </c>
      <c r="B19">
        <v>-99</v>
      </c>
      <c r="C19" t="s">
        <v>665</v>
      </c>
      <c r="D19" t="s">
        <v>433</v>
      </c>
      <c r="E19" t="s">
        <v>665</v>
      </c>
      <c r="F19" t="s">
        <v>433</v>
      </c>
      <c r="G19" t="s">
        <v>655</v>
      </c>
      <c r="H19" t="s">
        <v>655</v>
      </c>
      <c r="I19">
        <v>-99</v>
      </c>
      <c r="J19">
        <v>33</v>
      </c>
      <c r="K19" t="s">
        <v>386</v>
      </c>
      <c r="L19">
        <v>-99</v>
      </c>
      <c r="M19" t="s">
        <v>655</v>
      </c>
      <c r="N19" t="s">
        <v>655</v>
      </c>
      <c r="O19">
        <v>-99</v>
      </c>
      <c r="P19">
        <v>-99</v>
      </c>
      <c r="Q19">
        <v>3</v>
      </c>
      <c r="R19" t="s">
        <v>655</v>
      </c>
    </row>
    <row r="20" spans="1:18" x14ac:dyDescent="0.2">
      <c r="A20">
        <v>19</v>
      </c>
      <c r="B20">
        <v>-99</v>
      </c>
      <c r="C20" t="s">
        <v>666</v>
      </c>
      <c r="D20" t="s">
        <v>435</v>
      </c>
      <c r="E20" t="s">
        <v>666</v>
      </c>
      <c r="F20" t="s">
        <v>435</v>
      </c>
      <c r="G20" t="s">
        <v>655</v>
      </c>
      <c r="H20" t="s">
        <v>655</v>
      </c>
      <c r="I20">
        <v>-99</v>
      </c>
      <c r="J20">
        <v>34</v>
      </c>
      <c r="K20" t="s">
        <v>405</v>
      </c>
      <c r="L20">
        <v>-99</v>
      </c>
      <c r="M20" t="s">
        <v>655</v>
      </c>
      <c r="N20" t="s">
        <v>655</v>
      </c>
      <c r="O20">
        <v>-99</v>
      </c>
      <c r="P20">
        <v>-99</v>
      </c>
      <c r="Q20">
        <v>3</v>
      </c>
      <c r="R20" t="s">
        <v>655</v>
      </c>
    </row>
    <row r="21" spans="1:18" x14ac:dyDescent="0.2">
      <c r="A21">
        <v>20</v>
      </c>
      <c r="B21">
        <v>1</v>
      </c>
      <c r="C21" t="s">
        <v>668</v>
      </c>
      <c r="D21" t="s">
        <v>369</v>
      </c>
      <c r="E21" t="s">
        <v>668</v>
      </c>
      <c r="F21" t="s">
        <v>510</v>
      </c>
      <c r="G21" t="s">
        <v>669</v>
      </c>
      <c r="H21" t="s">
        <v>8</v>
      </c>
      <c r="I21">
        <v>-99</v>
      </c>
      <c r="J21">
        <v>35</v>
      </c>
      <c r="K21" t="s">
        <v>8</v>
      </c>
      <c r="L21">
        <v>8240</v>
      </c>
      <c r="M21" t="s">
        <v>511</v>
      </c>
      <c r="N21" t="s">
        <v>655</v>
      </c>
      <c r="O21">
        <v>1</v>
      </c>
      <c r="P21">
        <v>2</v>
      </c>
      <c r="Q21">
        <v>-99</v>
      </c>
      <c r="R21" t="s">
        <v>655</v>
      </c>
    </row>
    <row r="22" spans="1:18" x14ac:dyDescent="0.2">
      <c r="A22">
        <v>21</v>
      </c>
      <c r="B22">
        <v>8</v>
      </c>
      <c r="C22" t="s">
        <v>136</v>
      </c>
      <c r="D22" t="s">
        <v>35</v>
      </c>
      <c r="E22" t="s">
        <v>512</v>
      </c>
      <c r="F22" t="s">
        <v>513</v>
      </c>
      <c r="G22" t="s">
        <v>657</v>
      </c>
      <c r="H22" t="s">
        <v>371</v>
      </c>
      <c r="I22">
        <v>380</v>
      </c>
      <c r="J22">
        <v>30</v>
      </c>
      <c r="K22" t="s">
        <v>370</v>
      </c>
      <c r="L22">
        <v>8233</v>
      </c>
      <c r="M22" t="s">
        <v>326</v>
      </c>
      <c r="N22" t="s">
        <v>372</v>
      </c>
      <c r="O22">
        <v>1</v>
      </c>
      <c r="P22">
        <v>2</v>
      </c>
      <c r="Q22">
        <v>-99</v>
      </c>
      <c r="R22" t="s">
        <v>683</v>
      </c>
    </row>
    <row r="23" spans="1:18" x14ac:dyDescent="0.2">
      <c r="A23">
        <v>22</v>
      </c>
      <c r="B23">
        <v>9</v>
      </c>
      <c r="C23" t="s">
        <v>137</v>
      </c>
      <c r="D23" t="s">
        <v>67</v>
      </c>
      <c r="E23" t="s">
        <v>514</v>
      </c>
      <c r="F23" t="s">
        <v>515</v>
      </c>
      <c r="G23" t="s">
        <v>657</v>
      </c>
      <c r="H23" t="s">
        <v>371</v>
      </c>
      <c r="I23">
        <v>380</v>
      </c>
      <c r="J23">
        <v>30</v>
      </c>
      <c r="K23" t="s">
        <v>370</v>
      </c>
      <c r="L23">
        <v>8235</v>
      </c>
      <c r="M23" t="s">
        <v>361</v>
      </c>
      <c r="N23" t="s">
        <v>373</v>
      </c>
      <c r="O23">
        <v>1</v>
      </c>
      <c r="P23">
        <v>1</v>
      </c>
      <c r="Q23">
        <v>-99</v>
      </c>
      <c r="R23" t="s">
        <v>683</v>
      </c>
    </row>
    <row r="24" spans="1:18" x14ac:dyDescent="0.2">
      <c r="A24">
        <v>23</v>
      </c>
      <c r="B24">
        <v>-99</v>
      </c>
      <c r="C24" t="s">
        <v>137</v>
      </c>
      <c r="D24" t="s">
        <v>67</v>
      </c>
      <c r="E24" t="s">
        <v>516</v>
      </c>
      <c r="F24" t="s">
        <v>517</v>
      </c>
      <c r="G24" t="s">
        <v>657</v>
      </c>
      <c r="H24" t="s">
        <v>371</v>
      </c>
      <c r="I24">
        <v>380</v>
      </c>
      <c r="J24">
        <v>30</v>
      </c>
      <c r="K24" t="s">
        <v>370</v>
      </c>
      <c r="L24">
        <v>8235</v>
      </c>
      <c r="M24" t="s">
        <v>361</v>
      </c>
      <c r="N24" t="s">
        <v>373</v>
      </c>
      <c r="O24">
        <v>-99</v>
      </c>
      <c r="P24">
        <v>1</v>
      </c>
      <c r="Q24">
        <v>-99</v>
      </c>
      <c r="R24" t="s">
        <v>399</v>
      </c>
    </row>
    <row r="25" spans="1:18" x14ac:dyDescent="0.2">
      <c r="A25">
        <v>24</v>
      </c>
      <c r="B25">
        <v>10</v>
      </c>
      <c r="C25" t="s">
        <v>138</v>
      </c>
      <c r="D25" t="s">
        <v>60</v>
      </c>
      <c r="E25" t="s">
        <v>518</v>
      </c>
      <c r="F25" t="s">
        <v>519</v>
      </c>
      <c r="G25" t="s">
        <v>657</v>
      </c>
      <c r="H25" t="s">
        <v>371</v>
      </c>
      <c r="I25">
        <v>380</v>
      </c>
      <c r="J25">
        <v>30</v>
      </c>
      <c r="K25" t="s">
        <v>370</v>
      </c>
      <c r="L25">
        <v>8237</v>
      </c>
      <c r="M25" t="s">
        <v>336</v>
      </c>
      <c r="N25" t="s">
        <v>60</v>
      </c>
      <c r="O25">
        <v>1</v>
      </c>
      <c r="P25">
        <v>2</v>
      </c>
      <c r="Q25">
        <v>-99</v>
      </c>
      <c r="R25" t="s">
        <v>683</v>
      </c>
    </row>
    <row r="26" spans="1:18" x14ac:dyDescent="0.2">
      <c r="A26">
        <v>25</v>
      </c>
      <c r="B26">
        <v>11</v>
      </c>
      <c r="C26" t="s">
        <v>139</v>
      </c>
      <c r="D26" t="s">
        <v>24</v>
      </c>
      <c r="E26" t="s">
        <v>520</v>
      </c>
      <c r="F26" t="s">
        <v>521</v>
      </c>
      <c r="G26" t="s">
        <v>657</v>
      </c>
      <c r="H26" t="s">
        <v>371</v>
      </c>
      <c r="I26">
        <v>380</v>
      </c>
      <c r="J26">
        <v>30</v>
      </c>
      <c r="K26" t="s">
        <v>370</v>
      </c>
      <c r="L26">
        <v>8238</v>
      </c>
      <c r="M26" t="s">
        <v>336</v>
      </c>
      <c r="N26" t="s">
        <v>60</v>
      </c>
      <c r="O26">
        <v>1</v>
      </c>
      <c r="P26">
        <v>2</v>
      </c>
      <c r="Q26">
        <v>-99</v>
      </c>
      <c r="R26" t="s">
        <v>683</v>
      </c>
    </row>
    <row r="27" spans="1:18" x14ac:dyDescent="0.2">
      <c r="A27">
        <v>26</v>
      </c>
      <c r="B27">
        <v>12</v>
      </c>
      <c r="C27" t="s">
        <v>140</v>
      </c>
      <c r="D27" t="s">
        <v>44</v>
      </c>
      <c r="E27" t="s">
        <v>522</v>
      </c>
      <c r="F27" t="s">
        <v>523</v>
      </c>
      <c r="G27" t="s">
        <v>657</v>
      </c>
      <c r="H27" t="s">
        <v>371</v>
      </c>
      <c r="I27">
        <v>380</v>
      </c>
      <c r="J27">
        <v>30</v>
      </c>
      <c r="K27" t="s">
        <v>370</v>
      </c>
      <c r="L27">
        <v>8239</v>
      </c>
      <c r="M27" t="s">
        <v>354</v>
      </c>
      <c r="N27" t="s">
        <v>374</v>
      </c>
      <c r="O27">
        <v>1</v>
      </c>
      <c r="P27">
        <v>2</v>
      </c>
      <c r="Q27">
        <v>-99</v>
      </c>
      <c r="R27" t="s">
        <v>683</v>
      </c>
    </row>
    <row r="28" spans="1:18" x14ac:dyDescent="0.2">
      <c r="A28">
        <v>27</v>
      </c>
      <c r="B28">
        <v>13</v>
      </c>
      <c r="C28" t="s">
        <v>141</v>
      </c>
      <c r="D28" t="s">
        <v>61</v>
      </c>
      <c r="E28" t="s">
        <v>524</v>
      </c>
      <c r="F28" t="s">
        <v>525</v>
      </c>
      <c r="G28" t="s">
        <v>657</v>
      </c>
      <c r="H28" t="s">
        <v>371</v>
      </c>
      <c r="I28">
        <v>380</v>
      </c>
      <c r="J28">
        <v>30</v>
      </c>
      <c r="K28" t="s">
        <v>370</v>
      </c>
      <c r="L28">
        <v>8241</v>
      </c>
      <c r="M28" t="s">
        <v>358</v>
      </c>
      <c r="N28" t="s">
        <v>375</v>
      </c>
      <c r="O28">
        <v>1</v>
      </c>
      <c r="P28">
        <v>2</v>
      </c>
      <c r="Q28">
        <v>-99</v>
      </c>
      <c r="R28" t="s">
        <v>683</v>
      </c>
    </row>
    <row r="29" spans="1:18" x14ac:dyDescent="0.2">
      <c r="A29">
        <v>28</v>
      </c>
      <c r="B29">
        <v>14</v>
      </c>
      <c r="C29" t="s">
        <v>99</v>
      </c>
      <c r="D29" t="s">
        <v>63</v>
      </c>
      <c r="E29" t="s">
        <v>526</v>
      </c>
      <c r="F29" t="s">
        <v>527</v>
      </c>
      <c r="G29" t="s">
        <v>657</v>
      </c>
      <c r="H29" t="s">
        <v>371</v>
      </c>
      <c r="I29">
        <v>380</v>
      </c>
      <c r="J29">
        <v>30</v>
      </c>
      <c r="K29" t="s">
        <v>370</v>
      </c>
      <c r="L29">
        <v>8242</v>
      </c>
      <c r="M29" t="s">
        <v>348</v>
      </c>
      <c r="N29" t="s">
        <v>376</v>
      </c>
      <c r="O29">
        <v>1</v>
      </c>
      <c r="P29">
        <v>1</v>
      </c>
      <c r="Q29">
        <v>-99</v>
      </c>
      <c r="R29" t="s">
        <v>683</v>
      </c>
    </row>
    <row r="30" spans="1:18" x14ac:dyDescent="0.2">
      <c r="A30">
        <v>29</v>
      </c>
      <c r="B30">
        <v>-99</v>
      </c>
      <c r="C30" t="s">
        <v>99</v>
      </c>
      <c r="D30" t="s">
        <v>63</v>
      </c>
      <c r="E30" t="s">
        <v>528</v>
      </c>
      <c r="F30" t="s">
        <v>210</v>
      </c>
      <c r="G30" t="s">
        <v>657</v>
      </c>
      <c r="H30" t="s">
        <v>371</v>
      </c>
      <c r="I30">
        <v>380</v>
      </c>
      <c r="J30">
        <v>30</v>
      </c>
      <c r="K30" t="s">
        <v>370</v>
      </c>
      <c r="L30">
        <v>8242</v>
      </c>
      <c r="M30" t="s">
        <v>348</v>
      </c>
      <c r="N30" t="s">
        <v>376</v>
      </c>
      <c r="O30">
        <v>-99</v>
      </c>
      <c r="P30">
        <v>1</v>
      </c>
      <c r="Q30">
        <v>-99</v>
      </c>
      <c r="R30" t="s">
        <v>208</v>
      </c>
    </row>
    <row r="31" spans="1:18" x14ac:dyDescent="0.2">
      <c r="A31">
        <v>30</v>
      </c>
      <c r="B31">
        <v>15</v>
      </c>
      <c r="C31" t="s">
        <v>142</v>
      </c>
      <c r="D31" t="s">
        <v>65</v>
      </c>
      <c r="E31" t="s">
        <v>529</v>
      </c>
      <c r="F31" t="s">
        <v>530</v>
      </c>
      <c r="G31" t="s">
        <v>657</v>
      </c>
      <c r="H31" t="s">
        <v>371</v>
      </c>
      <c r="I31">
        <v>380</v>
      </c>
      <c r="J31">
        <v>30</v>
      </c>
      <c r="K31" t="s">
        <v>370</v>
      </c>
      <c r="L31">
        <v>8243</v>
      </c>
      <c r="M31" t="s">
        <v>348</v>
      </c>
      <c r="N31" t="s">
        <v>376</v>
      </c>
      <c r="O31">
        <v>1</v>
      </c>
      <c r="P31">
        <v>1</v>
      </c>
      <c r="Q31">
        <v>-99</v>
      </c>
      <c r="R31" t="s">
        <v>683</v>
      </c>
    </row>
    <row r="32" spans="1:18" x14ac:dyDescent="0.2">
      <c r="A32">
        <v>31</v>
      </c>
      <c r="B32">
        <v>-99</v>
      </c>
      <c r="C32" t="s">
        <v>142</v>
      </c>
      <c r="D32" t="s">
        <v>65</v>
      </c>
      <c r="E32" t="s">
        <v>531</v>
      </c>
      <c r="F32" t="s">
        <v>532</v>
      </c>
      <c r="G32" t="s">
        <v>657</v>
      </c>
      <c r="H32" t="s">
        <v>371</v>
      </c>
      <c r="I32">
        <v>380</v>
      </c>
      <c r="J32">
        <v>30</v>
      </c>
      <c r="K32" t="s">
        <v>370</v>
      </c>
      <c r="L32">
        <v>8243</v>
      </c>
      <c r="M32" t="s">
        <v>348</v>
      </c>
      <c r="N32" t="s">
        <v>376</v>
      </c>
      <c r="O32">
        <v>-99</v>
      </c>
      <c r="P32">
        <v>1</v>
      </c>
      <c r="Q32">
        <v>-99</v>
      </c>
      <c r="R32" t="s">
        <v>682</v>
      </c>
    </row>
    <row r="33" spans="1:18" x14ac:dyDescent="0.2">
      <c r="A33">
        <v>32</v>
      </c>
      <c r="B33">
        <v>16</v>
      </c>
      <c r="C33" t="s">
        <v>143</v>
      </c>
      <c r="D33" t="s">
        <v>33</v>
      </c>
      <c r="E33" t="s">
        <v>533</v>
      </c>
      <c r="F33" t="s">
        <v>534</v>
      </c>
      <c r="G33" t="s">
        <v>657</v>
      </c>
      <c r="H33" t="s">
        <v>371</v>
      </c>
      <c r="I33">
        <v>380</v>
      </c>
      <c r="J33">
        <v>30</v>
      </c>
      <c r="K33" t="s">
        <v>370</v>
      </c>
      <c r="L33">
        <v>8244</v>
      </c>
      <c r="M33" t="s">
        <v>343</v>
      </c>
      <c r="N33" t="s">
        <v>377</v>
      </c>
      <c r="O33">
        <v>1</v>
      </c>
      <c r="P33">
        <v>2</v>
      </c>
      <c r="Q33">
        <v>-99</v>
      </c>
      <c r="R33" t="s">
        <v>683</v>
      </c>
    </row>
    <row r="34" spans="1:18" x14ac:dyDescent="0.2">
      <c r="A34">
        <v>33</v>
      </c>
      <c r="B34">
        <v>23</v>
      </c>
      <c r="C34" t="s">
        <v>103</v>
      </c>
      <c r="D34" t="s">
        <v>69</v>
      </c>
      <c r="E34" t="s">
        <v>535</v>
      </c>
      <c r="F34" t="s">
        <v>536</v>
      </c>
      <c r="G34" t="s">
        <v>658</v>
      </c>
      <c r="H34" t="s">
        <v>378</v>
      </c>
      <c r="I34">
        <v>381</v>
      </c>
      <c r="J34">
        <v>30</v>
      </c>
      <c r="K34" t="s">
        <v>370</v>
      </c>
      <c r="L34">
        <v>8245</v>
      </c>
      <c r="M34" t="s">
        <v>322</v>
      </c>
      <c r="N34" t="s">
        <v>379</v>
      </c>
      <c r="O34">
        <v>1</v>
      </c>
      <c r="P34">
        <v>2</v>
      </c>
      <c r="Q34">
        <v>-99</v>
      </c>
      <c r="R34" t="s">
        <v>683</v>
      </c>
    </row>
    <row r="35" spans="1:18" x14ac:dyDescent="0.2">
      <c r="A35">
        <v>34</v>
      </c>
      <c r="B35">
        <v>24</v>
      </c>
      <c r="C35" t="s">
        <v>144</v>
      </c>
      <c r="D35" t="s">
        <v>47</v>
      </c>
      <c r="E35" t="s">
        <v>537</v>
      </c>
      <c r="F35" t="s">
        <v>538</v>
      </c>
      <c r="G35" t="s">
        <v>658</v>
      </c>
      <c r="H35" t="s">
        <v>378</v>
      </c>
      <c r="I35">
        <v>381</v>
      </c>
      <c r="J35">
        <v>30</v>
      </c>
      <c r="K35" t="s">
        <v>370</v>
      </c>
      <c r="L35">
        <v>8246</v>
      </c>
      <c r="M35" t="s">
        <v>338</v>
      </c>
      <c r="N35" t="s">
        <v>380</v>
      </c>
      <c r="O35">
        <v>1</v>
      </c>
      <c r="P35">
        <v>2</v>
      </c>
      <c r="Q35">
        <v>-99</v>
      </c>
      <c r="R35" t="s">
        <v>683</v>
      </c>
    </row>
    <row r="36" spans="1:18" x14ac:dyDescent="0.2">
      <c r="A36">
        <v>35</v>
      </c>
      <c r="B36">
        <v>30</v>
      </c>
      <c r="C36" t="s">
        <v>145</v>
      </c>
      <c r="D36" t="s">
        <v>25</v>
      </c>
      <c r="E36" t="s">
        <v>539</v>
      </c>
      <c r="F36" t="s">
        <v>540</v>
      </c>
      <c r="G36" t="s">
        <v>658</v>
      </c>
      <c r="H36" t="s">
        <v>378</v>
      </c>
      <c r="I36">
        <v>381</v>
      </c>
      <c r="J36">
        <v>31</v>
      </c>
      <c r="K36" t="s">
        <v>381</v>
      </c>
      <c r="L36">
        <v>8247</v>
      </c>
      <c r="M36" t="s">
        <v>363</v>
      </c>
      <c r="N36" t="s">
        <v>382</v>
      </c>
      <c r="O36">
        <v>1</v>
      </c>
      <c r="P36">
        <v>2</v>
      </c>
      <c r="Q36">
        <v>-99</v>
      </c>
      <c r="R36" t="s">
        <v>683</v>
      </c>
    </row>
    <row r="37" spans="1:18" x14ac:dyDescent="0.2">
      <c r="A37">
        <v>36</v>
      </c>
      <c r="B37">
        <v>194</v>
      </c>
      <c r="C37" t="s">
        <v>146</v>
      </c>
      <c r="D37" t="s">
        <v>77</v>
      </c>
      <c r="E37" t="s">
        <v>541</v>
      </c>
      <c r="F37" t="s">
        <v>542</v>
      </c>
      <c r="G37" t="s">
        <v>658</v>
      </c>
      <c r="H37" t="s">
        <v>378</v>
      </c>
      <c r="I37">
        <v>381</v>
      </c>
      <c r="J37">
        <v>31</v>
      </c>
      <c r="K37" t="s">
        <v>381</v>
      </c>
      <c r="L37">
        <v>8248</v>
      </c>
      <c r="M37" t="s">
        <v>318</v>
      </c>
      <c r="N37" t="s">
        <v>426</v>
      </c>
      <c r="O37">
        <v>1</v>
      </c>
      <c r="P37">
        <v>2</v>
      </c>
      <c r="Q37">
        <v>-99</v>
      </c>
      <c r="R37" t="s">
        <v>683</v>
      </c>
    </row>
    <row r="38" spans="1:18" x14ac:dyDescent="0.2">
      <c r="A38">
        <v>37</v>
      </c>
      <c r="B38">
        <v>34</v>
      </c>
      <c r="C38" t="s">
        <v>147</v>
      </c>
      <c r="D38" t="s">
        <v>83</v>
      </c>
      <c r="E38" t="s">
        <v>543</v>
      </c>
      <c r="F38" t="s">
        <v>544</v>
      </c>
      <c r="G38" t="s">
        <v>658</v>
      </c>
      <c r="H38" t="s">
        <v>378</v>
      </c>
      <c r="I38">
        <v>381</v>
      </c>
      <c r="J38">
        <v>30</v>
      </c>
      <c r="K38" t="s">
        <v>370</v>
      </c>
      <c r="L38">
        <v>8249</v>
      </c>
      <c r="M38" t="s">
        <v>349</v>
      </c>
      <c r="N38" t="s">
        <v>383</v>
      </c>
      <c r="O38">
        <v>1</v>
      </c>
      <c r="P38">
        <v>1</v>
      </c>
      <c r="Q38">
        <v>-99</v>
      </c>
      <c r="R38" t="s">
        <v>683</v>
      </c>
    </row>
    <row r="39" spans="1:18" x14ac:dyDescent="0.2">
      <c r="A39">
        <v>38</v>
      </c>
      <c r="B39">
        <v>-99</v>
      </c>
      <c r="C39" t="s">
        <v>147</v>
      </c>
      <c r="D39" t="s">
        <v>83</v>
      </c>
      <c r="E39" t="s">
        <v>545</v>
      </c>
      <c r="F39" t="s">
        <v>213</v>
      </c>
      <c r="G39" t="s">
        <v>658</v>
      </c>
      <c r="H39" t="s">
        <v>378</v>
      </c>
      <c r="I39">
        <v>381</v>
      </c>
      <c r="J39">
        <v>30</v>
      </c>
      <c r="K39" t="s">
        <v>370</v>
      </c>
      <c r="L39">
        <v>8249</v>
      </c>
      <c r="M39" t="s">
        <v>349</v>
      </c>
      <c r="N39" t="s">
        <v>383</v>
      </c>
      <c r="O39">
        <v>-99</v>
      </c>
      <c r="P39">
        <v>1</v>
      </c>
      <c r="Q39">
        <v>-99</v>
      </c>
      <c r="R39" t="s">
        <v>680</v>
      </c>
    </row>
    <row r="40" spans="1:18" x14ac:dyDescent="0.2">
      <c r="A40">
        <v>39</v>
      </c>
      <c r="B40">
        <v>-99</v>
      </c>
      <c r="C40" t="s">
        <v>147</v>
      </c>
      <c r="D40" t="s">
        <v>83</v>
      </c>
      <c r="E40" t="s">
        <v>546</v>
      </c>
      <c r="F40" t="s">
        <v>958</v>
      </c>
      <c r="G40" t="s">
        <v>658</v>
      </c>
      <c r="H40" t="s">
        <v>378</v>
      </c>
      <c r="I40">
        <v>381</v>
      </c>
      <c r="J40">
        <v>30</v>
      </c>
      <c r="K40" t="s">
        <v>370</v>
      </c>
      <c r="L40">
        <v>8249</v>
      </c>
      <c r="M40" t="s">
        <v>349</v>
      </c>
      <c r="N40" t="s">
        <v>383</v>
      </c>
      <c r="O40">
        <v>-99</v>
      </c>
      <c r="P40">
        <v>1</v>
      </c>
      <c r="Q40">
        <v>-99</v>
      </c>
      <c r="R40" t="s">
        <v>681</v>
      </c>
    </row>
    <row r="41" spans="1:18" x14ac:dyDescent="0.2">
      <c r="A41">
        <v>40</v>
      </c>
      <c r="B41">
        <v>35</v>
      </c>
      <c r="C41" t="s">
        <v>148</v>
      </c>
      <c r="D41" t="s">
        <v>39</v>
      </c>
      <c r="E41" t="s">
        <v>547</v>
      </c>
      <c r="F41" t="s">
        <v>548</v>
      </c>
      <c r="G41" t="s">
        <v>658</v>
      </c>
      <c r="H41" t="s">
        <v>378</v>
      </c>
      <c r="I41">
        <v>381</v>
      </c>
      <c r="J41">
        <v>31</v>
      </c>
      <c r="K41" t="s">
        <v>381</v>
      </c>
      <c r="L41">
        <v>8250</v>
      </c>
      <c r="M41" t="s">
        <v>341</v>
      </c>
      <c r="N41" t="s">
        <v>384</v>
      </c>
      <c r="O41">
        <v>1</v>
      </c>
      <c r="P41">
        <v>2</v>
      </c>
      <c r="Q41">
        <v>-99</v>
      </c>
      <c r="R41" t="s">
        <v>683</v>
      </c>
    </row>
    <row r="42" spans="1:18" x14ac:dyDescent="0.2">
      <c r="A42">
        <v>41</v>
      </c>
      <c r="B42">
        <v>36</v>
      </c>
      <c r="C42" t="s">
        <v>91</v>
      </c>
      <c r="D42" t="s">
        <v>58</v>
      </c>
      <c r="E42" t="s">
        <v>549</v>
      </c>
      <c r="F42" t="s">
        <v>550</v>
      </c>
      <c r="G42" t="s">
        <v>658</v>
      </c>
      <c r="H42" t="s">
        <v>378</v>
      </c>
      <c r="I42">
        <v>381</v>
      </c>
      <c r="J42">
        <v>31</v>
      </c>
      <c r="K42" t="s">
        <v>381</v>
      </c>
      <c r="L42">
        <v>8251</v>
      </c>
      <c r="M42" t="s">
        <v>344</v>
      </c>
      <c r="N42" t="s">
        <v>385</v>
      </c>
      <c r="O42">
        <v>1</v>
      </c>
      <c r="P42">
        <v>2</v>
      </c>
      <c r="Q42">
        <v>-99</v>
      </c>
      <c r="R42" t="s">
        <v>683</v>
      </c>
    </row>
    <row r="43" spans="1:18" x14ac:dyDescent="0.2">
      <c r="A43">
        <v>42</v>
      </c>
      <c r="B43">
        <v>37</v>
      </c>
      <c r="C43" t="s">
        <v>149</v>
      </c>
      <c r="D43" t="s">
        <v>59</v>
      </c>
      <c r="E43" t="s">
        <v>551</v>
      </c>
      <c r="F43" t="s">
        <v>552</v>
      </c>
      <c r="G43" t="s">
        <v>659</v>
      </c>
      <c r="H43" t="s">
        <v>387</v>
      </c>
      <c r="I43">
        <v>382</v>
      </c>
      <c r="J43">
        <v>33</v>
      </c>
      <c r="K43" t="s">
        <v>386</v>
      </c>
      <c r="L43">
        <v>8252</v>
      </c>
      <c r="M43" t="s">
        <v>321</v>
      </c>
      <c r="N43" t="s">
        <v>388</v>
      </c>
      <c r="O43">
        <v>1</v>
      </c>
      <c r="P43">
        <v>2</v>
      </c>
      <c r="Q43">
        <v>-99</v>
      </c>
      <c r="R43" t="s">
        <v>683</v>
      </c>
    </row>
    <row r="44" spans="1:18" x14ac:dyDescent="0.2">
      <c r="A44">
        <v>43</v>
      </c>
      <c r="B44">
        <v>38</v>
      </c>
      <c r="C44" t="s">
        <v>150</v>
      </c>
      <c r="D44" t="s">
        <v>57</v>
      </c>
      <c r="E44" t="s">
        <v>553</v>
      </c>
      <c r="F44" t="s">
        <v>554</v>
      </c>
      <c r="G44" t="s">
        <v>658</v>
      </c>
      <c r="H44" t="s">
        <v>378</v>
      </c>
      <c r="I44">
        <v>381</v>
      </c>
      <c r="J44">
        <v>31</v>
      </c>
      <c r="K44" t="s">
        <v>381</v>
      </c>
      <c r="L44">
        <v>8253</v>
      </c>
      <c r="M44" t="s">
        <v>355</v>
      </c>
      <c r="N44" t="s">
        <v>389</v>
      </c>
      <c r="O44">
        <v>1</v>
      </c>
      <c r="P44">
        <v>2</v>
      </c>
      <c r="Q44">
        <v>-99</v>
      </c>
      <c r="R44" t="s">
        <v>683</v>
      </c>
    </row>
    <row r="45" spans="1:18" x14ac:dyDescent="0.2">
      <c r="A45">
        <v>44</v>
      </c>
      <c r="B45">
        <v>39</v>
      </c>
      <c r="C45" t="s">
        <v>151</v>
      </c>
      <c r="D45" t="s">
        <v>49</v>
      </c>
      <c r="E45" t="s">
        <v>555</v>
      </c>
      <c r="F45" t="s">
        <v>556</v>
      </c>
      <c r="G45" t="s">
        <v>658</v>
      </c>
      <c r="H45" t="s">
        <v>378</v>
      </c>
      <c r="I45">
        <v>381</v>
      </c>
      <c r="J45">
        <v>33</v>
      </c>
      <c r="K45" t="s">
        <v>386</v>
      </c>
      <c r="L45">
        <v>8254</v>
      </c>
      <c r="M45" t="s">
        <v>356</v>
      </c>
      <c r="N45" t="s">
        <v>390</v>
      </c>
      <c r="O45">
        <v>1</v>
      </c>
      <c r="P45">
        <v>1</v>
      </c>
      <c r="Q45">
        <v>-99</v>
      </c>
      <c r="R45" t="s">
        <v>683</v>
      </c>
    </row>
    <row r="46" spans="1:18" x14ac:dyDescent="0.2">
      <c r="A46">
        <v>45</v>
      </c>
      <c r="B46">
        <v>-99</v>
      </c>
      <c r="C46" t="s">
        <v>151</v>
      </c>
      <c r="D46" t="s">
        <v>49</v>
      </c>
      <c r="E46" t="s">
        <v>557</v>
      </c>
      <c r="F46" t="s">
        <v>558</v>
      </c>
      <c r="G46" t="s">
        <v>658</v>
      </c>
      <c r="H46" t="s">
        <v>378</v>
      </c>
      <c r="I46">
        <v>381</v>
      </c>
      <c r="J46">
        <v>33</v>
      </c>
      <c r="K46" t="s">
        <v>386</v>
      </c>
      <c r="L46">
        <v>8254</v>
      </c>
      <c r="M46" t="s">
        <v>356</v>
      </c>
      <c r="N46" t="s">
        <v>390</v>
      </c>
      <c r="O46">
        <v>-99</v>
      </c>
      <c r="P46">
        <v>1</v>
      </c>
      <c r="Q46">
        <v>-99</v>
      </c>
      <c r="R46" t="s">
        <v>684</v>
      </c>
    </row>
    <row r="47" spans="1:18" x14ac:dyDescent="0.2">
      <c r="A47">
        <v>46</v>
      </c>
      <c r="B47">
        <v>52</v>
      </c>
      <c r="C47" t="s">
        <v>152</v>
      </c>
      <c r="D47" t="s">
        <v>38</v>
      </c>
      <c r="E47" t="s">
        <v>559</v>
      </c>
      <c r="F47" t="s">
        <v>560</v>
      </c>
      <c r="G47" t="s">
        <v>657</v>
      </c>
      <c r="H47" t="s">
        <v>371</v>
      </c>
      <c r="I47">
        <v>380</v>
      </c>
      <c r="J47">
        <v>32</v>
      </c>
      <c r="K47" t="s">
        <v>391</v>
      </c>
      <c r="L47">
        <v>8255</v>
      </c>
      <c r="M47" t="s">
        <v>357</v>
      </c>
      <c r="N47" t="s">
        <v>392</v>
      </c>
      <c r="O47">
        <v>1</v>
      </c>
      <c r="P47">
        <v>2</v>
      </c>
      <c r="Q47">
        <v>-99</v>
      </c>
      <c r="R47" t="s">
        <v>683</v>
      </c>
    </row>
    <row r="48" spans="1:18" x14ac:dyDescent="0.2">
      <c r="A48">
        <v>47</v>
      </c>
      <c r="B48">
        <v>53</v>
      </c>
      <c r="C48" t="s">
        <v>153</v>
      </c>
      <c r="D48" t="s">
        <v>48</v>
      </c>
      <c r="E48" t="s">
        <v>561</v>
      </c>
      <c r="F48" t="s">
        <v>562</v>
      </c>
      <c r="G48" t="s">
        <v>657</v>
      </c>
      <c r="H48" t="s">
        <v>371</v>
      </c>
      <c r="I48">
        <v>380</v>
      </c>
      <c r="J48">
        <v>32</v>
      </c>
      <c r="K48" t="s">
        <v>391</v>
      </c>
      <c r="L48">
        <v>8256</v>
      </c>
      <c r="M48" t="s">
        <v>331</v>
      </c>
      <c r="N48" t="s">
        <v>393</v>
      </c>
      <c r="O48">
        <v>1</v>
      </c>
      <c r="P48">
        <v>2</v>
      </c>
      <c r="Q48">
        <v>-99</v>
      </c>
      <c r="R48" t="s">
        <v>683</v>
      </c>
    </row>
    <row r="49" spans="1:18" x14ac:dyDescent="0.2">
      <c r="A49">
        <v>48</v>
      </c>
      <c r="B49">
        <v>54</v>
      </c>
      <c r="C49" t="s">
        <v>154</v>
      </c>
      <c r="D49" t="s">
        <v>53</v>
      </c>
      <c r="E49" t="s">
        <v>563</v>
      </c>
      <c r="F49" t="s">
        <v>564</v>
      </c>
      <c r="G49" t="s">
        <v>658</v>
      </c>
      <c r="H49" t="s">
        <v>378</v>
      </c>
      <c r="I49">
        <v>381</v>
      </c>
      <c r="J49">
        <v>31</v>
      </c>
      <c r="K49" t="s">
        <v>381</v>
      </c>
      <c r="L49">
        <v>8257</v>
      </c>
      <c r="M49" t="s">
        <v>337</v>
      </c>
      <c r="N49" t="s">
        <v>394</v>
      </c>
      <c r="O49">
        <v>1</v>
      </c>
      <c r="P49">
        <v>1</v>
      </c>
      <c r="Q49">
        <v>-99</v>
      </c>
      <c r="R49" t="s">
        <v>683</v>
      </c>
    </row>
    <row r="50" spans="1:18" x14ac:dyDescent="0.2">
      <c r="A50">
        <v>49</v>
      </c>
      <c r="B50">
        <v>-99</v>
      </c>
      <c r="C50" t="s">
        <v>154</v>
      </c>
      <c r="D50" t="s">
        <v>53</v>
      </c>
      <c r="E50" t="s">
        <v>565</v>
      </c>
      <c r="F50" t="s">
        <v>566</v>
      </c>
      <c r="G50" t="s">
        <v>658</v>
      </c>
      <c r="H50" t="s">
        <v>378</v>
      </c>
      <c r="I50">
        <v>381</v>
      </c>
      <c r="J50">
        <v>31</v>
      </c>
      <c r="K50" t="s">
        <v>381</v>
      </c>
      <c r="L50">
        <v>8257</v>
      </c>
      <c r="M50" t="s">
        <v>337</v>
      </c>
      <c r="N50" t="s">
        <v>394</v>
      </c>
      <c r="O50">
        <v>-99</v>
      </c>
      <c r="P50">
        <v>1</v>
      </c>
      <c r="Q50">
        <v>-99</v>
      </c>
      <c r="R50" t="s">
        <v>685</v>
      </c>
    </row>
    <row r="51" spans="1:18" x14ac:dyDescent="0.2">
      <c r="A51">
        <v>50</v>
      </c>
      <c r="B51">
        <v>55</v>
      </c>
      <c r="C51" t="s">
        <v>155</v>
      </c>
      <c r="D51" t="s">
        <v>37</v>
      </c>
      <c r="E51" t="s">
        <v>567</v>
      </c>
      <c r="F51" t="s">
        <v>568</v>
      </c>
      <c r="G51" t="s">
        <v>659</v>
      </c>
      <c r="H51" t="s">
        <v>387</v>
      </c>
      <c r="I51">
        <v>382</v>
      </c>
      <c r="J51">
        <v>32</v>
      </c>
      <c r="K51" t="s">
        <v>391</v>
      </c>
      <c r="L51">
        <v>8258</v>
      </c>
      <c r="M51" t="s">
        <v>350</v>
      </c>
      <c r="N51" t="s">
        <v>395</v>
      </c>
      <c r="O51">
        <v>1</v>
      </c>
      <c r="P51">
        <v>2</v>
      </c>
      <c r="Q51">
        <v>-99</v>
      </c>
      <c r="R51" t="s">
        <v>683</v>
      </c>
    </row>
    <row r="52" spans="1:18" x14ac:dyDescent="0.2">
      <c r="A52">
        <v>51</v>
      </c>
      <c r="B52">
        <v>56</v>
      </c>
      <c r="C52" t="s">
        <v>156</v>
      </c>
      <c r="D52" t="s">
        <v>42</v>
      </c>
      <c r="E52" t="s">
        <v>569</v>
      </c>
      <c r="F52" t="s">
        <v>570</v>
      </c>
      <c r="G52" t="s">
        <v>657</v>
      </c>
      <c r="H52" t="s">
        <v>371</v>
      </c>
      <c r="I52">
        <v>380</v>
      </c>
      <c r="J52">
        <v>32</v>
      </c>
      <c r="K52" t="s">
        <v>391</v>
      </c>
      <c r="L52">
        <v>8259</v>
      </c>
      <c r="M52" t="s">
        <v>327</v>
      </c>
      <c r="N52" t="s">
        <v>396</v>
      </c>
      <c r="O52">
        <v>1</v>
      </c>
      <c r="P52">
        <v>2</v>
      </c>
      <c r="Q52">
        <v>-99</v>
      </c>
      <c r="R52" t="s">
        <v>683</v>
      </c>
    </row>
    <row r="53" spans="1:18" x14ac:dyDescent="0.2">
      <c r="A53">
        <v>52</v>
      </c>
      <c r="B53">
        <v>57</v>
      </c>
      <c r="C53" t="s">
        <v>157</v>
      </c>
      <c r="D53" t="s">
        <v>56</v>
      </c>
      <c r="E53" t="s">
        <v>571</v>
      </c>
      <c r="F53" t="s">
        <v>572</v>
      </c>
      <c r="G53" t="s">
        <v>659</v>
      </c>
      <c r="H53" t="s">
        <v>387</v>
      </c>
      <c r="I53">
        <v>382</v>
      </c>
      <c r="J53">
        <v>32</v>
      </c>
      <c r="K53" t="s">
        <v>391</v>
      </c>
      <c r="L53">
        <v>8260</v>
      </c>
      <c r="M53" t="s">
        <v>317</v>
      </c>
      <c r="N53" t="s">
        <v>397</v>
      </c>
      <c r="O53">
        <v>1</v>
      </c>
      <c r="P53">
        <v>1</v>
      </c>
      <c r="Q53">
        <v>-99</v>
      </c>
      <c r="R53" t="s">
        <v>683</v>
      </c>
    </row>
    <row r="54" spans="1:18" x14ac:dyDescent="0.2">
      <c r="A54">
        <v>53</v>
      </c>
      <c r="B54">
        <v>-99</v>
      </c>
      <c r="C54" t="s">
        <v>157</v>
      </c>
      <c r="D54" t="s">
        <v>56</v>
      </c>
      <c r="E54" t="s">
        <v>573</v>
      </c>
      <c r="F54" t="s">
        <v>209</v>
      </c>
      <c r="G54" t="s">
        <v>659</v>
      </c>
      <c r="H54" t="s">
        <v>387</v>
      </c>
      <c r="I54">
        <v>382</v>
      </c>
      <c r="J54">
        <v>32</v>
      </c>
      <c r="K54" t="s">
        <v>391</v>
      </c>
      <c r="L54">
        <v>8260</v>
      </c>
      <c r="M54" t="s">
        <v>317</v>
      </c>
      <c r="N54" t="s">
        <v>397</v>
      </c>
      <c r="O54">
        <v>-99</v>
      </c>
      <c r="P54">
        <v>1</v>
      </c>
      <c r="Q54">
        <v>-99</v>
      </c>
      <c r="R54" t="s">
        <v>208</v>
      </c>
    </row>
    <row r="55" spans="1:18" x14ac:dyDescent="0.2">
      <c r="A55">
        <v>54</v>
      </c>
      <c r="B55">
        <v>58</v>
      </c>
      <c r="C55" t="s">
        <v>158</v>
      </c>
      <c r="D55" t="s">
        <v>75</v>
      </c>
      <c r="E55" t="s">
        <v>574</v>
      </c>
      <c r="F55" t="s">
        <v>575</v>
      </c>
      <c r="G55" t="s">
        <v>659</v>
      </c>
      <c r="H55" t="s">
        <v>387</v>
      </c>
      <c r="I55">
        <v>382</v>
      </c>
      <c r="J55">
        <v>32</v>
      </c>
      <c r="K55" t="s">
        <v>391</v>
      </c>
      <c r="L55">
        <v>8261</v>
      </c>
      <c r="M55" t="s">
        <v>340</v>
      </c>
      <c r="N55" t="s">
        <v>398</v>
      </c>
      <c r="O55">
        <v>1</v>
      </c>
      <c r="P55">
        <v>2</v>
      </c>
      <c r="Q55">
        <v>-99</v>
      </c>
      <c r="R55" t="s">
        <v>683</v>
      </c>
    </row>
    <row r="56" spans="1:18" x14ac:dyDescent="0.2">
      <c r="A56">
        <v>55</v>
      </c>
      <c r="B56">
        <v>59</v>
      </c>
      <c r="C56" t="s">
        <v>159</v>
      </c>
      <c r="D56" t="s">
        <v>41</v>
      </c>
      <c r="E56" t="s">
        <v>576</v>
      </c>
      <c r="F56" t="s">
        <v>577</v>
      </c>
      <c r="G56" t="s">
        <v>659</v>
      </c>
      <c r="H56" t="s">
        <v>387</v>
      </c>
      <c r="I56">
        <v>382</v>
      </c>
      <c r="J56">
        <v>32</v>
      </c>
      <c r="K56" t="s">
        <v>391</v>
      </c>
      <c r="L56">
        <v>8262</v>
      </c>
      <c r="M56" t="s">
        <v>364</v>
      </c>
      <c r="N56" t="s">
        <v>400</v>
      </c>
      <c r="O56">
        <v>1</v>
      </c>
      <c r="P56">
        <v>2</v>
      </c>
      <c r="Q56">
        <v>-99</v>
      </c>
      <c r="R56" t="s">
        <v>683</v>
      </c>
    </row>
    <row r="57" spans="1:18" x14ac:dyDescent="0.2">
      <c r="A57">
        <v>56</v>
      </c>
      <c r="B57">
        <v>60</v>
      </c>
      <c r="C57" t="s">
        <v>160</v>
      </c>
      <c r="D57" t="s">
        <v>50</v>
      </c>
      <c r="E57" t="s">
        <v>578</v>
      </c>
      <c r="F57" t="s">
        <v>579</v>
      </c>
      <c r="G57" t="s">
        <v>659</v>
      </c>
      <c r="H57" t="s">
        <v>387</v>
      </c>
      <c r="I57">
        <v>382</v>
      </c>
      <c r="J57">
        <v>32</v>
      </c>
      <c r="K57" t="s">
        <v>391</v>
      </c>
      <c r="L57">
        <v>8263</v>
      </c>
      <c r="M57" t="s">
        <v>323</v>
      </c>
      <c r="N57" t="s">
        <v>401</v>
      </c>
      <c r="O57">
        <v>1</v>
      </c>
      <c r="P57">
        <v>2</v>
      </c>
      <c r="Q57">
        <v>-99</v>
      </c>
      <c r="R57" t="s">
        <v>683</v>
      </c>
    </row>
    <row r="58" spans="1:18" x14ac:dyDescent="0.2">
      <c r="A58">
        <v>57</v>
      </c>
      <c r="B58">
        <v>84</v>
      </c>
      <c r="C58" t="s">
        <v>161</v>
      </c>
      <c r="D58" t="s">
        <v>76</v>
      </c>
      <c r="E58" t="s">
        <v>580</v>
      </c>
      <c r="F58" t="s">
        <v>581</v>
      </c>
      <c r="G58" t="s">
        <v>659</v>
      </c>
      <c r="H58" t="s">
        <v>387</v>
      </c>
      <c r="I58">
        <v>382</v>
      </c>
      <c r="J58">
        <v>32</v>
      </c>
      <c r="K58" t="s">
        <v>391</v>
      </c>
      <c r="L58">
        <v>8264</v>
      </c>
      <c r="M58" t="s">
        <v>334</v>
      </c>
      <c r="N58" t="s">
        <v>402</v>
      </c>
      <c r="O58">
        <v>1</v>
      </c>
      <c r="P58">
        <v>1</v>
      </c>
      <c r="Q58">
        <v>-99</v>
      </c>
      <c r="R58" t="s">
        <v>683</v>
      </c>
    </row>
    <row r="59" spans="1:18" x14ac:dyDescent="0.2">
      <c r="A59">
        <v>58</v>
      </c>
      <c r="B59">
        <v>-99</v>
      </c>
      <c r="C59" t="s">
        <v>161</v>
      </c>
      <c r="D59" t="s">
        <v>76</v>
      </c>
      <c r="E59" t="s">
        <v>582</v>
      </c>
      <c r="F59" t="s">
        <v>492</v>
      </c>
      <c r="G59" t="s">
        <v>659</v>
      </c>
      <c r="H59" t="s">
        <v>387</v>
      </c>
      <c r="I59">
        <v>382</v>
      </c>
      <c r="J59">
        <v>32</v>
      </c>
      <c r="K59" t="s">
        <v>391</v>
      </c>
      <c r="L59">
        <v>8264</v>
      </c>
      <c r="M59" t="s">
        <v>334</v>
      </c>
      <c r="N59" t="s">
        <v>402</v>
      </c>
      <c r="O59">
        <v>-99</v>
      </c>
      <c r="P59">
        <v>1</v>
      </c>
      <c r="Q59">
        <v>-99</v>
      </c>
      <c r="R59" t="s">
        <v>655</v>
      </c>
    </row>
    <row r="60" spans="1:18" x14ac:dyDescent="0.2">
      <c r="A60">
        <v>59</v>
      </c>
      <c r="B60">
        <v>-99</v>
      </c>
      <c r="C60" t="s">
        <v>161</v>
      </c>
      <c r="D60" t="s">
        <v>76</v>
      </c>
      <c r="E60" t="s">
        <v>583</v>
      </c>
      <c r="F60" t="s">
        <v>212</v>
      </c>
      <c r="G60" t="s">
        <v>659</v>
      </c>
      <c r="H60" t="s">
        <v>387</v>
      </c>
      <c r="I60">
        <v>382</v>
      </c>
      <c r="J60">
        <v>32</v>
      </c>
      <c r="K60" t="s">
        <v>391</v>
      </c>
      <c r="L60">
        <v>8264</v>
      </c>
      <c r="M60" t="s">
        <v>334</v>
      </c>
      <c r="N60" t="s">
        <v>402</v>
      </c>
      <c r="O60">
        <v>-99</v>
      </c>
      <c r="P60">
        <v>1</v>
      </c>
      <c r="Q60">
        <v>-99</v>
      </c>
      <c r="R60" t="s">
        <v>208</v>
      </c>
    </row>
    <row r="61" spans="1:18" x14ac:dyDescent="0.2">
      <c r="A61">
        <v>60</v>
      </c>
      <c r="B61">
        <v>100</v>
      </c>
      <c r="C61" t="s">
        <v>162</v>
      </c>
      <c r="D61" t="s">
        <v>40</v>
      </c>
      <c r="E61" t="s">
        <v>584</v>
      </c>
      <c r="F61" t="s">
        <v>585</v>
      </c>
      <c r="G61" t="s">
        <v>661</v>
      </c>
      <c r="H61" t="s">
        <v>403</v>
      </c>
      <c r="I61">
        <v>383</v>
      </c>
      <c r="J61">
        <v>33</v>
      </c>
      <c r="K61" t="s">
        <v>386</v>
      </c>
      <c r="L61">
        <v>8268</v>
      </c>
      <c r="M61" t="s">
        <v>351</v>
      </c>
      <c r="N61" t="s">
        <v>404</v>
      </c>
      <c r="O61">
        <v>1</v>
      </c>
      <c r="P61">
        <v>2</v>
      </c>
      <c r="Q61">
        <v>-99</v>
      </c>
      <c r="R61" t="s">
        <v>683</v>
      </c>
    </row>
    <row r="62" spans="1:18" x14ac:dyDescent="0.2">
      <c r="A62">
        <v>61</v>
      </c>
      <c r="B62">
        <v>101</v>
      </c>
      <c r="C62" t="s">
        <v>163</v>
      </c>
      <c r="D62" t="s">
        <v>31</v>
      </c>
      <c r="E62" t="s">
        <v>586</v>
      </c>
      <c r="F62" t="s">
        <v>587</v>
      </c>
      <c r="G62" t="s">
        <v>661</v>
      </c>
      <c r="H62" t="s">
        <v>403</v>
      </c>
      <c r="I62">
        <v>383</v>
      </c>
      <c r="J62">
        <v>34</v>
      </c>
      <c r="K62" t="s">
        <v>405</v>
      </c>
      <c r="L62">
        <v>8269</v>
      </c>
      <c r="M62" t="s">
        <v>319</v>
      </c>
      <c r="N62" t="s">
        <v>406</v>
      </c>
      <c r="O62">
        <v>1</v>
      </c>
      <c r="P62">
        <v>2</v>
      </c>
      <c r="Q62">
        <v>-99</v>
      </c>
      <c r="R62" t="s">
        <v>683</v>
      </c>
    </row>
    <row r="63" spans="1:18" x14ac:dyDescent="0.2">
      <c r="A63">
        <v>62</v>
      </c>
      <c r="B63">
        <v>102</v>
      </c>
      <c r="C63" t="s">
        <v>164</v>
      </c>
      <c r="D63" t="s">
        <v>70</v>
      </c>
      <c r="E63" t="s">
        <v>588</v>
      </c>
      <c r="F63" t="s">
        <v>589</v>
      </c>
      <c r="G63" t="s">
        <v>661</v>
      </c>
      <c r="H63" t="s">
        <v>403</v>
      </c>
      <c r="I63">
        <v>383</v>
      </c>
      <c r="J63">
        <v>33</v>
      </c>
      <c r="K63" t="s">
        <v>386</v>
      </c>
      <c r="L63">
        <v>8270</v>
      </c>
      <c r="M63" t="s">
        <v>345</v>
      </c>
      <c r="N63" t="s">
        <v>407</v>
      </c>
      <c r="O63">
        <v>1</v>
      </c>
      <c r="P63">
        <v>1</v>
      </c>
      <c r="Q63">
        <v>-99</v>
      </c>
      <c r="R63" t="s">
        <v>683</v>
      </c>
    </row>
    <row r="64" spans="1:18" x14ac:dyDescent="0.2">
      <c r="A64">
        <v>63</v>
      </c>
      <c r="B64">
        <v>-99</v>
      </c>
      <c r="C64" t="s">
        <v>164</v>
      </c>
      <c r="D64" t="s">
        <v>70</v>
      </c>
      <c r="E64" t="s">
        <v>590</v>
      </c>
      <c r="F64" t="s">
        <v>211</v>
      </c>
      <c r="G64" t="s">
        <v>661</v>
      </c>
      <c r="H64" t="s">
        <v>403</v>
      </c>
      <c r="I64">
        <v>383</v>
      </c>
      <c r="J64">
        <v>33</v>
      </c>
      <c r="K64" t="s">
        <v>386</v>
      </c>
      <c r="L64">
        <v>8270</v>
      </c>
      <c r="M64" t="s">
        <v>345</v>
      </c>
      <c r="N64" t="s">
        <v>407</v>
      </c>
      <c r="O64">
        <v>-99</v>
      </c>
      <c r="P64">
        <v>1</v>
      </c>
      <c r="Q64">
        <v>-99</v>
      </c>
      <c r="R64" t="s">
        <v>680</v>
      </c>
    </row>
    <row r="65" spans="1:18" x14ac:dyDescent="0.2">
      <c r="A65">
        <v>64</v>
      </c>
      <c r="B65">
        <v>103</v>
      </c>
      <c r="C65" t="s">
        <v>165</v>
      </c>
      <c r="D65" t="s">
        <v>62</v>
      </c>
      <c r="E65" t="s">
        <v>591</v>
      </c>
      <c r="F65" t="s">
        <v>592</v>
      </c>
      <c r="G65" t="s">
        <v>661</v>
      </c>
      <c r="H65" t="s">
        <v>403</v>
      </c>
      <c r="I65">
        <v>383</v>
      </c>
      <c r="J65">
        <v>34</v>
      </c>
      <c r="K65" t="s">
        <v>405</v>
      </c>
      <c r="L65">
        <v>8272</v>
      </c>
      <c r="M65" t="s">
        <v>333</v>
      </c>
      <c r="N65" t="s">
        <v>408</v>
      </c>
      <c r="O65">
        <v>1</v>
      </c>
      <c r="P65">
        <v>2</v>
      </c>
      <c r="Q65">
        <v>-99</v>
      </c>
      <c r="R65" t="s">
        <v>683</v>
      </c>
    </row>
    <row r="66" spans="1:18" x14ac:dyDescent="0.2">
      <c r="A66">
        <v>65</v>
      </c>
      <c r="B66">
        <v>104</v>
      </c>
      <c r="C66" t="s">
        <v>166</v>
      </c>
      <c r="D66" t="s">
        <v>52</v>
      </c>
      <c r="E66" t="s">
        <v>593</v>
      </c>
      <c r="F66" t="s">
        <v>594</v>
      </c>
      <c r="G66" t="s">
        <v>661</v>
      </c>
      <c r="H66" t="s">
        <v>403</v>
      </c>
      <c r="I66">
        <v>383</v>
      </c>
      <c r="J66">
        <v>34</v>
      </c>
      <c r="K66" t="s">
        <v>405</v>
      </c>
      <c r="L66">
        <v>8221</v>
      </c>
      <c r="M66" t="s">
        <v>333</v>
      </c>
      <c r="N66" t="s">
        <v>408</v>
      </c>
      <c r="O66">
        <v>1</v>
      </c>
      <c r="P66">
        <v>2</v>
      </c>
      <c r="Q66">
        <v>-99</v>
      </c>
      <c r="R66" t="s">
        <v>683</v>
      </c>
    </row>
    <row r="67" spans="1:18" x14ac:dyDescent="0.2">
      <c r="A67">
        <v>66</v>
      </c>
      <c r="B67">
        <v>196</v>
      </c>
      <c r="C67" t="s">
        <v>167</v>
      </c>
      <c r="D67" t="s">
        <v>64</v>
      </c>
      <c r="E67" t="s">
        <v>595</v>
      </c>
      <c r="F67" t="s">
        <v>596</v>
      </c>
      <c r="G67" t="s">
        <v>661</v>
      </c>
      <c r="H67" t="s">
        <v>403</v>
      </c>
      <c r="I67">
        <v>383</v>
      </c>
      <c r="J67">
        <v>34</v>
      </c>
      <c r="K67" t="s">
        <v>405</v>
      </c>
      <c r="L67">
        <v>8202</v>
      </c>
      <c r="M67" t="s">
        <v>346</v>
      </c>
      <c r="N67" t="s">
        <v>427</v>
      </c>
      <c r="O67">
        <v>1</v>
      </c>
      <c r="P67">
        <v>2</v>
      </c>
      <c r="Q67">
        <v>-99</v>
      </c>
      <c r="R67" t="s">
        <v>683</v>
      </c>
    </row>
    <row r="68" spans="1:18" x14ac:dyDescent="0.2">
      <c r="A68">
        <v>67</v>
      </c>
      <c r="B68">
        <v>110</v>
      </c>
      <c r="C68" t="s">
        <v>168</v>
      </c>
      <c r="D68" t="s">
        <v>73</v>
      </c>
      <c r="E68" t="s">
        <v>597</v>
      </c>
      <c r="F68" t="s">
        <v>598</v>
      </c>
      <c r="G68" t="s">
        <v>661</v>
      </c>
      <c r="H68" t="s">
        <v>403</v>
      </c>
      <c r="I68">
        <v>383</v>
      </c>
      <c r="J68">
        <v>34</v>
      </c>
      <c r="K68" t="s">
        <v>405</v>
      </c>
      <c r="L68">
        <v>8203</v>
      </c>
      <c r="M68" t="s">
        <v>330</v>
      </c>
      <c r="N68" t="s">
        <v>80</v>
      </c>
      <c r="O68">
        <v>1</v>
      </c>
      <c r="P68">
        <v>1</v>
      </c>
      <c r="Q68">
        <v>-99</v>
      </c>
      <c r="R68" t="s">
        <v>683</v>
      </c>
    </row>
    <row r="69" spans="1:18" x14ac:dyDescent="0.2">
      <c r="A69">
        <v>68</v>
      </c>
      <c r="B69">
        <v>-99</v>
      </c>
      <c r="C69" t="s">
        <v>168</v>
      </c>
      <c r="D69" t="s">
        <v>73</v>
      </c>
      <c r="E69" t="s">
        <v>599</v>
      </c>
      <c r="F69" t="s">
        <v>600</v>
      </c>
      <c r="G69" t="s">
        <v>661</v>
      </c>
      <c r="H69" t="s">
        <v>403</v>
      </c>
      <c r="I69">
        <v>383</v>
      </c>
      <c r="J69">
        <v>34</v>
      </c>
      <c r="K69" t="s">
        <v>405</v>
      </c>
      <c r="L69">
        <v>8203</v>
      </c>
      <c r="M69" t="s">
        <v>330</v>
      </c>
      <c r="N69" t="s">
        <v>80</v>
      </c>
      <c r="O69">
        <v>-99</v>
      </c>
      <c r="P69">
        <v>1</v>
      </c>
      <c r="Q69">
        <v>-99</v>
      </c>
      <c r="R69" t="s">
        <v>399</v>
      </c>
    </row>
    <row r="70" spans="1:18" x14ac:dyDescent="0.2">
      <c r="A70">
        <v>69</v>
      </c>
      <c r="B70">
        <v>111</v>
      </c>
      <c r="C70" t="s">
        <v>169</v>
      </c>
      <c r="D70" t="s">
        <v>34</v>
      </c>
      <c r="E70" t="s">
        <v>601</v>
      </c>
      <c r="F70" t="s">
        <v>602</v>
      </c>
      <c r="G70" t="s">
        <v>661</v>
      </c>
      <c r="H70" t="s">
        <v>403</v>
      </c>
      <c r="I70">
        <v>383</v>
      </c>
      <c r="J70">
        <v>34</v>
      </c>
      <c r="K70" t="s">
        <v>405</v>
      </c>
      <c r="L70">
        <v>8204</v>
      </c>
      <c r="M70" t="s">
        <v>335</v>
      </c>
      <c r="N70" t="s">
        <v>409</v>
      </c>
      <c r="O70">
        <v>1</v>
      </c>
      <c r="P70">
        <v>2</v>
      </c>
      <c r="Q70">
        <v>-99</v>
      </c>
      <c r="R70" t="s">
        <v>683</v>
      </c>
    </row>
    <row r="71" spans="1:18" x14ac:dyDescent="0.2">
      <c r="A71">
        <v>70</v>
      </c>
      <c r="B71">
        <v>112</v>
      </c>
      <c r="C71" t="s">
        <v>170</v>
      </c>
      <c r="D71" t="s">
        <v>66</v>
      </c>
      <c r="E71" t="s">
        <v>603</v>
      </c>
      <c r="F71" t="s">
        <v>604</v>
      </c>
      <c r="G71" t="s">
        <v>661</v>
      </c>
      <c r="H71" t="s">
        <v>403</v>
      </c>
      <c r="I71">
        <v>383</v>
      </c>
      <c r="J71">
        <v>34</v>
      </c>
      <c r="K71" t="s">
        <v>405</v>
      </c>
      <c r="L71">
        <v>8205</v>
      </c>
      <c r="M71" t="s">
        <v>352</v>
      </c>
      <c r="N71" t="s">
        <v>410</v>
      </c>
      <c r="O71">
        <v>1</v>
      </c>
      <c r="P71">
        <v>2</v>
      </c>
      <c r="Q71">
        <v>-99</v>
      </c>
      <c r="R71" t="s">
        <v>683</v>
      </c>
    </row>
    <row r="72" spans="1:18" x14ac:dyDescent="0.2">
      <c r="A72">
        <v>71</v>
      </c>
      <c r="B72">
        <v>113</v>
      </c>
      <c r="C72" t="s">
        <v>171</v>
      </c>
      <c r="D72" t="s">
        <v>79</v>
      </c>
      <c r="E72" t="s">
        <v>605</v>
      </c>
      <c r="F72" t="s">
        <v>606</v>
      </c>
      <c r="G72" t="s">
        <v>659</v>
      </c>
      <c r="H72" t="s">
        <v>387</v>
      </c>
      <c r="I72">
        <v>382</v>
      </c>
      <c r="J72">
        <v>33</v>
      </c>
      <c r="K72" t="s">
        <v>386</v>
      </c>
      <c r="L72">
        <v>8206</v>
      </c>
      <c r="M72" t="s">
        <v>328</v>
      </c>
      <c r="N72" t="s">
        <v>411</v>
      </c>
      <c r="O72">
        <v>1</v>
      </c>
      <c r="P72">
        <v>2</v>
      </c>
      <c r="Q72">
        <v>-99</v>
      </c>
      <c r="R72" t="s">
        <v>683</v>
      </c>
    </row>
    <row r="73" spans="1:18" x14ac:dyDescent="0.2">
      <c r="A73">
        <v>72</v>
      </c>
      <c r="B73">
        <v>114</v>
      </c>
      <c r="C73" t="s">
        <v>172</v>
      </c>
      <c r="D73" t="s">
        <v>51</v>
      </c>
      <c r="E73" t="s">
        <v>607</v>
      </c>
      <c r="F73" t="s">
        <v>608</v>
      </c>
      <c r="G73" t="s">
        <v>659</v>
      </c>
      <c r="H73" t="s">
        <v>387</v>
      </c>
      <c r="I73">
        <v>382</v>
      </c>
      <c r="J73">
        <v>33</v>
      </c>
      <c r="K73" t="s">
        <v>386</v>
      </c>
      <c r="L73">
        <v>8207</v>
      </c>
      <c r="M73" t="s">
        <v>316</v>
      </c>
      <c r="N73" t="s">
        <v>412</v>
      </c>
      <c r="O73">
        <v>1</v>
      </c>
      <c r="P73">
        <v>2</v>
      </c>
      <c r="Q73">
        <v>-99</v>
      </c>
      <c r="R73" t="s">
        <v>683</v>
      </c>
    </row>
    <row r="74" spans="1:18" x14ac:dyDescent="0.2">
      <c r="A74">
        <v>73</v>
      </c>
      <c r="B74">
        <v>115</v>
      </c>
      <c r="C74" t="s">
        <v>173</v>
      </c>
      <c r="D74" t="s">
        <v>27</v>
      </c>
      <c r="E74" t="s">
        <v>609</v>
      </c>
      <c r="F74" t="s">
        <v>610</v>
      </c>
      <c r="G74" t="s">
        <v>659</v>
      </c>
      <c r="H74" t="s">
        <v>387</v>
      </c>
      <c r="I74">
        <v>382</v>
      </c>
      <c r="J74">
        <v>33</v>
      </c>
      <c r="K74" t="s">
        <v>386</v>
      </c>
      <c r="L74">
        <v>8208</v>
      </c>
      <c r="M74" t="s">
        <v>339</v>
      </c>
      <c r="N74" t="s">
        <v>413</v>
      </c>
      <c r="O74">
        <v>1</v>
      </c>
      <c r="P74">
        <v>2</v>
      </c>
      <c r="Q74">
        <v>-99</v>
      </c>
      <c r="R74" t="s">
        <v>683</v>
      </c>
    </row>
    <row r="75" spans="1:18" x14ac:dyDescent="0.2">
      <c r="A75">
        <v>74</v>
      </c>
      <c r="B75">
        <v>116</v>
      </c>
      <c r="C75" t="s">
        <v>174</v>
      </c>
      <c r="D75" t="s">
        <v>68</v>
      </c>
      <c r="E75" t="s">
        <v>611</v>
      </c>
      <c r="F75" t="s">
        <v>612</v>
      </c>
      <c r="G75" t="s">
        <v>661</v>
      </c>
      <c r="H75" t="s">
        <v>403</v>
      </c>
      <c r="I75">
        <v>383</v>
      </c>
      <c r="J75">
        <v>34</v>
      </c>
      <c r="K75" t="s">
        <v>405</v>
      </c>
      <c r="L75">
        <v>8210</v>
      </c>
      <c r="M75" t="s">
        <v>329</v>
      </c>
      <c r="N75" t="s">
        <v>414</v>
      </c>
      <c r="O75">
        <v>1</v>
      </c>
      <c r="P75">
        <v>2</v>
      </c>
      <c r="Q75">
        <v>-99</v>
      </c>
      <c r="R75" t="s">
        <v>683</v>
      </c>
    </row>
    <row r="76" spans="1:18" x14ac:dyDescent="0.2">
      <c r="A76">
        <v>75</v>
      </c>
      <c r="B76">
        <v>197</v>
      </c>
      <c r="C76" t="s">
        <v>175</v>
      </c>
      <c r="D76" t="s">
        <v>72</v>
      </c>
      <c r="E76" t="s">
        <v>613</v>
      </c>
      <c r="F76" t="s">
        <v>614</v>
      </c>
      <c r="G76" t="s">
        <v>658</v>
      </c>
      <c r="H76" t="s">
        <v>378</v>
      </c>
      <c r="I76">
        <v>381</v>
      </c>
      <c r="J76">
        <v>31</v>
      </c>
      <c r="K76" t="s">
        <v>381</v>
      </c>
      <c r="L76">
        <v>8211</v>
      </c>
      <c r="M76" t="s">
        <v>332</v>
      </c>
      <c r="N76" t="s">
        <v>428</v>
      </c>
      <c r="O76">
        <v>1</v>
      </c>
      <c r="P76">
        <v>2</v>
      </c>
      <c r="Q76">
        <v>-99</v>
      </c>
      <c r="R76" t="s">
        <v>683</v>
      </c>
    </row>
    <row r="77" spans="1:18" x14ac:dyDescent="0.2">
      <c r="A77">
        <v>76</v>
      </c>
      <c r="B77">
        <v>119</v>
      </c>
      <c r="C77" t="s">
        <v>176</v>
      </c>
      <c r="D77" t="s">
        <v>55</v>
      </c>
      <c r="E77" t="s">
        <v>615</v>
      </c>
      <c r="F77" t="s">
        <v>616</v>
      </c>
      <c r="G77" t="s">
        <v>661</v>
      </c>
      <c r="H77" t="s">
        <v>403</v>
      </c>
      <c r="I77">
        <v>383</v>
      </c>
      <c r="J77">
        <v>34</v>
      </c>
      <c r="K77" t="s">
        <v>405</v>
      </c>
      <c r="L77">
        <v>8223</v>
      </c>
      <c r="M77" t="s">
        <v>617</v>
      </c>
      <c r="N77" t="s">
        <v>618</v>
      </c>
      <c r="O77">
        <v>1</v>
      </c>
      <c r="P77">
        <v>2</v>
      </c>
      <c r="Q77">
        <v>-99</v>
      </c>
      <c r="R77" t="s">
        <v>683</v>
      </c>
    </row>
    <row r="78" spans="1:18" x14ac:dyDescent="0.2">
      <c r="A78">
        <v>77</v>
      </c>
      <c r="B78">
        <v>131</v>
      </c>
      <c r="C78" t="s">
        <v>177</v>
      </c>
      <c r="D78" t="s">
        <v>46</v>
      </c>
      <c r="E78" t="s">
        <v>619</v>
      </c>
      <c r="F78" t="s">
        <v>620</v>
      </c>
      <c r="G78" t="s">
        <v>659</v>
      </c>
      <c r="H78" t="s">
        <v>387</v>
      </c>
      <c r="I78">
        <v>382</v>
      </c>
      <c r="J78">
        <v>33</v>
      </c>
      <c r="K78" t="s">
        <v>386</v>
      </c>
      <c r="L78">
        <v>8226</v>
      </c>
      <c r="M78" t="s">
        <v>328</v>
      </c>
      <c r="N78" t="s">
        <v>411</v>
      </c>
      <c r="O78">
        <v>1</v>
      </c>
      <c r="P78">
        <v>2</v>
      </c>
      <c r="Q78">
        <v>-99</v>
      </c>
      <c r="R78" t="s">
        <v>683</v>
      </c>
    </row>
    <row r="79" spans="1:18" x14ac:dyDescent="0.2">
      <c r="A79">
        <v>78</v>
      </c>
      <c r="B79">
        <v>132</v>
      </c>
      <c r="C79" t="s">
        <v>670</v>
      </c>
      <c r="D79" t="s">
        <v>431</v>
      </c>
      <c r="E79" t="s">
        <v>621</v>
      </c>
      <c r="F79" t="s">
        <v>671</v>
      </c>
      <c r="G79" t="s">
        <v>658</v>
      </c>
      <c r="H79" t="s">
        <v>378</v>
      </c>
      <c r="I79">
        <v>381</v>
      </c>
      <c r="J79">
        <v>30</v>
      </c>
      <c r="K79" t="s">
        <v>370</v>
      </c>
      <c r="L79">
        <v>8229</v>
      </c>
      <c r="M79" t="s">
        <v>347</v>
      </c>
      <c r="N79" t="s">
        <v>415</v>
      </c>
      <c r="O79">
        <v>1</v>
      </c>
      <c r="P79">
        <v>2</v>
      </c>
      <c r="Q79">
        <v>-99</v>
      </c>
      <c r="R79" t="s">
        <v>683</v>
      </c>
    </row>
    <row r="80" spans="1:18" x14ac:dyDescent="0.2">
      <c r="A80">
        <v>79</v>
      </c>
      <c r="B80">
        <v>143</v>
      </c>
      <c r="C80" t="s">
        <v>178</v>
      </c>
      <c r="D80" t="s">
        <v>54</v>
      </c>
      <c r="E80" t="s">
        <v>622</v>
      </c>
      <c r="F80" t="s">
        <v>623</v>
      </c>
      <c r="G80" t="s">
        <v>657</v>
      </c>
      <c r="H80" t="s">
        <v>371</v>
      </c>
      <c r="I80">
        <v>380</v>
      </c>
      <c r="J80">
        <v>30</v>
      </c>
      <c r="K80" t="s">
        <v>370</v>
      </c>
      <c r="L80">
        <v>8230</v>
      </c>
      <c r="M80" t="s">
        <v>360</v>
      </c>
      <c r="N80" t="s">
        <v>416</v>
      </c>
      <c r="O80">
        <v>1</v>
      </c>
      <c r="P80">
        <v>2</v>
      </c>
      <c r="Q80">
        <v>-99</v>
      </c>
      <c r="R80" t="s">
        <v>683</v>
      </c>
    </row>
    <row r="81" spans="1:18" x14ac:dyDescent="0.2">
      <c r="A81">
        <v>80</v>
      </c>
      <c r="B81">
        <v>144</v>
      </c>
      <c r="C81" t="s">
        <v>672</v>
      </c>
      <c r="D81" t="s">
        <v>490</v>
      </c>
      <c r="E81" t="s">
        <v>672</v>
      </c>
      <c r="F81" t="s">
        <v>490</v>
      </c>
      <c r="G81" t="s">
        <v>669</v>
      </c>
      <c r="H81" t="s">
        <v>8</v>
      </c>
      <c r="I81">
        <v>-99</v>
      </c>
      <c r="J81">
        <v>35</v>
      </c>
      <c r="K81" t="s">
        <v>8</v>
      </c>
      <c r="L81">
        <v>8215</v>
      </c>
      <c r="M81" t="s">
        <v>340</v>
      </c>
      <c r="N81" t="s">
        <v>398</v>
      </c>
      <c r="O81">
        <v>1</v>
      </c>
      <c r="P81">
        <v>2</v>
      </c>
      <c r="Q81">
        <v>-99</v>
      </c>
      <c r="R81" t="s">
        <v>655</v>
      </c>
    </row>
    <row r="82" spans="1:18" x14ac:dyDescent="0.2">
      <c r="A82">
        <v>81</v>
      </c>
      <c r="B82">
        <v>145</v>
      </c>
      <c r="C82" t="s">
        <v>179</v>
      </c>
      <c r="D82" t="s">
        <v>71</v>
      </c>
      <c r="E82" t="s">
        <v>624</v>
      </c>
      <c r="F82" t="s">
        <v>625</v>
      </c>
      <c r="G82" t="s">
        <v>661</v>
      </c>
      <c r="H82" t="s">
        <v>403</v>
      </c>
      <c r="I82">
        <v>383</v>
      </c>
      <c r="J82">
        <v>34</v>
      </c>
      <c r="K82" t="s">
        <v>405</v>
      </c>
      <c r="L82">
        <v>8231</v>
      </c>
      <c r="M82" t="s">
        <v>333</v>
      </c>
      <c r="N82" t="s">
        <v>408</v>
      </c>
      <c r="O82">
        <v>1</v>
      </c>
      <c r="P82">
        <v>1</v>
      </c>
      <c r="Q82">
        <v>-99</v>
      </c>
      <c r="R82" t="s">
        <v>683</v>
      </c>
    </row>
    <row r="83" spans="1:18" x14ac:dyDescent="0.2">
      <c r="A83">
        <v>82</v>
      </c>
      <c r="B83">
        <v>-99</v>
      </c>
      <c r="C83" t="s">
        <v>179</v>
      </c>
      <c r="D83" t="s">
        <v>71</v>
      </c>
      <c r="E83" t="s">
        <v>626</v>
      </c>
      <c r="F83" t="s">
        <v>957</v>
      </c>
      <c r="G83" t="s">
        <v>661</v>
      </c>
      <c r="H83" t="s">
        <v>403</v>
      </c>
      <c r="I83">
        <v>383</v>
      </c>
      <c r="J83">
        <v>34</v>
      </c>
      <c r="K83" t="s">
        <v>405</v>
      </c>
      <c r="L83">
        <v>8231</v>
      </c>
      <c r="M83" t="s">
        <v>333</v>
      </c>
      <c r="N83" t="s">
        <v>408</v>
      </c>
      <c r="O83">
        <v>-99</v>
      </c>
      <c r="P83">
        <v>1</v>
      </c>
      <c r="Q83">
        <v>-99</v>
      </c>
      <c r="R83" t="s">
        <v>681</v>
      </c>
    </row>
    <row r="84" spans="1:18" x14ac:dyDescent="0.2">
      <c r="A84">
        <v>83</v>
      </c>
      <c r="B84">
        <v>151</v>
      </c>
      <c r="C84" t="s">
        <v>673</v>
      </c>
      <c r="D84" t="s">
        <v>1057</v>
      </c>
      <c r="E84" t="s">
        <v>673</v>
      </c>
      <c r="F84" t="s">
        <v>491</v>
      </c>
      <c r="G84" t="s">
        <v>669</v>
      </c>
      <c r="H84" t="s">
        <v>8</v>
      </c>
      <c r="I84">
        <v>380</v>
      </c>
      <c r="J84">
        <v>35</v>
      </c>
      <c r="K84" t="s">
        <v>8</v>
      </c>
      <c r="L84">
        <v>3180155</v>
      </c>
      <c r="M84" t="s">
        <v>347</v>
      </c>
      <c r="N84" t="s">
        <v>415</v>
      </c>
      <c r="O84">
        <v>1</v>
      </c>
      <c r="P84">
        <v>2</v>
      </c>
      <c r="Q84">
        <v>-99</v>
      </c>
      <c r="R84" t="s">
        <v>655</v>
      </c>
    </row>
    <row r="85" spans="1:18" x14ac:dyDescent="0.2">
      <c r="A85">
        <v>84</v>
      </c>
      <c r="B85">
        <v>152</v>
      </c>
      <c r="C85" t="s">
        <v>180</v>
      </c>
      <c r="D85" t="s">
        <v>78</v>
      </c>
      <c r="E85" t="s">
        <v>627</v>
      </c>
      <c r="F85" t="s">
        <v>628</v>
      </c>
      <c r="G85" t="s">
        <v>657</v>
      </c>
      <c r="H85" t="s">
        <v>371</v>
      </c>
      <c r="I85">
        <v>380</v>
      </c>
      <c r="J85">
        <v>30</v>
      </c>
      <c r="K85" t="s">
        <v>370</v>
      </c>
      <c r="L85">
        <v>8234</v>
      </c>
      <c r="M85" t="s">
        <v>353</v>
      </c>
      <c r="N85" t="s">
        <v>417</v>
      </c>
      <c r="O85">
        <v>1</v>
      </c>
      <c r="P85">
        <v>2</v>
      </c>
      <c r="Q85">
        <v>-99</v>
      </c>
      <c r="R85" t="s">
        <v>683</v>
      </c>
    </row>
    <row r="86" spans="1:18" x14ac:dyDescent="0.2">
      <c r="A86">
        <v>85</v>
      </c>
      <c r="B86">
        <v>153</v>
      </c>
      <c r="C86" t="s">
        <v>89</v>
      </c>
      <c r="D86" t="s">
        <v>135</v>
      </c>
      <c r="E86" t="s">
        <v>629</v>
      </c>
      <c r="F86" t="s">
        <v>630</v>
      </c>
      <c r="G86" t="s">
        <v>657</v>
      </c>
      <c r="H86" t="s">
        <v>371</v>
      </c>
      <c r="I86">
        <v>380</v>
      </c>
      <c r="J86">
        <v>30</v>
      </c>
      <c r="K86" t="s">
        <v>370</v>
      </c>
      <c r="L86">
        <v>8236</v>
      </c>
      <c r="M86" t="s">
        <v>366</v>
      </c>
      <c r="N86" t="s">
        <v>418</v>
      </c>
      <c r="O86">
        <v>1</v>
      </c>
      <c r="P86">
        <v>2</v>
      </c>
      <c r="Q86">
        <v>-99</v>
      </c>
      <c r="R86" t="s">
        <v>683</v>
      </c>
    </row>
    <row r="87" spans="1:18" x14ac:dyDescent="0.2">
      <c r="A87">
        <v>86</v>
      </c>
      <c r="B87">
        <v>154</v>
      </c>
      <c r="C87" t="s">
        <v>182</v>
      </c>
      <c r="D87" t="s">
        <v>181</v>
      </c>
      <c r="E87" t="s">
        <v>631</v>
      </c>
      <c r="F87" t="s">
        <v>632</v>
      </c>
      <c r="G87" t="s">
        <v>661</v>
      </c>
      <c r="H87" t="s">
        <v>403</v>
      </c>
      <c r="I87">
        <v>383</v>
      </c>
      <c r="J87">
        <v>33</v>
      </c>
      <c r="K87" t="s">
        <v>386</v>
      </c>
      <c r="L87">
        <v>8265</v>
      </c>
      <c r="M87" t="s">
        <v>359</v>
      </c>
      <c r="N87" t="s">
        <v>419</v>
      </c>
      <c r="O87">
        <v>1</v>
      </c>
      <c r="P87">
        <v>2</v>
      </c>
      <c r="Q87">
        <v>-99</v>
      </c>
      <c r="R87" t="s">
        <v>683</v>
      </c>
    </row>
    <row r="88" spans="1:18" x14ac:dyDescent="0.2">
      <c r="A88">
        <v>87</v>
      </c>
      <c r="B88">
        <v>155</v>
      </c>
      <c r="C88" t="s">
        <v>183</v>
      </c>
      <c r="D88" t="s">
        <v>43</v>
      </c>
      <c r="E88" t="s">
        <v>633</v>
      </c>
      <c r="F88" t="s">
        <v>634</v>
      </c>
      <c r="G88" t="s">
        <v>659</v>
      </c>
      <c r="H88" t="s">
        <v>387</v>
      </c>
      <c r="I88">
        <v>382</v>
      </c>
      <c r="J88">
        <v>32</v>
      </c>
      <c r="K88" t="s">
        <v>391</v>
      </c>
      <c r="L88">
        <v>8266</v>
      </c>
      <c r="M88" t="s">
        <v>324</v>
      </c>
      <c r="N88" t="s">
        <v>420</v>
      </c>
      <c r="O88">
        <v>1</v>
      </c>
      <c r="P88">
        <v>2</v>
      </c>
      <c r="Q88">
        <v>-99</v>
      </c>
      <c r="R88" t="s">
        <v>683</v>
      </c>
    </row>
    <row r="89" spans="1:18" x14ac:dyDescent="0.2">
      <c r="A89">
        <v>88</v>
      </c>
      <c r="B89">
        <v>156</v>
      </c>
      <c r="C89" t="s">
        <v>184</v>
      </c>
      <c r="D89" t="s">
        <v>74</v>
      </c>
      <c r="E89" t="s">
        <v>635</v>
      </c>
      <c r="F89" t="s">
        <v>636</v>
      </c>
      <c r="G89" t="s">
        <v>659</v>
      </c>
      <c r="H89" t="s">
        <v>387</v>
      </c>
      <c r="I89">
        <v>382</v>
      </c>
      <c r="J89">
        <v>32</v>
      </c>
      <c r="K89" t="s">
        <v>391</v>
      </c>
      <c r="L89">
        <v>8267</v>
      </c>
      <c r="M89" t="s">
        <v>342</v>
      </c>
      <c r="N89" t="s">
        <v>421</v>
      </c>
      <c r="O89">
        <v>1</v>
      </c>
      <c r="P89">
        <v>2</v>
      </c>
      <c r="Q89">
        <v>-99</v>
      </c>
      <c r="R89" t="s">
        <v>683</v>
      </c>
    </row>
    <row r="90" spans="1:18" x14ac:dyDescent="0.2">
      <c r="A90">
        <v>89</v>
      </c>
      <c r="B90">
        <v>157</v>
      </c>
      <c r="C90" t="s">
        <v>674</v>
      </c>
      <c r="D90" t="s">
        <v>36</v>
      </c>
      <c r="E90" t="s">
        <v>637</v>
      </c>
      <c r="F90" t="s">
        <v>638</v>
      </c>
      <c r="G90" t="s">
        <v>661</v>
      </c>
      <c r="H90" t="s">
        <v>403</v>
      </c>
      <c r="I90">
        <v>383</v>
      </c>
      <c r="J90">
        <v>33</v>
      </c>
      <c r="K90" t="s">
        <v>386</v>
      </c>
      <c r="L90">
        <v>8271</v>
      </c>
      <c r="M90" t="s">
        <v>320</v>
      </c>
      <c r="N90" t="s">
        <v>422</v>
      </c>
      <c r="O90">
        <v>1</v>
      </c>
      <c r="P90">
        <v>2</v>
      </c>
      <c r="Q90">
        <v>-99</v>
      </c>
      <c r="R90" t="s">
        <v>683</v>
      </c>
    </row>
    <row r="91" spans="1:18" x14ac:dyDescent="0.2">
      <c r="A91">
        <v>90</v>
      </c>
      <c r="B91">
        <v>158</v>
      </c>
      <c r="C91" t="s">
        <v>185</v>
      </c>
      <c r="D91" t="s">
        <v>81</v>
      </c>
      <c r="E91" t="s">
        <v>639</v>
      </c>
      <c r="F91" t="s">
        <v>640</v>
      </c>
      <c r="G91" t="s">
        <v>659</v>
      </c>
      <c r="H91" t="s">
        <v>387</v>
      </c>
      <c r="I91">
        <v>382</v>
      </c>
      <c r="J91">
        <v>32</v>
      </c>
      <c r="K91" t="s">
        <v>391</v>
      </c>
      <c r="L91">
        <v>8209</v>
      </c>
      <c r="M91" t="s">
        <v>365</v>
      </c>
      <c r="N91" t="s">
        <v>423</v>
      </c>
      <c r="O91">
        <v>1</v>
      </c>
      <c r="P91">
        <v>2</v>
      </c>
      <c r="Q91">
        <v>-99</v>
      </c>
      <c r="R91" t="s">
        <v>683</v>
      </c>
    </row>
    <row r="92" spans="1:18" x14ac:dyDescent="0.2">
      <c r="A92">
        <v>91</v>
      </c>
      <c r="B92">
        <v>198</v>
      </c>
      <c r="C92" t="s">
        <v>186</v>
      </c>
      <c r="D92" t="s">
        <v>45</v>
      </c>
      <c r="E92" t="s">
        <v>641</v>
      </c>
      <c r="F92" t="s">
        <v>642</v>
      </c>
      <c r="G92" t="s">
        <v>661</v>
      </c>
      <c r="H92" t="s">
        <v>403</v>
      </c>
      <c r="I92">
        <v>383</v>
      </c>
      <c r="J92">
        <v>34</v>
      </c>
      <c r="K92" t="s">
        <v>405</v>
      </c>
      <c r="L92">
        <v>8224</v>
      </c>
      <c r="M92" t="s">
        <v>362</v>
      </c>
      <c r="N92" t="s">
        <v>429</v>
      </c>
      <c r="O92">
        <v>1</v>
      </c>
      <c r="P92">
        <v>2</v>
      </c>
      <c r="Q92">
        <v>-99</v>
      </c>
      <c r="R92" t="s">
        <v>683</v>
      </c>
    </row>
    <row r="93" spans="1:18" x14ac:dyDescent="0.2">
      <c r="A93">
        <v>92</v>
      </c>
      <c r="B93">
        <v>161</v>
      </c>
      <c r="C93" t="s">
        <v>187</v>
      </c>
      <c r="D93" t="s">
        <v>82</v>
      </c>
      <c r="E93" t="s">
        <v>643</v>
      </c>
      <c r="F93" t="s">
        <v>644</v>
      </c>
      <c r="G93" t="s">
        <v>657</v>
      </c>
      <c r="H93" t="s">
        <v>371</v>
      </c>
      <c r="I93">
        <v>380</v>
      </c>
      <c r="J93">
        <v>30</v>
      </c>
      <c r="K93" t="s">
        <v>370</v>
      </c>
      <c r="L93">
        <v>8225</v>
      </c>
      <c r="M93" t="s">
        <v>325</v>
      </c>
      <c r="N93" t="s">
        <v>424</v>
      </c>
      <c r="O93">
        <v>1</v>
      </c>
      <c r="P93">
        <v>2</v>
      </c>
      <c r="Q93">
        <v>-99</v>
      </c>
      <c r="R93" t="s">
        <v>683</v>
      </c>
    </row>
    <row r="94" spans="1:18" x14ac:dyDescent="0.2">
      <c r="A94">
        <v>93</v>
      </c>
      <c r="B94">
        <v>162</v>
      </c>
      <c r="C94" t="s">
        <v>188</v>
      </c>
      <c r="D94" t="s">
        <v>32</v>
      </c>
      <c r="E94" t="s">
        <v>645</v>
      </c>
      <c r="F94" t="s">
        <v>646</v>
      </c>
      <c r="G94" t="s">
        <v>661</v>
      </c>
      <c r="H94" t="s">
        <v>403</v>
      </c>
      <c r="I94">
        <v>383</v>
      </c>
      <c r="J94">
        <v>34</v>
      </c>
      <c r="K94" t="s">
        <v>405</v>
      </c>
      <c r="L94">
        <v>8227</v>
      </c>
      <c r="M94" t="s">
        <v>478</v>
      </c>
      <c r="N94" t="s">
        <v>425</v>
      </c>
      <c r="O94">
        <v>1</v>
      </c>
      <c r="P94">
        <v>2</v>
      </c>
      <c r="Q94">
        <v>-99</v>
      </c>
      <c r="R94" t="s">
        <v>683</v>
      </c>
    </row>
    <row r="95" spans="1:18" x14ac:dyDescent="0.2">
      <c r="A95">
        <v>94</v>
      </c>
      <c r="B95">
        <v>-99</v>
      </c>
      <c r="C95" t="s">
        <v>675</v>
      </c>
      <c r="D95" t="s">
        <v>8</v>
      </c>
      <c r="E95" t="s">
        <v>676</v>
      </c>
      <c r="F95" t="s">
        <v>224</v>
      </c>
      <c r="G95" t="s">
        <v>655</v>
      </c>
      <c r="H95" t="s">
        <v>8</v>
      </c>
      <c r="I95">
        <v>-99</v>
      </c>
      <c r="J95">
        <v>-99</v>
      </c>
      <c r="K95" t="s">
        <v>8</v>
      </c>
      <c r="L95">
        <v>-99</v>
      </c>
      <c r="M95" t="s">
        <v>655</v>
      </c>
      <c r="N95" t="s">
        <v>655</v>
      </c>
      <c r="O95">
        <v>-99</v>
      </c>
      <c r="P95">
        <v>-99</v>
      </c>
      <c r="Q95">
        <v>-99</v>
      </c>
      <c r="R95" t="s">
        <v>208</v>
      </c>
    </row>
    <row r="96" spans="1:18" x14ac:dyDescent="0.2">
      <c r="A96">
        <v>95</v>
      </c>
      <c r="B96">
        <v>-99</v>
      </c>
      <c r="C96" t="s">
        <v>675</v>
      </c>
      <c r="D96" t="s">
        <v>8</v>
      </c>
      <c r="E96" t="s">
        <v>677</v>
      </c>
      <c r="F96" t="s">
        <v>308</v>
      </c>
      <c r="G96" t="s">
        <v>655</v>
      </c>
      <c r="H96" t="s">
        <v>8</v>
      </c>
      <c r="I96">
        <v>-99</v>
      </c>
      <c r="J96">
        <v>-99</v>
      </c>
      <c r="K96" t="s">
        <v>8</v>
      </c>
      <c r="L96">
        <v>-99</v>
      </c>
      <c r="M96" t="s">
        <v>655</v>
      </c>
      <c r="N96" t="s">
        <v>655</v>
      </c>
      <c r="O96">
        <v>-99</v>
      </c>
      <c r="P96">
        <v>-99</v>
      </c>
      <c r="Q96">
        <v>-99</v>
      </c>
      <c r="R96" t="s">
        <v>680</v>
      </c>
    </row>
    <row r="97" spans="1:18" x14ac:dyDescent="0.2">
      <c r="A97">
        <v>96</v>
      </c>
      <c r="B97">
        <v>-99</v>
      </c>
      <c r="C97" t="s">
        <v>675</v>
      </c>
      <c r="D97" t="s">
        <v>8</v>
      </c>
      <c r="E97" t="s">
        <v>678</v>
      </c>
      <c r="F97" t="s">
        <v>307</v>
      </c>
      <c r="G97" t="s">
        <v>655</v>
      </c>
      <c r="H97" t="s">
        <v>8</v>
      </c>
      <c r="I97">
        <v>-99</v>
      </c>
      <c r="J97">
        <v>-99</v>
      </c>
      <c r="K97" t="s">
        <v>8</v>
      </c>
      <c r="L97">
        <v>-99</v>
      </c>
      <c r="M97" t="s">
        <v>655</v>
      </c>
      <c r="N97" t="s">
        <v>655</v>
      </c>
      <c r="O97">
        <v>-99</v>
      </c>
      <c r="P97">
        <v>-99</v>
      </c>
      <c r="Q97">
        <v>-99</v>
      </c>
      <c r="R97" t="s">
        <v>681</v>
      </c>
    </row>
    <row r="98" spans="1:18" x14ac:dyDescent="0.2">
      <c r="A98">
        <v>97</v>
      </c>
      <c r="B98">
        <v>-99</v>
      </c>
      <c r="C98" t="s">
        <v>667</v>
      </c>
      <c r="D98" t="s">
        <v>1056</v>
      </c>
      <c r="E98" t="s">
        <v>667</v>
      </c>
      <c r="F98" t="s">
        <v>1056</v>
      </c>
      <c r="G98" t="s">
        <v>655</v>
      </c>
      <c r="H98" t="s">
        <v>655</v>
      </c>
      <c r="I98">
        <v>-99</v>
      </c>
      <c r="J98">
        <v>35</v>
      </c>
      <c r="K98" t="s">
        <v>8</v>
      </c>
      <c r="L98">
        <v>-99</v>
      </c>
      <c r="M98" t="s">
        <v>655</v>
      </c>
      <c r="N98" t="s">
        <v>655</v>
      </c>
      <c r="O98">
        <v>-99</v>
      </c>
      <c r="P98">
        <v>-99</v>
      </c>
      <c r="Q98">
        <v>3</v>
      </c>
      <c r="R98" t="s">
        <v>655</v>
      </c>
    </row>
    <row r="99" spans="1:18" x14ac:dyDescent="0.2">
      <c r="A99">
        <v>98</v>
      </c>
      <c r="B99">
        <v>-99</v>
      </c>
      <c r="C99" t="s">
        <v>675</v>
      </c>
      <c r="D99" t="s">
        <v>8</v>
      </c>
      <c r="E99" t="s">
        <v>686</v>
      </c>
      <c r="F99" t="s">
        <v>687</v>
      </c>
      <c r="G99" t="s">
        <v>655</v>
      </c>
      <c r="H99" t="s">
        <v>8</v>
      </c>
      <c r="I99">
        <v>-99</v>
      </c>
      <c r="J99">
        <v>-99</v>
      </c>
      <c r="K99" t="s">
        <v>8</v>
      </c>
      <c r="L99">
        <v>-99</v>
      </c>
      <c r="M99" t="s">
        <v>655</v>
      </c>
      <c r="N99" t="s">
        <v>655</v>
      </c>
      <c r="O99">
        <v>-99</v>
      </c>
      <c r="P99">
        <v>-99</v>
      </c>
      <c r="Q99">
        <v>-99</v>
      </c>
      <c r="R99" t="s">
        <v>683</v>
      </c>
    </row>
    <row r="100" spans="1:18" x14ac:dyDescent="0.2">
      <c r="A100">
        <v>99</v>
      </c>
      <c r="B100">
        <v>250</v>
      </c>
      <c r="C100" t="s">
        <v>655</v>
      </c>
      <c r="D100" t="s">
        <v>32</v>
      </c>
      <c r="E100" t="s">
        <v>722</v>
      </c>
      <c r="F100" t="s">
        <v>688</v>
      </c>
      <c r="G100" t="s">
        <v>655</v>
      </c>
      <c r="H100" t="s">
        <v>403</v>
      </c>
      <c r="I100">
        <v>-99</v>
      </c>
      <c r="J100">
        <v>-99</v>
      </c>
      <c r="K100" t="s">
        <v>405</v>
      </c>
      <c r="L100">
        <v>-99</v>
      </c>
      <c r="M100" t="s">
        <v>655</v>
      </c>
      <c r="N100" t="s">
        <v>655</v>
      </c>
      <c r="O100">
        <v>-99</v>
      </c>
      <c r="P100">
        <v>-99</v>
      </c>
      <c r="Q100">
        <v>-99</v>
      </c>
      <c r="R100" t="s">
        <v>689</v>
      </c>
    </row>
    <row r="101" spans="1:18" x14ac:dyDescent="0.2">
      <c r="A101">
        <v>100</v>
      </c>
      <c r="B101">
        <v>256</v>
      </c>
      <c r="C101" t="s">
        <v>655</v>
      </c>
      <c r="D101" t="s">
        <v>212</v>
      </c>
      <c r="E101" t="s">
        <v>723</v>
      </c>
      <c r="F101" t="s">
        <v>690</v>
      </c>
      <c r="G101" t="s">
        <v>655</v>
      </c>
      <c r="H101" t="s">
        <v>387</v>
      </c>
      <c r="I101">
        <v>-99</v>
      </c>
      <c r="J101">
        <v>-99</v>
      </c>
      <c r="K101" t="s">
        <v>391</v>
      </c>
      <c r="L101">
        <v>-99</v>
      </c>
      <c r="M101" t="s">
        <v>655</v>
      </c>
      <c r="N101" t="s">
        <v>655</v>
      </c>
      <c r="O101">
        <v>-99</v>
      </c>
      <c r="P101">
        <v>-99</v>
      </c>
      <c r="Q101">
        <v>-99</v>
      </c>
      <c r="R101" t="s">
        <v>689</v>
      </c>
    </row>
    <row r="102" spans="1:18" x14ac:dyDescent="0.2">
      <c r="A102">
        <v>101</v>
      </c>
      <c r="B102">
        <v>257</v>
      </c>
      <c r="C102" t="s">
        <v>655</v>
      </c>
      <c r="D102" t="s">
        <v>209</v>
      </c>
      <c r="E102" t="s">
        <v>724</v>
      </c>
      <c r="F102" t="s">
        <v>691</v>
      </c>
      <c r="G102" t="s">
        <v>655</v>
      </c>
      <c r="H102" t="s">
        <v>387</v>
      </c>
      <c r="I102">
        <v>-99</v>
      </c>
      <c r="J102">
        <v>-99</v>
      </c>
      <c r="K102" t="s">
        <v>391</v>
      </c>
      <c r="L102">
        <v>-99</v>
      </c>
      <c r="M102" t="s">
        <v>655</v>
      </c>
      <c r="N102" t="s">
        <v>655</v>
      </c>
      <c r="O102">
        <v>-99</v>
      </c>
      <c r="P102">
        <v>-99</v>
      </c>
      <c r="Q102">
        <v>-99</v>
      </c>
      <c r="R102" t="s">
        <v>689</v>
      </c>
    </row>
    <row r="103" spans="1:18" x14ac:dyDescent="0.2">
      <c r="A103">
        <v>102</v>
      </c>
      <c r="B103">
        <v>258</v>
      </c>
      <c r="C103" t="s">
        <v>655</v>
      </c>
      <c r="D103" t="s">
        <v>210</v>
      </c>
      <c r="E103" t="s">
        <v>725</v>
      </c>
      <c r="F103" t="s">
        <v>692</v>
      </c>
      <c r="G103" t="s">
        <v>655</v>
      </c>
      <c r="H103" t="s">
        <v>371</v>
      </c>
      <c r="I103">
        <v>-99</v>
      </c>
      <c r="J103">
        <v>-99</v>
      </c>
      <c r="K103" t="s">
        <v>370</v>
      </c>
      <c r="L103">
        <v>-99</v>
      </c>
      <c r="M103" t="s">
        <v>655</v>
      </c>
      <c r="N103" t="s">
        <v>655</v>
      </c>
      <c r="O103">
        <v>-99</v>
      </c>
      <c r="P103">
        <v>-99</v>
      </c>
      <c r="Q103">
        <v>-99</v>
      </c>
      <c r="R103" t="s">
        <v>689</v>
      </c>
    </row>
    <row r="104" spans="1:18" x14ac:dyDescent="0.2">
      <c r="A104">
        <v>103</v>
      </c>
      <c r="B104">
        <v>259</v>
      </c>
      <c r="C104" t="s">
        <v>655</v>
      </c>
      <c r="D104" t="s">
        <v>135</v>
      </c>
      <c r="E104" t="s">
        <v>726</v>
      </c>
      <c r="F104" t="s">
        <v>693</v>
      </c>
      <c r="G104" t="s">
        <v>655</v>
      </c>
      <c r="H104" t="s">
        <v>371</v>
      </c>
      <c r="I104">
        <v>-99</v>
      </c>
      <c r="J104">
        <v>-99</v>
      </c>
      <c r="K104" t="s">
        <v>370</v>
      </c>
      <c r="L104">
        <v>-99</v>
      </c>
      <c r="M104" t="s">
        <v>655</v>
      </c>
      <c r="N104" t="s">
        <v>655</v>
      </c>
      <c r="O104">
        <v>-99</v>
      </c>
      <c r="P104">
        <v>-99</v>
      </c>
      <c r="Q104">
        <v>-99</v>
      </c>
      <c r="R104" t="s">
        <v>689</v>
      </c>
    </row>
    <row r="105" spans="1:18" x14ac:dyDescent="0.2">
      <c r="A105">
        <v>104</v>
      </c>
      <c r="B105">
        <v>260</v>
      </c>
      <c r="C105" t="s">
        <v>655</v>
      </c>
      <c r="D105" t="s">
        <v>46</v>
      </c>
      <c r="E105" t="s">
        <v>727</v>
      </c>
      <c r="F105" t="s">
        <v>694</v>
      </c>
      <c r="G105" t="s">
        <v>655</v>
      </c>
      <c r="H105" t="s">
        <v>387</v>
      </c>
      <c r="I105">
        <v>-99</v>
      </c>
      <c r="J105">
        <v>-99</v>
      </c>
      <c r="K105" t="s">
        <v>386</v>
      </c>
      <c r="L105">
        <v>-99</v>
      </c>
      <c r="M105" t="s">
        <v>655</v>
      </c>
      <c r="N105" t="s">
        <v>655</v>
      </c>
      <c r="O105">
        <v>-99</v>
      </c>
      <c r="P105">
        <v>-99</v>
      </c>
      <c r="Q105">
        <v>-99</v>
      </c>
      <c r="R105" t="s">
        <v>689</v>
      </c>
    </row>
    <row r="106" spans="1:18" x14ac:dyDescent="0.2">
      <c r="A106">
        <v>105</v>
      </c>
      <c r="B106">
        <v>261</v>
      </c>
      <c r="C106" t="s">
        <v>655</v>
      </c>
      <c r="D106" t="s">
        <v>65</v>
      </c>
      <c r="E106" t="s">
        <v>728</v>
      </c>
      <c r="F106" t="s">
        <v>695</v>
      </c>
      <c r="G106" t="s">
        <v>655</v>
      </c>
      <c r="H106" t="s">
        <v>371</v>
      </c>
      <c r="I106">
        <v>-99</v>
      </c>
      <c r="J106">
        <v>-99</v>
      </c>
      <c r="K106" t="s">
        <v>370</v>
      </c>
      <c r="L106">
        <v>-99</v>
      </c>
      <c r="M106" t="s">
        <v>655</v>
      </c>
      <c r="N106" t="s">
        <v>655</v>
      </c>
      <c r="O106">
        <v>-99</v>
      </c>
      <c r="P106">
        <v>-99</v>
      </c>
      <c r="Q106">
        <v>-99</v>
      </c>
      <c r="R106" t="s">
        <v>689</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464</v>
      </c>
      <c r="B1" t="s">
        <v>458</v>
      </c>
      <c r="C1" t="s">
        <v>465</v>
      </c>
      <c r="D1" t="s">
        <v>466</v>
      </c>
      <c r="E1" t="s">
        <v>493</v>
      </c>
    </row>
    <row r="2" spans="1:5" x14ac:dyDescent="0.2">
      <c r="A2" t="s">
        <v>326</v>
      </c>
      <c r="B2" t="s">
        <v>372</v>
      </c>
      <c r="C2" t="s">
        <v>372</v>
      </c>
      <c r="D2" t="s">
        <v>467</v>
      </c>
      <c r="E2" t="s">
        <v>370</v>
      </c>
    </row>
    <row r="3" spans="1:5" x14ac:dyDescent="0.2">
      <c r="A3" t="s">
        <v>358</v>
      </c>
      <c r="B3" t="s">
        <v>375</v>
      </c>
      <c r="C3" t="s">
        <v>375</v>
      </c>
      <c r="D3" t="s">
        <v>467</v>
      </c>
      <c r="E3" t="s">
        <v>370</v>
      </c>
    </row>
    <row r="4" spans="1:5" x14ac:dyDescent="0.2">
      <c r="A4" t="s">
        <v>353</v>
      </c>
      <c r="B4" t="s">
        <v>417</v>
      </c>
      <c r="C4" t="s">
        <v>417</v>
      </c>
      <c r="D4" t="s">
        <v>467</v>
      </c>
      <c r="E4" t="s">
        <v>370</v>
      </c>
    </row>
    <row r="5" spans="1:5" x14ac:dyDescent="0.2">
      <c r="A5" t="s">
        <v>332</v>
      </c>
      <c r="B5" t="s">
        <v>428</v>
      </c>
      <c r="C5" t="s">
        <v>428</v>
      </c>
      <c r="D5" t="s">
        <v>468</v>
      </c>
      <c r="E5" t="s">
        <v>381</v>
      </c>
    </row>
    <row r="6" spans="1:5" x14ac:dyDescent="0.2">
      <c r="A6" t="s">
        <v>356</v>
      </c>
      <c r="B6" t="s">
        <v>390</v>
      </c>
      <c r="C6" t="s">
        <v>390</v>
      </c>
      <c r="D6" t="s">
        <v>468</v>
      </c>
      <c r="E6" t="s">
        <v>386</v>
      </c>
    </row>
    <row r="7" spans="1:5" x14ac:dyDescent="0.2">
      <c r="A7" t="s">
        <v>359</v>
      </c>
      <c r="B7" t="s">
        <v>419</v>
      </c>
      <c r="C7" t="s">
        <v>419</v>
      </c>
      <c r="D7" t="s">
        <v>470</v>
      </c>
      <c r="E7" t="s">
        <v>386</v>
      </c>
    </row>
    <row r="8" spans="1:5" x14ac:dyDescent="0.2">
      <c r="A8" t="s">
        <v>334</v>
      </c>
      <c r="B8" t="s">
        <v>402</v>
      </c>
      <c r="C8" t="s">
        <v>402</v>
      </c>
      <c r="D8" t="s">
        <v>471</v>
      </c>
      <c r="E8" t="s">
        <v>391</v>
      </c>
    </row>
    <row r="9" spans="1:5" x14ac:dyDescent="0.2">
      <c r="A9" t="s">
        <v>351</v>
      </c>
      <c r="B9" t="s">
        <v>404</v>
      </c>
      <c r="C9" t="s">
        <v>404</v>
      </c>
      <c r="D9" t="s">
        <v>470</v>
      </c>
      <c r="E9" t="s">
        <v>386</v>
      </c>
    </row>
    <row r="10" spans="1:5" x14ac:dyDescent="0.2">
      <c r="A10" t="s">
        <v>479</v>
      </c>
      <c r="B10" t="s">
        <v>480</v>
      </c>
      <c r="C10" t="s">
        <v>309</v>
      </c>
      <c r="D10" t="s">
        <v>455</v>
      </c>
      <c r="E10" t="s">
        <v>8</v>
      </c>
    </row>
    <row r="11" spans="1:5" x14ac:dyDescent="0.2">
      <c r="A11" t="s">
        <v>360</v>
      </c>
      <c r="B11" t="s">
        <v>416</v>
      </c>
      <c r="C11" t="s">
        <v>416</v>
      </c>
      <c r="D11" t="s">
        <v>467</v>
      </c>
      <c r="E11" t="s">
        <v>370</v>
      </c>
    </row>
    <row r="12" spans="1:5" x14ac:dyDescent="0.2">
      <c r="A12" t="s">
        <v>338</v>
      </c>
      <c r="B12" t="s">
        <v>380</v>
      </c>
      <c r="C12" t="s">
        <v>380</v>
      </c>
      <c r="D12" t="s">
        <v>468</v>
      </c>
      <c r="E12" t="s">
        <v>370</v>
      </c>
    </row>
    <row r="13" spans="1:5" x14ac:dyDescent="0.2">
      <c r="A13" t="s">
        <v>343</v>
      </c>
      <c r="B13" t="s">
        <v>377</v>
      </c>
      <c r="C13" t="s">
        <v>377</v>
      </c>
      <c r="D13" t="s">
        <v>467</v>
      </c>
      <c r="E13" t="s">
        <v>370</v>
      </c>
    </row>
    <row r="14" spans="1:5" x14ac:dyDescent="0.2">
      <c r="A14" t="s">
        <v>341</v>
      </c>
      <c r="B14" t="s">
        <v>384</v>
      </c>
      <c r="C14" t="s">
        <v>384</v>
      </c>
      <c r="D14" t="s">
        <v>468</v>
      </c>
      <c r="E14" t="s">
        <v>381</v>
      </c>
    </row>
    <row r="15" spans="1:5" x14ac:dyDescent="0.2">
      <c r="A15" t="s">
        <v>331</v>
      </c>
      <c r="B15" t="s">
        <v>393</v>
      </c>
      <c r="C15" t="s">
        <v>393</v>
      </c>
      <c r="D15" t="s">
        <v>467</v>
      </c>
      <c r="E15" t="s">
        <v>391</v>
      </c>
    </row>
    <row r="16" spans="1:5" x14ac:dyDescent="0.2">
      <c r="A16" t="s">
        <v>345</v>
      </c>
      <c r="B16" t="s">
        <v>407</v>
      </c>
      <c r="C16" t="s">
        <v>407</v>
      </c>
      <c r="D16" t="s">
        <v>470</v>
      </c>
      <c r="E16" t="s">
        <v>386</v>
      </c>
    </row>
    <row r="17" spans="1:5" x14ac:dyDescent="0.2">
      <c r="A17" t="s">
        <v>481</v>
      </c>
      <c r="B17" t="s">
        <v>482</v>
      </c>
      <c r="C17" t="s">
        <v>309</v>
      </c>
      <c r="D17" t="s">
        <v>455</v>
      </c>
      <c r="E17" t="s">
        <v>8</v>
      </c>
    </row>
    <row r="18" spans="1:5" x14ac:dyDescent="0.2">
      <c r="A18" t="s">
        <v>357</v>
      </c>
      <c r="B18" t="s">
        <v>392</v>
      </c>
      <c r="C18" t="s">
        <v>392</v>
      </c>
      <c r="D18" t="s">
        <v>467</v>
      </c>
      <c r="E18" t="s">
        <v>391</v>
      </c>
    </row>
    <row r="19" spans="1:5" x14ac:dyDescent="0.2">
      <c r="A19" t="s">
        <v>350</v>
      </c>
      <c r="B19" t="s">
        <v>395</v>
      </c>
      <c r="C19" t="s">
        <v>395</v>
      </c>
      <c r="D19" t="s">
        <v>471</v>
      </c>
      <c r="E19" t="s">
        <v>391</v>
      </c>
    </row>
    <row r="20" spans="1:5" x14ac:dyDescent="0.2">
      <c r="A20" t="s">
        <v>340</v>
      </c>
      <c r="B20" t="s">
        <v>398</v>
      </c>
      <c r="C20" t="s">
        <v>398</v>
      </c>
      <c r="D20" t="s">
        <v>471</v>
      </c>
      <c r="E20" t="s">
        <v>391</v>
      </c>
    </row>
    <row r="21" spans="1:5" x14ac:dyDescent="0.2">
      <c r="A21" t="s">
        <v>365</v>
      </c>
      <c r="B21" t="s">
        <v>423</v>
      </c>
      <c r="C21" t="s">
        <v>423</v>
      </c>
      <c r="D21" t="s">
        <v>471</v>
      </c>
      <c r="E21" t="s">
        <v>391</v>
      </c>
    </row>
    <row r="22" spans="1:5" x14ac:dyDescent="0.2">
      <c r="A22" t="s">
        <v>336</v>
      </c>
      <c r="B22" t="s">
        <v>60</v>
      </c>
      <c r="C22" t="s">
        <v>60</v>
      </c>
      <c r="D22" t="s">
        <v>467</v>
      </c>
      <c r="E22" t="s">
        <v>370</v>
      </c>
    </row>
    <row r="23" spans="1:5" x14ac:dyDescent="0.2">
      <c r="A23" t="s">
        <v>349</v>
      </c>
      <c r="B23" t="s">
        <v>383</v>
      </c>
      <c r="C23" t="s">
        <v>383</v>
      </c>
      <c r="D23" t="s">
        <v>309</v>
      </c>
      <c r="E23" t="s">
        <v>370</v>
      </c>
    </row>
    <row r="24" spans="1:5" x14ac:dyDescent="0.2">
      <c r="A24" t="s">
        <v>344</v>
      </c>
      <c r="B24" t="s">
        <v>385</v>
      </c>
      <c r="C24" t="s">
        <v>385</v>
      </c>
      <c r="D24" t="s">
        <v>468</v>
      </c>
      <c r="E24" t="s">
        <v>381</v>
      </c>
    </row>
    <row r="25" spans="1:5" x14ac:dyDescent="0.2">
      <c r="A25" t="s">
        <v>342</v>
      </c>
      <c r="B25" t="s">
        <v>421</v>
      </c>
      <c r="C25" t="s">
        <v>421</v>
      </c>
      <c r="D25" t="s">
        <v>471</v>
      </c>
      <c r="E25" t="s">
        <v>391</v>
      </c>
    </row>
    <row r="26" spans="1:5" x14ac:dyDescent="0.2">
      <c r="A26" t="s">
        <v>319</v>
      </c>
      <c r="B26" t="s">
        <v>406</v>
      </c>
      <c r="C26" t="s">
        <v>406</v>
      </c>
      <c r="D26" t="s">
        <v>470</v>
      </c>
      <c r="E26" t="s">
        <v>405</v>
      </c>
    </row>
    <row r="27" spans="1:5" x14ac:dyDescent="0.2">
      <c r="A27" t="s">
        <v>320</v>
      </c>
      <c r="B27" t="s">
        <v>422</v>
      </c>
      <c r="C27" t="s">
        <v>422</v>
      </c>
      <c r="D27" t="s">
        <v>470</v>
      </c>
      <c r="E27" t="s">
        <v>386</v>
      </c>
    </row>
    <row r="28" spans="1:5" x14ac:dyDescent="0.2">
      <c r="A28" t="s">
        <v>354</v>
      </c>
      <c r="B28" t="s">
        <v>374</v>
      </c>
      <c r="C28" t="s">
        <v>374</v>
      </c>
      <c r="D28" t="s">
        <v>467</v>
      </c>
      <c r="E28" t="s">
        <v>370</v>
      </c>
    </row>
    <row r="29" spans="1:5" x14ac:dyDescent="0.2">
      <c r="A29" t="s">
        <v>469</v>
      </c>
      <c r="B29" t="s">
        <v>455</v>
      </c>
      <c r="C29" t="s">
        <v>309</v>
      </c>
      <c r="D29" t="s">
        <v>455</v>
      </c>
      <c r="E29" t="s">
        <v>8</v>
      </c>
    </row>
    <row r="30" spans="1:5" x14ac:dyDescent="0.2">
      <c r="A30" t="s">
        <v>366</v>
      </c>
      <c r="B30" t="s">
        <v>418</v>
      </c>
      <c r="C30" t="s">
        <v>418</v>
      </c>
      <c r="D30" t="s">
        <v>467</v>
      </c>
      <c r="E30" t="s">
        <v>370</v>
      </c>
    </row>
    <row r="31" spans="1:5" x14ac:dyDescent="0.2">
      <c r="A31" t="s">
        <v>347</v>
      </c>
      <c r="B31" t="s">
        <v>415</v>
      </c>
      <c r="C31" t="s">
        <v>415</v>
      </c>
      <c r="D31" t="s">
        <v>309</v>
      </c>
      <c r="E31" t="s">
        <v>370</v>
      </c>
    </row>
    <row r="32" spans="1:5" x14ac:dyDescent="0.2">
      <c r="A32" t="s">
        <v>327</v>
      </c>
      <c r="B32" t="s">
        <v>396</v>
      </c>
      <c r="C32" t="s">
        <v>396</v>
      </c>
      <c r="D32" t="s">
        <v>467</v>
      </c>
      <c r="E32" t="s">
        <v>391</v>
      </c>
    </row>
    <row r="33" spans="1:5" x14ac:dyDescent="0.2">
      <c r="A33" t="s">
        <v>324</v>
      </c>
      <c r="B33" t="s">
        <v>420</v>
      </c>
      <c r="C33" t="s">
        <v>420</v>
      </c>
      <c r="D33" t="s">
        <v>471</v>
      </c>
      <c r="E33" t="s">
        <v>391</v>
      </c>
    </row>
    <row r="34" spans="1:5" x14ac:dyDescent="0.2">
      <c r="A34" t="s">
        <v>346</v>
      </c>
      <c r="B34" t="s">
        <v>427</v>
      </c>
      <c r="C34" t="s">
        <v>427</v>
      </c>
      <c r="D34" t="s">
        <v>470</v>
      </c>
      <c r="E34" t="s">
        <v>405</v>
      </c>
    </row>
    <row r="35" spans="1:5" x14ac:dyDescent="0.2">
      <c r="A35" t="s">
        <v>335</v>
      </c>
      <c r="B35" t="s">
        <v>409</v>
      </c>
      <c r="C35" t="s">
        <v>409</v>
      </c>
      <c r="D35" t="s">
        <v>470</v>
      </c>
      <c r="E35" t="s">
        <v>405</v>
      </c>
    </row>
    <row r="36" spans="1:5" x14ac:dyDescent="0.2">
      <c r="A36" t="s">
        <v>362</v>
      </c>
      <c r="B36" t="s">
        <v>429</v>
      </c>
      <c r="C36" t="s">
        <v>429</v>
      </c>
      <c r="D36" t="s">
        <v>470</v>
      </c>
      <c r="E36" t="s">
        <v>405</v>
      </c>
    </row>
    <row r="37" spans="1:5" x14ac:dyDescent="0.2">
      <c r="A37" t="s">
        <v>478</v>
      </c>
      <c r="B37" t="s">
        <v>425</v>
      </c>
      <c r="C37" t="s">
        <v>425</v>
      </c>
      <c r="D37" t="s">
        <v>470</v>
      </c>
      <c r="E37" t="s">
        <v>405</v>
      </c>
    </row>
    <row r="38" spans="1:5" x14ac:dyDescent="0.2">
      <c r="A38" t="s">
        <v>476</v>
      </c>
      <c r="B38" t="s">
        <v>477</v>
      </c>
      <c r="C38" t="s">
        <v>309</v>
      </c>
      <c r="D38" t="s">
        <v>455</v>
      </c>
      <c r="E38" t="s">
        <v>8</v>
      </c>
    </row>
    <row r="39" spans="1:5" x14ac:dyDescent="0.2">
      <c r="A39" t="s">
        <v>352</v>
      </c>
      <c r="B39" t="s">
        <v>410</v>
      </c>
      <c r="C39" t="s">
        <v>410</v>
      </c>
      <c r="D39" t="s">
        <v>470</v>
      </c>
      <c r="E39" t="s">
        <v>405</v>
      </c>
    </row>
    <row r="40" spans="1:5" x14ac:dyDescent="0.2">
      <c r="A40" t="s">
        <v>485</v>
      </c>
      <c r="B40" t="s">
        <v>486</v>
      </c>
      <c r="C40" t="s">
        <v>309</v>
      </c>
      <c r="D40" t="s">
        <v>455</v>
      </c>
      <c r="E40" t="s">
        <v>8</v>
      </c>
    </row>
    <row r="41" spans="1:5" x14ac:dyDescent="0.2">
      <c r="A41" t="s">
        <v>472</v>
      </c>
      <c r="B41" t="s">
        <v>473</v>
      </c>
      <c r="C41" t="s">
        <v>309</v>
      </c>
      <c r="D41" t="s">
        <v>455</v>
      </c>
      <c r="E41" t="s">
        <v>8</v>
      </c>
    </row>
    <row r="42" spans="1:5" x14ac:dyDescent="0.2">
      <c r="A42" t="s">
        <v>361</v>
      </c>
      <c r="B42" t="s">
        <v>373</v>
      </c>
      <c r="C42" t="s">
        <v>373</v>
      </c>
      <c r="D42" t="s">
        <v>467</v>
      </c>
      <c r="E42" t="s">
        <v>370</v>
      </c>
    </row>
    <row r="43" spans="1:5" x14ac:dyDescent="0.2">
      <c r="A43" t="s">
        <v>322</v>
      </c>
      <c r="B43" t="s">
        <v>379</v>
      </c>
      <c r="C43" t="s">
        <v>379</v>
      </c>
      <c r="D43" t="s">
        <v>468</v>
      </c>
      <c r="E43" t="s">
        <v>370</v>
      </c>
    </row>
    <row r="44" spans="1:5" x14ac:dyDescent="0.2">
      <c r="A44" t="s">
        <v>325</v>
      </c>
      <c r="B44" t="s">
        <v>424</v>
      </c>
      <c r="C44" t="s">
        <v>424</v>
      </c>
      <c r="D44" t="s">
        <v>467</v>
      </c>
      <c r="E44" t="s">
        <v>370</v>
      </c>
    </row>
    <row r="45" spans="1:5" x14ac:dyDescent="0.2">
      <c r="A45" t="s">
        <v>355</v>
      </c>
      <c r="B45" t="s">
        <v>389</v>
      </c>
      <c r="C45" t="s">
        <v>389</v>
      </c>
      <c r="D45" t="s">
        <v>468</v>
      </c>
      <c r="E45" t="s">
        <v>381</v>
      </c>
    </row>
    <row r="46" spans="1:5" x14ac:dyDescent="0.2">
      <c r="A46" t="s">
        <v>337</v>
      </c>
      <c r="B46" t="s">
        <v>394</v>
      </c>
      <c r="C46" t="s">
        <v>394</v>
      </c>
      <c r="D46" t="s">
        <v>468</v>
      </c>
      <c r="E46" t="s">
        <v>381</v>
      </c>
    </row>
    <row r="47" spans="1:5" x14ac:dyDescent="0.2">
      <c r="A47" t="s">
        <v>364</v>
      </c>
      <c r="B47" t="s">
        <v>400</v>
      </c>
      <c r="C47" t="s">
        <v>400</v>
      </c>
      <c r="D47" t="s">
        <v>471</v>
      </c>
      <c r="E47" t="s">
        <v>391</v>
      </c>
    </row>
    <row r="48" spans="1:5" x14ac:dyDescent="0.2">
      <c r="A48" t="s">
        <v>339</v>
      </c>
      <c r="B48" t="s">
        <v>413</v>
      </c>
      <c r="C48" t="s">
        <v>413</v>
      </c>
      <c r="D48" t="s">
        <v>471</v>
      </c>
      <c r="E48" t="s">
        <v>386</v>
      </c>
    </row>
    <row r="49" spans="1:5" x14ac:dyDescent="0.2">
      <c r="A49" t="s">
        <v>328</v>
      </c>
      <c r="B49" t="s">
        <v>411</v>
      </c>
      <c r="C49" t="s">
        <v>411</v>
      </c>
      <c r="D49" t="s">
        <v>471</v>
      </c>
      <c r="E49" t="s">
        <v>386</v>
      </c>
    </row>
    <row r="50" spans="1:5" x14ac:dyDescent="0.2">
      <c r="A50" t="s">
        <v>333</v>
      </c>
      <c r="B50" t="s">
        <v>408</v>
      </c>
      <c r="C50" t="s">
        <v>408</v>
      </c>
      <c r="D50" t="s">
        <v>470</v>
      </c>
      <c r="E50" t="s">
        <v>405</v>
      </c>
    </row>
    <row r="51" spans="1:5" x14ac:dyDescent="0.2">
      <c r="A51" t="s">
        <v>321</v>
      </c>
      <c r="B51" t="s">
        <v>388</v>
      </c>
      <c r="C51" t="s">
        <v>388</v>
      </c>
      <c r="D51" t="s">
        <v>471</v>
      </c>
      <c r="E51" t="s">
        <v>386</v>
      </c>
    </row>
    <row r="52" spans="1:5" x14ac:dyDescent="0.2">
      <c r="A52" t="s">
        <v>474</v>
      </c>
      <c r="B52" t="s">
        <v>475</v>
      </c>
      <c r="C52" t="s">
        <v>309</v>
      </c>
      <c r="D52" t="s">
        <v>455</v>
      </c>
      <c r="E52" t="s">
        <v>8</v>
      </c>
    </row>
    <row r="53" spans="1:5" x14ac:dyDescent="0.2">
      <c r="A53" t="s">
        <v>483</v>
      </c>
      <c r="B53" t="s">
        <v>484</v>
      </c>
      <c r="C53" t="s">
        <v>309</v>
      </c>
      <c r="D53" t="s">
        <v>455</v>
      </c>
      <c r="E53" t="s">
        <v>8</v>
      </c>
    </row>
    <row r="54" spans="1:5" x14ac:dyDescent="0.2">
      <c r="A54" t="s">
        <v>348</v>
      </c>
      <c r="B54" t="s">
        <v>376</v>
      </c>
      <c r="C54" t="s">
        <v>376</v>
      </c>
      <c r="D54" t="s">
        <v>467</v>
      </c>
      <c r="E54" t="s">
        <v>370</v>
      </c>
    </row>
    <row r="55" spans="1:5" x14ac:dyDescent="0.2">
      <c r="A55" t="s">
        <v>363</v>
      </c>
      <c r="B55" t="s">
        <v>382</v>
      </c>
      <c r="C55" t="s">
        <v>382</v>
      </c>
      <c r="D55" t="s">
        <v>468</v>
      </c>
      <c r="E55" t="s">
        <v>381</v>
      </c>
    </row>
    <row r="56" spans="1:5" x14ac:dyDescent="0.2">
      <c r="A56" t="s">
        <v>318</v>
      </c>
      <c r="B56" t="s">
        <v>426</v>
      </c>
      <c r="C56" t="s">
        <v>426</v>
      </c>
      <c r="D56" t="s">
        <v>468</v>
      </c>
      <c r="E56" t="s">
        <v>381</v>
      </c>
    </row>
    <row r="57" spans="1:5" x14ac:dyDescent="0.2">
      <c r="A57" t="s">
        <v>317</v>
      </c>
      <c r="B57" t="s">
        <v>397</v>
      </c>
      <c r="C57" t="s">
        <v>397</v>
      </c>
      <c r="D57" t="s">
        <v>471</v>
      </c>
      <c r="E57" t="s">
        <v>391</v>
      </c>
    </row>
    <row r="58" spans="1:5" x14ac:dyDescent="0.2">
      <c r="A58" t="s">
        <v>323</v>
      </c>
      <c r="B58" t="s">
        <v>401</v>
      </c>
      <c r="C58" t="s">
        <v>401</v>
      </c>
      <c r="D58" t="s">
        <v>471</v>
      </c>
      <c r="E58" t="s">
        <v>391</v>
      </c>
    </row>
    <row r="59" spans="1:5" x14ac:dyDescent="0.2">
      <c r="A59" t="s">
        <v>329</v>
      </c>
      <c r="B59" t="s">
        <v>414</v>
      </c>
      <c r="C59" t="s">
        <v>414</v>
      </c>
      <c r="D59" t="s">
        <v>470</v>
      </c>
      <c r="E59" t="s">
        <v>405</v>
      </c>
    </row>
    <row r="60" spans="1:5" x14ac:dyDescent="0.2">
      <c r="A60" t="s">
        <v>316</v>
      </c>
      <c r="B60" t="s">
        <v>412</v>
      </c>
      <c r="C60" t="s">
        <v>412</v>
      </c>
      <c r="D60" t="s">
        <v>471</v>
      </c>
      <c r="E60" t="s">
        <v>386</v>
      </c>
    </row>
    <row r="61" spans="1:5" x14ac:dyDescent="0.2">
      <c r="A61" t="s">
        <v>330</v>
      </c>
      <c r="B61" t="s">
        <v>80</v>
      </c>
      <c r="C61" t="s">
        <v>80</v>
      </c>
      <c r="D61" t="s">
        <v>470</v>
      </c>
      <c r="E61" t="s">
        <v>405</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1035</v>
      </c>
      <c r="C2" t="s">
        <v>438</v>
      </c>
      <c r="D2" t="s">
        <v>439</v>
      </c>
      <c r="E2" t="s">
        <v>440</v>
      </c>
      <c r="F2" t="s">
        <v>441</v>
      </c>
      <c r="G2" t="s">
        <v>442</v>
      </c>
      <c r="H2" t="s">
        <v>443</v>
      </c>
      <c r="I2" t="s">
        <v>444</v>
      </c>
      <c r="J2" t="s">
        <v>445</v>
      </c>
      <c r="K2" t="s">
        <v>446</v>
      </c>
      <c r="L2" t="s">
        <v>447</v>
      </c>
      <c r="M2" t="s">
        <v>448</v>
      </c>
      <c r="N2" t="s">
        <v>449</v>
      </c>
      <c r="O2" t="s">
        <v>450</v>
      </c>
      <c r="P2" t="s">
        <v>451</v>
      </c>
      <c r="Q2" t="s">
        <v>453</v>
      </c>
    </row>
    <row r="3" spans="2:33" x14ac:dyDescent="0.2">
      <c r="B3" t="s">
        <v>386</v>
      </c>
      <c r="C3" t="s">
        <v>412</v>
      </c>
      <c r="D3" t="s">
        <v>404</v>
      </c>
      <c r="E3" t="s">
        <v>388</v>
      </c>
      <c r="F3" t="s">
        <v>390</v>
      </c>
      <c r="G3" t="s">
        <v>419</v>
      </c>
      <c r="H3" t="s">
        <v>413</v>
      </c>
      <c r="I3" t="s">
        <v>411</v>
      </c>
      <c r="J3" t="s">
        <v>407</v>
      </c>
      <c r="K3" t="s">
        <v>422</v>
      </c>
      <c r="L3" t="s">
        <v>452</v>
      </c>
      <c r="M3" t="s">
        <v>452</v>
      </c>
      <c r="N3" t="s">
        <v>452</v>
      </c>
      <c r="O3" t="s">
        <v>452</v>
      </c>
      <c r="P3" t="s">
        <v>452</v>
      </c>
      <c r="Q3" t="s">
        <v>452</v>
      </c>
      <c r="S3" s="14" t="s">
        <v>412</v>
      </c>
      <c r="T3" s="14" t="s">
        <v>404</v>
      </c>
      <c r="U3" s="14" t="s">
        <v>388</v>
      </c>
      <c r="V3" s="14" t="s">
        <v>390</v>
      </c>
      <c r="W3" s="14" t="s">
        <v>419</v>
      </c>
      <c r="X3" s="14" t="s">
        <v>413</v>
      </c>
      <c r="Y3" s="14" t="s">
        <v>411</v>
      </c>
      <c r="Z3" s="14" t="s">
        <v>407</v>
      </c>
      <c r="AA3" s="14" t="s">
        <v>422</v>
      </c>
      <c r="AB3" s="14"/>
      <c r="AC3" s="14"/>
      <c r="AD3" s="14"/>
      <c r="AE3" s="14"/>
      <c r="AF3" s="15"/>
      <c r="AG3" s="15"/>
    </row>
    <row r="4" spans="2:33" x14ac:dyDescent="0.2">
      <c r="B4" t="s">
        <v>391</v>
      </c>
      <c r="C4" t="s">
        <v>395</v>
      </c>
      <c r="D4" t="s">
        <v>393</v>
      </c>
      <c r="E4" t="s">
        <v>400</v>
      </c>
      <c r="F4" t="s">
        <v>423</v>
      </c>
      <c r="G4" t="s">
        <v>396</v>
      </c>
      <c r="H4" t="s">
        <v>402</v>
      </c>
      <c r="I4" t="s">
        <v>398</v>
      </c>
      <c r="J4" t="s">
        <v>401</v>
      </c>
      <c r="K4" t="s">
        <v>420</v>
      </c>
      <c r="L4" t="s">
        <v>392</v>
      </c>
      <c r="M4" t="s">
        <v>421</v>
      </c>
      <c r="N4" t="s">
        <v>397</v>
      </c>
      <c r="O4" t="s">
        <v>452</v>
      </c>
      <c r="P4" t="s">
        <v>452</v>
      </c>
      <c r="Q4" t="s">
        <v>452</v>
      </c>
      <c r="S4" s="14" t="s">
        <v>395</v>
      </c>
      <c r="T4" s="14" t="s">
        <v>393</v>
      </c>
      <c r="U4" s="14" t="s">
        <v>400</v>
      </c>
      <c r="V4" s="14" t="s">
        <v>423</v>
      </c>
      <c r="W4" s="14" t="s">
        <v>396</v>
      </c>
      <c r="X4" s="14" t="s">
        <v>402</v>
      </c>
      <c r="Y4" s="14" t="s">
        <v>398</v>
      </c>
      <c r="Z4" s="14" t="s">
        <v>401</v>
      </c>
      <c r="AA4" s="14" t="s">
        <v>420</v>
      </c>
      <c r="AB4" s="14" t="s">
        <v>392</v>
      </c>
      <c r="AC4" s="14" t="s">
        <v>421</v>
      </c>
      <c r="AD4" s="14" t="s">
        <v>397</v>
      </c>
      <c r="AE4" s="14"/>
      <c r="AF4" s="15"/>
      <c r="AG4" s="15"/>
    </row>
    <row r="5" spans="2:33" x14ac:dyDescent="0.2">
      <c r="B5" t="s">
        <v>370</v>
      </c>
      <c r="C5" t="s">
        <v>374</v>
      </c>
      <c r="D5" t="s">
        <v>424</v>
      </c>
      <c r="E5" t="s">
        <v>415</v>
      </c>
      <c r="F5" t="s">
        <v>417</v>
      </c>
      <c r="G5" t="s">
        <v>377</v>
      </c>
      <c r="H5" t="s">
        <v>372</v>
      </c>
      <c r="I5" t="s">
        <v>416</v>
      </c>
      <c r="J5" t="s">
        <v>375</v>
      </c>
      <c r="K5" t="s">
        <v>60</v>
      </c>
      <c r="L5" t="s">
        <v>383</v>
      </c>
      <c r="M5" t="s">
        <v>376</v>
      </c>
      <c r="N5" t="s">
        <v>373</v>
      </c>
      <c r="O5" t="s">
        <v>418</v>
      </c>
      <c r="P5" t="s">
        <v>379</v>
      </c>
      <c r="Q5" t="s">
        <v>380</v>
      </c>
      <c r="S5" s="14" t="s">
        <v>374</v>
      </c>
      <c r="T5" s="14" t="s">
        <v>424</v>
      </c>
      <c r="U5" s="14" t="s">
        <v>415</v>
      </c>
      <c r="V5" s="14" t="s">
        <v>417</v>
      </c>
      <c r="W5" s="14" t="s">
        <v>377</v>
      </c>
      <c r="X5" s="14" t="s">
        <v>372</v>
      </c>
      <c r="Y5" s="14" t="s">
        <v>416</v>
      </c>
      <c r="Z5" s="14" t="s">
        <v>375</v>
      </c>
      <c r="AA5" s="14" t="s">
        <v>60</v>
      </c>
      <c r="AB5" s="14" t="s">
        <v>383</v>
      </c>
      <c r="AC5" s="14" t="s">
        <v>376</v>
      </c>
      <c r="AD5" s="14" t="s">
        <v>373</v>
      </c>
      <c r="AE5" s="14" t="s">
        <v>418</v>
      </c>
      <c r="AF5" s="15" t="s">
        <v>379</v>
      </c>
      <c r="AG5" s="15" t="s">
        <v>380</v>
      </c>
    </row>
    <row r="6" spans="2:33" x14ac:dyDescent="0.2">
      <c r="B6" t="s">
        <v>405</v>
      </c>
      <c r="C6" t="s">
        <v>425</v>
      </c>
      <c r="D6" t="s">
        <v>427</v>
      </c>
      <c r="E6" t="s">
        <v>408</v>
      </c>
      <c r="F6" t="s">
        <v>429</v>
      </c>
      <c r="G6" t="s">
        <v>409</v>
      </c>
      <c r="H6" t="s">
        <v>414</v>
      </c>
      <c r="I6" t="s">
        <v>406</v>
      </c>
      <c r="J6" t="s">
        <v>410</v>
      </c>
      <c r="K6" t="s">
        <v>80</v>
      </c>
      <c r="L6" t="s">
        <v>452</v>
      </c>
      <c r="M6" t="s">
        <v>452</v>
      </c>
      <c r="N6" t="s">
        <v>452</v>
      </c>
      <c r="O6" t="s">
        <v>452</v>
      </c>
      <c r="P6" t="s">
        <v>452</v>
      </c>
      <c r="Q6" t="s">
        <v>452</v>
      </c>
      <c r="S6" s="14" t="s">
        <v>425</v>
      </c>
      <c r="T6" s="14" t="s">
        <v>427</v>
      </c>
      <c r="U6" s="14" t="s">
        <v>408</v>
      </c>
      <c r="V6" s="14" t="s">
        <v>429</v>
      </c>
      <c r="W6" s="14" t="s">
        <v>409</v>
      </c>
      <c r="X6" s="14" t="s">
        <v>414</v>
      </c>
      <c r="Y6" s="14" t="s">
        <v>406</v>
      </c>
      <c r="Z6" s="14" t="s">
        <v>410</v>
      </c>
      <c r="AA6" s="14" t="s">
        <v>80</v>
      </c>
      <c r="AB6" s="14"/>
      <c r="AC6" s="14"/>
      <c r="AD6" s="14"/>
      <c r="AE6" s="14"/>
      <c r="AF6" s="15"/>
      <c r="AG6" s="15"/>
    </row>
    <row r="7" spans="2:33" x14ac:dyDescent="0.2">
      <c r="B7" t="s">
        <v>381</v>
      </c>
      <c r="C7" t="s">
        <v>389</v>
      </c>
      <c r="D7" t="s">
        <v>426</v>
      </c>
      <c r="E7" t="s">
        <v>382</v>
      </c>
      <c r="F7" t="s">
        <v>394</v>
      </c>
      <c r="G7" t="s">
        <v>428</v>
      </c>
      <c r="H7" t="s">
        <v>384</v>
      </c>
      <c r="I7" t="s">
        <v>385</v>
      </c>
      <c r="J7" t="s">
        <v>452</v>
      </c>
      <c r="K7" t="s">
        <v>452</v>
      </c>
      <c r="L7" t="s">
        <v>452</v>
      </c>
      <c r="M7" t="s">
        <v>452</v>
      </c>
      <c r="N7" t="s">
        <v>452</v>
      </c>
      <c r="O7" t="s">
        <v>452</v>
      </c>
      <c r="P7" t="s">
        <v>452</v>
      </c>
      <c r="Q7" t="s">
        <v>452</v>
      </c>
      <c r="S7" s="14" t="s">
        <v>389</v>
      </c>
      <c r="T7" s="14" t="s">
        <v>426</v>
      </c>
      <c r="U7" s="14" t="s">
        <v>382</v>
      </c>
      <c r="V7" s="14" t="s">
        <v>394</v>
      </c>
      <c r="W7" s="14" t="s">
        <v>428</v>
      </c>
      <c r="X7" s="14" t="s">
        <v>384</v>
      </c>
      <c r="Y7" s="14" t="s">
        <v>385</v>
      </c>
      <c r="Z7" s="14"/>
      <c r="AA7" s="14"/>
      <c r="AB7" s="14"/>
      <c r="AC7" s="14"/>
      <c r="AD7" s="14"/>
      <c r="AE7" s="14"/>
      <c r="AF7" s="15"/>
      <c r="AG7" s="15"/>
    </row>
    <row r="8" spans="2:33" x14ac:dyDescent="0.2">
      <c r="B8" t="s">
        <v>8</v>
      </c>
      <c r="C8" t="s">
        <v>8</v>
      </c>
      <c r="D8" t="s">
        <v>452</v>
      </c>
      <c r="E8" t="s">
        <v>452</v>
      </c>
      <c r="F8" t="s">
        <v>452</v>
      </c>
      <c r="G8" t="s">
        <v>452</v>
      </c>
      <c r="H8" t="s">
        <v>452</v>
      </c>
      <c r="I8" t="s">
        <v>452</v>
      </c>
      <c r="J8" t="s">
        <v>452</v>
      </c>
      <c r="K8" t="s">
        <v>452</v>
      </c>
      <c r="L8" t="s">
        <v>452</v>
      </c>
      <c r="M8" t="s">
        <v>452</v>
      </c>
      <c r="N8" t="s">
        <v>452</v>
      </c>
      <c r="O8" t="s">
        <v>452</v>
      </c>
      <c r="P8" t="s">
        <v>452</v>
      </c>
      <c r="Q8" t="s">
        <v>452</v>
      </c>
      <c r="S8" s="16" t="s">
        <v>8</v>
      </c>
      <c r="T8" s="16"/>
      <c r="U8" s="16"/>
      <c r="V8" s="16"/>
      <c r="W8" s="16"/>
      <c r="X8" s="16"/>
      <c r="Y8" s="16"/>
      <c r="Z8" s="16"/>
      <c r="AA8" s="16"/>
      <c r="AB8" s="16"/>
      <c r="AC8" s="16"/>
      <c r="AD8" s="16"/>
      <c r="AE8" s="16"/>
      <c r="AF8" s="17"/>
      <c r="AG8" s="17"/>
    </row>
    <row r="10" spans="2:33" x14ac:dyDescent="0.2">
      <c r="B10" t="s">
        <v>437</v>
      </c>
      <c r="C10" t="s">
        <v>438</v>
      </c>
      <c r="D10" t="s">
        <v>439</v>
      </c>
      <c r="E10" t="s">
        <v>440</v>
      </c>
      <c r="F10" t="s">
        <v>441</v>
      </c>
      <c r="G10" t="s">
        <v>442</v>
      </c>
      <c r="H10" t="s">
        <v>443</v>
      </c>
      <c r="I10" t="s">
        <v>444</v>
      </c>
      <c r="J10" t="s">
        <v>445</v>
      </c>
      <c r="K10" t="s">
        <v>446</v>
      </c>
      <c r="L10" t="s">
        <v>447</v>
      </c>
      <c r="M10" t="s">
        <v>448</v>
      </c>
      <c r="N10" t="s">
        <v>449</v>
      </c>
      <c r="O10" t="s">
        <v>450</v>
      </c>
      <c r="P10" t="s">
        <v>451</v>
      </c>
      <c r="Q10" t="s">
        <v>453</v>
      </c>
      <c r="R10" t="s">
        <v>454</v>
      </c>
    </row>
    <row r="11" spans="2:33" x14ac:dyDescent="0.2">
      <c r="B11" t="s">
        <v>386</v>
      </c>
      <c r="C11" t="s">
        <v>638</v>
      </c>
      <c r="D11" t="s">
        <v>585</v>
      </c>
      <c r="E11" t="s">
        <v>632</v>
      </c>
      <c r="F11" t="s">
        <v>620</v>
      </c>
      <c r="G11" t="s">
        <v>556</v>
      </c>
      <c r="H11" t="s">
        <v>608</v>
      </c>
      <c r="I11" t="s">
        <v>610</v>
      </c>
      <c r="J11" t="s">
        <v>552</v>
      </c>
      <c r="K11" t="s">
        <v>589</v>
      </c>
      <c r="L11" t="s">
        <v>606</v>
      </c>
      <c r="M11" t="s">
        <v>452</v>
      </c>
      <c r="N11" t="s">
        <v>452</v>
      </c>
      <c r="O11" t="s">
        <v>452</v>
      </c>
      <c r="P11" t="s">
        <v>452</v>
      </c>
      <c r="Q11" t="s">
        <v>452</v>
      </c>
      <c r="R11" t="s">
        <v>452</v>
      </c>
    </row>
    <row r="12" spans="2:33" x14ac:dyDescent="0.2">
      <c r="B12" t="s">
        <v>391</v>
      </c>
      <c r="C12" t="s">
        <v>568</v>
      </c>
      <c r="D12" t="s">
        <v>560</v>
      </c>
      <c r="E12" t="s">
        <v>577</v>
      </c>
      <c r="F12" t="s">
        <v>570</v>
      </c>
      <c r="G12" t="s">
        <v>634</v>
      </c>
      <c r="H12" t="s">
        <v>562</v>
      </c>
      <c r="I12" t="s">
        <v>579</v>
      </c>
      <c r="J12" t="s">
        <v>572</v>
      </c>
      <c r="K12" t="s">
        <v>636</v>
      </c>
      <c r="L12" t="s">
        <v>575</v>
      </c>
      <c r="M12" t="s">
        <v>581</v>
      </c>
      <c r="N12" t="s">
        <v>640</v>
      </c>
      <c r="O12" t="s">
        <v>452</v>
      </c>
      <c r="P12" t="s">
        <v>452</v>
      </c>
      <c r="Q12" t="s">
        <v>452</v>
      </c>
      <c r="R12" t="s">
        <v>452</v>
      </c>
    </row>
    <row r="13" spans="2:33" x14ac:dyDescent="0.2">
      <c r="B13" t="s">
        <v>370</v>
      </c>
      <c r="C13" t="s">
        <v>534</v>
      </c>
      <c r="D13" t="s">
        <v>513</v>
      </c>
      <c r="E13" t="s">
        <v>521</v>
      </c>
      <c r="F13" t="s">
        <v>523</v>
      </c>
      <c r="G13" t="s">
        <v>538</v>
      </c>
      <c r="H13" t="s">
        <v>623</v>
      </c>
      <c r="I13" t="s">
        <v>519</v>
      </c>
      <c r="J13" t="s">
        <v>525</v>
      </c>
      <c r="K13" t="s">
        <v>527</v>
      </c>
      <c r="L13" t="s">
        <v>530</v>
      </c>
      <c r="M13" t="s">
        <v>515</v>
      </c>
      <c r="N13" t="s">
        <v>536</v>
      </c>
      <c r="O13" t="s">
        <v>628</v>
      </c>
      <c r="P13" t="s">
        <v>630</v>
      </c>
      <c r="Q13" t="s">
        <v>644</v>
      </c>
      <c r="R13" t="s">
        <v>544</v>
      </c>
    </row>
    <row r="14" spans="2:33" x14ac:dyDescent="0.2">
      <c r="B14" t="s">
        <v>405</v>
      </c>
      <c r="C14" t="s">
        <v>587</v>
      </c>
      <c r="D14" t="s">
        <v>646</v>
      </c>
      <c r="E14" t="s">
        <v>602</v>
      </c>
      <c r="F14" t="s">
        <v>642</v>
      </c>
      <c r="G14" t="s">
        <v>594</v>
      </c>
      <c r="H14" t="s">
        <v>616</v>
      </c>
      <c r="I14" t="s">
        <v>592</v>
      </c>
      <c r="J14" t="s">
        <v>596</v>
      </c>
      <c r="K14" t="s">
        <v>604</v>
      </c>
      <c r="L14" t="s">
        <v>612</v>
      </c>
      <c r="M14" t="s">
        <v>625</v>
      </c>
      <c r="N14" t="s">
        <v>598</v>
      </c>
      <c r="O14" t="s">
        <v>452</v>
      </c>
      <c r="P14" t="s">
        <v>452</v>
      </c>
      <c r="Q14" t="s">
        <v>452</v>
      </c>
      <c r="R14" t="s">
        <v>452</v>
      </c>
    </row>
    <row r="15" spans="2:33" x14ac:dyDescent="0.2">
      <c r="B15" t="s">
        <v>381</v>
      </c>
      <c r="C15" t="s">
        <v>540</v>
      </c>
      <c r="D15" t="s">
        <v>548</v>
      </c>
      <c r="E15" t="s">
        <v>564</v>
      </c>
      <c r="F15" t="s">
        <v>554</v>
      </c>
      <c r="G15" t="s">
        <v>550</v>
      </c>
      <c r="H15" t="s">
        <v>614</v>
      </c>
      <c r="I15" t="s">
        <v>542</v>
      </c>
      <c r="J15" t="s">
        <v>452</v>
      </c>
      <c r="K15" t="s">
        <v>452</v>
      </c>
      <c r="L15" t="s">
        <v>452</v>
      </c>
      <c r="M15" t="s">
        <v>452</v>
      </c>
      <c r="N15" t="s">
        <v>452</v>
      </c>
      <c r="O15" t="s">
        <v>452</v>
      </c>
      <c r="P15" t="s">
        <v>452</v>
      </c>
      <c r="Q15" t="s">
        <v>452</v>
      </c>
      <c r="R15" t="s">
        <v>452</v>
      </c>
    </row>
    <row r="16" spans="2:33" x14ac:dyDescent="0.2">
      <c r="B16" t="s">
        <v>8</v>
      </c>
      <c r="C16" t="s">
        <v>452</v>
      </c>
      <c r="D16" t="s">
        <v>452</v>
      </c>
      <c r="E16" t="s">
        <v>452</v>
      </c>
      <c r="F16" t="s">
        <v>452</v>
      </c>
      <c r="G16" t="s">
        <v>452</v>
      </c>
      <c r="H16" t="s">
        <v>452</v>
      </c>
      <c r="I16" t="s">
        <v>452</v>
      </c>
      <c r="J16" t="s">
        <v>452</v>
      </c>
      <c r="K16" t="s">
        <v>452</v>
      </c>
      <c r="L16" t="s">
        <v>452</v>
      </c>
      <c r="M16" t="s">
        <v>452</v>
      </c>
      <c r="N16" t="s">
        <v>452</v>
      </c>
      <c r="O16" t="s">
        <v>452</v>
      </c>
      <c r="P16" t="s">
        <v>452</v>
      </c>
      <c r="Q16" t="s">
        <v>452</v>
      </c>
      <c r="R16" t="s">
        <v>452</v>
      </c>
    </row>
    <row r="19" spans="2:4" x14ac:dyDescent="0.2">
      <c r="B19" t="s">
        <v>974</v>
      </c>
      <c r="C19" t="s">
        <v>975</v>
      </c>
      <c r="D19" t="s">
        <v>976</v>
      </c>
    </row>
    <row r="20" spans="2:4" x14ac:dyDescent="0.2">
      <c r="B20" s="151">
        <v>42441</v>
      </c>
      <c r="C20">
        <v>24178</v>
      </c>
      <c r="D20">
        <v>3</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90" zoomScaleNormal="9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979</v>
      </c>
      <c r="C2" s="325"/>
      <c r="D2" s="325"/>
      <c r="E2" s="325"/>
      <c r="F2" s="325"/>
      <c r="G2" s="326"/>
      <c r="H2" s="135" t="s">
        <v>5</v>
      </c>
      <c r="I2" s="136" t="s">
        <v>2</v>
      </c>
      <c r="J2" s="136" t="s">
        <v>228</v>
      </c>
      <c r="K2" s="134"/>
    </row>
    <row r="3" spans="1:11" ht="59.25" customHeight="1" x14ac:dyDescent="0.2">
      <c r="A3" s="130"/>
      <c r="B3" s="327"/>
      <c r="C3" s="328"/>
      <c r="D3" s="328"/>
      <c r="E3" s="328"/>
      <c r="F3" s="328"/>
      <c r="G3" s="328"/>
      <c r="H3" s="320">
        <f>SUM(H5,H10)</f>
        <v>348658</v>
      </c>
      <c r="I3" s="320">
        <f>SUM(I5,I10)</f>
        <v>83178</v>
      </c>
      <c r="J3" s="322">
        <f>ROUND(I3/H3,5)</f>
        <v>0.23857</v>
      </c>
      <c r="K3" s="134"/>
    </row>
    <row r="4" spans="1:11" ht="33" customHeight="1" thickBot="1" x14ac:dyDescent="0.25">
      <c r="A4" s="130"/>
      <c r="B4" s="329" t="str">
        <f>"As of: "&amp;TEXT(INDEX(MMWR_DATES[],1,1),"MMMM DD, YYYY")</f>
        <v>As of: March 12, 2016</v>
      </c>
      <c r="C4" s="330"/>
      <c r="D4" s="330"/>
      <c r="E4" s="330"/>
      <c r="F4" s="330"/>
      <c r="G4" s="331"/>
      <c r="H4" s="321"/>
      <c r="I4" s="321"/>
      <c r="J4" s="323"/>
      <c r="K4" s="137"/>
    </row>
    <row r="5" spans="1:11" ht="16.5" customHeight="1" thickBot="1" x14ac:dyDescent="0.25">
      <c r="A5" s="130"/>
      <c r="B5" s="318" t="s">
        <v>233</v>
      </c>
      <c r="C5" s="319"/>
      <c r="D5" s="319"/>
      <c r="E5" s="319"/>
      <c r="F5" s="319"/>
      <c r="G5" s="138" t="s">
        <v>244</v>
      </c>
      <c r="H5" s="158">
        <f>SUM(H6:H9)</f>
        <v>130796</v>
      </c>
      <c r="I5" s="158">
        <f>SUM(I6:I9)</f>
        <v>36839</v>
      </c>
      <c r="J5" s="159">
        <f t="shared" ref="J5:J15" si="0">IF(H5=0, 0,I5/H5)</f>
        <v>0.28165234410838252</v>
      </c>
      <c r="K5" s="134"/>
    </row>
    <row r="6" spans="1:11" ht="16.5" customHeight="1" x14ac:dyDescent="0.2">
      <c r="A6" s="130"/>
      <c r="B6" s="283" t="s">
        <v>16</v>
      </c>
      <c r="C6" s="284"/>
      <c r="D6" s="284"/>
      <c r="E6" s="284"/>
      <c r="F6" s="284"/>
      <c r="G6" s="139" t="s">
        <v>190</v>
      </c>
      <c r="H6" s="160">
        <f>IFERROR(VLOOKUP(MID($G6,4,3),MMWR_TRAD_AGG_NATIONAL[],2,0),0)</f>
        <v>37942</v>
      </c>
      <c r="I6" s="160">
        <f>IFERROR(VLOOKUP(MID($G6,4,3),MMWR_TRAD_AGG_NATIONAL[],3,0),0)</f>
        <v>13487</v>
      </c>
      <c r="J6" s="161">
        <f t="shared" si="0"/>
        <v>0.3554636023404143</v>
      </c>
      <c r="K6" s="134"/>
    </row>
    <row r="7" spans="1:11" ht="16.5" customHeight="1" x14ac:dyDescent="0.2">
      <c r="A7" s="130"/>
      <c r="B7" s="285" t="s">
        <v>0</v>
      </c>
      <c r="C7" s="286"/>
      <c r="D7" s="286"/>
      <c r="E7" s="286"/>
      <c r="F7" s="286"/>
      <c r="G7" s="140" t="s">
        <v>191</v>
      </c>
      <c r="H7" s="160">
        <f>IFERROR(VLOOKUP(MID($G7,4,3),MMWR_TRAD_AGG_NATIONAL[],2,0),0)</f>
        <v>76415</v>
      </c>
      <c r="I7" s="160">
        <f>IFERROR(VLOOKUP(MID($G7,4,3),MMWR_TRAD_AGG_NATIONAL[],3,0),0)</f>
        <v>20868</v>
      </c>
      <c r="J7" s="161">
        <f t="shared" si="0"/>
        <v>0.27308774455277107</v>
      </c>
      <c r="K7" s="134"/>
    </row>
    <row r="8" spans="1:11" ht="16.5" customHeight="1" x14ac:dyDescent="0.2">
      <c r="A8" s="130"/>
      <c r="B8" s="287" t="s">
        <v>234</v>
      </c>
      <c r="C8" s="288"/>
      <c r="D8" s="288"/>
      <c r="E8" s="288"/>
      <c r="F8" s="288"/>
      <c r="G8" s="141" t="s">
        <v>193</v>
      </c>
      <c r="H8" s="160">
        <f>IFERROR(VLOOKUP(MID($G8,4,3),MMWR_TRAD_AGG_NATIONAL[],2,0),0)</f>
        <v>7587</v>
      </c>
      <c r="I8" s="160">
        <f>IFERROR(VLOOKUP(MID($G8,4,3),MMWR_TRAD_AGG_NATIONAL[],3,0),0)</f>
        <v>788</v>
      </c>
      <c r="J8" s="161">
        <f t="shared" si="0"/>
        <v>0.10386186898642415</v>
      </c>
      <c r="K8" s="134"/>
    </row>
    <row r="9" spans="1:11" ht="16.5" customHeight="1" thickBot="1" x14ac:dyDescent="0.25">
      <c r="A9" s="130"/>
      <c r="B9" s="292" t="s">
        <v>17</v>
      </c>
      <c r="C9" s="293"/>
      <c r="D9" s="293"/>
      <c r="E9" s="293"/>
      <c r="F9" s="293"/>
      <c r="G9" s="140" t="s">
        <v>195</v>
      </c>
      <c r="H9" s="160">
        <f>IFERROR(VLOOKUP(MID($G9,4,3),MMWR_TRAD_AGG_NATIONAL[],2,0),0)</f>
        <v>8852</v>
      </c>
      <c r="I9" s="160">
        <f>IFERROR(VLOOKUP(MID($G9,4,3),MMWR_TRAD_AGG_NATIONAL[],3,0),0)</f>
        <v>1696</v>
      </c>
      <c r="J9" s="161">
        <f t="shared" si="0"/>
        <v>0.19159511974694984</v>
      </c>
      <c r="K9" s="134"/>
    </row>
    <row r="10" spans="1:11" ht="17.25" thickBot="1" x14ac:dyDescent="0.25">
      <c r="A10" s="130"/>
      <c r="B10" s="318" t="s">
        <v>1</v>
      </c>
      <c r="C10" s="319"/>
      <c r="D10" s="319"/>
      <c r="E10" s="319"/>
      <c r="F10" s="319"/>
      <c r="G10" s="138" t="s">
        <v>244</v>
      </c>
      <c r="H10" s="158">
        <f>SUM(H11:H18)</f>
        <v>217862</v>
      </c>
      <c r="I10" s="158">
        <f>SUM(I11:I18)</f>
        <v>46339</v>
      </c>
      <c r="J10" s="159">
        <f t="shared" si="0"/>
        <v>0.21269886441876049</v>
      </c>
      <c r="K10" s="134"/>
    </row>
    <row r="11" spans="1:11" ht="16.5" customHeight="1" x14ac:dyDescent="0.2">
      <c r="A11" s="130"/>
      <c r="B11" s="283" t="s">
        <v>199</v>
      </c>
      <c r="C11" s="284"/>
      <c r="D11" s="284"/>
      <c r="E11" s="284"/>
      <c r="F11" s="284"/>
      <c r="G11" s="142" t="s">
        <v>194</v>
      </c>
      <c r="H11" s="162">
        <f>IFERROR(VLOOKUP(MID($G11,4,3),MMWR_TRAD_AGG_NATIONAL[],2,0),0)</f>
        <v>7798</v>
      </c>
      <c r="I11" s="160">
        <f>IFERROR(VLOOKUP(MID($G11,4,3),MMWR_TRAD_AGG_NATIONAL[],3,0),0)</f>
        <v>525</v>
      </c>
      <c r="J11" s="161">
        <f t="shared" si="0"/>
        <v>6.7324955116696589E-2</v>
      </c>
      <c r="K11" s="134"/>
    </row>
    <row r="12" spans="1:11" ht="16.5" customHeight="1" x14ac:dyDescent="0.2">
      <c r="A12" s="130"/>
      <c r="B12" s="285" t="s">
        <v>18</v>
      </c>
      <c r="C12" s="286"/>
      <c r="D12" s="286"/>
      <c r="E12" s="286"/>
      <c r="F12" s="286"/>
      <c r="G12" s="143" t="s">
        <v>192</v>
      </c>
      <c r="H12" s="163">
        <f>IFERROR(VLOOKUP(MID($G12,4,3),MMWR_TRAD_AGG_NATIONAL[],2,0),0)</f>
        <v>193741</v>
      </c>
      <c r="I12" s="160">
        <f>IFERROR(VLOOKUP(MID($G12,4,3),MMWR_TRAD_AGG_NATIONAL[],3,0),0)</f>
        <v>42406</v>
      </c>
      <c r="J12" s="161">
        <f t="shared" si="0"/>
        <v>0.21887984474117508</v>
      </c>
      <c r="K12" s="134"/>
    </row>
    <row r="13" spans="1:11" ht="16.5" customHeight="1" x14ac:dyDescent="0.2">
      <c r="A13" s="130"/>
      <c r="B13" s="285" t="s">
        <v>14</v>
      </c>
      <c r="C13" s="286"/>
      <c r="D13" s="286"/>
      <c r="E13" s="286"/>
      <c r="F13" s="286"/>
      <c r="G13" s="143" t="s">
        <v>196</v>
      </c>
      <c r="H13" s="163">
        <f>IFERROR(VLOOKUP(MID($G13,4,3),MMWR_TRAD_AGG_NATIONAL[],2,0),0)</f>
        <v>15730</v>
      </c>
      <c r="I13" s="160">
        <f>IFERROR(VLOOKUP(MID($G13,4,3),MMWR_TRAD_AGG_NATIONAL[],3,0),0)</f>
        <v>3337</v>
      </c>
      <c r="J13" s="161">
        <f t="shared" si="0"/>
        <v>0.21214240305149396</v>
      </c>
      <c r="K13" s="134"/>
    </row>
    <row r="14" spans="1:11" ht="16.5" customHeight="1" x14ac:dyDescent="0.2">
      <c r="A14" s="130"/>
      <c r="B14" s="287" t="s">
        <v>19</v>
      </c>
      <c r="C14" s="288"/>
      <c r="D14" s="288"/>
      <c r="E14" s="288"/>
      <c r="F14" s="288"/>
      <c r="G14" s="142" t="s">
        <v>197</v>
      </c>
      <c r="H14" s="163">
        <f>IFERROR(VLOOKUP(MID($G14,4,3),MMWR_TRAD_AGG_NATIONAL[],2,0),0)</f>
        <v>579</v>
      </c>
      <c r="I14" s="160">
        <f>IFERROR(VLOOKUP(MID($G14,4,3),MMWR_TRAD_AGG_NATIONAL[],3,0),0)</f>
        <v>67</v>
      </c>
      <c r="J14" s="161">
        <f t="shared" si="0"/>
        <v>0.1157167530224525</v>
      </c>
      <c r="K14" s="134"/>
    </row>
    <row r="15" spans="1:11" ht="16.5" customHeight="1" x14ac:dyDescent="0.2">
      <c r="A15" s="130"/>
      <c r="B15" s="287" t="s">
        <v>84</v>
      </c>
      <c r="C15" s="288"/>
      <c r="D15" s="288"/>
      <c r="E15" s="288"/>
      <c r="F15" s="288"/>
      <c r="G15" s="142" t="s">
        <v>200</v>
      </c>
      <c r="H15" s="163">
        <f>IFERROR(VLOOKUP(MID($G15,4,3),MMWR_TRAD_AGG_NATIONAL[],2,0),0)</f>
        <v>12</v>
      </c>
      <c r="I15" s="160">
        <f>IFERROR(VLOOKUP(MID($G15,4,3),MMWR_TRAD_AGG_NATIONAL[],3,0),0)</f>
        <v>3</v>
      </c>
      <c r="J15" s="161">
        <f t="shared" si="0"/>
        <v>0.25</v>
      </c>
      <c r="K15" s="134"/>
    </row>
    <row r="16" spans="1:11" ht="15" x14ac:dyDescent="0.2">
      <c r="A16" s="130"/>
      <c r="B16" s="287" t="s">
        <v>85</v>
      </c>
      <c r="C16" s="288"/>
      <c r="D16" s="288"/>
      <c r="E16" s="288"/>
      <c r="F16" s="288"/>
      <c r="G16" s="142" t="s">
        <v>201</v>
      </c>
      <c r="H16" s="163">
        <f>IFERROR(VLOOKUP(MID($G16,4,3),MMWR_TRAD_AGG_NATIONAL[],2,0),0)</f>
        <v>1</v>
      </c>
      <c r="I16" s="160">
        <f>IFERROR(VLOOKUP(MID($G16,4,3),MMWR_TRAD_AGG_NATIONAL[],3,0),0)</f>
        <v>1</v>
      </c>
      <c r="J16" s="161">
        <f>IF(H16=0, 0,I16/H16)</f>
        <v>1</v>
      </c>
      <c r="K16" s="134"/>
    </row>
    <row r="17" spans="1:11" ht="16.5" customHeight="1" x14ac:dyDescent="0.2">
      <c r="A17" s="130"/>
      <c r="B17" s="287" t="s">
        <v>87</v>
      </c>
      <c r="C17" s="288"/>
      <c r="D17" s="288"/>
      <c r="E17" s="288"/>
      <c r="F17" s="288"/>
      <c r="G17" s="142" t="s">
        <v>202</v>
      </c>
      <c r="H17" s="163">
        <f>IFERROR(VLOOKUP(MID($G17,4,3),MMWR_TRAD_AGG_NATIONAL[],2,0),0)</f>
        <v>1</v>
      </c>
      <c r="I17" s="160">
        <f>IFERROR(VLOOKUP(MID($G17,4,3),MMWR_TRAD_AGG_NATIONAL[],3,0),0)</f>
        <v>0</v>
      </c>
      <c r="J17" s="161">
        <f>IF(H17=0, 0,I17/H17)</f>
        <v>0</v>
      </c>
      <c r="K17" s="134"/>
    </row>
    <row r="18" spans="1:11" ht="16.5" customHeight="1" thickBot="1" x14ac:dyDescent="0.25">
      <c r="A18" s="130"/>
      <c r="B18" s="292" t="s">
        <v>86</v>
      </c>
      <c r="C18" s="293"/>
      <c r="D18" s="293"/>
      <c r="E18" s="293"/>
      <c r="F18" s="293"/>
      <c r="G18" s="142" t="s">
        <v>203</v>
      </c>
      <c r="H18" s="164">
        <f>IFERROR(VLOOKUP(MID($G18,4,3),MMWR_TRAD_AGG_NATIONAL[],2,0),0)</f>
        <v>0</v>
      </c>
      <c r="I18" s="160">
        <f>IFERROR(VLOOKUP(MID($G18,4,3),MMWR_TRAD_AGG_NATIONAL[],3,0),0)</f>
        <v>0</v>
      </c>
      <c r="J18" s="165">
        <f>IF(H18=0, 0,I18/H18)</f>
        <v>0</v>
      </c>
      <c r="K18" s="134"/>
    </row>
    <row r="19" spans="1:11" ht="16.5" customHeight="1" x14ac:dyDescent="0.2">
      <c r="A19" s="130"/>
      <c r="B19" s="297" t="s">
        <v>970</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961</v>
      </c>
      <c r="C21" s="313"/>
      <c r="D21" s="314"/>
      <c r="E21" s="312" t="s">
        <v>962</v>
      </c>
      <c r="F21" s="313"/>
      <c r="G21" s="314"/>
      <c r="H21" s="312" t="s">
        <v>963</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955</v>
      </c>
      <c r="C23" s="313"/>
      <c r="D23" s="314"/>
      <c r="E23" s="312" t="s">
        <v>956</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25.5" x14ac:dyDescent="0.2">
      <c r="A26" s="130"/>
      <c r="B26" s="148" t="s">
        <v>23</v>
      </c>
      <c r="C26" s="338"/>
      <c r="D26" s="338"/>
      <c r="E26" s="338"/>
      <c r="F26" s="339"/>
      <c r="G26" s="263" t="s">
        <v>1062</v>
      </c>
      <c r="H26" s="263" t="s">
        <v>1063</v>
      </c>
      <c r="I26" s="263" t="s">
        <v>1061</v>
      </c>
      <c r="J26" s="264" t="s">
        <v>28</v>
      </c>
      <c r="K26" s="134"/>
    </row>
    <row r="27" spans="1:11" ht="16.5" customHeight="1" x14ac:dyDescent="0.2">
      <c r="A27" s="130"/>
      <c r="B27" s="294" t="s">
        <v>964</v>
      </c>
      <c r="C27" s="295"/>
      <c r="D27" s="295"/>
      <c r="E27" s="295"/>
      <c r="F27" s="296"/>
      <c r="G27" s="256">
        <v>6224</v>
      </c>
      <c r="H27" s="256">
        <v>6726</v>
      </c>
      <c r="I27" s="256">
        <v>-502</v>
      </c>
      <c r="J27" s="260">
        <v>-7.4999999999999997E-2</v>
      </c>
      <c r="K27" s="134"/>
    </row>
    <row r="28" spans="1:11" ht="15" x14ac:dyDescent="0.2">
      <c r="A28" s="130"/>
      <c r="B28" s="332" t="s">
        <v>24</v>
      </c>
      <c r="C28" s="333"/>
      <c r="D28" s="333"/>
      <c r="E28" s="333"/>
      <c r="F28" s="334"/>
      <c r="G28" s="257">
        <v>1800</v>
      </c>
      <c r="H28" s="257">
        <v>1775</v>
      </c>
      <c r="I28" s="257">
        <v>25</v>
      </c>
      <c r="J28" s="253">
        <v>1.4E-2</v>
      </c>
      <c r="K28" s="134"/>
    </row>
    <row r="29" spans="1:11" ht="15" x14ac:dyDescent="0.2">
      <c r="A29" s="130"/>
      <c r="B29" s="303" t="s">
        <v>25</v>
      </c>
      <c r="C29" s="304"/>
      <c r="D29" s="304"/>
      <c r="E29" s="304"/>
      <c r="F29" s="305"/>
      <c r="G29" s="258">
        <v>519</v>
      </c>
      <c r="H29" s="258">
        <v>564</v>
      </c>
      <c r="I29" s="258">
        <v>-45</v>
      </c>
      <c r="J29" s="254">
        <v>-0.08</v>
      </c>
      <c r="K29" s="134"/>
    </row>
    <row r="30" spans="1:11" ht="15" x14ac:dyDescent="0.2">
      <c r="A30" s="130"/>
      <c r="B30" s="306" t="s">
        <v>26</v>
      </c>
      <c r="C30" s="307"/>
      <c r="D30" s="307"/>
      <c r="E30" s="307"/>
      <c r="F30" s="308"/>
      <c r="G30" s="258">
        <v>1441</v>
      </c>
      <c r="H30" s="258">
        <v>1764</v>
      </c>
      <c r="I30" s="258">
        <v>-323</v>
      </c>
      <c r="J30" s="254">
        <v>-0.183</v>
      </c>
      <c r="K30" s="134"/>
    </row>
    <row r="31" spans="1:11" ht="15" x14ac:dyDescent="0.2">
      <c r="A31" s="130"/>
      <c r="B31" s="335" t="s">
        <v>27</v>
      </c>
      <c r="C31" s="336"/>
      <c r="D31" s="336"/>
      <c r="E31" s="336"/>
      <c r="F31" s="337"/>
      <c r="G31" s="259">
        <v>2464</v>
      </c>
      <c r="H31" s="259">
        <v>2623</v>
      </c>
      <c r="I31" s="259">
        <v>-159</v>
      </c>
      <c r="J31" s="255">
        <v>-6.0999999999999999E-2</v>
      </c>
      <c r="K31" s="134"/>
    </row>
    <row r="32" spans="1:11" ht="16.5" customHeight="1" x14ac:dyDescent="0.2">
      <c r="A32" s="130"/>
      <c r="B32" s="294" t="s">
        <v>235</v>
      </c>
      <c r="C32" s="295"/>
      <c r="D32" s="295"/>
      <c r="E32" s="295"/>
      <c r="F32" s="296"/>
      <c r="G32" s="256">
        <v>41515</v>
      </c>
      <c r="H32" s="256">
        <v>45927</v>
      </c>
      <c r="I32" s="256">
        <v>-4412</v>
      </c>
      <c r="J32" s="260">
        <v>-9.6000000000000002E-2</v>
      </c>
      <c r="K32" s="134"/>
    </row>
    <row r="33" spans="1:11" ht="15" x14ac:dyDescent="0.2">
      <c r="A33" s="130"/>
      <c r="B33" s="332" t="s">
        <v>24</v>
      </c>
      <c r="C33" s="333"/>
      <c r="D33" s="333"/>
      <c r="E33" s="333"/>
      <c r="F33" s="334"/>
      <c r="G33" s="257">
        <v>9540</v>
      </c>
      <c r="H33" s="257">
        <v>12383</v>
      </c>
      <c r="I33" s="257">
        <v>-2843</v>
      </c>
      <c r="J33" s="253">
        <v>-0.23</v>
      </c>
      <c r="K33" s="134"/>
    </row>
    <row r="34" spans="1:11" ht="15" x14ac:dyDescent="0.2">
      <c r="A34" s="130"/>
      <c r="B34" s="303" t="s">
        <v>25</v>
      </c>
      <c r="C34" s="304"/>
      <c r="D34" s="304"/>
      <c r="E34" s="304"/>
      <c r="F34" s="305"/>
      <c r="G34" s="258">
        <v>3172</v>
      </c>
      <c r="H34" s="258">
        <v>3373</v>
      </c>
      <c r="I34" s="258">
        <v>-201</v>
      </c>
      <c r="J34" s="254">
        <v>-0.06</v>
      </c>
      <c r="K34" s="134"/>
    </row>
    <row r="35" spans="1:11" ht="15" x14ac:dyDescent="0.2">
      <c r="A35" s="130"/>
      <c r="B35" s="306" t="s">
        <v>26</v>
      </c>
      <c r="C35" s="307"/>
      <c r="D35" s="307"/>
      <c r="E35" s="307"/>
      <c r="F35" s="308"/>
      <c r="G35" s="258">
        <v>12304</v>
      </c>
      <c r="H35" s="258">
        <v>13597</v>
      </c>
      <c r="I35" s="258">
        <v>-1293</v>
      </c>
      <c r="J35" s="254">
        <v>-9.5000000000000001E-2</v>
      </c>
      <c r="K35" s="134"/>
    </row>
    <row r="36" spans="1:11" ht="15.75" thickBot="1" x14ac:dyDescent="0.25">
      <c r="A36" s="130"/>
      <c r="B36" s="309" t="s">
        <v>27</v>
      </c>
      <c r="C36" s="310"/>
      <c r="D36" s="310"/>
      <c r="E36" s="310"/>
      <c r="F36" s="311"/>
      <c r="G36" s="258">
        <v>16499</v>
      </c>
      <c r="H36" s="258">
        <v>16574</v>
      </c>
      <c r="I36" s="258">
        <v>-75</v>
      </c>
      <c r="J36" s="254">
        <v>-5.0000000000000001E-3</v>
      </c>
      <c r="K36" s="134"/>
    </row>
    <row r="37" spans="1:11" ht="15.75" customHeight="1" thickBot="1" x14ac:dyDescent="0.25">
      <c r="A37" s="130"/>
      <c r="B37" s="289" t="s">
        <v>969</v>
      </c>
      <c r="C37" s="290"/>
      <c r="D37" s="290"/>
      <c r="E37" s="290"/>
      <c r="F37" s="290"/>
      <c r="G37" s="290"/>
      <c r="H37" s="290"/>
      <c r="I37" s="290"/>
      <c r="J37" s="291"/>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295</v>
      </c>
      <c r="D2" s="350"/>
      <c r="E2" s="350"/>
      <c r="F2" s="350"/>
      <c r="G2" s="350"/>
      <c r="H2" s="350"/>
      <c r="I2" s="350"/>
      <c r="J2" s="350"/>
      <c r="K2" s="351"/>
      <c r="L2" s="349" t="s">
        <v>300</v>
      </c>
      <c r="M2" s="350"/>
      <c r="N2" s="350"/>
      <c r="O2" s="351"/>
      <c r="P2" s="28"/>
    </row>
    <row r="3" spans="1:16" ht="24" customHeight="1" thickBot="1" x14ac:dyDescent="0.4">
      <c r="A3" s="25"/>
      <c r="B3" s="29"/>
      <c r="C3" s="352"/>
      <c r="D3" s="353"/>
      <c r="E3" s="353"/>
      <c r="F3" s="353"/>
      <c r="G3" s="353"/>
      <c r="H3" s="353"/>
      <c r="I3" s="353"/>
      <c r="J3" s="353"/>
      <c r="K3" s="354"/>
      <c r="L3" s="352" t="str">
        <f>Transformation!B4</f>
        <v>As of: March 12, 2016</v>
      </c>
      <c r="M3" s="353"/>
      <c r="N3" s="353"/>
      <c r="O3" s="354"/>
      <c r="P3" s="28"/>
    </row>
    <row r="4" spans="1:16" ht="51.75" customHeight="1" thickBot="1" x14ac:dyDescent="0.35">
      <c r="A4" s="30"/>
      <c r="B4" s="246" t="s">
        <v>456</v>
      </c>
      <c r="C4" s="355" t="s">
        <v>304</v>
      </c>
      <c r="D4" s="356"/>
      <c r="E4" s="356"/>
      <c r="F4" s="356"/>
      <c r="G4" s="356"/>
      <c r="H4" s="356"/>
      <c r="I4" s="356"/>
      <c r="J4" s="356"/>
      <c r="K4" s="356"/>
      <c r="L4" s="356"/>
      <c r="M4" s="356"/>
      <c r="N4" s="356"/>
      <c r="O4" s="357"/>
      <c r="P4" s="28"/>
    </row>
    <row r="5" spans="1:16" ht="27" customHeight="1" thickBot="1" x14ac:dyDescent="0.25">
      <c r="A5" s="30"/>
      <c r="B5" s="26"/>
      <c r="C5" s="358" t="s">
        <v>1042</v>
      </c>
      <c r="D5" s="359"/>
      <c r="E5" s="359"/>
      <c r="F5" s="359"/>
      <c r="G5" s="359"/>
      <c r="H5" s="359"/>
      <c r="I5" s="359"/>
      <c r="J5" s="359"/>
      <c r="K5" s="359"/>
      <c r="L5" s="359"/>
      <c r="M5" s="359"/>
      <c r="N5" s="359"/>
      <c r="O5" s="360"/>
      <c r="P5" s="28"/>
    </row>
    <row r="6" spans="1:16" ht="55.5" customHeight="1" x14ac:dyDescent="0.2">
      <c r="A6" s="30"/>
      <c r="B6" s="31"/>
      <c r="C6" s="32" t="s">
        <v>190</v>
      </c>
      <c r="D6" s="361" t="s">
        <v>16</v>
      </c>
      <c r="E6" s="362"/>
      <c r="F6" s="33" t="s">
        <v>193</v>
      </c>
      <c r="G6" s="361" t="s">
        <v>198</v>
      </c>
      <c r="H6" s="363"/>
      <c r="I6" s="33" t="s">
        <v>196</v>
      </c>
      <c r="J6" s="367" t="s">
        <v>14</v>
      </c>
      <c r="K6" s="368"/>
      <c r="L6" s="33" t="s">
        <v>201</v>
      </c>
      <c r="M6" s="364" t="s">
        <v>85</v>
      </c>
      <c r="N6" s="365"/>
      <c r="O6" s="366"/>
      <c r="P6" s="28"/>
    </row>
    <row r="7" spans="1:16" ht="51.75" customHeight="1" x14ac:dyDescent="0.2">
      <c r="A7" s="30"/>
      <c r="B7" s="34"/>
      <c r="C7" s="35" t="s">
        <v>191</v>
      </c>
      <c r="D7" s="379" t="s">
        <v>0</v>
      </c>
      <c r="E7" s="380"/>
      <c r="F7" s="36" t="s">
        <v>194</v>
      </c>
      <c r="G7" s="381" t="s">
        <v>199</v>
      </c>
      <c r="H7" s="381"/>
      <c r="I7" s="36" t="s">
        <v>197</v>
      </c>
      <c r="J7" s="369" t="s">
        <v>19</v>
      </c>
      <c r="K7" s="370"/>
      <c r="L7" s="36" t="s">
        <v>202</v>
      </c>
      <c r="M7" s="373" t="s">
        <v>87</v>
      </c>
      <c r="N7" s="374"/>
      <c r="O7" s="375"/>
      <c r="P7" s="28"/>
    </row>
    <row r="8" spans="1:16" ht="51.75" customHeight="1" thickBot="1" x14ac:dyDescent="0.25">
      <c r="A8" s="25"/>
      <c r="B8" s="28"/>
      <c r="C8" s="37" t="s">
        <v>192</v>
      </c>
      <c r="D8" s="382" t="s">
        <v>18</v>
      </c>
      <c r="E8" s="383"/>
      <c r="F8" s="38" t="s">
        <v>195</v>
      </c>
      <c r="G8" s="384" t="s">
        <v>17</v>
      </c>
      <c r="H8" s="384"/>
      <c r="I8" s="38" t="s">
        <v>200</v>
      </c>
      <c r="J8" s="371" t="s">
        <v>84</v>
      </c>
      <c r="K8" s="372"/>
      <c r="L8" s="38" t="s">
        <v>203</v>
      </c>
      <c r="M8" s="346" t="s">
        <v>86</v>
      </c>
      <c r="N8" s="347"/>
      <c r="O8" s="348"/>
      <c r="P8" s="28"/>
    </row>
    <row r="9" spans="1:16" x14ac:dyDescent="0.2">
      <c r="A9" s="28"/>
      <c r="B9" s="28"/>
      <c r="C9" s="39" t="s">
        <v>705</v>
      </c>
      <c r="D9" s="39" t="s">
        <v>707</v>
      </c>
      <c r="E9" s="39" t="s">
        <v>706</v>
      </c>
      <c r="F9" s="39" t="s">
        <v>709</v>
      </c>
      <c r="G9" s="39" t="s">
        <v>708</v>
      </c>
      <c r="H9" s="39" t="s">
        <v>711</v>
      </c>
      <c r="I9" s="39" t="s">
        <v>710</v>
      </c>
      <c r="J9" s="39" t="s">
        <v>921</v>
      </c>
      <c r="K9" s="39" t="s">
        <v>922</v>
      </c>
      <c r="L9" s="39" t="s">
        <v>924</v>
      </c>
      <c r="M9" s="39" t="s">
        <v>1043</v>
      </c>
      <c r="N9" s="39" t="s">
        <v>925</v>
      </c>
      <c r="O9" s="39" t="s">
        <v>926</v>
      </c>
      <c r="P9" s="28"/>
    </row>
    <row r="10" spans="1:16" ht="15.75" customHeight="1" x14ac:dyDescent="0.2">
      <c r="A10" s="25"/>
      <c r="B10" s="26"/>
      <c r="C10" s="385" t="s">
        <v>293</v>
      </c>
      <c r="D10" s="385"/>
      <c r="E10" s="385"/>
      <c r="F10" s="385"/>
      <c r="G10" s="385"/>
      <c r="H10" s="385"/>
      <c r="I10" s="385"/>
      <c r="J10" s="385"/>
      <c r="K10" s="385"/>
      <c r="L10" s="385"/>
      <c r="M10" s="385"/>
      <c r="N10" s="385"/>
      <c r="O10" s="385"/>
      <c r="P10" s="28"/>
    </row>
    <row r="11" spans="1:16" ht="32.25" customHeight="1" x14ac:dyDescent="0.2">
      <c r="A11" s="25"/>
      <c r="B11" s="26"/>
      <c r="C11" s="340" t="s">
        <v>226</v>
      </c>
      <c r="D11" s="340" t="s">
        <v>134</v>
      </c>
      <c r="E11" s="340" t="s">
        <v>227</v>
      </c>
      <c r="F11" s="340" t="s">
        <v>189</v>
      </c>
      <c r="G11" s="340" t="s">
        <v>204</v>
      </c>
      <c r="H11" s="340" t="s">
        <v>206</v>
      </c>
      <c r="I11" s="340" t="s">
        <v>207</v>
      </c>
      <c r="J11" s="344" t="s">
        <v>1054</v>
      </c>
      <c r="K11" s="344" t="s">
        <v>1055</v>
      </c>
      <c r="L11" s="342" t="s">
        <v>1052</v>
      </c>
      <c r="M11" s="343"/>
      <c r="N11" s="342" t="s">
        <v>1053</v>
      </c>
      <c r="O11" s="343"/>
      <c r="P11" s="28"/>
    </row>
    <row r="12" spans="1:16" ht="32.25" customHeight="1" x14ac:dyDescent="0.2">
      <c r="A12" s="25"/>
      <c r="B12" s="26"/>
      <c r="C12" s="341"/>
      <c r="D12" s="341"/>
      <c r="E12" s="341"/>
      <c r="F12" s="341"/>
      <c r="G12" s="341"/>
      <c r="H12" s="341"/>
      <c r="I12" s="341"/>
      <c r="J12" s="345"/>
      <c r="K12" s="345"/>
      <c r="L12" s="40" t="s">
        <v>927</v>
      </c>
      <c r="M12" s="40" t="s">
        <v>932</v>
      </c>
      <c r="N12" s="40" t="s">
        <v>927</v>
      </c>
      <c r="O12" s="40" t="s">
        <v>932</v>
      </c>
      <c r="P12" s="28"/>
    </row>
    <row r="13" spans="1:16" x14ac:dyDescent="0.2">
      <c r="A13" s="25"/>
      <c r="B13" s="41" t="s">
        <v>1050</v>
      </c>
      <c r="C13" s="154">
        <f>IF($B13=" ","",IFERROR(INDEX(MMWR_RATING_RO_ROLLUP[],MATCH($B13,MMWR_RATING_RO_ROLLUP[MMWR_RATING_RO_ROLLUP],0),MATCH(C$9,MMWR_RATING_RO_ROLLUP[#Headers],0)),"ERROR"))</f>
        <v>348658</v>
      </c>
      <c r="D13" s="155">
        <f>IF($B13=" ","",IFERROR(INDEX(MMWR_RATING_RO_ROLLUP[],MATCH($B13,MMWR_RATING_RO_ROLLUP[MMWR_RATING_RO_ROLLUP],0),MATCH(D$9,MMWR_RATING_RO_ROLLUP[#Headers],0)),"ERROR"))</f>
        <v>90.591129416200005</v>
      </c>
      <c r="E13" s="156">
        <f>IF($B13=" ","",IFERROR(INDEX(MMWR_RATING_RO_ROLLUP[],MATCH($B13,MMWR_RATING_RO_ROLLUP[MMWR_RATING_RO_ROLLUP],0),MATCH(E$9,MMWR_RATING_RO_ROLLUP[#Headers],0))/$C13,"ERROR"))</f>
        <v>0.23856615938828307</v>
      </c>
      <c r="F13" s="154">
        <f>IF($B13=" ","",IFERROR(INDEX(MMWR_RATING_RO_ROLLUP[],MATCH($B13,MMWR_RATING_RO_ROLLUP[MMWR_RATING_RO_ROLLUP],0),MATCH(F$9,MMWR_RATING_RO_ROLLUP[#Headers],0)),"ERROR"))</f>
        <v>46507</v>
      </c>
      <c r="G13" s="154">
        <f>IF($B13=" ","",IFERROR(INDEX(MMWR_RATING_RO_ROLLUP[],MATCH($B13,MMWR_RATING_RO_ROLLUP[MMWR_RATING_RO_ROLLUP],0),MATCH(G$9,MMWR_RATING_RO_ROLLUP[#Headers],0)),"ERROR"))</f>
        <v>558275</v>
      </c>
      <c r="H13" s="155">
        <f>IF($B13=" ","",IFERROR(INDEX(MMWR_RATING_RO_ROLLUP[],MATCH($B13,MMWR_RATING_RO_ROLLUP[MMWR_RATING_RO_ROLLUP],0),MATCH(H$9,MMWR_RATING_RO_ROLLUP[#Headers],0)),"ERROR"))</f>
        <v>122.6656417314</v>
      </c>
      <c r="I13" s="155">
        <f>IF($B13=" ","",IFERROR(INDEX(MMWR_RATING_RO_ROLLUP[],MATCH($B13,MMWR_RATING_RO_ROLLUP[MMWR_RATING_RO_ROLLUP],0),MATCH(I$9,MMWR_RATING_RO_ROLLUP[#Headers],0)),"ERROR"))</f>
        <v>127.19974921630001</v>
      </c>
      <c r="J13" s="42"/>
      <c r="K13" s="42"/>
      <c r="L13" s="42"/>
      <c r="M13" s="42"/>
      <c r="N13" s="42"/>
      <c r="O13" s="42"/>
      <c r="P13" s="28"/>
    </row>
    <row r="14" spans="1:16" x14ac:dyDescent="0.2">
      <c r="A14" s="25"/>
      <c r="B14" s="377" t="s">
        <v>733</v>
      </c>
      <c r="C14" s="378"/>
      <c r="D14" s="378"/>
      <c r="E14" s="378"/>
      <c r="F14" s="378"/>
      <c r="G14" s="378"/>
      <c r="H14" s="378"/>
      <c r="I14" s="378"/>
      <c r="J14" s="378"/>
      <c r="K14" s="378"/>
      <c r="L14" s="378"/>
      <c r="M14" s="378"/>
      <c r="N14" s="378"/>
      <c r="O14" s="378"/>
      <c r="P14" s="28"/>
    </row>
    <row r="15" spans="1:16" x14ac:dyDescent="0.2">
      <c r="A15" s="25"/>
      <c r="B15" s="41" t="s">
        <v>729</v>
      </c>
      <c r="C15" s="154">
        <f>IF($B15=" ","",IFERROR(INDEX(MMWR_RATING_RO_ROLLUP[],MATCH($B15,MMWR_RATING_RO_ROLLUP[MMWR_RATING_RO_ROLLUP],0),MATCH(C$9,MMWR_RATING_RO_ROLLUP[#Headers],0)),"ERROR"))</f>
        <v>303128</v>
      </c>
      <c r="D15" s="155">
        <f>IF($B15=" ","",IFERROR(INDEX(MMWR_RATING_RO_ROLLUP[],MATCH($B15,MMWR_RATING_RO_ROLLUP[MMWR_RATING_RO_ROLLUP],0),MATCH(D$9,MMWR_RATING_RO_ROLLUP[#Headers],0)),"ERROR"))</f>
        <v>92.671237892899995</v>
      </c>
      <c r="E15" s="156">
        <f>IF($B15=" ","",IFERROR(INDEX(MMWR_RATING_RO_ROLLUP[],MATCH($B15,MMWR_RATING_RO_ROLLUP[MMWR_RATING_RO_ROLLUP],0),MATCH(E$9,MMWR_RATING_RO_ROLLUP[#Headers],0))/$C15,"ERROR"))</f>
        <v>0.24589942202633872</v>
      </c>
      <c r="F15" s="154">
        <f>IF($B15=" ","",IFERROR(INDEX(MMWR_RATING_RO_ROLLUP[],MATCH($B15,MMWR_RATING_RO_ROLLUP[MMWR_RATING_RO_ROLLUP],0),MATCH(F$9,MMWR_RATING_RO_ROLLUP[#Headers],0)),"ERROR"))</f>
        <v>38643</v>
      </c>
      <c r="G15" s="154">
        <f>IF($B15=" ","",IFERROR(INDEX(MMWR_RATING_RO_ROLLUP[],MATCH($B15,MMWR_RATING_RO_ROLLUP[MMWR_RATING_RO_ROLLUP],0),MATCH(G$9,MMWR_RATING_RO_ROLLUP[#Headers],0)),"ERROR"))</f>
        <v>471344</v>
      </c>
      <c r="H15" s="155">
        <f>IF($B15=" ","",IFERROR(INDEX(MMWR_RATING_RO_ROLLUP[],MATCH($B15,MMWR_RATING_RO_ROLLUP[MMWR_RATING_RO_ROLLUP],0),MATCH(H$9,MMWR_RATING_RO_ROLLUP[#Headers],0)),"ERROR"))</f>
        <v>126.4541831638</v>
      </c>
      <c r="I15" s="155">
        <f>IF($B15=" ","",IFERROR(INDEX(MMWR_RATING_RO_ROLLUP[],MATCH($B15,MMWR_RATING_RO_ROLLUP[MMWR_RATING_RO_ROLLUP],0),MATCH(I$9,MMWR_RATING_RO_ROLLUP[#Headers],0)),"ERROR"))</f>
        <v>133.47680990910001</v>
      </c>
      <c r="J15" s="157">
        <f>VLOOKUP($B$13,MMWR_ACCURACY_RO[],MATCH(J$9,MMWR_ACCURACY_RO[#Headers],0),0)</f>
        <v>0.95680143989940214</v>
      </c>
      <c r="K15" s="157">
        <f>VLOOKUP($B$13,MMWR_ACCURACY_RO[],MATCH(K$9,MMWR_ACCURACY_RO[#Headers],0),0)</f>
        <v>0.88865938028937774</v>
      </c>
      <c r="L15" s="157">
        <f>VLOOKUP($B$13,MMWR_ACCURACY_RO[],MATCH(L$9,MMWR_ACCURACY_RO[#Headers],0),0)</f>
        <v>0.89849409779437717</v>
      </c>
      <c r="M15" s="157">
        <f>VLOOKUP($B$13,MMWR_ACCURACY_RO[],MATCH(M$9,MMWR_ACCURACY_RO[#Headers],0),0)</f>
        <v>7.721999991102564E-3</v>
      </c>
      <c r="N15" s="157">
        <f>VLOOKUP($B$13,MMWR_ACCURACY_RO[],MATCH(N$9,MMWR_ACCURACY_RO[#Headers],0),0)</f>
        <v>0.9049602630756779</v>
      </c>
      <c r="O15" s="157">
        <f>VLOOKUP($B$13,MMWR_ACCURACY_RO[],MATCH(O$9,MMWR_ACCURACY_RO[#Headers],0),0)</f>
        <v>8.8512179735798207E-3</v>
      </c>
      <c r="P15" s="28"/>
    </row>
    <row r="16" spans="1:16" x14ac:dyDescent="0.2">
      <c r="A16" s="25"/>
      <c r="B16" s="247" t="s">
        <v>370</v>
      </c>
      <c r="C16" s="154">
        <f>IF($B16=" ","",IFERROR(INDEX(MMWR_RATING_RO_ROLLUP[],MATCH($B16,MMWR_RATING_RO_ROLLUP[MMWR_RATING_RO_ROLLUP],0),MATCH(C$9,MMWR_RATING_RO_ROLLUP[#Headers],0)),"ERROR"))</f>
        <v>59357</v>
      </c>
      <c r="D16" s="155">
        <f>IF($B16=" ","",IFERROR(INDEX(MMWR_RATING_RO_ROLLUP[],MATCH($B16,MMWR_RATING_RO_ROLLUP[MMWR_RATING_RO_ROLLUP],0),MATCH(D$9,MMWR_RATING_RO_ROLLUP[#Headers],0)),"ERROR"))</f>
        <v>94.535000084199993</v>
      </c>
      <c r="E16" s="156">
        <f>IF($B16=" ","",IFERROR(INDEX(MMWR_RATING_RO_ROLLUP[],MATCH($B16,MMWR_RATING_RO_ROLLUP[MMWR_RATING_RO_ROLLUP],0),MATCH(E$9,MMWR_RATING_RO_ROLLUP[#Headers],0))/$C16,"ERROR"))</f>
        <v>0.25173105109759591</v>
      </c>
      <c r="F16" s="154">
        <f>IF($B16=" ","",IFERROR(INDEX(MMWR_RATING_RO_ROLLUP[],MATCH($B16,MMWR_RATING_RO_ROLLUP[MMWR_RATING_RO_ROLLUP],0),MATCH(F$9,MMWR_RATING_RO_ROLLUP[#Headers],0)),"ERROR"))</f>
        <v>8204</v>
      </c>
      <c r="G16" s="154">
        <f>IF($B16=" ","",IFERROR(INDEX(MMWR_RATING_RO_ROLLUP[],MATCH($B16,MMWR_RATING_RO_ROLLUP[MMWR_RATING_RO_ROLLUP],0),MATCH(G$9,MMWR_RATING_RO_ROLLUP[#Headers],0)),"ERROR"))</f>
        <v>101025</v>
      </c>
      <c r="H16" s="155">
        <f>IF($B16=" ","",IFERROR(INDEX(MMWR_RATING_RO_ROLLUP[],MATCH($B16,MMWR_RATING_RO_ROLLUP[MMWR_RATING_RO_ROLLUP],0),MATCH(H$9,MMWR_RATING_RO_ROLLUP[#Headers],0)),"ERROR"))</f>
        <v>131.67052657240001</v>
      </c>
      <c r="I16" s="155">
        <f>IF($B16=" ","",IFERROR(INDEX(MMWR_RATING_RO_ROLLUP[],MATCH($B16,MMWR_RATING_RO_ROLLUP[MMWR_RATING_RO_ROLLUP],0),MATCH(I$9,MMWR_RATING_RO_ROLLUP[#Headers],0)),"ERROR"))</f>
        <v>133.67930112849999</v>
      </c>
      <c r="J16" s="157">
        <f>IF($B16=" ","",IFERROR(VLOOKUP($B16,MMWR_ACCURACY_RO[],MATCH(J$9,MMWR_ACCURACY_RO[#Headers],0),0),"ERROR"))</f>
        <v>0.95557790426099298</v>
      </c>
      <c r="K16" s="157">
        <f>IF($B16=" ","",IFERROR(VLOOKUP($B16,MMWR_ACCURACY_RO[],MATCH(K$9,MMWR_ACCURACY_RO[#Headers],0),0),"ERROR"))</f>
        <v>0.88645764313115494</v>
      </c>
      <c r="L16" s="157">
        <f>IF($B16=" ","",IFERROR(VLOOKUP($B16,MMWR_ACCURACY_RO[],MATCH(L$9,MMWR_ACCURACY_RO[#Headers],0),0),"ERROR"))</f>
        <v>0.87092179976127115</v>
      </c>
      <c r="M16" s="157">
        <f>IF($B16=" ","",IFERROR(VLOOKUP($B16,MMWR_ACCURACY_RO[],MATCH(M$9,MMWR_ACCURACY_RO[#Headers],0),0),"ERROR"))</f>
        <v>1.6816553628524675E-2</v>
      </c>
      <c r="N16" s="157">
        <f>IF($B16=" ","",IFERROR(VLOOKUP($B16,MMWR_ACCURACY_RO[],MATCH(N$9,MMWR_ACCURACY_RO[#Headers],0),0),"ERROR"))</f>
        <v>0.88925276889927019</v>
      </c>
      <c r="O16" s="157">
        <f>IF($B16=" ","",IFERROR(VLOOKUP($B16,MMWR_ACCURACY_RO[],MATCH(O$9,MMWR_ACCURACY_RO[#Headers],0),0),"ERROR"))</f>
        <v>1.662764650893564E-2</v>
      </c>
      <c r="P16" s="28"/>
    </row>
    <row r="17" spans="1:16" x14ac:dyDescent="0.2">
      <c r="A17" s="25"/>
      <c r="B17" s="8" t="str">
        <f>VLOOKUP($B$16,DISTRICT_RO[],2,0)</f>
        <v>Baltimore VSC</v>
      </c>
      <c r="C17" s="154">
        <f>IF($B17=" ","",IFERROR(INDEX(MMWR_RATING_RO_ROLLUP[],MATCH($B17,MMWR_RATING_RO_ROLLUP[MMWR_RATING_RO_ROLLUP],0),MATCH(C$9,MMWR_RATING_RO_ROLLUP[#Headers],0)),"ERROR"))</f>
        <v>1090</v>
      </c>
      <c r="D17" s="155">
        <f>IF($B17=" ","",IFERROR(INDEX(MMWR_RATING_RO_ROLLUP[],MATCH($B17,MMWR_RATING_RO_ROLLUP[MMWR_RATING_RO_ROLLUP],0),MATCH(D$9,MMWR_RATING_RO_ROLLUP[#Headers],0)),"ERROR"))</f>
        <v>111.6743119266</v>
      </c>
      <c r="E17" s="156">
        <f>IF($B17=" ","",IFERROR(INDEX(MMWR_RATING_RO_ROLLUP[],MATCH($B17,MMWR_RATING_RO_ROLLUP[MMWR_RATING_RO_ROLLUP],0),MATCH(E$9,MMWR_RATING_RO_ROLLUP[#Headers],0))/$C17,"ERROR"))</f>
        <v>0.32293577981651378</v>
      </c>
      <c r="F17" s="154">
        <f>IF($B17=" ","",IFERROR(INDEX(MMWR_RATING_RO_ROLLUP[],MATCH($B17,MMWR_RATING_RO_ROLLUP[MMWR_RATING_RO_ROLLUP],0),MATCH(F$9,MMWR_RATING_RO_ROLLUP[#Headers],0)),"ERROR"))</f>
        <v>223</v>
      </c>
      <c r="G17" s="154">
        <f>IF($B17=" ","",IFERROR(INDEX(MMWR_RATING_RO_ROLLUP[],MATCH($B17,MMWR_RATING_RO_ROLLUP[MMWR_RATING_RO_ROLLUP],0),MATCH(G$9,MMWR_RATING_RO_ROLLUP[#Headers],0)),"ERROR"))</f>
        <v>4033</v>
      </c>
      <c r="H17" s="155">
        <f>IF($B17=" ","",IFERROR(INDEX(MMWR_RATING_RO_ROLLUP[],MATCH($B17,MMWR_RATING_RO_ROLLUP[MMWR_RATING_RO_ROLLUP],0),MATCH(H$9,MMWR_RATING_RO_ROLLUP[#Headers],0)),"ERROR"))</f>
        <v>144.86547085199999</v>
      </c>
      <c r="I17" s="155">
        <f>IF($B17=" ","",IFERROR(INDEX(MMWR_RATING_RO_ROLLUP[],MATCH($B17,MMWR_RATING_RO_ROLLUP[MMWR_RATING_RO_ROLLUP],0),MATCH(I$9,MMWR_RATING_RO_ROLLUP[#Headers],0)),"ERROR"))</f>
        <v>134.71825396829999</v>
      </c>
      <c r="J17" s="157">
        <f>IF($B17=" ","",IFERROR(VLOOKUP($B17,MMWR_ACCURACY_RO[],MATCH(J$9,MMWR_ACCURACY_RO[#Headers],0),0),"ERROR"))</f>
        <v>0.95664475242074976</v>
      </c>
      <c r="K17" s="157">
        <f>IF($B17=" ","",IFERROR(VLOOKUP($B17,MMWR_ACCURACY_RO[],MATCH(K$9,MMWR_ACCURACY_RO[#Headers],0),0),"ERROR"))</f>
        <v>0.86998606431804815</v>
      </c>
      <c r="L17" s="157">
        <f>IF($B17=" ","",IFERROR(VLOOKUP($B17,MMWR_ACCURACY_RO[],MATCH(L$9,MMWR_ACCURACY_RO[#Headers],0),0),"ERROR"))</f>
        <v>0.85108545456160656</v>
      </c>
      <c r="M17" s="157">
        <f>IF($B17=" ","",IFERROR(VLOOKUP($B17,MMWR_ACCURACY_RO[],MATCH(M$9,MMWR_ACCURACY_RO[#Headers],0),0),"ERROR"))</f>
        <v>4.3496417076770939E-2</v>
      </c>
      <c r="N17" s="157">
        <f>IF($B17=" ","",IFERROR(VLOOKUP($B17,MMWR_ACCURACY_RO[],MATCH(N$9,MMWR_ACCURACY_RO[#Headers],0),0),"ERROR"))</f>
        <v>0.89294980607428187</v>
      </c>
      <c r="O17" s="157">
        <f>IF($B17=" ","",IFERROR(VLOOKUP($B17,MMWR_ACCURACY_RO[],MATCH(O$9,MMWR_ACCURACY_RO[#Headers],0),0),"ERROR"))</f>
        <v>4.6118555211209722E-2</v>
      </c>
      <c r="P17" s="28"/>
    </row>
    <row r="18" spans="1:16" x14ac:dyDescent="0.2">
      <c r="A18" s="25"/>
      <c r="B18" s="8" t="str">
        <f>VLOOKUP($B$16,DISTRICT_RO[],3,0)</f>
        <v>Boston VSC</v>
      </c>
      <c r="C18" s="154">
        <f>IF($B18=" ","",IFERROR(INDEX(MMWR_RATING_RO_ROLLUP[],MATCH($B18,MMWR_RATING_RO_ROLLUP[MMWR_RATING_RO_ROLLUP],0),MATCH(C$9,MMWR_RATING_RO_ROLLUP[#Headers],0)),"ERROR"))</f>
        <v>3422</v>
      </c>
      <c r="D18" s="155">
        <f>IF($B18=" ","",IFERROR(INDEX(MMWR_RATING_RO_ROLLUP[],MATCH($B18,MMWR_RATING_RO_ROLLUP[MMWR_RATING_RO_ROLLUP],0),MATCH(D$9,MMWR_RATING_RO_ROLLUP[#Headers],0)),"ERROR"))</f>
        <v>89.532437171200002</v>
      </c>
      <c r="E18" s="156">
        <f>IF($B18=" ","",IFERROR(INDEX(MMWR_RATING_RO_ROLLUP[],MATCH($B18,MMWR_RATING_RO_ROLLUP[MMWR_RATING_RO_ROLLUP],0),MATCH(E$9,MMWR_RATING_RO_ROLLUP[#Headers],0))/$C18,"ERROR"))</f>
        <v>0.23290473407364115</v>
      </c>
      <c r="F18" s="154">
        <f>IF($B18=" ","",IFERROR(INDEX(MMWR_RATING_RO_ROLLUP[],MATCH($B18,MMWR_RATING_RO_ROLLUP[MMWR_RATING_RO_ROLLUP],0),MATCH(F$9,MMWR_RATING_RO_ROLLUP[#Headers],0)),"ERROR"))</f>
        <v>326</v>
      </c>
      <c r="G18" s="154">
        <f>IF($B18=" ","",IFERROR(INDEX(MMWR_RATING_RO_ROLLUP[],MATCH($B18,MMWR_RATING_RO_ROLLUP[MMWR_RATING_RO_ROLLUP],0),MATCH(G$9,MMWR_RATING_RO_ROLLUP[#Headers],0)),"ERROR"))</f>
        <v>4398</v>
      </c>
      <c r="H18" s="155">
        <f>IF($B18=" ","",IFERROR(INDEX(MMWR_RATING_RO_ROLLUP[],MATCH($B18,MMWR_RATING_RO_ROLLUP[MMWR_RATING_RO_ROLLUP],0),MATCH(H$9,MMWR_RATING_RO_ROLLUP[#Headers],0)),"ERROR"))</f>
        <v>142.96932515340001</v>
      </c>
      <c r="I18" s="155">
        <f>IF($B18=" ","",IFERROR(INDEX(MMWR_RATING_RO_ROLLUP[],MATCH($B18,MMWR_RATING_RO_ROLLUP[MMWR_RATING_RO_ROLLUP],0),MATCH(I$9,MMWR_RATING_RO_ROLLUP[#Headers],0)),"ERROR"))</f>
        <v>127.0286493861</v>
      </c>
      <c r="J18" s="157">
        <f>IF($B18=" ","",IFERROR(VLOOKUP($B18,MMWR_ACCURACY_RO[],MATCH(J$9,MMWR_ACCURACY_RO[#Headers],0),0),"ERROR"))</f>
        <v>0.91190420553369655</v>
      </c>
      <c r="K18" s="157">
        <f>IF($B18=" ","",IFERROR(VLOOKUP($B18,MMWR_ACCURACY_RO[],MATCH(K$9,MMWR_ACCURACY_RO[#Headers],0),0),"ERROR"))</f>
        <v>0.84011142566782804</v>
      </c>
      <c r="L18" s="157">
        <f>IF($B18=" ","",IFERROR(VLOOKUP($B18,MMWR_ACCURACY_RO[],MATCH(L$9,MMWR_ACCURACY_RO[#Headers],0),0),"ERROR"))</f>
        <v>0.81741423842264183</v>
      </c>
      <c r="M18" s="157">
        <f>IF($B18=" ","",IFERROR(VLOOKUP($B18,MMWR_ACCURACY_RO[],MATCH(M$9,MMWR_ACCURACY_RO[#Headers],0),0),"ERROR"))</f>
        <v>5.9520752012706242E-2</v>
      </c>
      <c r="N18" s="157">
        <f>IF($B18=" ","",IFERROR(VLOOKUP($B18,MMWR_ACCURACY_RO[],MATCH(N$9,MMWR_ACCURACY_RO[#Headers],0),0),"ERROR"))</f>
        <v>0.90628525230118873</v>
      </c>
      <c r="O18" s="157">
        <f>IF($B18=" ","",IFERROR(VLOOKUP($B18,MMWR_ACCURACY_RO[],MATCH(O$9,MMWR_ACCURACY_RO[#Headers],0),0),"ERROR"))</f>
        <v>5.7878499162111796E-2</v>
      </c>
      <c r="P18" s="28"/>
    </row>
    <row r="19" spans="1:16" x14ac:dyDescent="0.2">
      <c r="A19" s="25"/>
      <c r="B19" s="8" t="str">
        <f>VLOOKUP($B$16,DISTRICT_RO[],4,0)</f>
        <v>Buffalo VSC</v>
      </c>
      <c r="C19" s="154">
        <f>IF($B19=" ","",IFERROR(INDEX(MMWR_RATING_RO_ROLLUP[],MATCH($B19,MMWR_RATING_RO_ROLLUP[MMWR_RATING_RO_ROLLUP],0),MATCH(C$9,MMWR_RATING_RO_ROLLUP[#Headers],0)),"ERROR"))</f>
        <v>3525</v>
      </c>
      <c r="D19" s="155">
        <f>IF($B19=" ","",IFERROR(INDEX(MMWR_RATING_RO_ROLLUP[],MATCH($B19,MMWR_RATING_RO_ROLLUP[MMWR_RATING_RO_ROLLUP],0),MATCH(D$9,MMWR_RATING_RO_ROLLUP[#Headers],0)),"ERROR"))</f>
        <v>77.102411347499995</v>
      </c>
      <c r="E19" s="156">
        <f>IF($B19=" ","",IFERROR(INDEX(MMWR_RATING_RO_ROLLUP[],MATCH($B19,MMWR_RATING_RO_ROLLUP[MMWR_RATING_RO_ROLLUP],0),MATCH(E$9,MMWR_RATING_RO_ROLLUP[#Headers],0))/$C19,"ERROR"))</f>
        <v>0.12851063829787235</v>
      </c>
      <c r="F19" s="154">
        <f>IF($B19=" ","",IFERROR(INDEX(MMWR_RATING_RO_ROLLUP[],MATCH($B19,MMWR_RATING_RO_ROLLUP[MMWR_RATING_RO_ROLLUP],0),MATCH(F$9,MMWR_RATING_RO_ROLLUP[#Headers],0)),"ERROR"))</f>
        <v>334</v>
      </c>
      <c r="G19" s="154">
        <f>IF($B19=" ","",IFERROR(INDEX(MMWR_RATING_RO_ROLLUP[],MATCH($B19,MMWR_RATING_RO_ROLLUP[MMWR_RATING_RO_ROLLUP],0),MATCH(G$9,MMWR_RATING_RO_ROLLUP[#Headers],0)),"ERROR"))</f>
        <v>4351</v>
      </c>
      <c r="H19" s="155">
        <f>IF($B19=" ","",IFERROR(INDEX(MMWR_RATING_RO_ROLLUP[],MATCH($B19,MMWR_RATING_RO_ROLLUP[MMWR_RATING_RO_ROLLUP],0),MATCH(H$9,MMWR_RATING_RO_ROLLUP[#Headers],0)),"ERROR"))</f>
        <v>127.4431137725</v>
      </c>
      <c r="I19" s="155">
        <f>IF($B19=" ","",IFERROR(INDEX(MMWR_RATING_RO_ROLLUP[],MATCH($B19,MMWR_RATING_RO_ROLLUP[MMWR_RATING_RO_ROLLUP],0),MATCH(I$9,MMWR_RATING_RO_ROLLUP[#Headers],0)),"ERROR"))</f>
        <v>139.86807630429999</v>
      </c>
      <c r="J19" s="157">
        <f>IF($B19=" ","",IFERROR(VLOOKUP($B19,MMWR_ACCURACY_RO[],MATCH(J$9,MMWR_ACCURACY_RO[#Headers],0),0),"ERROR"))</f>
        <v>0.94683501844841622</v>
      </c>
      <c r="K19" s="157">
        <f>IF($B19=" ","",IFERROR(VLOOKUP($B19,MMWR_ACCURACY_RO[],MATCH(K$9,MMWR_ACCURACY_RO[#Headers],0),0),"ERROR"))</f>
        <v>0.91499803690616399</v>
      </c>
      <c r="L19" s="157">
        <f>IF($B19=" ","",IFERROR(VLOOKUP($B19,MMWR_ACCURACY_RO[],MATCH(L$9,MMWR_ACCURACY_RO[#Headers],0),0),"ERROR"))</f>
        <v>0.88032567070749035</v>
      </c>
      <c r="M19" s="157">
        <f>IF($B19=" ","",IFERROR(VLOOKUP($B19,MMWR_ACCURACY_RO[],MATCH(M$9,MMWR_ACCURACY_RO[#Headers],0),0),"ERROR"))</f>
        <v>5.1481816406506696E-2</v>
      </c>
      <c r="N19" s="157">
        <f>IF($B19=" ","",IFERROR(VLOOKUP($B19,MMWR_ACCURACY_RO[],MATCH(N$9,MMWR_ACCURACY_RO[#Headers],0),0),"ERROR"))</f>
        <v>0.87020944250579457</v>
      </c>
      <c r="O19" s="157">
        <f>IF($B19=" ","",IFERROR(VLOOKUP($B19,MMWR_ACCURACY_RO[],MATCH(O$9,MMWR_ACCURACY_RO[#Headers],0),0),"ERROR"))</f>
        <v>4.9002853568726794E-2</v>
      </c>
      <c r="P19" s="28"/>
    </row>
    <row r="20" spans="1:16" x14ac:dyDescent="0.2">
      <c r="A20" s="25"/>
      <c r="B20" s="8" t="str">
        <f>VLOOKUP($B$16,DISTRICT_RO[],5,0)</f>
        <v>Hartford VSC</v>
      </c>
      <c r="C20" s="154">
        <f>IF($B20=" ","",IFERROR(INDEX(MMWR_RATING_RO_ROLLUP[],MATCH($B20,MMWR_RATING_RO_ROLLUP[MMWR_RATING_RO_ROLLUP],0),MATCH(C$9,MMWR_RATING_RO_ROLLUP[#Headers],0)),"ERROR"))</f>
        <v>2373</v>
      </c>
      <c r="D20" s="155">
        <f>IF($B20=" ","",IFERROR(INDEX(MMWR_RATING_RO_ROLLUP[],MATCH($B20,MMWR_RATING_RO_ROLLUP[MMWR_RATING_RO_ROLLUP],0),MATCH(D$9,MMWR_RATING_RO_ROLLUP[#Headers],0)),"ERROR"))</f>
        <v>98.317319848300002</v>
      </c>
      <c r="E20" s="156">
        <f>IF($B20=" ","",IFERROR(INDEX(MMWR_RATING_RO_ROLLUP[],MATCH($B20,MMWR_RATING_RO_ROLLUP[MMWR_RATING_RO_ROLLUP],0),MATCH(E$9,MMWR_RATING_RO_ROLLUP[#Headers],0))/$C20,"ERROR"))</f>
        <v>0.30509903076274758</v>
      </c>
      <c r="F20" s="154">
        <f>IF($B20=" ","",IFERROR(INDEX(MMWR_RATING_RO_ROLLUP[],MATCH($B20,MMWR_RATING_RO_ROLLUP[MMWR_RATING_RO_ROLLUP],0),MATCH(F$9,MMWR_RATING_RO_ROLLUP[#Headers],0)),"ERROR"))</f>
        <v>425</v>
      </c>
      <c r="G20" s="154">
        <f>IF($B20=" ","",IFERROR(INDEX(MMWR_RATING_RO_ROLLUP[],MATCH($B20,MMWR_RATING_RO_ROLLUP[MMWR_RATING_RO_ROLLUP],0),MATCH(G$9,MMWR_RATING_RO_ROLLUP[#Headers],0)),"ERROR"))</f>
        <v>4187</v>
      </c>
      <c r="H20" s="155">
        <f>IF($B20=" ","",IFERROR(INDEX(MMWR_RATING_RO_ROLLUP[],MATCH($B20,MMWR_RATING_RO_ROLLUP[MMWR_RATING_RO_ROLLUP],0),MATCH(H$9,MMWR_RATING_RO_ROLLUP[#Headers],0)),"ERROR"))</f>
        <v>107.6635294118</v>
      </c>
      <c r="I20" s="155">
        <f>IF($B20=" ","",IFERROR(INDEX(MMWR_RATING_RO_ROLLUP[],MATCH($B20,MMWR_RATING_RO_ROLLUP[MMWR_RATING_RO_ROLLUP],0),MATCH(I$9,MMWR_RATING_RO_ROLLUP[#Headers],0)),"ERROR"))</f>
        <v>134.91354191549999</v>
      </c>
      <c r="J20" s="157">
        <f>IF($B20=" ","",IFERROR(VLOOKUP($B20,MMWR_ACCURACY_RO[],MATCH(J$9,MMWR_ACCURACY_RO[#Headers],0),0),"ERROR"))</f>
        <v>0.977359311763775</v>
      </c>
      <c r="K20" s="157">
        <f>IF($B20=" ","",IFERROR(VLOOKUP($B20,MMWR_ACCURACY_RO[],MATCH(K$9,MMWR_ACCURACY_RO[#Headers],0),0),"ERROR"))</f>
        <v>0.93942667156952875</v>
      </c>
      <c r="L20" s="157">
        <f>IF($B20=" ","",IFERROR(VLOOKUP($B20,MMWR_ACCURACY_RO[],MATCH(L$9,MMWR_ACCURACY_RO[#Headers],0),0),"ERROR"))</f>
        <v>0.92156946053007049</v>
      </c>
      <c r="M20" s="157">
        <f>IF($B20=" ","",IFERROR(VLOOKUP($B20,MMWR_ACCURACY_RO[],MATCH(M$9,MMWR_ACCURACY_RO[#Headers],0),0),"ERROR"))</f>
        <v>4.3180953110503066E-2</v>
      </c>
      <c r="N20" s="157">
        <f>IF($B20=" ","",IFERROR(VLOOKUP($B20,MMWR_ACCURACY_RO[],MATCH(N$9,MMWR_ACCURACY_RO[#Headers],0),0),"ERROR"))</f>
        <v>0.96537208039109179</v>
      </c>
      <c r="O20" s="157">
        <f>IF($B20=" ","",IFERROR(VLOOKUP($B20,MMWR_ACCURACY_RO[],MATCH(O$9,MMWR_ACCURACY_RO[#Headers],0),0),"ERROR"))</f>
        <v>3.1791942793363503E-2</v>
      </c>
      <c r="P20" s="28"/>
    </row>
    <row r="21" spans="1:16" x14ac:dyDescent="0.2">
      <c r="A21" s="25"/>
      <c r="B21" s="8" t="str">
        <f>VLOOKUP($B$16,DISTRICT_RO[],6,0)</f>
        <v>Huntington VSC</v>
      </c>
      <c r="C21" s="154">
        <f>IF($B21=" ","",IFERROR(INDEX(MMWR_RATING_RO_ROLLUP[],MATCH($B21,MMWR_RATING_RO_ROLLUP[MMWR_RATING_RO_ROLLUP],0),MATCH(C$9,MMWR_RATING_RO_ROLLUP[#Headers],0)),"ERROR"))</f>
        <v>4192</v>
      </c>
      <c r="D21" s="155">
        <f>IF($B21=" ","",IFERROR(INDEX(MMWR_RATING_RO_ROLLUP[],MATCH($B21,MMWR_RATING_RO_ROLLUP[MMWR_RATING_RO_ROLLUP],0),MATCH(D$9,MMWR_RATING_RO_ROLLUP[#Headers],0)),"ERROR"))</f>
        <v>106.4988072519</v>
      </c>
      <c r="E21" s="156">
        <f>IF($B21=" ","",IFERROR(INDEX(MMWR_RATING_RO_ROLLUP[],MATCH($B21,MMWR_RATING_RO_ROLLUP[MMWR_RATING_RO_ROLLUP],0),MATCH(E$9,MMWR_RATING_RO_ROLLUP[#Headers],0))/$C21,"ERROR"))</f>
        <v>0.28649809160305345</v>
      </c>
      <c r="F21" s="154">
        <f>IF($B21=" ","",IFERROR(INDEX(MMWR_RATING_RO_ROLLUP[],MATCH($B21,MMWR_RATING_RO_ROLLUP[MMWR_RATING_RO_ROLLUP],0),MATCH(F$9,MMWR_RATING_RO_ROLLUP[#Headers],0)),"ERROR"))</f>
        <v>731</v>
      </c>
      <c r="G21" s="154">
        <f>IF($B21=" ","",IFERROR(INDEX(MMWR_RATING_RO_ROLLUP[],MATCH($B21,MMWR_RATING_RO_ROLLUP[MMWR_RATING_RO_ROLLUP],0),MATCH(G$9,MMWR_RATING_RO_ROLLUP[#Headers],0)),"ERROR"))</f>
        <v>8013</v>
      </c>
      <c r="H21" s="155">
        <f>IF($B21=" ","",IFERROR(INDEX(MMWR_RATING_RO_ROLLUP[],MATCH($B21,MMWR_RATING_RO_ROLLUP[MMWR_RATING_RO_ROLLUP],0),MATCH(H$9,MMWR_RATING_RO_ROLLUP[#Headers],0)),"ERROR"))</f>
        <v>138.7469220246</v>
      </c>
      <c r="I21" s="155">
        <f>IF($B21=" ","",IFERROR(INDEX(MMWR_RATING_RO_ROLLUP[],MATCH($B21,MMWR_RATING_RO_ROLLUP[MMWR_RATING_RO_ROLLUP],0),MATCH(I$9,MMWR_RATING_RO_ROLLUP[#Headers],0)),"ERROR"))</f>
        <v>138.22126544369999</v>
      </c>
      <c r="J21" s="157">
        <f>IF($B21=" ","",IFERROR(VLOOKUP($B21,MMWR_ACCURACY_RO[],MATCH(J$9,MMWR_ACCURACY_RO[#Headers],0),0),"ERROR"))</f>
        <v>0.96304442126429202</v>
      </c>
      <c r="K21" s="157">
        <f>IF($B21=" ","",IFERROR(VLOOKUP($B21,MMWR_ACCURACY_RO[],MATCH(K$9,MMWR_ACCURACY_RO[#Headers],0),0),"ERROR"))</f>
        <v>0.91944325021496132</v>
      </c>
      <c r="L21" s="157">
        <f>IF($B21=" ","",IFERROR(VLOOKUP($B21,MMWR_ACCURACY_RO[],MATCH(L$9,MMWR_ACCURACY_RO[#Headers],0),0),"ERROR"))</f>
        <v>0.89204618107666112</v>
      </c>
      <c r="M21" s="157">
        <f>IF($B21=" ","",IFERROR(VLOOKUP($B21,MMWR_ACCURACY_RO[],MATCH(M$9,MMWR_ACCURACY_RO[#Headers],0),0),"ERROR"))</f>
        <v>4.6369593936788009E-2</v>
      </c>
      <c r="N21" s="157">
        <f>IF($B21=" ","",IFERROR(VLOOKUP($B21,MMWR_ACCURACY_RO[],MATCH(N$9,MMWR_ACCURACY_RO[#Headers],0),0),"ERROR"))</f>
        <v>0.88674323156682033</v>
      </c>
      <c r="O21" s="157">
        <f>IF($B21=" ","",IFERROR(VLOOKUP($B21,MMWR_ACCURACY_RO[],MATCH(O$9,MMWR_ACCURACY_RO[#Headers],0),0),"ERROR"))</f>
        <v>5.4365069197528156E-2</v>
      </c>
      <c r="P21" s="28"/>
    </row>
    <row r="22" spans="1:16" x14ac:dyDescent="0.2">
      <c r="A22" s="25"/>
      <c r="B22" s="8" t="str">
        <f>VLOOKUP($B$16,DISTRICT_RO[],7,0)</f>
        <v>Manchester VSC</v>
      </c>
      <c r="C22" s="154">
        <f>IF($B22=" ","",IFERROR(INDEX(MMWR_RATING_RO_ROLLUP[],MATCH($B22,MMWR_RATING_RO_ROLLUP[MMWR_RATING_RO_ROLLUP],0),MATCH(C$9,MMWR_RATING_RO_ROLLUP[#Headers],0)),"ERROR"))</f>
        <v>1150</v>
      </c>
      <c r="D22" s="155">
        <f>IF($B22=" ","",IFERROR(INDEX(MMWR_RATING_RO_ROLLUP[],MATCH($B22,MMWR_RATING_RO_ROLLUP[MMWR_RATING_RO_ROLLUP],0),MATCH(D$9,MMWR_RATING_RO_ROLLUP[#Headers],0)),"ERROR"))</f>
        <v>81.466086956500007</v>
      </c>
      <c r="E22" s="156">
        <f>IF($B22=" ","",IFERROR(INDEX(MMWR_RATING_RO_ROLLUP[],MATCH($B22,MMWR_RATING_RO_ROLLUP[MMWR_RATING_RO_ROLLUP],0),MATCH(E$9,MMWR_RATING_RO_ROLLUP[#Headers],0))/$C22,"ERROR"))</f>
        <v>0.17913043478260871</v>
      </c>
      <c r="F22" s="154">
        <f>IF($B22=" ","",IFERROR(INDEX(MMWR_RATING_RO_ROLLUP[],MATCH($B22,MMWR_RATING_RO_ROLLUP[MMWR_RATING_RO_ROLLUP],0),MATCH(F$9,MMWR_RATING_RO_ROLLUP[#Headers],0)),"ERROR"))</f>
        <v>173</v>
      </c>
      <c r="G22" s="154">
        <f>IF($B22=" ","",IFERROR(INDEX(MMWR_RATING_RO_ROLLUP[],MATCH($B22,MMWR_RATING_RO_ROLLUP[MMWR_RATING_RO_ROLLUP],0),MATCH(G$9,MMWR_RATING_RO_ROLLUP[#Headers],0)),"ERROR"))</f>
        <v>1806</v>
      </c>
      <c r="H22" s="155">
        <f>IF($B22=" ","",IFERROR(INDEX(MMWR_RATING_RO_ROLLUP[],MATCH($B22,MMWR_RATING_RO_ROLLUP[MMWR_RATING_RO_ROLLUP],0),MATCH(H$9,MMWR_RATING_RO_ROLLUP[#Headers],0)),"ERROR"))</f>
        <v>144.30057803470001</v>
      </c>
      <c r="I22" s="155">
        <f>IF($B22=" ","",IFERROR(INDEX(MMWR_RATING_RO_ROLLUP[],MATCH($B22,MMWR_RATING_RO_ROLLUP[MMWR_RATING_RO_ROLLUP],0),MATCH(I$9,MMWR_RATING_RO_ROLLUP[#Headers],0)),"ERROR"))</f>
        <v>143.67441860470001</v>
      </c>
      <c r="J22" s="157">
        <f>IF($B22=" ","",IFERROR(VLOOKUP($B22,MMWR_ACCURACY_RO[],MATCH(J$9,MMWR_ACCURACY_RO[#Headers],0),0),"ERROR"))</f>
        <v>0.89238739469000705</v>
      </c>
      <c r="K22" s="157">
        <f>IF($B22=" ","",IFERROR(VLOOKUP($B22,MMWR_ACCURACY_RO[],MATCH(K$9,MMWR_ACCURACY_RO[#Headers],0),0),"ERROR"))</f>
        <v>0.81924244483711661</v>
      </c>
      <c r="L22" s="157">
        <f>IF($B22=" ","",IFERROR(VLOOKUP($B22,MMWR_ACCURACY_RO[],MATCH(L$9,MMWR_ACCURACY_RO[#Headers],0),0),"ERROR"))</f>
        <v>0.90718586469957752</v>
      </c>
      <c r="M22" s="157">
        <f>IF($B22=" ","",IFERROR(VLOOKUP($B22,MMWR_ACCURACY_RO[],MATCH(M$9,MMWR_ACCURACY_RO[#Headers],0),0),"ERROR"))</f>
        <v>4.3201662546459477E-2</v>
      </c>
      <c r="N22" s="157">
        <f>IF($B22=" ","",IFERROR(VLOOKUP($B22,MMWR_ACCURACY_RO[],MATCH(N$9,MMWR_ACCURACY_RO[#Headers],0),0),"ERROR"))</f>
        <v>0.90951602545390842</v>
      </c>
      <c r="O22" s="157">
        <f>IF($B22=" ","",IFERROR(VLOOKUP($B22,MMWR_ACCURACY_RO[],MATCH(O$9,MMWR_ACCURACY_RO[#Headers],0),0),"ERROR"))</f>
        <v>4.8228557645968451E-2</v>
      </c>
      <c r="P22" s="28"/>
    </row>
    <row r="23" spans="1:16" x14ac:dyDescent="0.2">
      <c r="A23" s="25"/>
      <c r="B23" s="8" t="str">
        <f>VLOOKUP($B$16,DISTRICT_RO[],8,0)</f>
        <v>New York VSC</v>
      </c>
      <c r="C23" s="154">
        <f>IF($B23=" ","",IFERROR(INDEX(MMWR_RATING_RO_ROLLUP[],MATCH($B23,MMWR_RATING_RO_ROLLUP[MMWR_RATING_RO_ROLLUP],0),MATCH(C$9,MMWR_RATING_RO_ROLLUP[#Headers],0)),"ERROR"))</f>
        <v>3912</v>
      </c>
      <c r="D23" s="155">
        <f>IF($B23=" ","",IFERROR(INDEX(MMWR_RATING_RO_ROLLUP[],MATCH($B23,MMWR_RATING_RO_ROLLUP[MMWR_RATING_RO_ROLLUP],0),MATCH(D$9,MMWR_RATING_RO_ROLLUP[#Headers],0)),"ERROR"))</f>
        <v>96.491308793499996</v>
      </c>
      <c r="E23" s="156">
        <f>IF($B23=" ","",IFERROR(INDEX(MMWR_RATING_RO_ROLLUP[],MATCH($B23,MMWR_RATING_RO_ROLLUP[MMWR_RATING_RO_ROLLUP],0),MATCH(E$9,MMWR_RATING_RO_ROLLUP[#Headers],0))/$C23,"ERROR"))</f>
        <v>0.26048057259713703</v>
      </c>
      <c r="F23" s="154">
        <f>IF($B23=" ","",IFERROR(INDEX(MMWR_RATING_RO_ROLLUP[],MATCH($B23,MMWR_RATING_RO_ROLLUP[MMWR_RATING_RO_ROLLUP],0),MATCH(F$9,MMWR_RATING_RO_ROLLUP[#Headers],0)),"ERROR"))</f>
        <v>469</v>
      </c>
      <c r="G23" s="154">
        <f>IF($B23=" ","",IFERROR(INDEX(MMWR_RATING_RO_ROLLUP[],MATCH($B23,MMWR_RATING_RO_ROLLUP[MMWR_RATING_RO_ROLLUP],0),MATCH(G$9,MMWR_RATING_RO_ROLLUP[#Headers],0)),"ERROR"))</f>
        <v>5179</v>
      </c>
      <c r="H23" s="155">
        <f>IF($B23=" ","",IFERROR(INDEX(MMWR_RATING_RO_ROLLUP[],MATCH($B23,MMWR_RATING_RO_ROLLUP[MMWR_RATING_RO_ROLLUP],0),MATCH(H$9,MMWR_RATING_RO_ROLLUP[#Headers],0)),"ERROR"))</f>
        <v>122.5735607676</v>
      </c>
      <c r="I23" s="155">
        <f>IF($B23=" ","",IFERROR(INDEX(MMWR_RATING_RO_ROLLUP[],MATCH($B23,MMWR_RATING_RO_ROLLUP[MMWR_RATING_RO_ROLLUP],0),MATCH(I$9,MMWR_RATING_RO_ROLLUP[#Headers],0)),"ERROR"))</f>
        <v>130.81096736820001</v>
      </c>
      <c r="J23" s="157">
        <f>IF($B23=" ","",IFERROR(VLOOKUP($B23,MMWR_ACCURACY_RO[],MATCH(J$9,MMWR_ACCURACY_RO[#Headers],0),0),"ERROR"))</f>
        <v>0.87175914839889401</v>
      </c>
      <c r="K23" s="157">
        <f>IF($B23=" ","",IFERROR(VLOOKUP($B23,MMWR_ACCURACY_RO[],MATCH(K$9,MMWR_ACCURACY_RO[#Headers],0),0),"ERROR"))</f>
        <v>0.80800611026904123</v>
      </c>
      <c r="L23" s="157">
        <f>IF($B23=" ","",IFERROR(VLOOKUP($B23,MMWR_ACCURACY_RO[],MATCH(L$9,MMWR_ACCURACY_RO[#Headers],0),0),"ERROR"))</f>
        <v>0.88516471778237038</v>
      </c>
      <c r="M23" s="157">
        <f>IF($B23=" ","",IFERROR(VLOOKUP($B23,MMWR_ACCURACY_RO[],MATCH(M$9,MMWR_ACCURACY_RO[#Headers],0),0),"ERROR"))</f>
        <v>5.06192468171556E-2</v>
      </c>
      <c r="N23" s="157">
        <f>IF($B23=" ","",IFERROR(VLOOKUP($B23,MMWR_ACCURACY_RO[],MATCH(N$9,MMWR_ACCURACY_RO[#Headers],0),0),"ERROR"))</f>
        <v>0.9259891474205949</v>
      </c>
      <c r="O23" s="157">
        <f>IF($B23=" ","",IFERROR(VLOOKUP($B23,MMWR_ACCURACY_RO[],MATCH(O$9,MMWR_ACCURACY_RO[#Headers],0),0),"ERROR"))</f>
        <v>4.1509331338272164E-2</v>
      </c>
      <c r="P23" s="28"/>
    </row>
    <row r="24" spans="1:16" x14ac:dyDescent="0.2">
      <c r="A24" s="25"/>
      <c r="B24" s="8" t="str">
        <f>VLOOKUP($B$16,DISTRICT_RO[],9,0)</f>
        <v>Newark VSC</v>
      </c>
      <c r="C24" s="154">
        <f>IF($B24=" ","",IFERROR(INDEX(MMWR_RATING_RO_ROLLUP[],MATCH($B24,MMWR_RATING_RO_ROLLUP[MMWR_RATING_RO_ROLLUP],0),MATCH(C$9,MMWR_RATING_RO_ROLLUP[#Headers],0)),"ERROR"))</f>
        <v>2491</v>
      </c>
      <c r="D24" s="155">
        <f>IF($B24=" ","",IFERROR(INDEX(MMWR_RATING_RO_ROLLUP[],MATCH($B24,MMWR_RATING_RO_ROLLUP[MMWR_RATING_RO_ROLLUP],0),MATCH(D$9,MMWR_RATING_RO_ROLLUP[#Headers],0)),"ERROR"))</f>
        <v>73.142914492200006</v>
      </c>
      <c r="E24" s="156">
        <f>IF($B24=" ","",IFERROR(INDEX(MMWR_RATING_RO_ROLLUP[],MATCH($B24,MMWR_RATING_RO_ROLLUP[MMWR_RATING_RO_ROLLUP],0),MATCH(E$9,MMWR_RATING_RO_ROLLUP[#Headers],0))/$C24,"ERROR"))</f>
        <v>0.13247691690084304</v>
      </c>
      <c r="F24" s="154">
        <f>IF($B24=" ","",IFERROR(INDEX(MMWR_RATING_RO_ROLLUP[],MATCH($B24,MMWR_RATING_RO_ROLLUP[MMWR_RATING_RO_ROLLUP],0),MATCH(F$9,MMWR_RATING_RO_ROLLUP[#Headers],0)),"ERROR"))</f>
        <v>186</v>
      </c>
      <c r="G24" s="154">
        <f>IF($B24=" ","",IFERROR(INDEX(MMWR_RATING_RO_ROLLUP[],MATCH($B24,MMWR_RATING_RO_ROLLUP[MMWR_RATING_RO_ROLLUP],0),MATCH(G$9,MMWR_RATING_RO_ROLLUP[#Headers],0)),"ERROR"))</f>
        <v>2733</v>
      </c>
      <c r="H24" s="155">
        <f>IF($B24=" ","",IFERROR(INDEX(MMWR_RATING_RO_ROLLUP[],MATCH($B24,MMWR_RATING_RO_ROLLUP[MMWR_RATING_RO_ROLLUP],0),MATCH(H$9,MMWR_RATING_RO_ROLLUP[#Headers],0)),"ERROR"))</f>
        <v>155.4247311828</v>
      </c>
      <c r="I24" s="155">
        <f>IF($B24=" ","",IFERROR(INDEX(MMWR_RATING_RO_ROLLUP[],MATCH($B24,MMWR_RATING_RO_ROLLUP[MMWR_RATING_RO_ROLLUP],0),MATCH(I$9,MMWR_RATING_RO_ROLLUP[#Headers],0)),"ERROR"))</f>
        <v>138.36187339919999</v>
      </c>
      <c r="J24" s="157">
        <f>IF($B24=" ","",IFERROR(VLOOKUP($B24,MMWR_ACCURACY_RO[],MATCH(J$9,MMWR_ACCURACY_RO[#Headers],0),0),"ERROR"))</f>
        <v>0.93398216035828141</v>
      </c>
      <c r="K24" s="157">
        <f>IF($B24=" ","",IFERROR(VLOOKUP($B24,MMWR_ACCURACY_RO[],MATCH(K$9,MMWR_ACCURACY_RO[#Headers],0),0),"ERROR"))</f>
        <v>0.86562082777036053</v>
      </c>
      <c r="L24" s="157">
        <f>IF($B24=" ","",IFERROR(VLOOKUP($B24,MMWR_ACCURACY_RO[],MATCH(L$9,MMWR_ACCURACY_RO[#Headers],0),0),"ERROR"))</f>
        <v>0.88854634714594771</v>
      </c>
      <c r="M24" s="157">
        <f>IF($B24=" ","",IFERROR(VLOOKUP($B24,MMWR_ACCURACY_RO[],MATCH(M$9,MMWR_ACCURACY_RO[#Headers],0),0),"ERROR"))</f>
        <v>4.3260926008857364E-2</v>
      </c>
      <c r="N24" s="157">
        <f>IF($B24=" ","",IFERROR(VLOOKUP($B24,MMWR_ACCURACY_RO[],MATCH(N$9,MMWR_ACCURACY_RO[#Headers],0),0),"ERROR"))</f>
        <v>0.86908732126622024</v>
      </c>
      <c r="O24" s="157">
        <f>IF($B24=" ","",IFERROR(VLOOKUP($B24,MMWR_ACCURACY_RO[],MATCH(O$9,MMWR_ACCURACY_RO[#Headers],0),0),"ERROR"))</f>
        <v>4.7505234261764999E-2</v>
      </c>
      <c r="P24" s="28"/>
    </row>
    <row r="25" spans="1:16" x14ac:dyDescent="0.2">
      <c r="A25" s="25"/>
      <c r="B25" s="8" t="str">
        <f>VLOOKUP($B$16,DISTRICT_RO[],10,0)</f>
        <v>Philadelphia VSC</v>
      </c>
      <c r="C25" s="154">
        <f>IF($B25=" ","",IFERROR(INDEX(MMWR_RATING_RO_ROLLUP[],MATCH($B25,MMWR_RATING_RO_ROLLUP[MMWR_RATING_RO_ROLLUP],0),MATCH(C$9,MMWR_RATING_RO_ROLLUP[#Headers],0)),"ERROR"))</f>
        <v>7014</v>
      </c>
      <c r="D25" s="155">
        <f>IF($B25=" ","",IFERROR(INDEX(MMWR_RATING_RO_ROLLUP[],MATCH($B25,MMWR_RATING_RO_ROLLUP[MMWR_RATING_RO_ROLLUP],0),MATCH(D$9,MMWR_RATING_RO_ROLLUP[#Headers],0)),"ERROR"))</f>
        <v>112.00784145990001</v>
      </c>
      <c r="E25" s="156">
        <f>IF($B25=" ","",IFERROR(INDEX(MMWR_RATING_RO_ROLLUP[],MATCH($B25,MMWR_RATING_RO_ROLLUP[MMWR_RATING_RO_ROLLUP],0),MATCH(E$9,MMWR_RATING_RO_ROLLUP[#Headers],0))/$C25,"ERROR"))</f>
        <v>0.32264043341887655</v>
      </c>
      <c r="F25" s="154">
        <f>IF($B25=" ","",IFERROR(INDEX(MMWR_RATING_RO_ROLLUP[],MATCH($B25,MMWR_RATING_RO_ROLLUP[MMWR_RATING_RO_ROLLUP],0),MATCH(F$9,MMWR_RATING_RO_ROLLUP[#Headers],0)),"ERROR"))</f>
        <v>883</v>
      </c>
      <c r="G25" s="154">
        <f>IF($B25=" ","",IFERROR(INDEX(MMWR_RATING_RO_ROLLUP[],MATCH($B25,MMWR_RATING_RO_ROLLUP[MMWR_RATING_RO_ROLLUP],0),MATCH(G$9,MMWR_RATING_RO_ROLLUP[#Headers],0)),"ERROR"))</f>
        <v>11526</v>
      </c>
      <c r="H25" s="155">
        <f>IF($B25=" ","",IFERROR(INDEX(MMWR_RATING_RO_ROLLUP[],MATCH($B25,MMWR_RATING_RO_ROLLUP[MMWR_RATING_RO_ROLLUP],0),MATCH(H$9,MMWR_RATING_RO_ROLLUP[#Headers],0)),"ERROR"))</f>
        <v>152.355605889</v>
      </c>
      <c r="I25" s="155">
        <f>IF($B25=" ","",IFERROR(INDEX(MMWR_RATING_RO_ROLLUP[],MATCH($B25,MMWR_RATING_RO_ROLLUP[MMWR_RATING_RO_ROLLUP],0),MATCH(I$9,MMWR_RATING_RO_ROLLUP[#Headers],0)),"ERROR"))</f>
        <v>150.11400312340001</v>
      </c>
      <c r="J25" s="157">
        <f>IF($B25=" ","",IFERROR(VLOOKUP($B25,MMWR_ACCURACY_RO[],MATCH(J$9,MMWR_ACCURACY_RO[#Headers],0),0),"ERROR"))</f>
        <v>0.99121389420870898</v>
      </c>
      <c r="K25" s="157">
        <f>IF($B25=" ","",IFERROR(VLOOKUP($B25,MMWR_ACCURACY_RO[],MATCH(K$9,MMWR_ACCURACY_RO[#Headers],0),0),"ERROR"))</f>
        <v>0.96566773348850743</v>
      </c>
      <c r="L25" s="157">
        <f>IF($B25=" ","",IFERROR(VLOOKUP($B25,MMWR_ACCURACY_RO[],MATCH(L$9,MMWR_ACCURACY_RO[#Headers],0),0),"ERROR"))</f>
        <v>0.8793692893290479</v>
      </c>
      <c r="M25" s="157">
        <f>IF($B25=" ","",IFERROR(VLOOKUP($B25,MMWR_ACCURACY_RO[],MATCH(M$9,MMWR_ACCURACY_RO[#Headers],0),0),"ERROR"))</f>
        <v>4.8103667096399363E-2</v>
      </c>
      <c r="N25" s="157">
        <f>IF($B25=" ","",IFERROR(VLOOKUP($B25,MMWR_ACCURACY_RO[],MATCH(N$9,MMWR_ACCURACY_RO[#Headers],0),0),"ERROR"))</f>
        <v>0.8849994555440801</v>
      </c>
      <c r="O25" s="157">
        <f>IF($B25=" ","",IFERROR(VLOOKUP($B25,MMWR_ACCURACY_RO[],MATCH(O$9,MMWR_ACCURACY_RO[#Headers],0),0),"ERROR"))</f>
        <v>5.325367906225132E-2</v>
      </c>
      <c r="P25" s="28"/>
    </row>
    <row r="26" spans="1:16" x14ac:dyDescent="0.2">
      <c r="A26" s="25"/>
      <c r="B26" s="8" t="str">
        <f>VLOOKUP($B$16,DISTRICT_RO[],11,0)</f>
        <v>Pittsburgh VSC</v>
      </c>
      <c r="C26" s="154">
        <f>IF($B26=" ","",IFERROR(INDEX(MMWR_RATING_RO_ROLLUP[],MATCH($B26,MMWR_RATING_RO_ROLLUP[MMWR_RATING_RO_ROLLUP],0),MATCH(C$9,MMWR_RATING_RO_ROLLUP[#Headers],0)),"ERROR"))</f>
        <v>4168</v>
      </c>
      <c r="D26" s="155">
        <f>IF($B26=" ","",IFERROR(INDEX(MMWR_RATING_RO_ROLLUP[],MATCH($B26,MMWR_RATING_RO_ROLLUP[MMWR_RATING_RO_ROLLUP],0),MATCH(D$9,MMWR_RATING_RO_ROLLUP[#Headers],0)),"ERROR"))</f>
        <v>121.7209692898</v>
      </c>
      <c r="E26" s="156">
        <f>IF($B26=" ","",IFERROR(INDEX(MMWR_RATING_RO_ROLLUP[],MATCH($B26,MMWR_RATING_RO_ROLLUP[MMWR_RATING_RO_ROLLUP],0),MATCH(E$9,MMWR_RATING_RO_ROLLUP[#Headers],0))/$C26,"ERROR"))</f>
        <v>0.38387715930902111</v>
      </c>
      <c r="F26" s="154">
        <f>IF($B26=" ","",IFERROR(INDEX(MMWR_RATING_RO_ROLLUP[],MATCH($B26,MMWR_RATING_RO_ROLLUP[MMWR_RATING_RO_ROLLUP],0),MATCH(F$9,MMWR_RATING_RO_ROLLUP[#Headers],0)),"ERROR"))</f>
        <v>336</v>
      </c>
      <c r="G26" s="154">
        <f>IF($B26=" ","",IFERROR(INDEX(MMWR_RATING_RO_ROLLUP[],MATCH($B26,MMWR_RATING_RO_ROLLUP[MMWR_RATING_RO_ROLLUP],0),MATCH(G$9,MMWR_RATING_RO_ROLLUP[#Headers],0)),"ERROR"))</f>
        <v>4734</v>
      </c>
      <c r="H26" s="155">
        <f>IF($B26=" ","",IFERROR(INDEX(MMWR_RATING_RO_ROLLUP[],MATCH($B26,MMWR_RATING_RO_ROLLUP[MMWR_RATING_RO_ROLLUP],0),MATCH(H$9,MMWR_RATING_RO_ROLLUP[#Headers],0)),"ERROR"))</f>
        <v>184.11309523809999</v>
      </c>
      <c r="I26" s="155">
        <f>IF($B26=" ","",IFERROR(INDEX(MMWR_RATING_RO_ROLLUP[],MATCH($B26,MMWR_RATING_RO_ROLLUP[MMWR_RATING_RO_ROLLUP],0),MATCH(I$9,MMWR_RATING_RO_ROLLUP[#Headers],0)),"ERROR"))</f>
        <v>176.42184199409999</v>
      </c>
      <c r="J26" s="157">
        <f>IF($B26=" ","",IFERROR(VLOOKUP($B26,MMWR_ACCURACY_RO[],MATCH(J$9,MMWR_ACCURACY_RO[#Headers],0),0),"ERROR"))</f>
        <v>0.90680195341278813</v>
      </c>
      <c r="K26" s="157">
        <f>IF($B26=" ","",IFERROR(VLOOKUP($B26,MMWR_ACCURACY_RO[],MATCH(K$9,MMWR_ACCURACY_RO[#Headers],0),0),"ERROR"))</f>
        <v>0.84817855843683421</v>
      </c>
      <c r="L26" s="157">
        <f>IF($B26=" ","",IFERROR(VLOOKUP($B26,MMWR_ACCURACY_RO[],MATCH(L$9,MMWR_ACCURACY_RO[#Headers],0),0),"ERROR"))</f>
        <v>0.89047310559173898</v>
      </c>
      <c r="M26" s="157">
        <f>IF($B26=" ","",IFERROR(VLOOKUP($B26,MMWR_ACCURACY_RO[],MATCH(M$9,MMWR_ACCURACY_RO[#Headers],0),0),"ERROR"))</f>
        <v>4.7394938646536461E-2</v>
      </c>
      <c r="N26" s="157">
        <f>IF($B26=" ","",IFERROR(VLOOKUP($B26,MMWR_ACCURACY_RO[],MATCH(N$9,MMWR_ACCURACY_RO[#Headers],0),0),"ERROR"))</f>
        <v>0.88265955570030807</v>
      </c>
      <c r="O26" s="157">
        <f>IF($B26=" ","",IFERROR(VLOOKUP($B26,MMWR_ACCURACY_RO[],MATCH(O$9,MMWR_ACCURACY_RO[#Headers],0),0),"ERROR"))</f>
        <v>6.0579988722067386E-2</v>
      </c>
      <c r="P26" s="28"/>
    </row>
    <row r="27" spans="1:16" x14ac:dyDescent="0.2">
      <c r="A27" s="25"/>
      <c r="B27" s="8" t="str">
        <f>VLOOKUP($B$16,DISTRICT_RO[],12,0)</f>
        <v>Providence VSC</v>
      </c>
      <c r="C27" s="154">
        <f>IF($B27=" ","",IFERROR(INDEX(MMWR_RATING_RO_ROLLUP[],MATCH($B27,MMWR_RATING_RO_ROLLUP[MMWR_RATING_RO_ROLLUP],0),MATCH(C$9,MMWR_RATING_RO_ROLLUP[#Headers],0)),"ERROR"))</f>
        <v>3827</v>
      </c>
      <c r="D27" s="155">
        <f>IF($B27=" ","",IFERROR(INDEX(MMWR_RATING_RO_ROLLUP[],MATCH($B27,MMWR_RATING_RO_ROLLUP[MMWR_RATING_RO_ROLLUP],0),MATCH(D$9,MMWR_RATING_RO_ROLLUP[#Headers],0)),"ERROR"))</f>
        <v>90.889992160999995</v>
      </c>
      <c r="E27" s="156">
        <f>IF($B27=" ","",IFERROR(INDEX(MMWR_RATING_RO_ROLLUP[],MATCH($B27,MMWR_RATING_RO_ROLLUP[MMWR_RATING_RO_ROLLUP],0),MATCH(E$9,MMWR_RATING_RO_ROLLUP[#Headers],0))/$C27,"ERROR"))</f>
        <v>0.24928142147896526</v>
      </c>
      <c r="F27" s="154">
        <f>IF($B27=" ","",IFERROR(INDEX(MMWR_RATING_RO_ROLLUP[],MATCH($B27,MMWR_RATING_RO_ROLLUP[MMWR_RATING_RO_ROLLUP],0),MATCH(F$9,MMWR_RATING_RO_ROLLUP[#Headers],0)),"ERROR"))</f>
        <v>965</v>
      </c>
      <c r="G27" s="154">
        <f>IF($B27=" ","",IFERROR(INDEX(MMWR_RATING_RO_ROLLUP[],MATCH($B27,MMWR_RATING_RO_ROLLUP[MMWR_RATING_RO_ROLLUP],0),MATCH(G$9,MMWR_RATING_RO_ROLLUP[#Headers],0)),"ERROR"))</f>
        <v>11293</v>
      </c>
      <c r="H27" s="155">
        <f>IF($B27=" ","",IFERROR(INDEX(MMWR_RATING_RO_ROLLUP[],MATCH($B27,MMWR_RATING_RO_ROLLUP[MMWR_RATING_RO_ROLLUP],0),MATCH(H$9,MMWR_RATING_RO_ROLLUP[#Headers],0)),"ERROR"))</f>
        <v>69.614507771999996</v>
      </c>
      <c r="I27" s="155">
        <f>IF($B27=" ","",IFERROR(INDEX(MMWR_RATING_RO_ROLLUP[],MATCH($B27,MMWR_RATING_RO_ROLLUP[MMWR_RATING_RO_ROLLUP],0),MATCH(I$9,MMWR_RATING_RO_ROLLUP[#Headers],0)),"ERROR"))</f>
        <v>80.552692171399997</v>
      </c>
      <c r="J27" s="157">
        <f>IF($B27=" ","",IFERROR(VLOOKUP($B27,MMWR_ACCURACY_RO[],MATCH(J$9,MMWR_ACCURACY_RO[#Headers],0),0),"ERROR"))</f>
        <v>0.95798786001290515</v>
      </c>
      <c r="K27" s="157">
        <f>IF($B27=" ","",IFERROR(VLOOKUP($B27,MMWR_ACCURACY_RO[],MATCH(K$9,MMWR_ACCURACY_RO[#Headers],0),0),"ERROR"))</f>
        <v>0.92001515553034507</v>
      </c>
      <c r="L27" s="157">
        <f>IF($B27=" ","",IFERROR(VLOOKUP($B27,MMWR_ACCURACY_RO[],MATCH(L$9,MMWR_ACCURACY_RO[#Headers],0),0),"ERROR"))</f>
        <v>0.85715713301682139</v>
      </c>
      <c r="M27" s="157">
        <f>IF($B27=" ","",IFERROR(VLOOKUP($B27,MMWR_ACCURACY_RO[],MATCH(M$9,MMWR_ACCURACY_RO[#Headers],0),0),"ERROR"))</f>
        <v>6.334556323353048E-2</v>
      </c>
      <c r="N27" s="157">
        <f>IF($B27=" ","",IFERROR(VLOOKUP($B27,MMWR_ACCURACY_RO[],MATCH(N$9,MMWR_ACCURACY_RO[#Headers],0),0),"ERROR"))</f>
        <v>0.92896146581998584</v>
      </c>
      <c r="O27" s="157">
        <f>IF($B27=" ","",IFERROR(VLOOKUP($B27,MMWR_ACCURACY_RO[],MATCH(O$9,MMWR_ACCURACY_RO[#Headers],0),0),"ERROR"))</f>
        <v>4.3014360322444531E-2</v>
      </c>
      <c r="P27" s="28"/>
    </row>
    <row r="28" spans="1:16" x14ac:dyDescent="0.2">
      <c r="A28" s="25"/>
      <c r="B28" s="8" t="str">
        <f>VLOOKUP($B$16,DISTRICT_RO[],13,0)</f>
        <v>Roanoke VSC</v>
      </c>
      <c r="C28" s="154">
        <f>IF($B28=" ","",IFERROR(INDEX(MMWR_RATING_RO_ROLLUP[],MATCH($B28,MMWR_RATING_RO_ROLLUP[MMWR_RATING_RO_ROLLUP],0),MATCH(C$9,MMWR_RATING_RO_ROLLUP[#Headers],0)),"ERROR"))</f>
        <v>3499</v>
      </c>
      <c r="D28" s="155">
        <f>IF($B28=" ","",IFERROR(INDEX(MMWR_RATING_RO_ROLLUP[],MATCH($B28,MMWR_RATING_RO_ROLLUP[MMWR_RATING_RO_ROLLUP],0),MATCH(D$9,MMWR_RATING_RO_ROLLUP[#Headers],0)),"ERROR"))</f>
        <v>93.034867104900002</v>
      </c>
      <c r="E28" s="156">
        <f>IF($B28=" ","",IFERROR(INDEX(MMWR_RATING_RO_ROLLUP[],MATCH($B28,MMWR_RATING_RO_ROLLUP[MMWR_RATING_RO_ROLLUP],0),MATCH(E$9,MMWR_RATING_RO_ROLLUP[#Headers],0))/$C28,"ERROR"))</f>
        <v>0.27350671620462991</v>
      </c>
      <c r="F28" s="154">
        <f>IF($B28=" ","",IFERROR(INDEX(MMWR_RATING_RO_ROLLUP[],MATCH($B28,MMWR_RATING_RO_ROLLUP[MMWR_RATING_RO_ROLLUP],0),MATCH(F$9,MMWR_RATING_RO_ROLLUP[#Headers],0)),"ERROR"))</f>
        <v>1054</v>
      </c>
      <c r="G28" s="154">
        <f>IF($B28=" ","",IFERROR(INDEX(MMWR_RATING_RO_ROLLUP[],MATCH($B28,MMWR_RATING_RO_ROLLUP[MMWR_RATING_RO_ROLLUP],0),MATCH(G$9,MMWR_RATING_RO_ROLLUP[#Headers],0)),"ERROR"))</f>
        <v>14657</v>
      </c>
      <c r="H28" s="155">
        <f>IF($B28=" ","",IFERROR(INDEX(MMWR_RATING_RO_ROLLUP[],MATCH($B28,MMWR_RATING_RO_ROLLUP[MMWR_RATING_RO_ROLLUP],0),MATCH(H$9,MMWR_RATING_RO_ROLLUP[#Headers],0)),"ERROR"))</f>
        <v>149.59677419350001</v>
      </c>
      <c r="I28" s="155">
        <f>IF($B28=" ","",IFERROR(INDEX(MMWR_RATING_RO_ROLLUP[],MATCH($B28,MMWR_RATING_RO_ROLLUP[MMWR_RATING_RO_ROLLUP],0),MATCH(I$9,MMWR_RATING_RO_ROLLUP[#Headers],0)),"ERROR"))</f>
        <v>135.75759022989999</v>
      </c>
      <c r="J28" s="157">
        <f>IF($B28=" ","",IFERROR(VLOOKUP($B28,MMWR_ACCURACY_RO[],MATCH(J$9,MMWR_ACCURACY_RO[#Headers],0),0),"ERROR"))</f>
        <v>0.94965168039917702</v>
      </c>
      <c r="K28" s="157">
        <f>IF($B28=" ","",IFERROR(VLOOKUP($B28,MMWR_ACCURACY_RO[],MATCH(K$9,MMWR_ACCURACY_RO[#Headers],0),0),"ERROR"))</f>
        <v>0.90889856494541887</v>
      </c>
      <c r="L28" s="157">
        <f>IF($B28=" ","",IFERROR(VLOOKUP($B28,MMWR_ACCURACY_RO[],MATCH(L$9,MMWR_ACCURACY_RO[#Headers],0),0),"ERROR"))</f>
        <v>0.90058813212864519</v>
      </c>
      <c r="M28" s="157">
        <f>IF($B28=" ","",IFERROR(VLOOKUP($B28,MMWR_ACCURACY_RO[],MATCH(M$9,MMWR_ACCURACY_RO[#Headers],0),0),"ERROR"))</f>
        <v>5.007267739440948E-2</v>
      </c>
      <c r="N28" s="157">
        <f>IF($B28=" ","",IFERROR(VLOOKUP($B28,MMWR_ACCURACY_RO[],MATCH(N$9,MMWR_ACCURACY_RO[#Headers],0),0),"ERROR"))</f>
        <v>0.91471194036455505</v>
      </c>
      <c r="O28" s="157">
        <f>IF($B28=" ","",IFERROR(VLOOKUP($B28,MMWR_ACCURACY_RO[],MATCH(O$9,MMWR_ACCURACY_RO[#Headers],0),0),"ERROR"))</f>
        <v>4.3935413472033676E-2</v>
      </c>
      <c r="P28" s="28"/>
    </row>
    <row r="29" spans="1:16" x14ac:dyDescent="0.2">
      <c r="A29" s="25"/>
      <c r="B29" s="8" t="str">
        <f>VLOOKUP($B$16,DISTRICT_RO[],14,0)</f>
        <v>Togus VSC</v>
      </c>
      <c r="C29" s="154">
        <f>IF($B29=" ","",IFERROR(INDEX(MMWR_RATING_RO_ROLLUP[],MATCH($B29,MMWR_RATING_RO_ROLLUP[MMWR_RATING_RO_ROLLUP],0),MATCH(C$9,MMWR_RATING_RO_ROLLUP[#Headers],0)),"ERROR"))</f>
        <v>4242</v>
      </c>
      <c r="D29" s="155">
        <f>IF($B29=" ","",IFERROR(INDEX(MMWR_RATING_RO_ROLLUP[],MATCH($B29,MMWR_RATING_RO_ROLLUP[MMWR_RATING_RO_ROLLUP],0),MATCH(D$9,MMWR_RATING_RO_ROLLUP[#Headers],0)),"ERROR"))</f>
        <v>110.06718529</v>
      </c>
      <c r="E29" s="156">
        <f>IF($B29=" ","",IFERROR(INDEX(MMWR_RATING_RO_ROLLUP[],MATCH($B29,MMWR_RATING_RO_ROLLUP[MMWR_RATING_RO_ROLLUP],0),MATCH(E$9,MMWR_RATING_RO_ROLLUP[#Headers],0))/$C29,"ERROR"))</f>
        <v>0.32484677039132487</v>
      </c>
      <c r="F29" s="154">
        <f>IF($B29=" ","",IFERROR(INDEX(MMWR_RATING_RO_ROLLUP[],MATCH($B29,MMWR_RATING_RO_ROLLUP[MMWR_RATING_RO_ROLLUP],0),MATCH(F$9,MMWR_RATING_RO_ROLLUP[#Headers],0)),"ERROR"))</f>
        <v>651</v>
      </c>
      <c r="G29" s="154">
        <f>IF($B29=" ","",IFERROR(INDEX(MMWR_RATING_RO_ROLLUP[],MATCH($B29,MMWR_RATING_RO_ROLLUP[MMWR_RATING_RO_ROLLUP],0),MATCH(G$9,MMWR_RATING_RO_ROLLUP[#Headers],0)),"ERROR"))</f>
        <v>7794</v>
      </c>
      <c r="H29" s="155">
        <f>IF($B29=" ","",IFERROR(INDEX(MMWR_RATING_RO_ROLLUP[],MATCH($B29,MMWR_RATING_RO_ROLLUP[MMWR_RATING_RO_ROLLUP],0),MATCH(H$9,MMWR_RATING_RO_ROLLUP[#Headers],0)),"ERROR"))</f>
        <v>149.00307219659999</v>
      </c>
      <c r="I29" s="155">
        <f>IF($B29=" ","",IFERROR(INDEX(MMWR_RATING_RO_ROLLUP[],MATCH($B29,MMWR_RATING_RO_ROLLUP[MMWR_RATING_RO_ROLLUP],0),MATCH(I$9,MMWR_RATING_RO_ROLLUP[#Headers],0)),"ERROR"))</f>
        <v>138.25876010779999</v>
      </c>
      <c r="J29" s="157">
        <f>IF($B29=" ","",IFERROR(VLOOKUP($B29,MMWR_ACCURACY_RO[],MATCH(J$9,MMWR_ACCURACY_RO[#Headers],0),0),"ERROR"))</f>
        <v>0.98428433183777608</v>
      </c>
      <c r="K29" s="157">
        <f>IF($B29=" ","",IFERROR(VLOOKUP($B29,MMWR_ACCURACY_RO[],MATCH(K$9,MMWR_ACCURACY_RO[#Headers],0),0),"ERROR"))</f>
        <v>0.90675241157556274</v>
      </c>
      <c r="L29" s="157">
        <f>IF($B29=" ","",IFERROR(VLOOKUP($B29,MMWR_ACCURACY_RO[],MATCH(L$9,MMWR_ACCURACY_RO[#Headers],0),0),"ERROR"))</f>
        <v>0.87796734813943222</v>
      </c>
      <c r="M29" s="157">
        <f>IF($B29=" ","",IFERROR(VLOOKUP($B29,MMWR_ACCURACY_RO[],MATCH(M$9,MMWR_ACCURACY_RO[#Headers],0),0),"ERROR"))</f>
        <v>5.6847485559842426E-2</v>
      </c>
      <c r="N29" s="157">
        <f>IF($B29=" ","",IFERROR(VLOOKUP($B29,MMWR_ACCURACY_RO[],MATCH(N$9,MMWR_ACCURACY_RO[#Headers],0),0),"ERROR"))</f>
        <v>0.95482820570401983</v>
      </c>
      <c r="O29" s="157">
        <f>IF($B29=" ","",IFERROR(VLOOKUP($B29,MMWR_ACCURACY_RO[],MATCH(O$9,MMWR_ACCURACY_RO[#Headers],0),0),"ERROR"))</f>
        <v>3.9342749550427103E-2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719</v>
      </c>
      <c r="D30" s="155">
        <f>IF($B30=" ","",IFERROR(INDEX(MMWR_RATING_RO_ROLLUP[],MATCH($B30,MMWR_RATING_RO_ROLLUP[MMWR_RATING_RO_ROLLUP],0),MATCH(D$9,MMWR_RATING_RO_ROLLUP[#Headers],0)),"ERROR"))</f>
        <v>96.116828929099995</v>
      </c>
      <c r="E30" s="156">
        <f>IF($B30=" ","",IFERROR(INDEX(MMWR_RATING_RO_ROLLUP[],MATCH($B30,MMWR_RATING_RO_ROLLUP[MMWR_RATING_RO_ROLLUP],0),MATCH(E$9,MMWR_RATING_RO_ROLLUP[#Headers],0))/$C30,"ERROR"))</f>
        <v>0.26008344923504867</v>
      </c>
      <c r="F30" s="154">
        <f>IF($B30=" ","",IFERROR(INDEX(MMWR_RATING_RO_ROLLUP[],MATCH($B30,MMWR_RATING_RO_ROLLUP[MMWR_RATING_RO_ROLLUP],0),MATCH(F$9,MMWR_RATING_RO_ROLLUP[#Headers],0)),"ERROR"))</f>
        <v>67</v>
      </c>
      <c r="G30" s="154">
        <f>IF($B30=" ","",IFERROR(INDEX(MMWR_RATING_RO_ROLLUP[],MATCH($B30,MMWR_RATING_RO_ROLLUP[MMWR_RATING_RO_ROLLUP],0),MATCH(G$9,MMWR_RATING_RO_ROLLUP[#Headers],0)),"ERROR"))</f>
        <v>891</v>
      </c>
      <c r="H30" s="155">
        <f>IF($B30=" ","",IFERROR(INDEX(MMWR_RATING_RO_ROLLUP[],MATCH($B30,MMWR_RATING_RO_ROLLUP[MMWR_RATING_RO_ROLLUP],0),MATCH(H$9,MMWR_RATING_RO_ROLLUP[#Headers],0)),"ERROR"))</f>
        <v>143.4626865672</v>
      </c>
      <c r="I30" s="155">
        <f>IF($B30=" ","",IFERROR(INDEX(MMWR_RATING_RO_ROLLUP[],MATCH($B30,MMWR_RATING_RO_ROLLUP[MMWR_RATING_RO_ROLLUP],0),MATCH(I$9,MMWR_RATING_RO_ROLLUP[#Headers],0)),"ERROR"))</f>
        <v>160.80808080809999</v>
      </c>
      <c r="J30" s="157">
        <f>IF($B30=" ","",IFERROR(VLOOKUP($B30,MMWR_ACCURACY_RO[],MATCH(J$9,MMWR_ACCURACY_RO[#Headers],0),0),"ERROR"))</f>
        <v>0.91065920267866485</v>
      </c>
      <c r="K30" s="157">
        <f>IF($B30=" ","",IFERROR(VLOOKUP($B30,MMWR_ACCURACY_RO[],MATCH(K$9,MMWR_ACCURACY_RO[#Headers],0),0),"ERROR"))</f>
        <v>0.75269611341039921</v>
      </c>
      <c r="L30" s="157">
        <f>IF($B30=" ","",IFERROR(VLOOKUP($B30,MMWR_ACCURACY_RO[],MATCH(L$9,MMWR_ACCURACY_RO[#Headers],0),0),"ERROR"))</f>
        <v>0.83407208913926767</v>
      </c>
      <c r="M30" s="157">
        <f>IF($B30=" ","",IFERROR(VLOOKUP($B30,MMWR_ACCURACY_RO[],MATCH(M$9,MMWR_ACCURACY_RO[#Headers],0),0),"ERROR"))</f>
        <v>5.2283654255967489E-2</v>
      </c>
      <c r="N30" s="157">
        <f>IF($B30=" ","",IFERROR(VLOOKUP($B30,MMWR_ACCURACY_RO[],MATCH(N$9,MMWR_ACCURACY_RO[#Headers],0),0),"ERROR"))</f>
        <v>0.90382260101010092</v>
      </c>
      <c r="O30" s="157">
        <f>IF($B30=" ","",IFERROR(VLOOKUP($B30,MMWR_ACCURACY_RO[],MATCH(O$9,MMWR_ACCURACY_RO[#Headers],0),0),"ERROR"))</f>
        <v>4.0650383914480843E-2</v>
      </c>
      <c r="P30" s="28"/>
    </row>
    <row r="31" spans="1:16" x14ac:dyDescent="0.2">
      <c r="A31" s="25"/>
      <c r="B31" s="8" t="str">
        <f>VLOOKUP($B$16,DISTRICT_RO[],16,0)</f>
        <v>Wilmington VSC</v>
      </c>
      <c r="C31" s="154">
        <f>IF($B31=" ","",IFERROR(INDEX(MMWR_RATING_RO_ROLLUP[],MATCH($B31,MMWR_RATING_RO_ROLLUP[MMWR_RATING_RO_ROLLUP],0),MATCH(C$9,MMWR_RATING_RO_ROLLUP[#Headers],0)),"ERROR"))</f>
        <v>634</v>
      </c>
      <c r="D31" s="155">
        <f>IF($B31=" ","",IFERROR(INDEX(MMWR_RATING_RO_ROLLUP[],MATCH($B31,MMWR_RATING_RO_ROLLUP[MMWR_RATING_RO_ROLLUP],0),MATCH(D$9,MMWR_RATING_RO_ROLLUP[#Headers],0)),"ERROR"))</f>
        <v>81.897476340699995</v>
      </c>
      <c r="E31" s="156">
        <f>IF($B31=" ","",IFERROR(INDEX(MMWR_RATING_RO_ROLLUP[],MATCH($B31,MMWR_RATING_RO_ROLLUP[MMWR_RATING_RO_ROLLUP],0),MATCH(E$9,MMWR_RATING_RO_ROLLUP[#Headers],0))/$C31,"ERROR"))</f>
        <v>0.19558359621451105</v>
      </c>
      <c r="F31" s="154">
        <f>IF($B31=" ","",IFERROR(INDEX(MMWR_RATING_RO_ROLLUP[],MATCH($B31,MMWR_RATING_RO_ROLLUP[MMWR_RATING_RO_ROLLUP],0),MATCH(F$9,MMWR_RATING_RO_ROLLUP[#Headers],0)),"ERROR"))</f>
        <v>44</v>
      </c>
      <c r="G31" s="154">
        <f>IF($B31=" ","",IFERROR(INDEX(MMWR_RATING_RO_ROLLUP[],MATCH($B31,MMWR_RATING_RO_ROLLUP[MMWR_RATING_RO_ROLLUP],0),MATCH(G$9,MMWR_RATING_RO_ROLLUP[#Headers],0)),"ERROR"))</f>
        <v>599</v>
      </c>
      <c r="H31" s="155">
        <f>IF($B31=" ","",IFERROR(INDEX(MMWR_RATING_RO_ROLLUP[],MATCH($B31,MMWR_RATING_RO_ROLLUP[MMWR_RATING_RO_ROLLUP],0),MATCH(H$9,MMWR_RATING_RO_ROLLUP[#Headers],0)),"ERROR"))</f>
        <v>100.04545454549999</v>
      </c>
      <c r="I31" s="155">
        <f>IF($B31=" ","",IFERROR(INDEX(MMWR_RATING_RO_ROLLUP[],MATCH($B31,MMWR_RATING_RO_ROLLUP[MMWR_RATING_RO_ROLLUP],0),MATCH(I$9,MMWR_RATING_RO_ROLLUP[#Headers],0)),"ERROR"))</f>
        <v>120.7128547579</v>
      </c>
      <c r="J31" s="157">
        <f>IF($B31=" ","",IFERROR(VLOOKUP($B31,MMWR_ACCURACY_RO[],MATCH(J$9,MMWR_ACCURACY_RO[#Headers],0),0),"ERROR"))</f>
        <v>0.93981307560078786</v>
      </c>
      <c r="K31" s="157">
        <f>IF($B31=" ","",IFERROR(VLOOKUP($B31,MMWR_ACCURACY_RO[],MATCH(K$9,MMWR_ACCURACY_RO[#Headers],0),0),"ERROR"))</f>
        <v>0.89596337910944657</v>
      </c>
      <c r="L31" s="157">
        <f>IF($B31=" ","",IFERROR(VLOOKUP($B31,MMWR_ACCURACY_RO[],MATCH(L$9,MMWR_ACCURACY_RO[#Headers],0),0),"ERROR"))</f>
        <v>0.86461939288212908</v>
      </c>
      <c r="M31" s="157">
        <f>IF($B31=" ","",IFERROR(VLOOKUP($B31,MMWR_ACCURACY_RO[],MATCH(M$9,MMWR_ACCURACY_RO[#Headers],0),0),"ERROR"))</f>
        <v>4.9839851386708107E-2</v>
      </c>
      <c r="N31" s="157">
        <f>IF($B31=" ","",IFERROR(VLOOKUP($B31,MMWR_ACCURACY_RO[],MATCH(N$9,MMWR_ACCURACY_RO[#Headers],0),0),"ERROR"))</f>
        <v>0.87411245155810391</v>
      </c>
      <c r="O31" s="157">
        <f>IF($B31=" ","",IFERROR(VLOOKUP($B31,MMWR_ACCURACY_RO[],MATCH(O$9,MMWR_ACCURACY_RO[#Headers],0),0),"ERROR"))</f>
        <v>5.4843963057410294E-2</v>
      </c>
      <c r="P31" s="28"/>
    </row>
    <row r="32" spans="1:16" x14ac:dyDescent="0.2">
      <c r="A32" s="25"/>
      <c r="B32" s="8" t="str">
        <f>VLOOKUP($B$16,DISTRICT_RO[],17,0)</f>
        <v>Winston-Salem VSC</v>
      </c>
      <c r="C32" s="154">
        <f>IF($B32=" ","",IFERROR(INDEX(MMWR_RATING_RO_ROLLUP[],MATCH($B32,MMWR_RATING_RO_ROLLUP[MMWR_RATING_RO_ROLLUP],0),MATCH(C$9,MMWR_RATING_RO_ROLLUP[#Headers],0)),"ERROR"))</f>
        <v>13099</v>
      </c>
      <c r="D32" s="155">
        <f>IF($B32=" ","",IFERROR(INDEX(MMWR_RATING_RO_ROLLUP[],MATCH($B32,MMWR_RATING_RO_ROLLUP[MMWR_RATING_RO_ROLLUP],0),MATCH(D$9,MMWR_RATING_RO_ROLLUP[#Headers],0)),"ERROR"))</f>
        <v>78.178257882300002</v>
      </c>
      <c r="E32" s="156">
        <f>IF($B32=" ","",IFERROR(INDEX(MMWR_RATING_RO_ROLLUP[],MATCH($B32,MMWR_RATING_RO_ROLLUP[MMWR_RATING_RO_ROLLUP],0),MATCH(E$9,MMWR_RATING_RO_ROLLUP[#Headers],0))/$C32,"ERROR"))</f>
        <v>0.18299106802045959</v>
      </c>
      <c r="F32" s="154">
        <f>IF($B32=" ","",IFERROR(INDEX(MMWR_RATING_RO_ROLLUP[],MATCH($B32,MMWR_RATING_RO_ROLLUP[MMWR_RATING_RO_ROLLUP],0),MATCH(F$9,MMWR_RATING_RO_ROLLUP[#Headers],0)),"ERROR"))</f>
        <v>1337</v>
      </c>
      <c r="G32" s="154">
        <f>IF($B32=" ","",IFERROR(INDEX(MMWR_RATING_RO_ROLLUP[],MATCH($B32,MMWR_RATING_RO_ROLLUP[MMWR_RATING_RO_ROLLUP],0),MATCH(G$9,MMWR_RATING_RO_ROLLUP[#Headers],0)),"ERROR"))</f>
        <v>14831</v>
      </c>
      <c r="H32" s="155">
        <f>IF($B32=" ","",IFERROR(INDEX(MMWR_RATING_RO_ROLLUP[],MATCH($B32,MMWR_RATING_RO_ROLLUP[MMWR_RATING_RO_ROLLUP],0),MATCH(H$9,MMWR_RATING_RO_ROLLUP[#Headers],0)),"ERROR"))</f>
        <v>125.6133133882</v>
      </c>
      <c r="I32" s="155">
        <f>IF($B32=" ","",IFERROR(INDEX(MMWR_RATING_RO_ROLLUP[],MATCH($B32,MMWR_RATING_RO_ROLLUP[MMWR_RATING_RO_ROLLUP],0),MATCH(I$9,MMWR_RATING_RO_ROLLUP[#Headers],0)),"ERROR"))</f>
        <v>138.14078619110001</v>
      </c>
      <c r="J32" s="157">
        <f>IF($B32=" ","",IFERROR(VLOOKUP($B32,MMWR_ACCURACY_RO[],MATCH(J$9,MMWR_ACCURACY_RO[#Headers],0),0),"ERROR"))</f>
        <v>0.96463071464182426</v>
      </c>
      <c r="K32" s="157">
        <f>IF($B32=" ","",IFERROR(VLOOKUP($B32,MMWR_ACCURACY_RO[],MATCH(K$9,MMWR_ACCURACY_RO[#Headers],0),0),"ERROR"))</f>
        <v>0.83396470067788231</v>
      </c>
      <c r="L32" s="157">
        <f>IF($B32=" ","",IFERROR(VLOOKUP($B32,MMWR_ACCURACY_RO[],MATCH(L$9,MMWR_ACCURACY_RO[#Headers],0),0),"ERROR"))</f>
        <v>0.83450003385804394</v>
      </c>
      <c r="M32" s="157">
        <f>IF($B32=" ","",IFERROR(VLOOKUP($B32,MMWR_ACCURACY_RO[],MATCH(M$9,MMWR_ACCURACY_RO[#Headers],0),0),"ERROR"))</f>
        <v>5.3520418773903559E-2</v>
      </c>
      <c r="N32" s="157">
        <f>IF($B32=" ","",IFERROR(VLOOKUP($B32,MMWR_ACCURACY_RO[],MATCH(N$9,MMWR_ACCURACY_RO[#Headers],0),0),"ERROR"))</f>
        <v>0.93483940936385457</v>
      </c>
      <c r="O32" s="157">
        <f>IF($B32=" ","",IFERROR(VLOOKUP($B32,MMWR_ACCURACY_RO[],MATCH(O$9,MMWR_ACCURACY_RO[#Headers],0),0),"ERROR"))</f>
        <v>4.0211457684258815E-2</v>
      </c>
      <c r="P32" s="28"/>
    </row>
    <row r="33" spans="1:16" x14ac:dyDescent="0.2">
      <c r="A33" s="25"/>
      <c r="B33" s="377" t="s">
        <v>734</v>
      </c>
      <c r="C33" s="378"/>
      <c r="D33" s="378"/>
      <c r="E33" s="378"/>
      <c r="F33" s="378"/>
      <c r="G33" s="378"/>
      <c r="H33" s="378"/>
      <c r="I33" s="378"/>
      <c r="J33" s="378"/>
      <c r="K33" s="378"/>
      <c r="L33" s="378"/>
      <c r="M33" s="378"/>
      <c r="N33" s="378"/>
      <c r="O33" s="378"/>
      <c r="P33" s="28"/>
    </row>
    <row r="34" spans="1:16" x14ac:dyDescent="0.2">
      <c r="A34" s="25"/>
      <c r="B34" s="11" t="s">
        <v>697</v>
      </c>
      <c r="C34" s="154">
        <f>IF($B34=" ","",IFERROR(INDEX(MMWR_RATING_RO_ROLLUP[],MATCH($B34,MMWR_RATING_RO_ROLLUP[MMWR_RATING_RO_ROLLUP],0),MATCH(C$9,MMWR_RATING_RO_ROLLUP[#Headers],0)),"ERROR"))</f>
        <v>26095</v>
      </c>
      <c r="D34" s="155">
        <f>IF($B34=" ","",IFERROR(INDEX(MMWR_RATING_RO_ROLLUP[],MATCH($B34,MMWR_RATING_RO_ROLLUP[MMWR_RATING_RO_ROLLUP],0),MATCH(D$9,MMWR_RATING_RO_ROLLUP[#Headers],0)),"ERROR"))</f>
        <v>69.233339720299995</v>
      </c>
      <c r="E34" s="156">
        <f>IF($B34=" ","",IFERROR(INDEX(MMWR_RATING_RO_ROLLUP[],MATCH($B34,MMWR_RATING_RO_ROLLUP[MMWR_RATING_RO_ROLLUP],0),MATCH(E$9,MMWR_RATING_RO_ROLLUP[#Headers],0))/$C34,"ERROR"))</f>
        <v>0.12860701283770837</v>
      </c>
      <c r="F34" s="154">
        <f>IF($B34=" ","",IFERROR(INDEX(MMWR_RATING_RO_ROLLUP[],MATCH($B34,MMWR_RATING_RO_ROLLUP[MMWR_RATING_RO_ROLLUP],0),MATCH(F$9,MMWR_RATING_RO_ROLLUP[#Headers],0)),"ERROR"))</f>
        <v>5170</v>
      </c>
      <c r="G34" s="154">
        <f>IF($B34=" ","",IFERROR(INDEX(MMWR_RATING_RO_ROLLUP[],MATCH($B34,MMWR_RATING_RO_ROLLUP[MMWR_RATING_RO_ROLLUP],0),MATCH(G$9,MMWR_RATING_RO_ROLLUP[#Headers],0)),"ERROR"))</f>
        <v>64861</v>
      </c>
      <c r="H34" s="155">
        <f>IF($B34=" ","",IFERROR(INDEX(MMWR_RATING_RO_ROLLUP[],MATCH($B34,MMWR_RATING_RO_ROLLUP[MMWR_RATING_RO_ROLLUP],0),MATCH(H$9,MMWR_RATING_RO_ROLLUP[#Headers],0)),"ERROR"))</f>
        <v>83.953578336600003</v>
      </c>
      <c r="I34" s="155">
        <f>IF($B34=" ","",IFERROR(INDEX(MMWR_RATING_RO_ROLLUP[],MATCH($B34,MMWR_RATING_RO_ROLLUP[MMWR_RATING_RO_ROLLUP],0),MATCH(I$9,MMWR_RATING_RO_ROLLUP[#Headers],0)),"ERROR"))</f>
        <v>76.234154088099999</v>
      </c>
      <c r="J34" s="42"/>
      <c r="K34" s="262">
        <f>IF($B34=" ","",IFERROR(VLOOKUP($B34,MMWR_ACCURACY_RO[],MATCH(K$50,MMWR_ACCURACY_RO[#Headers],0),0),"ERROR"))</f>
        <v>0.90256863252037189</v>
      </c>
      <c r="L34" s="262">
        <f>IF($B34=" ","",IFERROR(VLOOKUP($B34,MMWR_ACCURACY_RO[],MATCH(L$50,MMWR_ACCURACY_RO[#Headers],0),0),"ERROR"))</f>
        <v>0.94991467966112864</v>
      </c>
      <c r="M34" s="262">
        <f>IF($B34=" ","",IFERROR(VLOOKUP($B34,MMWR_ACCURACY_RO[],MATCH(M$50,MMWR_ACCURACY_RO[#Headers],0),0),"ERROR"))</f>
        <v>2.1965192651069002E-2</v>
      </c>
      <c r="N34" s="262">
        <f>IF($B34=" ","",IFERROR(VLOOKUP($B34,MMWR_ACCURACY_RO[],MATCH(N$50,MMWR_ACCURACY_RO[#Headers],0),0),"ERROR"))</f>
        <v>0.96860189371887662</v>
      </c>
      <c r="O34" s="262">
        <f>IF($B34=" ","",IFERROR(VLOOKUP($B34,MMWR_ACCURACY_RO[],MATCH(O$50,MMWR_ACCURACY_RO[#Headers],0),0),"ERROR"))</f>
        <v>1.8412519106738544E-2</v>
      </c>
      <c r="P34" s="28"/>
    </row>
    <row r="35" spans="1:16" x14ac:dyDescent="0.2">
      <c r="A35" s="25"/>
      <c r="B35" s="12" t="s">
        <v>210</v>
      </c>
      <c r="C35" s="154">
        <f>IF($B35=" ","",IFERROR(INDEX(MMWR_RATING_RO_ROLLUP[],MATCH($B35,MMWR_RATING_RO_ROLLUP[MMWR_RATING_RO_ROLLUP],0),MATCH(C$9,MMWR_RATING_RO_ROLLUP[#Headers],0)),"ERROR"))</f>
        <v>12499</v>
      </c>
      <c r="D35" s="155">
        <f>IF($B35=" ","",IFERROR(INDEX(MMWR_RATING_RO_ROLLUP[],MATCH($B35,MMWR_RATING_RO_ROLLUP[MMWR_RATING_RO_ROLLUP],0),MATCH(D$9,MMWR_RATING_RO_ROLLUP[#Headers],0)),"ERROR"))</f>
        <v>68.161932954600005</v>
      </c>
      <c r="E35" s="156">
        <f>IF($B35=" ","",IFERROR(INDEX(MMWR_RATING_RO_ROLLUP[],MATCH($B35,MMWR_RATING_RO_ROLLUP[MMWR_RATING_RO_ROLLUP],0),MATCH(E$9,MMWR_RATING_RO_ROLLUP[#Headers],0))/$C35,"ERROR"))</f>
        <v>0.12649011920953676</v>
      </c>
      <c r="F35" s="154">
        <f>IF($B35=" ","",IFERROR(INDEX(MMWR_RATING_RO_ROLLUP[],MATCH($B35,MMWR_RATING_RO_ROLLUP[MMWR_RATING_RO_ROLLUP],0),MATCH(F$9,MMWR_RATING_RO_ROLLUP[#Headers],0)),"ERROR"))</f>
        <v>1724</v>
      </c>
      <c r="G35" s="154">
        <f>IF($B35=" ","",IFERROR(INDEX(MMWR_RATING_RO_ROLLUP[],MATCH($B35,MMWR_RATING_RO_ROLLUP[MMWR_RATING_RO_ROLLUP],0),MATCH(G$9,MMWR_RATING_RO_ROLLUP[#Headers],0)),"ERROR"))</f>
        <v>20936</v>
      </c>
      <c r="H35" s="155">
        <f>IF($B35=" ","",IFERROR(INDEX(MMWR_RATING_RO_ROLLUP[],MATCH($B35,MMWR_RATING_RO_ROLLUP[MMWR_RATING_RO_ROLLUP],0),MATCH(H$9,MMWR_RATING_RO_ROLLUP[#Headers],0)),"ERROR"))</f>
        <v>106.9245939675</v>
      </c>
      <c r="I35" s="155">
        <f>IF($B35=" ","",IFERROR(INDEX(MMWR_RATING_RO_ROLLUP[],MATCH($B35,MMWR_RATING_RO_ROLLUP[MMWR_RATING_RO_ROLLUP],0),MATCH(I$9,MMWR_RATING_RO_ROLLUP[#Headers],0)),"ERROR"))</f>
        <v>93.212982422600007</v>
      </c>
      <c r="J35" s="42"/>
      <c r="K35" s="251">
        <f>IF($B35=" ","",IFERROR(VLOOKUP($B35,MMWR_ACCURACY_RO[],MATCH(K$50,MMWR_ACCURACY_RO[#Headers],0),0),"ERROR"))</f>
        <v>0.87550630160799647</v>
      </c>
      <c r="L35" s="251">
        <f>IF($B35=" ","",IFERROR(VLOOKUP($B35,MMWR_ACCURACY_RO[],MATCH(L$50,MMWR_ACCURACY_RO[#Headers],0),0),"ERROR"))</f>
        <v>0.92704294329542236</v>
      </c>
      <c r="M35" s="251">
        <f>IF($B35=" ","",IFERROR(VLOOKUP($B35,MMWR_ACCURACY_RO[],MATCH(M$50,MMWR_ACCURACY_RO[#Headers],0),0),"ERROR"))</f>
        <v>4.3471140061487432E-2</v>
      </c>
      <c r="N35" s="251">
        <f>IF($B35=" ","",IFERROR(VLOOKUP($B35,MMWR_ACCURACY_RO[],MATCH(N$50,MMWR_ACCURACY_RO[#Headers],0),0),"ERROR"))</f>
        <v>0.92988522134158136</v>
      </c>
      <c r="O35" s="251">
        <f>IF($B35=" ","",IFERROR(VLOOKUP($B35,MMWR_ACCURACY_RO[],MATCH(O$50,MMWR_ACCURACY_RO[#Headers],0),0),"ERROR"))</f>
        <v>4.854351026991871E-2</v>
      </c>
      <c r="P35" s="28"/>
    </row>
    <row r="36" spans="1:16" x14ac:dyDescent="0.2">
      <c r="A36" s="43"/>
      <c r="B36" s="12" t="s">
        <v>209</v>
      </c>
      <c r="C36" s="154">
        <f>IF($B36=" ","",IFERROR(INDEX(MMWR_RATING_RO_ROLLUP[],MATCH($B36,MMWR_RATING_RO_ROLLUP[MMWR_RATING_RO_ROLLUP],0),MATCH(C$9,MMWR_RATING_RO_ROLLUP[#Headers],0)),"ERROR"))</f>
        <v>5966</v>
      </c>
      <c r="D36" s="155">
        <f>IF($B36=" ","",IFERROR(INDEX(MMWR_RATING_RO_ROLLUP[],MATCH($B36,MMWR_RATING_RO_ROLLUP[MMWR_RATING_RO_ROLLUP],0),MATCH(D$9,MMWR_RATING_RO_ROLLUP[#Headers],0)),"ERROR"))</f>
        <v>67.851156553799996</v>
      </c>
      <c r="E36" s="156">
        <f>IF($B36=" ","",IFERROR(INDEX(MMWR_RATING_RO_ROLLUP[],MATCH($B36,MMWR_RATING_RO_ROLLUP[MMWR_RATING_RO_ROLLUP],0),MATCH(E$9,MMWR_RATING_RO_ROLLUP[#Headers],0))/$C36,"ERROR"))</f>
        <v>0.13878645658732819</v>
      </c>
      <c r="F36" s="154">
        <f>IF($B36=" ","",IFERROR(INDEX(MMWR_RATING_RO_ROLLUP[],MATCH($B36,MMWR_RATING_RO_ROLLUP[MMWR_RATING_RO_ROLLUP],0),MATCH(F$9,MMWR_RATING_RO_ROLLUP[#Headers],0)),"ERROR"))</f>
        <v>1456</v>
      </c>
      <c r="G36" s="154">
        <f>IF($B36=" ","",IFERROR(INDEX(MMWR_RATING_RO_ROLLUP[],MATCH($B36,MMWR_RATING_RO_ROLLUP[MMWR_RATING_RO_ROLLUP],0),MATCH(G$9,MMWR_RATING_RO_ROLLUP[#Headers],0)),"ERROR"))</f>
        <v>18601</v>
      </c>
      <c r="H36" s="155">
        <f>IF($B36=" ","",IFERROR(INDEX(MMWR_RATING_RO_ROLLUP[],MATCH($B36,MMWR_RATING_RO_ROLLUP[MMWR_RATING_RO_ROLLUP],0),MATCH(H$9,MMWR_RATING_RO_ROLLUP[#Headers],0)),"ERROR"))</f>
        <v>74.931318681299999</v>
      </c>
      <c r="I36" s="155">
        <f>IF($B36=" ","",IFERROR(INDEX(MMWR_RATING_RO_ROLLUP[],MATCH($B36,MMWR_RATING_RO_ROLLUP[MMWR_RATING_RO_ROLLUP],0),MATCH(I$9,MMWR_RATING_RO_ROLLUP[#Headers],0)),"ERROR"))</f>
        <v>71.412397182899994</v>
      </c>
      <c r="J36" s="42"/>
      <c r="K36" s="251">
        <f>IF($B36=" ","",IFERROR(VLOOKUP($B36,MMWR_ACCURACY_RO[],MATCH(K$50,MMWR_ACCURACY_RO[#Headers],0),0),"ERROR"))</f>
        <v>0.92422260144103152</v>
      </c>
      <c r="L36" s="251">
        <f>IF($B36=" ","",IFERROR(VLOOKUP($B36,MMWR_ACCURACY_RO[],MATCH(L$50,MMWR_ACCURACY_RO[#Headers],0),0),"ERROR"))</f>
        <v>0.93853459984072274</v>
      </c>
      <c r="M36" s="251">
        <f>IF($B36=" ","",IFERROR(VLOOKUP($B36,MMWR_ACCURACY_RO[],MATCH(M$50,MMWR_ACCURACY_RO[#Headers],0),0),"ERROR"))</f>
        <v>4.2579632236083145E-2</v>
      </c>
      <c r="N36" s="251">
        <f>IF($B36=" ","",IFERROR(VLOOKUP($B36,MMWR_ACCURACY_RO[],MATCH(N$50,MMWR_ACCURACY_RO[#Headers],0),0),"ERROR"))</f>
        <v>0.98716762796096769</v>
      </c>
      <c r="O36" s="251">
        <f>IF($B36=" ","",IFERROR(VLOOKUP($B36,MMWR_ACCURACY_RO[],MATCH(O$50,MMWR_ACCURACY_RO[#Headers],0),0),"ERROR"))</f>
        <v>1.4458487764192113E-2</v>
      </c>
      <c r="P36" s="28"/>
    </row>
    <row r="37" spans="1:16" x14ac:dyDescent="0.2">
      <c r="A37" s="25"/>
      <c r="B37" s="12" t="s">
        <v>212</v>
      </c>
      <c r="C37" s="154">
        <f>IF($B37=" ","",IFERROR(INDEX(MMWR_RATING_RO_ROLLUP[],MATCH($B37,MMWR_RATING_RO_ROLLUP[MMWR_RATING_RO_ROLLUP],0),MATCH(C$9,MMWR_RATING_RO_ROLLUP[#Headers],0)),"ERROR"))</f>
        <v>6955</v>
      </c>
      <c r="D37" s="155">
        <f>IF($B37=" ","",IFERROR(INDEX(MMWR_RATING_RO_ROLLUP[],MATCH($B37,MMWR_RATING_RO_ROLLUP[MMWR_RATING_RO_ROLLUP],0),MATCH(D$9,MMWR_RATING_RO_ROLLUP[#Headers],0)),"ERROR"))</f>
        <v>60.490007189099998</v>
      </c>
      <c r="E37" s="156">
        <f>IF($B37=" ","",IFERROR(INDEX(MMWR_RATING_RO_ROLLUP[],MATCH($B37,MMWR_RATING_RO_ROLLUP[MMWR_RATING_RO_ROLLUP],0),MATCH(E$9,MMWR_RATING_RO_ROLLUP[#Headers],0))/$C37,"ERROR"))</f>
        <v>8.1092739036664266E-2</v>
      </c>
      <c r="F37" s="154">
        <f>IF($B37=" ","",IFERROR(INDEX(MMWR_RATING_RO_ROLLUP[],MATCH($B37,MMWR_RATING_RO_ROLLUP[MMWR_RATING_RO_ROLLUP],0),MATCH(F$9,MMWR_RATING_RO_ROLLUP[#Headers],0)),"ERROR"))</f>
        <v>1859</v>
      </c>
      <c r="G37" s="154">
        <f>IF($B37=" ","",IFERROR(INDEX(MMWR_RATING_RO_ROLLUP[],MATCH($B37,MMWR_RATING_RO_ROLLUP[MMWR_RATING_RO_ROLLUP],0),MATCH(G$9,MMWR_RATING_RO_ROLLUP[#Headers],0)),"ERROR"))</f>
        <v>23352</v>
      </c>
      <c r="H37" s="155">
        <f>IF($B37=" ","",IFERROR(INDEX(MMWR_RATING_RO_ROLLUP[],MATCH($B37,MMWR_RATING_RO_ROLLUP[MMWR_RATING_RO_ROLLUP],0),MATCH(H$9,MMWR_RATING_RO_ROLLUP[#Headers],0)),"ERROR"))</f>
        <v>72.9429800968</v>
      </c>
      <c r="I37" s="155">
        <f>IF($B37=" ","",IFERROR(INDEX(MMWR_RATING_RO_ROLLUP[],MATCH($B37,MMWR_RATING_RO_ROLLUP[MMWR_RATING_RO_ROLLUP],0),MATCH(I$9,MMWR_RATING_RO_ROLLUP[#Headers],0)),"ERROR"))</f>
        <v>67.763083511800005</v>
      </c>
      <c r="J37" s="42"/>
      <c r="K37" s="251">
        <f>IF($B37=" ","",IFERROR(VLOOKUP($B37,MMWR_ACCURACY_RO[],MATCH(K$50,MMWR_ACCURACY_RO[#Headers],0),0),"ERROR"))</f>
        <v>0.90907012593405445</v>
      </c>
      <c r="L37" s="251">
        <f>IF($B37=" ","",IFERROR(VLOOKUP($B37,MMWR_ACCURACY_RO[],MATCH(L$50,MMWR_ACCURACY_RO[#Headers],0),0),"ERROR"))</f>
        <v>0.97911641164116403</v>
      </c>
      <c r="M37" s="251">
        <f>IF($B37=" ","",IFERROR(VLOOKUP($B37,MMWR_ACCURACY_RO[],MATCH(M$50,MMWR_ACCURACY_RO[#Headers],0),0),"ERROR"))</f>
        <v>2.5382772230777704E-2</v>
      </c>
      <c r="N37" s="251">
        <f>IF($B37=" ","",IFERROR(VLOOKUP($B37,MMWR_ACCURACY_RO[],MATCH(N$50,MMWR_ACCURACY_RO[#Headers],0),0),"ERROR"))</f>
        <v>0.99046064280963619</v>
      </c>
      <c r="O37" s="251">
        <f>IF($B37=" ","",IFERROR(VLOOKUP($B37,MMWR_ACCURACY_RO[],MATCH(O$50,MMWR_ACCURACY_RO[#Headers],0),0),"ERROR"))</f>
        <v>1.4221748131100186E-2</v>
      </c>
      <c r="P37" s="28"/>
    </row>
    <row r="38" spans="1:16" x14ac:dyDescent="0.2">
      <c r="A38" s="25"/>
      <c r="B38" s="13" t="s">
        <v>224</v>
      </c>
      <c r="C38" s="154">
        <f>IF($B38=" ","",IFERROR(INDEX(MMWR_RATING_RO_ROLLUP[],MATCH($B38,MMWR_RATING_RO_ROLLUP[MMWR_RATING_RO_ROLLUP],0),MATCH(C$9,MMWR_RATING_RO_ROLLUP[#Headers],0)),"ERROR"))</f>
        <v>675</v>
      </c>
      <c r="D38" s="155">
        <f>IF($B38=" ","",IFERROR(INDEX(MMWR_RATING_RO_ROLLUP[],MATCH($B38,MMWR_RATING_RO_ROLLUP[MMWR_RATING_RO_ROLLUP],0),MATCH(D$9,MMWR_RATING_RO_ROLLUP[#Headers],0)),"ERROR"))</f>
        <v>191.37777777779999</v>
      </c>
      <c r="E38" s="156">
        <f>IF($B38=" ","",IFERROR(INDEX(MMWR_RATING_RO_ROLLUP[],MATCH($B38,MMWR_RATING_RO_ROLLUP[MMWR_RATING_RO_ROLLUP],0),MATCH(E$9,MMWR_RATING_RO_ROLLUP[#Headers],0))/$C38,"ERROR"))</f>
        <v>0.56740740740740736</v>
      </c>
      <c r="F38" s="154">
        <f>IF($B38=" ","",IFERROR(INDEX(MMWR_RATING_RO_ROLLUP[],MATCH($B38,MMWR_RATING_RO_ROLLUP[MMWR_RATING_RO_ROLLUP],0),MATCH(F$9,MMWR_RATING_RO_ROLLUP[#Headers],0)),"ERROR"))</f>
        <v>131</v>
      </c>
      <c r="G38" s="154">
        <f>IF($B38=" ","",IFERROR(INDEX(MMWR_RATING_RO_ROLLUP[],MATCH($B38,MMWR_RATING_RO_ROLLUP[MMWR_RATING_RO_ROLLUP],0),MATCH(G$9,MMWR_RATING_RO_ROLLUP[#Headers],0)),"ERROR"))</f>
        <v>1972</v>
      </c>
      <c r="H38" s="155">
        <f>IF($B38=" ","",IFERROR(INDEX(MMWR_RATING_RO_ROLLUP[],MATCH($B38,MMWR_RATING_RO_ROLLUP[MMWR_RATING_RO_ROLLUP],0),MATCH(H$9,MMWR_RATING_RO_ROLLUP[#Headers],0)),"ERROR"))</f>
        <v>38.175572519100001</v>
      </c>
      <c r="I38" s="155">
        <f>IF($B38=" ","",IFERROR(INDEX(MMWR_RATING_RO_ROLLUP[],MATCH($B38,MMWR_RATING_RO_ROLLUP[MMWR_RATING_RO_ROLLUP],0),MATCH(I$9,MMWR_RATING_RO_ROLLUP[#Headers],0)),"ERROR"))</f>
        <v>41.761663286000001</v>
      </c>
      <c r="J38" s="42"/>
      <c r="K38" s="42"/>
      <c r="L38" s="42"/>
      <c r="M38" s="42"/>
      <c r="N38" s="42"/>
      <c r="O38" s="42"/>
      <c r="P38" s="28"/>
    </row>
    <row r="39" spans="1:16" x14ac:dyDescent="0.2">
      <c r="A39" s="25"/>
      <c r="B39" s="377" t="s">
        <v>917</v>
      </c>
      <c r="C39" s="378"/>
      <c r="D39" s="378"/>
      <c r="E39" s="378"/>
      <c r="F39" s="378"/>
      <c r="G39" s="378"/>
      <c r="H39" s="378"/>
      <c r="I39" s="378"/>
      <c r="J39" s="378"/>
      <c r="K39" s="378"/>
      <c r="L39" s="378"/>
      <c r="M39" s="378"/>
      <c r="N39" s="378"/>
      <c r="O39" s="378"/>
      <c r="P39" s="28"/>
    </row>
    <row r="40" spans="1:16" x14ac:dyDescent="0.2">
      <c r="A40" s="25"/>
      <c r="B40" s="44" t="s">
        <v>698</v>
      </c>
      <c r="C40" s="154">
        <f>IF($B40=" ","",IFERROR(INDEX(MMWR_RATING_RO_ROLLUP[],MATCH($B40,MMWR_RATING_RO_ROLLUP[MMWR_RATING_RO_ROLLUP],0),MATCH(C$9,MMWR_RATING_RO_ROLLUP[#Headers],0)),"ERROR"))</f>
        <v>9491</v>
      </c>
      <c r="D40" s="155">
        <f>IF($B40=" ","",IFERROR(INDEX(MMWR_RATING_RO_ROLLUP[],MATCH($B40,MMWR_RATING_RO_ROLLUP[MMWR_RATING_RO_ROLLUP],0),MATCH(D$9,MMWR_RATING_RO_ROLLUP[#Headers],0)),"ERROR"))</f>
        <v>89.785902433900006</v>
      </c>
      <c r="E40" s="156">
        <f>IF($B40=" ","",IFERROR(INDEX(MMWR_RATING_RO_ROLLUP[],MATCH($B40,MMWR_RATING_RO_ROLLUP[MMWR_RATING_RO_ROLLUP],0),MATCH(E$9,MMWR_RATING_RO_ROLLUP[#Headers],0))/$C40,"ERROR"))</f>
        <v>0.29101253819407857</v>
      </c>
      <c r="F40" s="154">
        <f>IF($B40=" ","",IFERROR(INDEX(MMWR_RATING_RO_ROLLUP[],MATCH($B40,MMWR_RATING_RO_ROLLUP[MMWR_RATING_RO_ROLLUP],0),MATCH(F$9,MMWR_RATING_RO_ROLLUP[#Headers],0)),"ERROR"))</f>
        <v>1314</v>
      </c>
      <c r="G40" s="154">
        <f>IF($B40=" ","",IFERROR(INDEX(MMWR_RATING_RO_ROLLUP[],MATCH($B40,MMWR_RATING_RO_ROLLUP[MMWR_RATING_RO_ROLLUP],0),MATCH(G$9,MMWR_RATING_RO_ROLLUP[#Headers],0)),"ERROR"))</f>
        <v>9968</v>
      </c>
      <c r="H40" s="155">
        <f>IF($B40=" ","",IFERROR(INDEX(MMWR_RATING_RO_ROLLUP[],MATCH($B40,MMWR_RATING_RO_ROLLUP[MMWR_RATING_RO_ROLLUP],0),MATCH(H$9,MMWR_RATING_RO_ROLLUP[#Headers],0)),"ERROR"))</f>
        <v>146.95662100460001</v>
      </c>
      <c r="I40" s="155">
        <f>IF($B40=" ","",IFERROR(INDEX(MMWR_RATING_RO_ROLLUP[],MATCH($B40,MMWR_RATING_RO_ROLLUP[MMWR_RATING_RO_ROLLUP],0),MATCH(I$9,MMWR_RATING_RO_ROLLUP[#Headers],0)),"ERROR"))</f>
        <v>147.1851926164</v>
      </c>
      <c r="J40" s="42"/>
      <c r="K40" s="42"/>
      <c r="L40" s="42"/>
      <c r="M40" s="42"/>
      <c r="N40" s="42"/>
      <c r="O40" s="42"/>
      <c r="P40" s="28"/>
    </row>
    <row r="41" spans="1:16" x14ac:dyDescent="0.2">
      <c r="A41" s="25"/>
      <c r="B41" s="45" t="s">
        <v>957</v>
      </c>
      <c r="C41" s="154">
        <f>IF($B41=" ","",IFERROR(INDEX(MMWR_RATING_RO_ROLLUP[],MATCH($B41,MMWR_RATING_RO_ROLLUP[MMWR_RATING_RO_ROLLUP],0),MATCH(C$9,MMWR_RATING_RO_ROLLUP[#Headers],0)),"ERROR"))</f>
        <v>3938</v>
      </c>
      <c r="D41" s="155">
        <f>IF($B41=" ","",IFERROR(INDEX(MMWR_RATING_RO_ROLLUP[],MATCH($B41,MMWR_RATING_RO_ROLLUP[MMWR_RATING_RO_ROLLUP],0),MATCH(D$9,MMWR_RATING_RO_ROLLUP[#Headers],0)),"ERROR"))</f>
        <v>74.910360589099994</v>
      </c>
      <c r="E41" s="156">
        <f>IF($B41=" ","",IFERROR(INDEX(MMWR_RATING_RO_ROLLUP[],MATCH($B41,MMWR_RATING_RO_ROLLUP[MMWR_RATING_RO_ROLLUP],0),MATCH(E$9,MMWR_RATING_RO_ROLLUP[#Headers],0))/$C41,"ERROR"))</f>
        <v>0.15896394108684611</v>
      </c>
      <c r="F41" s="154">
        <f>IF($B41=" ","",IFERROR(INDEX(MMWR_RATING_RO_ROLLUP[],MATCH($B41,MMWR_RATING_RO_ROLLUP[MMWR_RATING_RO_ROLLUP],0),MATCH(F$9,MMWR_RATING_RO_ROLLUP[#Headers],0)),"ERROR"))</f>
        <v>427</v>
      </c>
      <c r="G41" s="154">
        <f>IF($B41=" ","",IFERROR(INDEX(MMWR_RATING_RO_ROLLUP[],MATCH($B41,MMWR_RATING_RO_ROLLUP[MMWR_RATING_RO_ROLLUP],0),MATCH(G$9,MMWR_RATING_RO_ROLLUP[#Headers],0)),"ERROR"))</f>
        <v>4507</v>
      </c>
      <c r="H41" s="155">
        <f>IF($B41=" ","",IFERROR(INDEX(MMWR_RATING_RO_ROLLUP[],MATCH($B41,MMWR_RATING_RO_ROLLUP[MMWR_RATING_RO_ROLLUP],0),MATCH(H$9,MMWR_RATING_RO_ROLLUP[#Headers],0)),"ERROR"))</f>
        <v>131.48477751760001</v>
      </c>
      <c r="I41" s="155">
        <f>IF($B41=" ","",IFERROR(INDEX(MMWR_RATING_RO_ROLLUP[],MATCH($B41,MMWR_RATING_RO_ROLLUP[MMWR_RATING_RO_ROLLUP],0),MATCH(I$9,MMWR_RATING_RO_ROLLUP[#Headers],0)),"ERROR"))</f>
        <v>134.58287108939999</v>
      </c>
      <c r="J41" s="42"/>
      <c r="K41" s="42"/>
      <c r="L41" s="42"/>
      <c r="M41" s="42"/>
      <c r="N41" s="42"/>
      <c r="O41" s="42"/>
      <c r="P41" s="28"/>
    </row>
    <row r="42" spans="1:16" x14ac:dyDescent="0.2">
      <c r="A42" s="25"/>
      <c r="B42" s="45" t="s">
        <v>958</v>
      </c>
      <c r="C42" s="154">
        <f>IF($B42=" ","",IFERROR(INDEX(MMWR_RATING_RO_ROLLUP[],MATCH($B42,MMWR_RATING_RO_ROLLUP[MMWR_RATING_RO_ROLLUP],0),MATCH(C$9,MMWR_RATING_RO_ROLLUP[#Headers],0)),"ERROR"))</f>
        <v>4595</v>
      </c>
      <c r="D42" s="155">
        <f>IF($B42=" ","",IFERROR(INDEX(MMWR_RATING_RO_ROLLUP[],MATCH($B42,MMWR_RATING_RO_ROLLUP[MMWR_RATING_RO_ROLLUP],0),MATCH(D$9,MMWR_RATING_RO_ROLLUP[#Headers],0)),"ERROR"))</f>
        <v>96.985418933600002</v>
      </c>
      <c r="E42" s="156">
        <f>IF($B42=" ","",IFERROR(INDEX(MMWR_RATING_RO_ROLLUP[],MATCH($B42,MMWR_RATING_RO_ROLLUP[MMWR_RATING_RO_ROLLUP],0),MATCH(E$9,MMWR_RATING_RO_ROLLUP[#Headers],0))/$C42,"ERROR"))</f>
        <v>0.32187159956474426</v>
      </c>
      <c r="F42" s="154">
        <f>IF($B42=" ","",IFERROR(INDEX(MMWR_RATING_RO_ROLLUP[],MATCH($B42,MMWR_RATING_RO_ROLLUP[MMWR_RATING_RO_ROLLUP],0),MATCH(F$9,MMWR_RATING_RO_ROLLUP[#Headers],0)),"ERROR"))</f>
        <v>516</v>
      </c>
      <c r="G42" s="154">
        <f>IF($B42=" ","",IFERROR(INDEX(MMWR_RATING_RO_ROLLUP[],MATCH($B42,MMWR_RATING_RO_ROLLUP[MMWR_RATING_RO_ROLLUP],0),MATCH(G$9,MMWR_RATING_RO_ROLLUP[#Headers],0)),"ERROR"))</f>
        <v>4506</v>
      </c>
      <c r="H42" s="155">
        <f>IF($B42=" ","",IFERROR(INDEX(MMWR_RATING_RO_ROLLUP[],MATCH($B42,MMWR_RATING_RO_ROLLUP[MMWR_RATING_RO_ROLLUP],0),MATCH(H$9,MMWR_RATING_RO_ROLLUP[#Headers],0)),"ERROR"))</f>
        <v>164.0988372093</v>
      </c>
      <c r="I42" s="155">
        <f>IF($B42=" ","",IFERROR(INDEX(MMWR_RATING_RO_ROLLUP[],MATCH($B42,MMWR_RATING_RO_ROLLUP[MMWR_RATING_RO_ROLLUP],0),MATCH(I$9,MMWR_RATING_RO_ROLLUP[#Headers],0)),"ERROR"))</f>
        <v>162.04394141149999</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958</v>
      </c>
      <c r="D43" s="155">
        <f>IF($B43=" ","",IFERROR(INDEX(MMWR_RATING_RO_ROLLUP[],MATCH($B43,MMWR_RATING_RO_ROLLUP[MMWR_RATING_RO_ROLLUP],0),MATCH(D$9,MMWR_RATING_RO_ROLLUP[#Headers],0)),"ERROR"))</f>
        <v>116.4018789144</v>
      </c>
      <c r="E43" s="156">
        <f>IF($B43=" ","",IFERROR(INDEX(MMWR_RATING_RO_ROLLUP[],MATCH($B43,MMWR_RATING_RO_ROLLUP[MMWR_RATING_RO_ROLLUP],0),MATCH(E$9,MMWR_RATING_RO_ROLLUP[#Headers],0))/$C43,"ERROR"))</f>
        <v>0.68580375782880998</v>
      </c>
      <c r="F43" s="154">
        <f>IF($B43=" ","",IFERROR(INDEX(MMWR_RATING_RO_ROLLUP[],MATCH($B43,MMWR_RATING_RO_ROLLUP[MMWR_RATING_RO_ROLLUP],0),MATCH(F$9,MMWR_RATING_RO_ROLLUP[#Headers],0)),"ERROR"))</f>
        <v>371</v>
      </c>
      <c r="G43" s="154">
        <f>IF($B43=" ","",IFERROR(INDEX(MMWR_RATING_RO_ROLLUP[],MATCH($B43,MMWR_RATING_RO_ROLLUP[MMWR_RATING_RO_ROLLUP],0),MATCH(G$9,MMWR_RATING_RO_ROLLUP[#Headers],0)),"ERROR"))</f>
        <v>955</v>
      </c>
      <c r="H43" s="155">
        <f>IF($B43=" ","",IFERROR(INDEX(MMWR_RATING_RO_ROLLUP[],MATCH($B43,MMWR_RATING_RO_ROLLUP[MMWR_RATING_RO_ROLLUP],0),MATCH(H$9,MMWR_RATING_RO_ROLLUP[#Headers],0)),"ERROR"))</f>
        <v>140.92183288410001</v>
      </c>
      <c r="I43" s="155">
        <f>IF($B43=" ","",IFERROR(INDEX(MMWR_RATING_RO_ROLLUP[],MATCH($B43,MMWR_RATING_RO_ROLLUP[MMWR_RATING_RO_ROLLUP],0),MATCH(I$9,MMWR_RATING_RO_ROLLUP[#Headers],0)),"ERROR"))</f>
        <v>136.55183246070001</v>
      </c>
      <c r="J43" s="42"/>
      <c r="K43" s="42"/>
      <c r="L43" s="42"/>
      <c r="M43" s="42"/>
      <c r="N43" s="42"/>
      <c r="O43" s="42"/>
      <c r="P43" s="28"/>
    </row>
    <row r="44" spans="1:16" x14ac:dyDescent="0.2">
      <c r="A44" s="25"/>
      <c r="B44" s="377" t="s">
        <v>735</v>
      </c>
      <c r="C44" s="378"/>
      <c r="D44" s="378"/>
      <c r="E44" s="378"/>
      <c r="F44" s="378"/>
      <c r="G44" s="378"/>
      <c r="H44" s="378"/>
      <c r="I44" s="378"/>
      <c r="J44" s="378"/>
      <c r="K44" s="378"/>
      <c r="L44" s="378"/>
      <c r="M44" s="378"/>
      <c r="N44" s="378"/>
      <c r="O44" s="378"/>
      <c r="P44" s="28"/>
    </row>
    <row r="45" spans="1:16" x14ac:dyDescent="0.2">
      <c r="A45" s="25"/>
      <c r="B45" s="44" t="s">
        <v>696</v>
      </c>
      <c r="C45" s="154">
        <f>IF($B45=" ","",IFERROR(INDEX(MMWR_RATING_RO_ROLLUP[],MATCH($B45,MMWR_RATING_RO_ROLLUP[MMWR_RATING_RO_ROLLUP],0),MATCH(C$9,MMWR_RATING_RO_ROLLUP[#Headers],0)),"ERROR"))</f>
        <v>9944</v>
      </c>
      <c r="D45" s="155">
        <f>IF($B45=" ","",IFERROR(INDEX(MMWR_RATING_RO_ROLLUP[],MATCH($B45,MMWR_RATING_RO_ROLLUP[MMWR_RATING_RO_ROLLUP],0),MATCH(D$9,MMWR_RATING_RO_ROLLUP[#Headers],0)),"ERROR"))</f>
        <v>83.997687047499994</v>
      </c>
      <c r="E45" s="156">
        <f>IF($B45=" ","",IFERROR(INDEX(MMWR_RATING_RO_ROLLUP[],MATCH($B45,MMWR_RATING_RO_ROLLUP[MMWR_RATING_RO_ROLLUP],0),MATCH(E$9,MMWR_RATING_RO_ROLLUP[#Headers],0))/$C45,"ERROR"))</f>
        <v>0.25351971037811744</v>
      </c>
      <c r="F45" s="154">
        <f>IF($B45=" ","",IFERROR(INDEX(MMWR_RATING_RO_ROLLUP[],MATCH($B45,MMWR_RATING_RO_ROLLUP[MMWR_RATING_RO_ROLLUP],0),MATCH(F$9,MMWR_RATING_RO_ROLLUP[#Headers],0)),"ERROR"))</f>
        <v>1380</v>
      </c>
      <c r="G45" s="154">
        <f>IF($B45=" ","",IFERROR(INDEX(MMWR_RATING_RO_ROLLUP[],MATCH($B45,MMWR_RATING_RO_ROLLUP[MMWR_RATING_RO_ROLLUP],0),MATCH(G$9,MMWR_RATING_RO_ROLLUP[#Headers],0)),"ERROR"))</f>
        <v>12102</v>
      </c>
      <c r="H45" s="155">
        <f>IF($B45=" ","",IFERROR(INDEX(MMWR_RATING_RO_ROLLUP[],MATCH($B45,MMWR_RATING_RO_ROLLUP[MMWR_RATING_RO_ROLLUP],0),MATCH(H$9,MMWR_RATING_RO_ROLLUP[#Headers],0)),"ERROR"))</f>
        <v>138.47898550720001</v>
      </c>
      <c r="I45" s="155">
        <f>IF($B45=" ","",IFERROR(INDEX(MMWR_RATING_RO_ROLLUP[],MATCH($B45,MMWR_RATING_RO_ROLLUP[MMWR_RATING_RO_ROLLUP],0),MATCH(I$9,MMWR_RATING_RO_ROLLUP[#Headers],0)),"ERROR"))</f>
        <v>139.4174035204</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3436</v>
      </c>
      <c r="D46" s="155">
        <f>IF($B46=" ","",IFERROR(INDEX(MMWR_RATING_RO_ROLLUP[],MATCH($B46,MMWR_RATING_RO_ROLLUP[MMWR_RATING_RO_ROLLUP],0),MATCH(D$9,MMWR_RATING_RO_ROLLUP[#Headers],0)),"ERROR"))</f>
        <v>65.849243306199995</v>
      </c>
      <c r="E46" s="156">
        <f>IF($B46=" ","",IFERROR(INDEX(MMWR_RATING_RO_ROLLUP[],MATCH($B46,MMWR_RATING_RO_ROLLUP[MMWR_RATING_RO_ROLLUP],0),MATCH(E$9,MMWR_RATING_RO_ROLLUP[#Headers],0))/$C46,"ERROR"))</f>
        <v>0.10855646100116415</v>
      </c>
      <c r="F46" s="154">
        <f>IF($B46=" ","",IFERROR(INDEX(MMWR_RATING_RO_ROLLUP[],MATCH($B46,MMWR_RATING_RO_ROLLUP[MMWR_RATING_RO_ROLLUP],0),MATCH(F$9,MMWR_RATING_RO_ROLLUP[#Headers],0)),"ERROR"))</f>
        <v>407</v>
      </c>
      <c r="G46" s="154">
        <f>IF($B46=" ","",IFERROR(INDEX(MMWR_RATING_RO_ROLLUP[],MATCH($B46,MMWR_RATING_RO_ROLLUP[MMWR_RATING_RO_ROLLUP],0),MATCH(G$9,MMWR_RATING_RO_ROLLUP[#Headers],0)),"ERROR"))</f>
        <v>4814</v>
      </c>
      <c r="H46" s="155">
        <f>IF($B46=" ","",IFERROR(INDEX(MMWR_RATING_RO_ROLLUP[],MATCH($B46,MMWR_RATING_RO_ROLLUP[MMWR_RATING_RO_ROLLUP],0),MATCH(H$9,MMWR_RATING_RO_ROLLUP[#Headers],0)),"ERROR"))</f>
        <v>119.26781326779999</v>
      </c>
      <c r="I46" s="155">
        <f>IF($B46=" ","",IFERROR(INDEX(MMWR_RATING_RO_ROLLUP[],MATCH($B46,MMWR_RATING_RO_ROLLUP[MMWR_RATING_RO_ROLLUP],0),MATCH(I$9,MMWR_RATING_RO_ROLLUP[#Headers],0)),"ERROR"))</f>
        <v>127.3473924787</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5030</v>
      </c>
      <c r="D47" s="155">
        <f>IF($B47=" ","",IFERROR(INDEX(MMWR_RATING_RO_ROLLUP[],MATCH($B47,MMWR_RATING_RO_ROLLUP[MMWR_RATING_RO_ROLLUP],0),MATCH(D$9,MMWR_RATING_RO_ROLLUP[#Headers],0)),"ERROR"))</f>
        <v>80.985487077499997</v>
      </c>
      <c r="E47" s="156">
        <f>IF($B47=" ","",IFERROR(INDEX(MMWR_RATING_RO_ROLLUP[],MATCH($B47,MMWR_RATING_RO_ROLLUP[MMWR_RATING_RO_ROLLUP],0),MATCH(E$9,MMWR_RATING_RO_ROLLUP[#Headers],0))/$C47,"ERROR"))</f>
        <v>0.20099403578528827</v>
      </c>
      <c r="F47" s="154">
        <f>IF($B47=" ","",IFERROR(INDEX(MMWR_RATING_RO_ROLLUP[],MATCH($B47,MMWR_RATING_RO_ROLLUP[MMWR_RATING_RO_ROLLUP],0),MATCH(F$9,MMWR_RATING_RO_ROLLUP[#Headers],0)),"ERROR"))</f>
        <v>443</v>
      </c>
      <c r="G47" s="154">
        <f>IF($B47=" ","",IFERROR(INDEX(MMWR_RATING_RO_ROLLUP[],MATCH($B47,MMWR_RATING_RO_ROLLUP[MMWR_RATING_RO_ROLLUP],0),MATCH(G$9,MMWR_RATING_RO_ROLLUP[#Headers],0)),"ERROR"))</f>
        <v>5033</v>
      </c>
      <c r="H47" s="155">
        <f>IF($B47=" ","",IFERROR(INDEX(MMWR_RATING_RO_ROLLUP[],MATCH($B47,MMWR_RATING_RO_ROLLUP[MMWR_RATING_RO_ROLLUP],0),MATCH(H$9,MMWR_RATING_RO_ROLLUP[#Headers],0)),"ERROR"))</f>
        <v>155.1128668172</v>
      </c>
      <c r="I47" s="155">
        <f>IF($B47=" ","",IFERROR(INDEX(MMWR_RATING_RO_ROLLUP[],MATCH($B47,MMWR_RATING_RO_ROLLUP[MMWR_RATING_RO_ROLLUP],0),MATCH(I$9,MMWR_RATING_RO_ROLLUP[#Headers],0)),"ERROR"))</f>
        <v>152.75024836079999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1478</v>
      </c>
      <c r="D48" s="155">
        <f>IF($B48=" ","",IFERROR(INDEX(MMWR_RATING_RO_ROLLUP[],MATCH($B48,MMWR_RATING_RO_ROLLUP[MMWR_RATING_RO_ROLLUP],0),MATCH(D$9,MMWR_RATING_RO_ROLLUP[#Headers],0)),"ERROR"))</f>
        <v>136.43978349119999</v>
      </c>
      <c r="E48" s="156">
        <f>IF($B48=" ","",IFERROR(INDEX(MMWR_RATING_RO_ROLLUP[],MATCH($B48,MMWR_RATING_RO_ROLLUP[MMWR_RATING_RO_ROLLUP],0),MATCH(E$9,MMWR_RATING_RO_ROLLUP[#Headers],0))/$C48,"ERROR"))</f>
        <v>0.76928281461434367</v>
      </c>
      <c r="F48" s="154">
        <f>IF($B48=" ","",IFERROR(INDEX(MMWR_RATING_RO_ROLLUP[],MATCH($B48,MMWR_RATING_RO_ROLLUP[MMWR_RATING_RO_ROLLUP],0),MATCH(F$9,MMWR_RATING_RO_ROLLUP[#Headers],0)),"ERROR"))</f>
        <v>530</v>
      </c>
      <c r="G48" s="154">
        <f>IF($B48=" ","",IFERROR(INDEX(MMWR_RATING_RO_ROLLUP[],MATCH($B48,MMWR_RATING_RO_ROLLUP[MMWR_RATING_RO_ROLLUP],0),MATCH(G$9,MMWR_RATING_RO_ROLLUP[#Headers],0)),"ERROR"))</f>
        <v>2255</v>
      </c>
      <c r="H48" s="155">
        <f>IF($B48=" ","",IFERROR(INDEX(MMWR_RATING_RO_ROLLUP[],MATCH($B48,MMWR_RATING_RO_ROLLUP[MMWR_RATING_RO_ROLLUP],0),MATCH(H$9,MMWR_RATING_RO_ROLLUP[#Headers],0)),"ERROR"))</f>
        <v>139.32830188680001</v>
      </c>
      <c r="I48" s="155">
        <f>IF($B48=" ","",IFERROR(INDEX(MMWR_RATING_RO_ROLLUP[],MATCH($B48,MMWR_RATING_RO_ROLLUP[MMWR_RATING_RO_ROLLUP],0),MATCH(I$9,MMWR_RATING_RO_ROLLUP[#Headers],0)),"ERROR"))</f>
        <v>135.42128603099999</v>
      </c>
      <c r="J48" s="42"/>
      <c r="K48" s="42"/>
      <c r="L48" s="42"/>
      <c r="M48" s="42"/>
      <c r="N48" s="42"/>
      <c r="O48" s="42"/>
      <c r="P48" s="28"/>
    </row>
    <row r="49" spans="1:16" ht="15.75" x14ac:dyDescent="0.25">
      <c r="A49" s="25"/>
      <c r="B49" s="376" t="s">
        <v>1051</v>
      </c>
      <c r="C49" s="376"/>
      <c r="D49" s="376"/>
      <c r="E49" s="376"/>
      <c r="F49" s="376"/>
      <c r="G49" s="376"/>
      <c r="H49" s="376"/>
      <c r="I49" s="376"/>
      <c r="J49" s="376"/>
      <c r="K49" s="376"/>
      <c r="L49" s="376"/>
      <c r="M49" s="376"/>
      <c r="N49" s="376"/>
      <c r="O49" s="261"/>
      <c r="P49" s="28"/>
    </row>
    <row r="50" spans="1:16" ht="12" customHeight="1" x14ac:dyDescent="0.2">
      <c r="A50" s="25"/>
      <c r="B50" s="26"/>
      <c r="C50" s="26"/>
      <c r="D50" s="26"/>
      <c r="E50" s="26"/>
      <c r="F50" s="26"/>
      <c r="G50" s="26"/>
      <c r="H50" s="26"/>
      <c r="I50" s="26"/>
      <c r="J50" s="26"/>
      <c r="K50" s="27" t="s">
        <v>923</v>
      </c>
      <c r="L50" s="27" t="s">
        <v>928</v>
      </c>
      <c r="M50" s="27" t="s">
        <v>929</v>
      </c>
      <c r="N50" s="27" t="s">
        <v>930</v>
      </c>
      <c r="O50" s="27" t="s">
        <v>931</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294</v>
      </c>
      <c r="D2" s="350"/>
      <c r="E2" s="350"/>
      <c r="F2" s="350"/>
      <c r="G2" s="350"/>
      <c r="H2" s="350"/>
      <c r="I2" s="350"/>
      <c r="J2" s="349" t="s">
        <v>300</v>
      </c>
      <c r="K2" s="350"/>
      <c r="L2" s="350"/>
      <c r="M2" s="351"/>
      <c r="N2" s="28"/>
    </row>
    <row r="3" spans="1:16" ht="24" customHeight="1" thickBot="1" x14ac:dyDescent="0.4">
      <c r="A3" s="25"/>
      <c r="B3" s="29"/>
      <c r="C3" s="352"/>
      <c r="D3" s="353"/>
      <c r="E3" s="353"/>
      <c r="F3" s="353"/>
      <c r="G3" s="353"/>
      <c r="H3" s="353"/>
      <c r="I3" s="353"/>
      <c r="J3" s="352" t="str">
        <f>Transformation!B4</f>
        <v>As of: March 12, 2016</v>
      </c>
      <c r="K3" s="353"/>
      <c r="L3" s="353"/>
      <c r="M3" s="354"/>
      <c r="N3" s="28"/>
    </row>
    <row r="4" spans="1:16" ht="51" customHeight="1" thickBot="1" x14ac:dyDescent="0.35">
      <c r="A4" s="30"/>
      <c r="B4" s="246" t="s">
        <v>456</v>
      </c>
      <c r="C4" s="355" t="s">
        <v>971</v>
      </c>
      <c r="D4" s="356"/>
      <c r="E4" s="356"/>
      <c r="F4" s="356"/>
      <c r="G4" s="356"/>
      <c r="H4" s="356"/>
      <c r="I4" s="356"/>
      <c r="J4" s="356"/>
      <c r="K4" s="356"/>
      <c r="L4" s="356"/>
      <c r="M4" s="357"/>
      <c r="N4" s="28"/>
      <c r="O4" s="22"/>
      <c r="P4" s="23"/>
    </row>
    <row r="5" spans="1:16" ht="27" customHeight="1" thickBot="1" x14ac:dyDescent="0.25">
      <c r="A5" s="30"/>
      <c r="B5" s="48"/>
      <c r="C5" s="358" t="s">
        <v>1042</v>
      </c>
      <c r="D5" s="359"/>
      <c r="E5" s="359"/>
      <c r="F5" s="359"/>
      <c r="G5" s="359"/>
      <c r="H5" s="359"/>
      <c r="I5" s="359"/>
      <c r="J5" s="359"/>
      <c r="K5" s="359"/>
      <c r="L5" s="359"/>
      <c r="M5" s="359"/>
      <c r="N5" s="359"/>
      <c r="O5" s="360"/>
    </row>
    <row r="6" spans="1:16"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6"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6"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6" x14ac:dyDescent="0.2">
      <c r="A9" s="28"/>
      <c r="B9" s="28"/>
      <c r="C9" s="39" t="s">
        <v>700</v>
      </c>
      <c r="D9" s="39" t="s">
        <v>702</v>
      </c>
      <c r="E9" s="39" t="s">
        <v>701</v>
      </c>
      <c r="F9" s="39" t="s">
        <v>704</v>
      </c>
      <c r="G9" s="39" t="s">
        <v>703</v>
      </c>
      <c r="H9" s="39" t="s">
        <v>714</v>
      </c>
      <c r="I9" s="39" t="s">
        <v>713</v>
      </c>
      <c r="J9" s="39"/>
      <c r="K9" s="39"/>
      <c r="L9" s="39"/>
      <c r="M9" s="39"/>
      <c r="N9" s="28"/>
    </row>
    <row r="10" spans="1:16" ht="15.75" customHeight="1" x14ac:dyDescent="0.2">
      <c r="A10" s="25"/>
      <c r="B10" s="26"/>
      <c r="C10" s="385" t="s">
        <v>293</v>
      </c>
      <c r="D10" s="385"/>
      <c r="E10" s="385"/>
      <c r="F10" s="385"/>
      <c r="G10" s="385"/>
      <c r="H10" s="385"/>
      <c r="I10" s="385"/>
      <c r="J10" s="385"/>
      <c r="K10" s="385"/>
      <c r="L10" s="385"/>
      <c r="M10" s="386"/>
      <c r="N10" s="28"/>
    </row>
    <row r="11" spans="1:16" ht="64.5" customHeight="1" x14ac:dyDescent="0.2">
      <c r="A11" s="25"/>
      <c r="B11" s="26"/>
      <c r="C11" s="52" t="s">
        <v>226</v>
      </c>
      <c r="D11" s="52" t="s">
        <v>134</v>
      </c>
      <c r="E11" s="52" t="s">
        <v>227</v>
      </c>
      <c r="F11" s="52" t="s">
        <v>189</v>
      </c>
      <c r="G11" s="52" t="s">
        <v>204</v>
      </c>
      <c r="H11" s="52" t="s">
        <v>206</v>
      </c>
      <c r="I11" s="52" t="s">
        <v>207</v>
      </c>
      <c r="J11" s="388" t="s">
        <v>972</v>
      </c>
      <c r="K11" s="389"/>
      <c r="L11" s="389"/>
      <c r="M11" s="390"/>
      <c r="N11" s="28"/>
    </row>
    <row r="12" spans="1:16" x14ac:dyDescent="0.2">
      <c r="A12" s="25"/>
      <c r="B12" s="41" t="s">
        <v>730</v>
      </c>
      <c r="C12" s="154">
        <f>IF($B12=" ","",IFERROR(INDEX(MMWR_RATING_RO_ROLLUP[],MATCH($B12,MMWR_RATING_RO_ROLLUP[MMWR_RATING_RO_ROLLUP],0),MATCH(C$9,MMWR_RATING_RO_ROLLUP[#Headers],0)),"ERROR"))</f>
        <v>348658</v>
      </c>
      <c r="D12" s="155">
        <f>IF($B12=" ","",IFERROR(INDEX(MMWR_RATING_RO_ROLLUP[],MATCH($B12,MMWR_RATING_RO_ROLLUP[MMWR_RATING_RO_ROLLUP],0),MATCH(D$9,MMWR_RATING_RO_ROLLUP[#Headers],0)),"ERROR"))</f>
        <v>90.591129416200005</v>
      </c>
      <c r="E12" s="156">
        <f>IF($B12=" ","",IFERROR(INDEX(MMWR_RATING_RO_ROLLUP[],MATCH($B12,MMWR_RATING_RO_ROLLUP[MMWR_RATING_RO_ROLLUP],0),MATCH(E$9,MMWR_RATING_RO_ROLLUP[#Headers],0))/$C12,"ERROR"))</f>
        <v>0.23856615938828307</v>
      </c>
      <c r="F12" s="154">
        <f>IF($B12=" ","",IFERROR(INDEX(MMWR_RATING_RO_ROLLUP[],MATCH($B12,MMWR_RATING_RO_ROLLUP[MMWR_RATING_RO_ROLLUP],0),MATCH(F$9,MMWR_RATING_RO_ROLLUP[#Headers],0)),"ERROR"))</f>
        <v>46507</v>
      </c>
      <c r="G12" s="154">
        <f>IF($B12=" ","",IFERROR(INDEX(MMWR_RATING_RO_ROLLUP[],MATCH($B12,MMWR_RATING_RO_ROLLUP[MMWR_RATING_RO_ROLLUP],0),MATCH(G$9,MMWR_RATING_RO_ROLLUP[#Headers],0)),"ERROR"))</f>
        <v>558275</v>
      </c>
      <c r="H12" s="155">
        <f>IF($B12=" ","",IFERROR(INDEX(MMWR_RATING_RO_ROLLUP[],MATCH($B12,MMWR_RATING_RO_ROLLUP[MMWR_RATING_RO_ROLLUP],0),MATCH(H$9,MMWR_RATING_RO_ROLLUP[#Headers],0)),"ERROR"))</f>
        <v>122.6656417314</v>
      </c>
      <c r="I12" s="155">
        <f>IF($B12=" ","",IFERROR(INDEX(MMWR_RATING_RO_ROLLUP[],MATCH($B12,MMWR_RATING_RO_ROLLUP[MMWR_RATING_RO_ROLLUP],0),MATCH(I$9,MMWR_RATING_RO_ROLLUP[#Headers],0)),"ERROR"))</f>
        <v>127.19974921630001</v>
      </c>
      <c r="J12" s="42"/>
      <c r="K12" s="42"/>
      <c r="L12" s="42"/>
      <c r="M12" s="42"/>
      <c r="N12" s="28"/>
    </row>
    <row r="13" spans="1:16" x14ac:dyDescent="0.2">
      <c r="A13" s="25"/>
      <c r="B13" s="377" t="s">
        <v>733</v>
      </c>
      <c r="C13" s="378"/>
      <c r="D13" s="378"/>
      <c r="E13" s="378"/>
      <c r="F13" s="378"/>
      <c r="G13" s="378"/>
      <c r="H13" s="378"/>
      <c r="I13" s="378"/>
      <c r="J13" s="378"/>
      <c r="K13" s="378"/>
      <c r="L13" s="378"/>
      <c r="M13" s="387"/>
      <c r="N13" s="28"/>
    </row>
    <row r="14" spans="1:16" x14ac:dyDescent="0.2">
      <c r="A14" s="25"/>
      <c r="B14" s="41" t="s">
        <v>729</v>
      </c>
      <c r="C14" s="154">
        <f>IF($B14=" ","",IFERROR(INDEX(MMWR_RATING_RO_ROLLUP[],MATCH($B14,MMWR_RATING_RO_ROLLUP[MMWR_RATING_RO_ROLLUP],0),MATCH(C$9,MMWR_RATING_RO_ROLLUP[#Headers],0)),"ERROR"))</f>
        <v>303127</v>
      </c>
      <c r="D14" s="155">
        <f>IF($B14=" ","",IFERROR(INDEX(MMWR_RATING_RO_ROLLUP[],MATCH($B14,MMWR_RATING_RO_ROLLUP[MMWR_RATING_RO_ROLLUP],0),MATCH(D$9,MMWR_RATING_RO_ROLLUP[#Headers],0)),"ERROR"))</f>
        <v>92.670260319899995</v>
      </c>
      <c r="E14" s="156">
        <f>IF($B14=" ","",IFERROR(INDEX(MMWR_RATING_RO_ROLLUP[],MATCH($B14,MMWR_RATING_RO_ROLLUP[MMWR_RATING_RO_ROLLUP],0),MATCH(E$9,MMWR_RATING_RO_ROLLUP[#Headers],0))/$C14,"ERROR"))</f>
        <v>0.24589693428826861</v>
      </c>
      <c r="F14" s="154">
        <f>IF($B14=" ","",IFERROR(INDEX(MMWR_RATING_RO_ROLLUP[],MATCH($B14,MMWR_RATING_RO_ROLLUP[MMWR_RATING_RO_ROLLUP],0),MATCH(F$9,MMWR_RATING_RO_ROLLUP[#Headers],0)),"ERROR"))</f>
        <v>38643</v>
      </c>
      <c r="G14" s="154">
        <f>IF($B14=" ","",IFERROR(INDEX(MMWR_RATING_RO_ROLLUP[],MATCH($B14,MMWR_RATING_RO_ROLLUP[MMWR_RATING_RO_ROLLUP],0),MATCH(G$9,MMWR_RATING_RO_ROLLUP[#Headers],0)),"ERROR"))</f>
        <v>471344</v>
      </c>
      <c r="H14" s="155">
        <f>IF($B14=" ","",IFERROR(INDEX(MMWR_RATING_RO_ROLLUP[],MATCH($B14,MMWR_RATING_RO_ROLLUP[MMWR_RATING_RO_ROLLUP],0),MATCH(H$9,MMWR_RATING_RO_ROLLUP[#Headers],0)),"ERROR"))</f>
        <v>126.4541831638</v>
      </c>
      <c r="I14" s="155">
        <f>IF($B14=" ","",IFERROR(INDEX(MMWR_RATING_RO_ROLLUP[],MATCH($B14,MMWR_RATING_RO_ROLLUP[MMWR_RATING_RO_ROLLUP],0),MATCH(I$9,MMWR_RATING_RO_ROLLUP[#Headers],0)),"ERROR"))</f>
        <v>133.47680990910001</v>
      </c>
      <c r="J14" s="42"/>
      <c r="K14" s="42"/>
      <c r="L14" s="42"/>
      <c r="M14" s="42"/>
      <c r="N14" s="28"/>
    </row>
    <row r="15" spans="1:16" x14ac:dyDescent="0.2">
      <c r="A15" s="25"/>
      <c r="B15" s="247" t="s">
        <v>370</v>
      </c>
      <c r="C15" s="154">
        <f>IF($B15=" ","",IFERROR(INDEX(MMWR_RATING_RO_ROLLUP[],MATCH($B15,MMWR_RATING_RO_ROLLUP[MMWR_RATING_RO_ROLLUP],0),MATCH(C$9,MMWR_RATING_RO_ROLLUP[#Headers],0)),"ERROR"))</f>
        <v>68926</v>
      </c>
      <c r="D15" s="155">
        <f>IF($B15=" ","",IFERROR(INDEX(MMWR_RATING_RO_ROLLUP[],MATCH($B15,MMWR_RATING_RO_ROLLUP[MMWR_RATING_RO_ROLLUP],0),MATCH(D$9,MMWR_RATING_RO_ROLLUP[#Headers],0)),"ERROR"))</f>
        <v>95.448176305000004</v>
      </c>
      <c r="E15" s="156">
        <f>IF($B15=" ","",IFERROR(INDEX(MMWR_RATING_RO_ROLLUP[],MATCH($B15,MMWR_RATING_RO_ROLLUP[MMWR_RATING_RO_ROLLUP],0),MATCH(E$9,MMWR_RATING_RO_ROLLUP[#Headers],0))/$C15,"ERROR"))</f>
        <v>0.25672460319763224</v>
      </c>
      <c r="F15" s="154">
        <f>IF($B15=" ","",IFERROR(INDEX(MMWR_RATING_RO_ROLLUP[],MATCH($B15,MMWR_RATING_RO_ROLLUP[MMWR_RATING_RO_ROLLUP],0),MATCH(F$9,MMWR_RATING_RO_ROLLUP[#Headers],0)),"ERROR"))</f>
        <v>8437</v>
      </c>
      <c r="G15" s="154">
        <f>IF($B15=" ","",IFERROR(INDEX(MMWR_RATING_RO_ROLLUP[],MATCH($B15,MMWR_RATING_RO_ROLLUP[MMWR_RATING_RO_ROLLUP],0),MATCH(G$9,MMWR_RATING_RO_ROLLUP[#Headers],0)),"ERROR"))</f>
        <v>102704</v>
      </c>
      <c r="H15" s="155">
        <f>IF($B15=" ","",IFERROR(INDEX(MMWR_RATING_RO_ROLLUP[],MATCH($B15,MMWR_RATING_RO_ROLLUP[MMWR_RATING_RO_ROLLUP],0),MATCH(H$9,MMWR_RATING_RO_ROLLUP[#Headers],0)),"ERROR"))</f>
        <v>133.0855754415</v>
      </c>
      <c r="I15" s="155">
        <f>IF($B15=" ","",IFERROR(INDEX(MMWR_RATING_RO_ROLLUP[],MATCH($B15,MMWR_RATING_RO_ROLLUP[MMWR_RATING_RO_ROLLUP],0),MATCH(I$9,MMWR_RATING_RO_ROLLUP[#Headers],0)),"ERROR"))</f>
        <v>135.1718906708</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4559</v>
      </c>
      <c r="D16" s="155">
        <f>IF($B16=" ","",IFERROR(INDEX(MMWR_RATING_RO_ROLLUP[],MATCH($B16,MMWR_RATING_RO_ROLLUP[MMWR_RATING_RO_ROLLUP],0),MATCH(D$9,MMWR_RATING_RO_ROLLUP[#Headers],0)),"ERROR"))</f>
        <v>105.3818819917</v>
      </c>
      <c r="E16" s="156">
        <f>IF($B16=" ","",IFERROR(INDEX(MMWR_RATING_RO_ROLLUP[],MATCH($B16,MMWR_RATING_RO_ROLLUP[MMWR_RATING_RO_ROLLUP],0),MATCH(E$9,MMWR_RATING_RO_ROLLUP[#Headers],0))/$C16,"ERROR"))</f>
        <v>0.28580829129195001</v>
      </c>
      <c r="F16" s="154">
        <f>IF($B16=" ","",IFERROR(INDEX(MMWR_RATING_RO_ROLLUP[],MATCH($B16,MMWR_RATING_RO_ROLLUP[MMWR_RATING_RO_ROLLUP],0),MATCH(F$9,MMWR_RATING_RO_ROLLUP[#Headers],0)),"ERROR"))</f>
        <v>465</v>
      </c>
      <c r="G16" s="154">
        <f>IF($B16=" ","",IFERROR(INDEX(MMWR_RATING_RO_ROLLUP[],MATCH($B16,MMWR_RATING_RO_ROLLUP[MMWR_RATING_RO_ROLLUP],0),MATCH(G$9,MMWR_RATING_RO_ROLLUP[#Headers],0)),"ERROR"))</f>
        <v>6458</v>
      </c>
      <c r="H16" s="155">
        <f>IF($B16=" ","",IFERROR(INDEX(MMWR_RATING_RO_ROLLUP[],MATCH($B16,MMWR_RATING_RO_ROLLUP[MMWR_RATING_RO_ROLLUP],0),MATCH(H$9,MMWR_RATING_RO_ROLLUP[#Headers],0)),"ERROR"))</f>
        <v>143.1204301075</v>
      </c>
      <c r="I16" s="155">
        <f>IF($B16=" ","",IFERROR(INDEX(MMWR_RATING_RO_ROLLUP[],MATCH($B16,MMWR_RATING_RO_ROLLUP[MMWR_RATING_RO_ROLLUP],0),MATCH(I$9,MMWR_RATING_RO_ROLLUP[#Headers],0)),"ERROR"))</f>
        <v>145.42341644730001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3800</v>
      </c>
      <c r="D17" s="155">
        <f>IF($B17=" ","",IFERROR(INDEX(MMWR_RATING_RO_ROLLUP[],MATCH($B17,MMWR_RATING_RO_ROLLUP[MMWR_RATING_RO_ROLLUP],0),MATCH(D$9,MMWR_RATING_RO_ROLLUP[#Headers],0)),"ERROR"))</f>
        <v>92.038157894700007</v>
      </c>
      <c r="E17" s="156">
        <f>IF($B17=" ","",IFERROR(INDEX(MMWR_RATING_RO_ROLLUP[],MATCH($B17,MMWR_RATING_RO_ROLLUP[MMWR_RATING_RO_ROLLUP],0),MATCH(E$9,MMWR_RATING_RO_ROLLUP[#Headers],0))/$C17,"ERROR"))</f>
        <v>0.2318421052631579</v>
      </c>
      <c r="F17" s="154">
        <f>IF($B17=" ","",IFERROR(INDEX(MMWR_RATING_RO_ROLLUP[],MATCH($B17,MMWR_RATING_RO_ROLLUP[MMWR_RATING_RO_ROLLUP],0),MATCH(F$9,MMWR_RATING_RO_ROLLUP[#Headers],0)),"ERROR"))</f>
        <v>355</v>
      </c>
      <c r="G17" s="154">
        <f>IF($B17=" ","",IFERROR(INDEX(MMWR_RATING_RO_ROLLUP[],MATCH($B17,MMWR_RATING_RO_ROLLUP[MMWR_RATING_RO_ROLLUP],0),MATCH(G$9,MMWR_RATING_RO_ROLLUP[#Headers],0)),"ERROR"))</f>
        <v>4735</v>
      </c>
      <c r="H17" s="155">
        <f>IF($B17=" ","",IFERROR(INDEX(MMWR_RATING_RO_ROLLUP[],MATCH($B17,MMWR_RATING_RO_ROLLUP[MMWR_RATING_RO_ROLLUP],0),MATCH(H$9,MMWR_RATING_RO_ROLLUP[#Headers],0)),"ERROR"))</f>
        <v>147.52394366199999</v>
      </c>
      <c r="I17" s="155">
        <f>IF($B17=" ","",IFERROR(INDEX(MMWR_RATING_RO_ROLLUP[],MATCH($B17,MMWR_RATING_RO_ROLLUP[MMWR_RATING_RO_ROLLUP],0),MATCH(I$9,MMWR_RATING_RO_ROLLUP[#Headers],0)),"ERROR"))</f>
        <v>135.87539598730001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3864</v>
      </c>
      <c r="D18" s="155">
        <f>IF($B18=" ","",IFERROR(INDEX(MMWR_RATING_RO_ROLLUP[],MATCH($B18,MMWR_RATING_RO_ROLLUP[MMWR_RATING_RO_ROLLUP],0),MATCH(D$9,MMWR_RATING_RO_ROLLUP[#Headers],0)),"ERROR"))</f>
        <v>86.262681159400003</v>
      </c>
      <c r="E18" s="156">
        <f>IF($B18=" ","",IFERROR(INDEX(MMWR_RATING_RO_ROLLUP[],MATCH($B18,MMWR_RATING_RO_ROLLUP[MMWR_RATING_RO_ROLLUP],0),MATCH(E$9,MMWR_RATING_RO_ROLLUP[#Headers],0))/$C18,"ERROR"))</f>
        <v>0.18193581780538301</v>
      </c>
      <c r="F18" s="154">
        <f>IF($B18=" ","",IFERROR(INDEX(MMWR_RATING_RO_ROLLUP[],MATCH($B18,MMWR_RATING_RO_ROLLUP[MMWR_RATING_RO_ROLLUP],0),MATCH(F$9,MMWR_RATING_RO_ROLLUP[#Headers],0)),"ERROR"))</f>
        <v>412</v>
      </c>
      <c r="G18" s="154">
        <f>IF($B18=" ","",IFERROR(INDEX(MMWR_RATING_RO_ROLLUP[],MATCH($B18,MMWR_RATING_RO_ROLLUP[MMWR_RATING_RO_ROLLUP],0),MATCH(G$9,MMWR_RATING_RO_ROLLUP[#Headers],0)),"ERROR"))</f>
        <v>5594</v>
      </c>
      <c r="H18" s="155">
        <f>IF($B18=" ","",IFERROR(INDEX(MMWR_RATING_RO_ROLLUP[],MATCH($B18,MMWR_RATING_RO_ROLLUP[MMWR_RATING_RO_ROLLUP],0),MATCH(H$9,MMWR_RATING_RO_ROLLUP[#Headers],0)),"ERROR"))</f>
        <v>133.7233009709</v>
      </c>
      <c r="I18" s="155">
        <f>IF($B18=" ","",IFERROR(INDEX(MMWR_RATING_RO_ROLLUP[],MATCH($B18,MMWR_RATING_RO_ROLLUP[MMWR_RATING_RO_ROLLUP],0),MATCH(I$9,MMWR_RATING_RO_ROLLUP[#Headers],0)),"ERROR"))</f>
        <v>144.52466928850001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1776</v>
      </c>
      <c r="D19" s="155">
        <f>IF($B19=" ","",IFERROR(INDEX(MMWR_RATING_RO_ROLLUP[],MATCH($B19,MMWR_RATING_RO_ROLLUP[MMWR_RATING_RO_ROLLUP],0),MATCH(D$9,MMWR_RATING_RO_ROLLUP[#Headers],0)),"ERROR"))</f>
        <v>91.925112612600003</v>
      </c>
      <c r="E19" s="156">
        <f>IF($B19=" ","",IFERROR(INDEX(MMWR_RATING_RO_ROLLUP[],MATCH($B19,MMWR_RATING_RO_ROLLUP[MMWR_RATING_RO_ROLLUP],0),MATCH(E$9,MMWR_RATING_RO_ROLLUP[#Headers],0))/$C19,"ERROR"))</f>
        <v>0.25619369369369371</v>
      </c>
      <c r="F19" s="154">
        <f>IF($B19=" ","",IFERROR(INDEX(MMWR_RATING_RO_ROLLUP[],MATCH($B19,MMWR_RATING_RO_ROLLUP[MMWR_RATING_RO_ROLLUP],0),MATCH(F$9,MMWR_RATING_RO_ROLLUP[#Headers],0)),"ERROR"))</f>
        <v>361</v>
      </c>
      <c r="G19" s="154">
        <f>IF($B19=" ","",IFERROR(INDEX(MMWR_RATING_RO_ROLLUP[],MATCH($B19,MMWR_RATING_RO_ROLLUP[MMWR_RATING_RO_ROLLUP],0),MATCH(G$9,MMWR_RATING_RO_ROLLUP[#Headers],0)),"ERROR"))</f>
        <v>2841</v>
      </c>
      <c r="H19" s="155">
        <f>IF($B19=" ","",IFERROR(INDEX(MMWR_RATING_RO_ROLLUP[],MATCH($B19,MMWR_RATING_RO_ROLLUP[MMWR_RATING_RO_ROLLUP],0),MATCH(H$9,MMWR_RATING_RO_ROLLUP[#Headers],0)),"ERROR"))</f>
        <v>100.2880886427</v>
      </c>
      <c r="I19" s="155">
        <f>IF($B19=" ","",IFERROR(INDEX(MMWR_RATING_RO_ROLLUP[],MATCH($B19,MMWR_RATING_RO_ROLLUP[MMWR_RATING_RO_ROLLUP],0),MATCH(I$9,MMWR_RATING_RO_ROLLUP[#Headers],0)),"ERROR"))</f>
        <v>116.0447025695</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2583</v>
      </c>
      <c r="D20" s="155">
        <f>IF($B20=" ","",IFERROR(INDEX(MMWR_RATING_RO_ROLLUP[],MATCH($B20,MMWR_RATING_RO_ROLLUP[MMWR_RATING_RO_ROLLUP],0),MATCH(D$9,MMWR_RATING_RO_ROLLUP[#Headers],0)),"ERROR"))</f>
        <v>86.442895857500005</v>
      </c>
      <c r="E20" s="156">
        <f>IF($B20=" ","",IFERROR(INDEX(MMWR_RATING_RO_ROLLUP[],MATCH($B20,MMWR_RATING_RO_ROLLUP[MMWR_RATING_RO_ROLLUP],0),MATCH(E$9,MMWR_RATING_RO_ROLLUP[#Headers],0))/$C20,"ERROR"))</f>
        <v>0.20673635307781649</v>
      </c>
      <c r="F20" s="154">
        <f>IF($B20=" ","",IFERROR(INDEX(MMWR_RATING_RO_ROLLUP[],MATCH($B20,MMWR_RATING_RO_ROLLUP[MMWR_RATING_RO_ROLLUP],0),MATCH(F$9,MMWR_RATING_RO_ROLLUP[#Headers],0)),"ERROR"))</f>
        <v>374</v>
      </c>
      <c r="G20" s="154">
        <f>IF($B20=" ","",IFERROR(INDEX(MMWR_RATING_RO_ROLLUP[],MATCH($B20,MMWR_RATING_RO_ROLLUP[MMWR_RATING_RO_ROLLUP],0),MATCH(G$9,MMWR_RATING_RO_ROLLUP[#Headers],0)),"ERROR"))</f>
        <v>3685</v>
      </c>
      <c r="H20" s="155">
        <f>IF($B20=" ","",IFERROR(INDEX(MMWR_RATING_RO_ROLLUP[],MATCH($B20,MMWR_RATING_RO_ROLLUP[MMWR_RATING_RO_ROLLUP],0),MATCH(H$9,MMWR_RATING_RO_ROLLUP[#Headers],0)),"ERROR"))</f>
        <v>122.7085561497</v>
      </c>
      <c r="I20" s="155">
        <f>IF($B20=" ","",IFERROR(INDEX(MMWR_RATING_RO_ROLLUP[],MATCH($B20,MMWR_RATING_RO_ROLLUP[MMWR_RATING_RO_ROLLUP],0),MATCH(I$9,MMWR_RATING_RO_ROLLUP[#Headers],0)),"ERROR"))</f>
        <v>120.9913161465</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1059</v>
      </c>
      <c r="D21" s="155">
        <f>IF($B21=" ","",IFERROR(INDEX(MMWR_RATING_RO_ROLLUP[],MATCH($B21,MMWR_RATING_RO_ROLLUP[MMWR_RATING_RO_ROLLUP],0),MATCH(D$9,MMWR_RATING_RO_ROLLUP[#Headers],0)),"ERROR"))</f>
        <v>83.525023607199998</v>
      </c>
      <c r="E21" s="156">
        <f>IF($B21=" ","",IFERROR(INDEX(MMWR_RATING_RO_ROLLUP[],MATCH($B21,MMWR_RATING_RO_ROLLUP[MMWR_RATING_RO_ROLLUP],0),MATCH(E$9,MMWR_RATING_RO_ROLLUP[#Headers],0))/$C21,"ERROR"))</f>
        <v>0.19169027384324835</v>
      </c>
      <c r="F21" s="154">
        <f>IF($B21=" ","",IFERROR(INDEX(MMWR_RATING_RO_ROLLUP[],MATCH($B21,MMWR_RATING_RO_ROLLUP[MMWR_RATING_RO_ROLLUP],0),MATCH(F$9,MMWR_RATING_RO_ROLLUP[#Headers],0)),"ERROR"))</f>
        <v>170</v>
      </c>
      <c r="G21" s="154">
        <f>IF($B21=" ","",IFERROR(INDEX(MMWR_RATING_RO_ROLLUP[],MATCH($B21,MMWR_RATING_RO_ROLLUP[MMWR_RATING_RO_ROLLUP],0),MATCH(G$9,MMWR_RATING_RO_ROLLUP[#Headers],0)),"ERROR"))</f>
        <v>1776</v>
      </c>
      <c r="H21" s="155">
        <f>IF($B21=" ","",IFERROR(INDEX(MMWR_RATING_RO_ROLLUP[],MATCH($B21,MMWR_RATING_RO_ROLLUP[MMWR_RATING_RO_ROLLUP],0),MATCH(H$9,MMWR_RATING_RO_ROLLUP[#Headers],0)),"ERROR"))</f>
        <v>139.95294117649999</v>
      </c>
      <c r="I21" s="155">
        <f>IF($B21=" ","",IFERROR(INDEX(MMWR_RATING_RO_ROLLUP[],MATCH($B21,MMWR_RATING_RO_ROLLUP[MMWR_RATING_RO_ROLLUP],0),MATCH(I$9,MMWR_RATING_RO_ROLLUP[#Headers],0)),"ERROR"))</f>
        <v>138.7567567568</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4595</v>
      </c>
      <c r="D22" s="155">
        <f>IF($B22=" ","",IFERROR(INDEX(MMWR_RATING_RO_ROLLUP[],MATCH($B22,MMWR_RATING_RO_ROLLUP[MMWR_RATING_RO_ROLLUP],0),MATCH(D$9,MMWR_RATING_RO_ROLLUP[#Headers],0)),"ERROR"))</f>
        <v>103.2450489663</v>
      </c>
      <c r="E22" s="156">
        <f>IF($B22=" ","",IFERROR(INDEX(MMWR_RATING_RO_ROLLUP[],MATCH($B22,MMWR_RATING_RO_ROLLUP[MMWR_RATING_RO_ROLLUP],0),MATCH(E$9,MMWR_RATING_RO_ROLLUP[#Headers],0))/$C22,"ERROR"))</f>
        <v>0.29597388465723612</v>
      </c>
      <c r="F22" s="154">
        <f>IF($B22=" ","",IFERROR(INDEX(MMWR_RATING_RO_ROLLUP[],MATCH($B22,MMWR_RATING_RO_ROLLUP[MMWR_RATING_RO_ROLLUP],0),MATCH(F$9,MMWR_RATING_RO_ROLLUP[#Headers],0)),"ERROR"))</f>
        <v>543</v>
      </c>
      <c r="G22" s="154">
        <f>IF($B22=" ","",IFERROR(INDEX(MMWR_RATING_RO_ROLLUP[],MATCH($B22,MMWR_RATING_RO_ROLLUP[MMWR_RATING_RO_ROLLUP],0),MATCH(G$9,MMWR_RATING_RO_ROLLUP[#Headers],0)),"ERROR"))</f>
        <v>6399</v>
      </c>
      <c r="H22" s="155">
        <f>IF($B22=" ","",IFERROR(INDEX(MMWR_RATING_RO_ROLLUP[],MATCH($B22,MMWR_RATING_RO_ROLLUP[MMWR_RATING_RO_ROLLUP],0),MATCH(H$9,MMWR_RATING_RO_ROLLUP[#Headers],0)),"ERROR"))</f>
        <v>128.56169429100001</v>
      </c>
      <c r="I22" s="155">
        <f>IF($B22=" ","",IFERROR(INDEX(MMWR_RATING_RO_ROLLUP[],MATCH($B22,MMWR_RATING_RO_ROLLUP[MMWR_RATING_RO_ROLLUP],0),MATCH(I$9,MMWR_RATING_RO_ROLLUP[#Headers],0)),"ERROR"))</f>
        <v>137.0757930927</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2791</v>
      </c>
      <c r="D23" s="155">
        <f>IF($B23=" ","",IFERROR(INDEX(MMWR_RATING_RO_ROLLUP[],MATCH($B23,MMWR_RATING_RO_ROLLUP[MMWR_RATING_RO_ROLLUP],0),MATCH(D$9,MMWR_RATING_RO_ROLLUP[#Headers],0)),"ERROR"))</f>
        <v>82.328914367600007</v>
      </c>
      <c r="E23" s="156">
        <f>IF($B23=" ","",IFERROR(INDEX(MMWR_RATING_RO_ROLLUP[],MATCH($B23,MMWR_RATING_RO_ROLLUP[MMWR_RATING_RO_ROLLUP],0),MATCH(E$9,MMWR_RATING_RO_ROLLUP[#Headers],0))/$C23,"ERROR"))</f>
        <v>0.19061268362594053</v>
      </c>
      <c r="F23" s="154">
        <f>IF($B23=" ","",IFERROR(INDEX(MMWR_RATING_RO_ROLLUP[],MATCH($B23,MMWR_RATING_RO_ROLLUP[MMWR_RATING_RO_ROLLUP],0),MATCH(F$9,MMWR_RATING_RO_ROLLUP[#Headers],0)),"ERROR"))</f>
        <v>237</v>
      </c>
      <c r="G23" s="154">
        <f>IF($B23=" ","",IFERROR(INDEX(MMWR_RATING_RO_ROLLUP[],MATCH($B23,MMWR_RATING_RO_ROLLUP[MMWR_RATING_RO_ROLLUP],0),MATCH(G$9,MMWR_RATING_RO_ROLLUP[#Headers],0)),"ERROR"))</f>
        <v>3544</v>
      </c>
      <c r="H23" s="155">
        <f>IF($B23=" ","",IFERROR(INDEX(MMWR_RATING_RO_ROLLUP[],MATCH($B23,MMWR_RATING_RO_ROLLUP[MMWR_RATING_RO_ROLLUP],0),MATCH(H$9,MMWR_RATING_RO_ROLLUP[#Headers],0)),"ERROR"))</f>
        <v>164.44303797469999</v>
      </c>
      <c r="I23" s="155">
        <f>IF($B23=" ","",IFERROR(INDEX(MMWR_RATING_RO_ROLLUP[],MATCH($B23,MMWR_RATING_RO_ROLLUP[MMWR_RATING_RO_ROLLUP],0),MATCH(I$9,MMWR_RATING_RO_ROLLUP[#Headers],0)),"ERROR"))</f>
        <v>143.0426072235</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7072</v>
      </c>
      <c r="D24" s="155">
        <f>IF($B24=" ","",IFERROR(INDEX(MMWR_RATING_RO_ROLLUP[],MATCH($B24,MMWR_RATING_RO_ROLLUP[MMWR_RATING_RO_ROLLUP],0),MATCH(D$9,MMWR_RATING_RO_ROLLUP[#Headers],0)),"ERROR"))</f>
        <v>112.15285633480001</v>
      </c>
      <c r="E24" s="156">
        <f>IF($B24=" ","",IFERROR(INDEX(MMWR_RATING_RO_ROLLUP[],MATCH($B24,MMWR_RATING_RO_ROLLUP[MMWR_RATING_RO_ROLLUP],0),MATCH(E$9,MMWR_RATING_RO_ROLLUP[#Headers],0))/$C24,"ERROR"))</f>
        <v>0.3178733031674208</v>
      </c>
      <c r="F24" s="154">
        <f>IF($B24=" ","",IFERROR(INDEX(MMWR_RATING_RO_ROLLUP[],MATCH($B24,MMWR_RATING_RO_ROLLUP[MMWR_RATING_RO_ROLLUP],0),MATCH(F$9,MMWR_RATING_RO_ROLLUP[#Headers],0)),"ERROR"))</f>
        <v>860</v>
      </c>
      <c r="G24" s="154">
        <f>IF($B24=" ","",IFERROR(INDEX(MMWR_RATING_RO_ROLLUP[],MATCH($B24,MMWR_RATING_RO_ROLLUP[MMWR_RATING_RO_ROLLUP],0),MATCH(G$9,MMWR_RATING_RO_ROLLUP[#Headers],0)),"ERROR"))</f>
        <v>11126</v>
      </c>
      <c r="H24" s="155">
        <f>IF($B24=" ","",IFERROR(INDEX(MMWR_RATING_RO_ROLLUP[],MATCH($B24,MMWR_RATING_RO_ROLLUP[MMWR_RATING_RO_ROLLUP],0),MATCH(H$9,MMWR_RATING_RO_ROLLUP[#Headers],0)),"ERROR"))</f>
        <v>150.78604651160001</v>
      </c>
      <c r="I24" s="155">
        <f>IF($B24=" ","",IFERROR(INDEX(MMWR_RATING_RO_ROLLUP[],MATCH($B24,MMWR_RATING_RO_ROLLUP[MMWR_RATING_RO_ROLLUP],0),MATCH(I$9,MMWR_RATING_RO_ROLLUP[#Headers],0)),"ERROR"))</f>
        <v>150.18092755710001</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4605</v>
      </c>
      <c r="D25" s="155">
        <f>IF($B25=" ","",IFERROR(INDEX(MMWR_RATING_RO_ROLLUP[],MATCH($B25,MMWR_RATING_RO_ROLLUP[MMWR_RATING_RO_ROLLUP],0),MATCH(D$9,MMWR_RATING_RO_ROLLUP[#Headers],0)),"ERROR"))</f>
        <v>111.7952225841</v>
      </c>
      <c r="E25" s="156">
        <f>IF($B25=" ","",IFERROR(INDEX(MMWR_RATING_RO_ROLLUP[],MATCH($B25,MMWR_RATING_RO_ROLLUP[MMWR_RATING_RO_ROLLUP],0),MATCH(E$9,MMWR_RATING_RO_ROLLUP[#Headers],0))/$C25,"ERROR"))</f>
        <v>0.33268186753528772</v>
      </c>
      <c r="F25" s="154">
        <f>IF($B25=" ","",IFERROR(INDEX(MMWR_RATING_RO_ROLLUP[],MATCH($B25,MMWR_RATING_RO_ROLLUP[MMWR_RATING_RO_ROLLUP],0),MATCH(F$9,MMWR_RATING_RO_ROLLUP[#Headers],0)),"ERROR"))</f>
        <v>437</v>
      </c>
      <c r="G25" s="154">
        <f>IF($B25=" ","",IFERROR(INDEX(MMWR_RATING_RO_ROLLUP[],MATCH($B25,MMWR_RATING_RO_ROLLUP[MMWR_RATING_RO_ROLLUP],0),MATCH(G$9,MMWR_RATING_RO_ROLLUP[#Headers],0)),"ERROR"))</f>
        <v>5954</v>
      </c>
      <c r="H25" s="155">
        <f>IF($B25=" ","",IFERROR(INDEX(MMWR_RATING_RO_ROLLUP[],MATCH($B25,MMWR_RATING_RO_ROLLUP[MMWR_RATING_RO_ROLLUP],0),MATCH(H$9,MMWR_RATING_RO_ROLLUP[#Headers],0)),"ERROR"))</f>
        <v>161.96796338670001</v>
      </c>
      <c r="I25" s="155">
        <f>IF($B25=" ","",IFERROR(INDEX(MMWR_RATING_RO_ROLLUP[],MATCH($B25,MMWR_RATING_RO_ROLLUP[MMWR_RATING_RO_ROLLUP],0),MATCH(I$9,MMWR_RATING_RO_ROLLUP[#Headers],0)),"ERROR"))</f>
        <v>160.8392677192</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2365</v>
      </c>
      <c r="D26" s="155">
        <f>IF($B26=" ","",IFERROR(INDEX(MMWR_RATING_RO_ROLLUP[],MATCH($B26,MMWR_RATING_RO_ROLLUP[MMWR_RATING_RO_ROLLUP],0),MATCH(D$9,MMWR_RATING_RO_ROLLUP[#Headers],0)),"ERROR"))</f>
        <v>76.043128964100006</v>
      </c>
      <c r="E26" s="156">
        <f>IF($B26=" ","",IFERROR(INDEX(MMWR_RATING_RO_ROLLUP[],MATCH($B26,MMWR_RATING_RO_ROLLUP[MMWR_RATING_RO_ROLLUP],0),MATCH(E$9,MMWR_RATING_RO_ROLLUP[#Headers],0))/$C26,"ERROR"))</f>
        <v>0.18942917547568711</v>
      </c>
      <c r="F26" s="154">
        <f>IF($B26=" ","",IFERROR(INDEX(MMWR_RATING_RO_ROLLUP[],MATCH($B26,MMWR_RATING_RO_ROLLUP[MMWR_RATING_RO_ROLLUP],0),MATCH(F$9,MMWR_RATING_RO_ROLLUP[#Headers],0)),"ERROR"))</f>
        <v>867</v>
      </c>
      <c r="G26" s="154">
        <f>IF($B26=" ","",IFERROR(INDEX(MMWR_RATING_RO_ROLLUP[],MATCH($B26,MMWR_RATING_RO_ROLLUP[MMWR_RATING_RO_ROLLUP],0),MATCH(G$9,MMWR_RATING_RO_ROLLUP[#Headers],0)),"ERROR"))</f>
        <v>9311</v>
      </c>
      <c r="H26" s="155">
        <f>IF($B26=" ","",IFERROR(INDEX(MMWR_RATING_RO_ROLLUP[],MATCH($B26,MMWR_RATING_RO_ROLLUP[MMWR_RATING_RO_ROLLUP],0),MATCH(H$9,MMWR_RATING_RO_ROLLUP[#Headers],0)),"ERROR"))</f>
        <v>58.190311418699999</v>
      </c>
      <c r="I26" s="155">
        <f>IF($B26=" ","",IFERROR(INDEX(MMWR_RATING_RO_ROLLUP[],MATCH($B26,MMWR_RATING_RO_ROLLUP[MMWR_RATING_RO_ROLLUP],0),MATCH(I$9,MMWR_RATING_RO_ROLLUP[#Headers],0)),"ERROR"))</f>
        <v>58.403114930199997</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10443</v>
      </c>
      <c r="D27" s="155">
        <f>IF($B27=" ","",IFERROR(INDEX(MMWR_RATING_RO_ROLLUP[],MATCH($B27,MMWR_RATING_RO_ROLLUP[MMWR_RATING_RO_ROLLUP],0),MATCH(D$9,MMWR_RATING_RO_ROLLUP[#Headers],0)),"ERROR"))</f>
        <v>92.122187111000002</v>
      </c>
      <c r="E27" s="156">
        <f>IF($B27=" ","",IFERROR(INDEX(MMWR_RATING_RO_ROLLUP[],MATCH($B27,MMWR_RATING_RO_ROLLUP[MMWR_RATING_RO_ROLLUP],0),MATCH(E$9,MMWR_RATING_RO_ROLLUP[#Headers],0))/$C27,"ERROR"))</f>
        <v>0.26400459638035045</v>
      </c>
      <c r="F27" s="154">
        <f>IF($B27=" ","",IFERROR(INDEX(MMWR_RATING_RO_ROLLUP[],MATCH($B27,MMWR_RATING_RO_ROLLUP[MMWR_RATING_RO_ROLLUP],0),MATCH(F$9,MMWR_RATING_RO_ROLLUP[#Headers],0)),"ERROR"))</f>
        <v>1218</v>
      </c>
      <c r="G27" s="154">
        <f>IF($B27=" ","",IFERROR(INDEX(MMWR_RATING_RO_ROLLUP[],MATCH($B27,MMWR_RATING_RO_ROLLUP[MMWR_RATING_RO_ROLLUP],0),MATCH(G$9,MMWR_RATING_RO_ROLLUP[#Headers],0)),"ERROR"))</f>
        <v>14693</v>
      </c>
      <c r="H27" s="155">
        <f>IF($B27=" ","",IFERROR(INDEX(MMWR_RATING_RO_ROLLUP[],MATCH($B27,MMWR_RATING_RO_ROLLUP[MMWR_RATING_RO_ROLLUP],0),MATCH(H$9,MMWR_RATING_RO_ROLLUP[#Headers],0)),"ERROR"))</f>
        <v>149.9252873563</v>
      </c>
      <c r="I27" s="155">
        <f>IF($B27=" ","",IFERROR(INDEX(MMWR_RATING_RO_ROLLUP[],MATCH($B27,MMWR_RATING_RO_ROLLUP[MMWR_RATING_RO_ROLLUP],0),MATCH(I$9,MMWR_RATING_RO_ROLLUP[#Headers],0)),"ERROR"))</f>
        <v>139.5444769618</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1505</v>
      </c>
      <c r="D28" s="155">
        <f>IF($B28=" ","",IFERROR(INDEX(MMWR_RATING_RO_ROLLUP[],MATCH($B28,MMWR_RATING_RO_ROLLUP[MMWR_RATING_RO_ROLLUP],0),MATCH(D$9,MMWR_RATING_RO_ROLLUP[#Headers],0)),"ERROR"))</f>
        <v>73.700332225899999</v>
      </c>
      <c r="E28" s="156">
        <f>IF($B28=" ","",IFERROR(INDEX(MMWR_RATING_RO_ROLLUP[],MATCH($B28,MMWR_RATING_RO_ROLLUP[MMWR_RATING_RO_ROLLUP],0),MATCH(E$9,MMWR_RATING_RO_ROLLUP[#Headers],0))/$C28,"ERROR"))</f>
        <v>0.1335548172757475</v>
      </c>
      <c r="F28" s="154">
        <f>IF($B28=" ","",IFERROR(INDEX(MMWR_RATING_RO_ROLLUP[],MATCH($B28,MMWR_RATING_RO_ROLLUP[MMWR_RATING_RO_ROLLUP],0),MATCH(F$9,MMWR_RATING_RO_ROLLUP[#Headers],0)),"ERROR"))</f>
        <v>147</v>
      </c>
      <c r="G28" s="154">
        <f>IF($B28=" ","",IFERROR(INDEX(MMWR_RATING_RO_ROLLUP[],MATCH($B28,MMWR_RATING_RO_ROLLUP[MMWR_RATING_RO_ROLLUP],0),MATCH(G$9,MMWR_RATING_RO_ROLLUP[#Headers],0)),"ERROR"))</f>
        <v>1934</v>
      </c>
      <c r="H28" s="155">
        <f>IF($B28=" ","",IFERROR(INDEX(MMWR_RATING_RO_ROLLUP[],MATCH($B28,MMWR_RATING_RO_ROLLUP[MMWR_RATING_RO_ROLLUP],0),MATCH(H$9,MMWR_RATING_RO_ROLLUP[#Headers],0)),"ERROR"))</f>
        <v>125.0544217687</v>
      </c>
      <c r="I28" s="155">
        <f>IF($B28=" ","",IFERROR(INDEX(MMWR_RATING_RO_ROLLUP[],MATCH($B28,MMWR_RATING_RO_ROLLUP[MMWR_RATING_RO_ROLLUP],0),MATCH(I$9,MMWR_RATING_RO_ROLLUP[#Headers],0)),"ERROR"))</f>
        <v>111.90998448009999</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535</v>
      </c>
      <c r="D29" s="155">
        <f>IF($B29=" ","",IFERROR(INDEX(MMWR_RATING_RO_ROLLUP[],MATCH($B29,MMWR_RATING_RO_ROLLUP[MMWR_RATING_RO_ROLLUP],0),MATCH(D$9,MMWR_RATING_RO_ROLLUP[#Headers],0)),"ERROR"))</f>
        <v>94.831775700899996</v>
      </c>
      <c r="E29" s="156">
        <f>IF($B29=" ","",IFERROR(INDEX(MMWR_RATING_RO_ROLLUP[],MATCH($B29,MMWR_RATING_RO_ROLLUP[MMWR_RATING_RO_ROLLUP],0),MATCH(E$9,MMWR_RATING_RO_ROLLUP[#Headers],0))/$C29,"ERROR"))</f>
        <v>0.30467289719626167</v>
      </c>
      <c r="F29" s="154">
        <f>IF($B29=" ","",IFERROR(INDEX(MMWR_RATING_RO_ROLLUP[],MATCH($B29,MMWR_RATING_RO_ROLLUP[MMWR_RATING_RO_ROLLUP],0),MATCH(F$9,MMWR_RATING_RO_ROLLUP[#Headers],0)),"ERROR"))</f>
        <v>51</v>
      </c>
      <c r="G29" s="154">
        <f>IF($B29=" ","",IFERROR(INDEX(MMWR_RATING_RO_ROLLUP[],MATCH($B29,MMWR_RATING_RO_ROLLUP[MMWR_RATING_RO_ROLLUP],0),MATCH(G$9,MMWR_RATING_RO_ROLLUP[#Headers],0)),"ERROR"))</f>
        <v>639</v>
      </c>
      <c r="H29" s="155">
        <f>IF($B29=" ","",IFERROR(INDEX(MMWR_RATING_RO_ROLLUP[],MATCH($B29,MMWR_RATING_RO_ROLLUP[MMWR_RATING_RO_ROLLUP],0),MATCH(H$9,MMWR_RATING_RO_ROLLUP[#Headers],0)),"ERROR"))</f>
        <v>145.3137254902</v>
      </c>
      <c r="I29" s="155">
        <f>IF($B29=" ","",IFERROR(INDEX(MMWR_RATING_RO_ROLLUP[],MATCH($B29,MMWR_RATING_RO_ROLLUP[MMWR_RATING_RO_ROLLUP],0),MATCH(I$9,MMWR_RATING_RO_ROLLUP[#Headers],0)),"ERROR"))</f>
        <v>137.79029733959999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738</v>
      </c>
      <c r="D30" s="155">
        <f>IF($B30=" ","",IFERROR(INDEX(MMWR_RATING_RO_ROLLUP[],MATCH($B30,MMWR_RATING_RO_ROLLUP[MMWR_RATING_RO_ROLLUP],0),MATCH(D$9,MMWR_RATING_RO_ROLLUP[#Headers],0)),"ERROR"))</f>
        <v>102.1490514905</v>
      </c>
      <c r="E30" s="156">
        <f>IF($B30=" ","",IFERROR(INDEX(MMWR_RATING_RO_ROLLUP[],MATCH($B30,MMWR_RATING_RO_ROLLUP[MMWR_RATING_RO_ROLLUP],0),MATCH(E$9,MMWR_RATING_RO_ROLLUP[#Headers],0))/$C30,"ERROR"))</f>
        <v>0.2886178861788618</v>
      </c>
      <c r="F30" s="154">
        <f>IF($B30=" ","",IFERROR(INDEX(MMWR_RATING_RO_ROLLUP[],MATCH($B30,MMWR_RATING_RO_ROLLUP[MMWR_RATING_RO_ROLLUP],0),MATCH(F$9,MMWR_RATING_RO_ROLLUP[#Headers],0)),"ERROR"))</f>
        <v>60</v>
      </c>
      <c r="G30" s="154">
        <f>IF($B30=" ","",IFERROR(INDEX(MMWR_RATING_RO_ROLLUP[],MATCH($B30,MMWR_RATING_RO_ROLLUP[MMWR_RATING_RO_ROLLUP],0),MATCH(G$9,MMWR_RATING_RO_ROLLUP[#Headers],0)),"ERROR"))</f>
        <v>1087</v>
      </c>
      <c r="H30" s="155">
        <f>IF($B30=" ","",IFERROR(INDEX(MMWR_RATING_RO_ROLLUP[],MATCH($B30,MMWR_RATING_RO_ROLLUP[MMWR_RATING_RO_ROLLUP],0),MATCH(H$9,MMWR_RATING_RO_ROLLUP[#Headers],0)),"ERROR"))</f>
        <v>130.80000000000001</v>
      </c>
      <c r="I30" s="155">
        <f>IF($B30=" ","",IFERROR(INDEX(MMWR_RATING_RO_ROLLUP[],MATCH($B30,MMWR_RATING_RO_ROLLUP[MMWR_RATING_RO_ROLLUP],0),MATCH(I$9,MMWR_RATING_RO_ROLLUP[#Headers],0)),"ERROR"))</f>
        <v>143.37994480219999</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16636</v>
      </c>
      <c r="D31" s="155">
        <f>IF($B31=" ","",IFERROR(INDEX(MMWR_RATING_RO_ROLLUP[],MATCH($B31,MMWR_RATING_RO_ROLLUP[MMWR_RATING_RO_ROLLUP],0),MATCH(D$9,MMWR_RATING_RO_ROLLUP[#Headers],0)),"ERROR"))</f>
        <v>93.129358018800005</v>
      </c>
      <c r="E31" s="156">
        <f>IF($B31=" ","",IFERROR(INDEX(MMWR_RATING_RO_ROLLUP[],MATCH($B31,MMWR_RATING_RO_ROLLUP[MMWR_RATING_RO_ROLLUP],0),MATCH(E$9,MMWR_RATING_RO_ROLLUP[#Headers],0))/$C31,"ERROR"))</f>
        <v>0.2501803318105314</v>
      </c>
      <c r="F31" s="154">
        <f>IF($B31=" ","",IFERROR(INDEX(MMWR_RATING_RO_ROLLUP[],MATCH($B31,MMWR_RATING_RO_ROLLUP[MMWR_RATING_RO_ROLLUP],0),MATCH(F$9,MMWR_RATING_RO_ROLLUP[#Headers],0)),"ERROR"))</f>
        <v>1880</v>
      </c>
      <c r="G31" s="154">
        <f>IF($B31=" ","",IFERROR(INDEX(MMWR_RATING_RO_ROLLUP[],MATCH($B31,MMWR_RATING_RO_ROLLUP[MMWR_RATING_RO_ROLLUP],0),MATCH(G$9,MMWR_RATING_RO_ROLLUP[#Headers],0)),"ERROR"))</f>
        <v>22928</v>
      </c>
      <c r="H31" s="155">
        <f>IF($B31=" ","",IFERROR(INDEX(MMWR_RATING_RO_ROLLUP[],MATCH($B31,MMWR_RATING_RO_ROLLUP[MMWR_RATING_RO_ROLLUP],0),MATCH(H$9,MMWR_RATING_RO_ROLLUP[#Headers],0)),"ERROR"))</f>
        <v>142.02021276599999</v>
      </c>
      <c r="I31" s="155">
        <f>IF($B31=" ","",IFERROR(INDEX(MMWR_RATING_RO_ROLLUP[],MATCH($B31,MMWR_RATING_RO_ROLLUP[MMWR_RATING_RO_ROLLUP],0),MATCH(I$9,MMWR_RATING_RO_ROLLUP[#Headers],0)),"ERROR"))</f>
        <v>148.4029049987</v>
      </c>
      <c r="J31" s="42"/>
      <c r="K31" s="42"/>
      <c r="L31" s="42"/>
      <c r="M31" s="42"/>
      <c r="N31" s="28"/>
    </row>
    <row r="32" spans="1:14" x14ac:dyDescent="0.2">
      <c r="A32" s="25"/>
      <c r="B32" s="377" t="s">
        <v>734</v>
      </c>
      <c r="C32" s="378"/>
      <c r="D32" s="378"/>
      <c r="E32" s="378"/>
      <c r="F32" s="378"/>
      <c r="G32" s="378"/>
      <c r="H32" s="378"/>
      <c r="I32" s="378"/>
      <c r="J32" s="378"/>
      <c r="K32" s="378"/>
      <c r="L32" s="378"/>
      <c r="M32" s="387"/>
      <c r="N32" s="28"/>
    </row>
    <row r="33" spans="1:14" x14ac:dyDescent="0.2">
      <c r="A33" s="25"/>
      <c r="B33" s="11" t="s">
        <v>697</v>
      </c>
      <c r="C33" s="154">
        <f>IF($B33=" ","",IFERROR(INDEX(MMWR_RATING_RO_ROLLUP[],MATCH($B33,MMWR_RATING_RO_ROLLUP[MMWR_RATING_RO_ROLLUP],0),MATCH(C$9,MMWR_RATING_RO_ROLLUP[#Headers],0)),"ERROR"))</f>
        <v>26096</v>
      </c>
      <c r="D33" s="155">
        <f>IF($B33=" ","",IFERROR(INDEX(MMWR_RATING_RO_ROLLUP[],MATCH($B33,MMWR_RATING_RO_ROLLUP[MMWR_RATING_RO_ROLLUP],0),MATCH(D$9,MMWR_RATING_RO_ROLLUP[#Headers],0)),"ERROR"))</f>
        <v>69.245593194400001</v>
      </c>
      <c r="E33" s="156">
        <f>IF($B33=" ","",IFERROR(INDEX(MMWR_RATING_RO_ROLLUP[],MATCH($B33,MMWR_RATING_RO_ROLLUP[MMWR_RATING_RO_ROLLUP],0),MATCH(E$9,MMWR_RATING_RO_ROLLUP[#Headers],0))/$C33,"ERROR"))</f>
        <v>0.12864040465971796</v>
      </c>
      <c r="F33" s="154">
        <f>IF($B33=" ","",IFERROR(INDEX(MMWR_RATING_RO_ROLLUP[],MATCH($B33,MMWR_RATING_RO_ROLLUP[MMWR_RATING_RO_ROLLUP],0),MATCH(F$9,MMWR_RATING_RO_ROLLUP[#Headers],0)),"ERROR"))</f>
        <v>5170</v>
      </c>
      <c r="G33" s="154">
        <f>IF($B33=" ","",IFERROR(INDEX(MMWR_RATING_RO_ROLLUP[],MATCH($B33,MMWR_RATING_RO_ROLLUP[MMWR_RATING_RO_ROLLUP],0),MATCH(G$9,MMWR_RATING_RO_ROLLUP[#Headers],0)),"ERROR"))</f>
        <v>64861</v>
      </c>
      <c r="H33" s="155">
        <f>IF($B33=" ","",IFERROR(INDEX(MMWR_RATING_RO_ROLLUP[],MATCH($B33,MMWR_RATING_RO_ROLLUP[MMWR_RATING_RO_ROLLUP],0),MATCH(H$9,MMWR_RATING_RO_ROLLUP[#Headers],0)),"ERROR"))</f>
        <v>83.953578336600003</v>
      </c>
      <c r="I33" s="155">
        <f>IF($B33=" ","",IFERROR(INDEX(MMWR_RATING_RO_ROLLUP[],MATCH($B33,MMWR_RATING_RO_ROLLUP[MMWR_RATING_RO_ROLLUP],0),MATCH(I$9,MMWR_RATING_RO_ROLLUP[#Headers],0)),"ERROR"))</f>
        <v>76.234154088099999</v>
      </c>
      <c r="J33" s="42"/>
      <c r="K33" s="42"/>
      <c r="L33" s="42"/>
      <c r="M33" s="42"/>
      <c r="N33" s="28"/>
    </row>
    <row r="34" spans="1:14" x14ac:dyDescent="0.2">
      <c r="A34" s="25"/>
      <c r="B34" s="12" t="s">
        <v>210</v>
      </c>
      <c r="C34" s="154">
        <f>IF($B34=" ","",IFERROR(INDEX(MMWR_RATING_RO_ROLLUP[],MATCH($B34,MMWR_RATING_RO_ROLLUP[MMWR_RATING_RO_ROLLUP],0),MATCH(C$9,MMWR_RATING_RO_ROLLUP[#Headers],0)),"ERROR"))</f>
        <v>12457</v>
      </c>
      <c r="D34" s="155">
        <f>IF($B34=" ","",IFERROR(INDEX(MMWR_RATING_RO_ROLLUP[],MATCH($B34,MMWR_RATING_RO_ROLLUP[MMWR_RATING_RO_ROLLUP],0),MATCH(D$9,MMWR_RATING_RO_ROLLUP[#Headers],0)),"ERROR"))</f>
        <v>68.0132455647</v>
      </c>
      <c r="E34" s="156">
        <f>IF($B34=" ","",IFERROR(INDEX(MMWR_RATING_RO_ROLLUP[],MATCH($B34,MMWR_RATING_RO_ROLLUP[MMWR_RATING_RO_ROLLUP],0),MATCH(E$9,MMWR_RATING_RO_ROLLUP[#Headers],0))/$C34,"ERROR"))</f>
        <v>0.12531107008107892</v>
      </c>
      <c r="F34" s="154">
        <f>IF($B34=" ","",IFERROR(INDEX(MMWR_RATING_RO_ROLLUP[],MATCH($B34,MMWR_RATING_RO_ROLLUP[MMWR_RATING_RO_ROLLUP],0),MATCH(F$9,MMWR_RATING_RO_ROLLUP[#Headers],0)),"ERROR"))</f>
        <v>1716</v>
      </c>
      <c r="G34" s="154">
        <f>IF($B34=" ","",IFERROR(INDEX(MMWR_RATING_RO_ROLLUP[],MATCH($B34,MMWR_RATING_RO_ROLLUP[MMWR_RATING_RO_ROLLUP],0),MATCH(G$9,MMWR_RATING_RO_ROLLUP[#Headers],0)),"ERROR"))</f>
        <v>20800</v>
      </c>
      <c r="H34" s="155">
        <f>IF($B34=" ","",IFERROR(INDEX(MMWR_RATING_RO_ROLLUP[],MATCH($B34,MMWR_RATING_RO_ROLLUP[MMWR_RATING_RO_ROLLUP],0),MATCH(H$9,MMWR_RATING_RO_ROLLUP[#Headers],0)),"ERROR"))</f>
        <v>106.63927738930001</v>
      </c>
      <c r="I34" s="155">
        <f>IF($B34=" ","",IFERROR(INDEX(MMWR_RATING_RO_ROLLUP[],MATCH($B34,MMWR_RATING_RO_ROLLUP[MMWR_RATING_RO_ROLLUP],0),MATCH(I$9,MMWR_RATING_RO_ROLLUP[#Headers],0)),"ERROR"))</f>
        <v>92.788701923100007</v>
      </c>
      <c r="J34" s="42"/>
      <c r="K34" s="42"/>
      <c r="L34" s="42"/>
      <c r="M34" s="42"/>
      <c r="N34" s="28"/>
    </row>
    <row r="35" spans="1:14" x14ac:dyDescent="0.2">
      <c r="A35" s="43"/>
      <c r="B35" s="12" t="s">
        <v>209</v>
      </c>
      <c r="C35" s="154">
        <f>IF($B35=" ","",IFERROR(INDEX(MMWR_RATING_RO_ROLLUP[],MATCH($B35,MMWR_RATING_RO_ROLLUP[MMWR_RATING_RO_ROLLUP],0),MATCH(C$9,MMWR_RATING_RO_ROLLUP[#Headers],0)),"ERROR"))</f>
        <v>5947</v>
      </c>
      <c r="D35" s="155">
        <f>IF($B35=" ","",IFERROR(INDEX(MMWR_RATING_RO_ROLLUP[],MATCH($B35,MMWR_RATING_RO_ROLLUP[MMWR_RATING_RO_ROLLUP],0),MATCH(D$9,MMWR_RATING_RO_ROLLUP[#Headers],0)),"ERROR"))</f>
        <v>68.106776526000004</v>
      </c>
      <c r="E35" s="156">
        <f>IF($B35=" ","",IFERROR(INDEX(MMWR_RATING_RO_ROLLUP[],MATCH($B35,MMWR_RATING_RO_ROLLUP[MMWR_RATING_RO_ROLLUP],0),MATCH(E$9,MMWR_RATING_RO_ROLLUP[#Headers],0))/$C35,"ERROR"))</f>
        <v>0.13939801580628888</v>
      </c>
      <c r="F35" s="154">
        <f>IF($B35=" ","",IFERROR(INDEX(MMWR_RATING_RO_ROLLUP[],MATCH($B35,MMWR_RATING_RO_ROLLUP[MMWR_RATING_RO_ROLLUP],0),MATCH(F$9,MMWR_RATING_RO_ROLLUP[#Headers],0)),"ERROR"))</f>
        <v>1442</v>
      </c>
      <c r="G35" s="154">
        <f>IF($B35=" ","",IFERROR(INDEX(MMWR_RATING_RO_ROLLUP[],MATCH($B35,MMWR_RATING_RO_ROLLUP[MMWR_RATING_RO_ROLLUP],0),MATCH(G$9,MMWR_RATING_RO_ROLLUP[#Headers],0)),"ERROR"))</f>
        <v>18516</v>
      </c>
      <c r="H35" s="155">
        <f>IF($B35=" ","",IFERROR(INDEX(MMWR_RATING_RO_ROLLUP[],MATCH($B35,MMWR_RATING_RO_ROLLUP[MMWR_RATING_RO_ROLLUP],0),MATCH(H$9,MMWR_RATING_RO_ROLLUP[#Headers],0)),"ERROR"))</f>
        <v>74.677531206699996</v>
      </c>
      <c r="I35" s="155">
        <f>IF($B35=" ","",IFERROR(INDEX(MMWR_RATING_RO_ROLLUP[],MATCH($B35,MMWR_RATING_RO_ROLLUP[MMWR_RATING_RO_ROLLUP],0),MATCH(I$9,MMWR_RATING_RO_ROLLUP[#Headers],0)),"ERROR"))</f>
        <v>71.2371462519</v>
      </c>
      <c r="J35" s="42"/>
      <c r="K35" s="42"/>
      <c r="L35" s="42"/>
      <c r="M35" s="42"/>
      <c r="N35" s="28"/>
    </row>
    <row r="36" spans="1:14" x14ac:dyDescent="0.2">
      <c r="A36" s="25"/>
      <c r="B36" s="12" t="s">
        <v>212</v>
      </c>
      <c r="C36" s="154">
        <f>IF($B36=" ","",IFERROR(INDEX(MMWR_RATING_RO_ROLLUP[],MATCH($B36,MMWR_RATING_RO_ROLLUP[MMWR_RATING_RO_ROLLUP],0),MATCH(C$9,MMWR_RATING_RO_ROLLUP[#Headers],0)),"ERROR"))</f>
        <v>6927</v>
      </c>
      <c r="D36" s="155">
        <f>IF($B36=" ","",IFERROR(INDEX(MMWR_RATING_RO_ROLLUP[],MATCH($B36,MMWR_RATING_RO_ROLLUP[MMWR_RATING_RO_ROLLUP],0),MATCH(D$9,MMWR_RATING_RO_ROLLUP[#Headers],0)),"ERROR"))</f>
        <v>60.722246282699999</v>
      </c>
      <c r="E36" s="156">
        <f>IF($B36=" ","",IFERROR(INDEX(MMWR_RATING_RO_ROLLUP[],MATCH($B36,MMWR_RATING_RO_ROLLUP[MMWR_RATING_RO_ROLLUP],0),MATCH(E$9,MMWR_RATING_RO_ROLLUP[#Headers],0))/$C36,"ERROR"))</f>
        <v>8.1709253645156632E-2</v>
      </c>
      <c r="F36" s="154">
        <f>IF($B36=" ","",IFERROR(INDEX(MMWR_RATING_RO_ROLLUP[],MATCH($B36,MMWR_RATING_RO_ROLLUP[MMWR_RATING_RO_ROLLUP],0),MATCH(F$9,MMWR_RATING_RO_ROLLUP[#Headers],0)),"ERROR"))</f>
        <v>1847</v>
      </c>
      <c r="G36" s="154">
        <f>IF($B36=" ","",IFERROR(INDEX(MMWR_RATING_RO_ROLLUP[],MATCH($B36,MMWR_RATING_RO_ROLLUP[MMWR_RATING_RO_ROLLUP],0),MATCH(G$9,MMWR_RATING_RO_ROLLUP[#Headers],0)),"ERROR"))</f>
        <v>23204</v>
      </c>
      <c r="H36" s="155">
        <f>IF($B36=" ","",IFERROR(INDEX(MMWR_RATING_RO_ROLLUP[],MATCH($B36,MMWR_RATING_RO_ROLLUP[MMWR_RATING_RO_ROLLUP],0),MATCH(H$9,MMWR_RATING_RO_ROLLUP[#Headers],0)),"ERROR"))</f>
        <v>72.685977260399994</v>
      </c>
      <c r="I36" s="155">
        <f>IF($B36=" ","",IFERROR(INDEX(MMWR_RATING_RO_ROLLUP[],MATCH($B36,MMWR_RATING_RO_ROLLUP[MMWR_RATING_RO_ROLLUP],0),MATCH(I$9,MMWR_RATING_RO_ROLLUP[#Headers],0)),"ERROR"))</f>
        <v>67.581329195799995</v>
      </c>
      <c r="J36" s="42"/>
      <c r="K36" s="42"/>
      <c r="L36" s="42"/>
      <c r="M36" s="42"/>
      <c r="N36" s="28"/>
    </row>
    <row r="37" spans="1:14" x14ac:dyDescent="0.2">
      <c r="A37" s="25"/>
      <c r="B37" s="13" t="s">
        <v>224</v>
      </c>
      <c r="C37" s="154">
        <f>IF($B37=" ","",IFERROR(INDEX(MMWR_RATING_RO_ROLLUP[],MATCH($B37,MMWR_RATING_RO_ROLLUP[MMWR_RATING_RO_ROLLUP],0),MATCH(C$9,MMWR_RATING_RO_ROLLUP[#Headers],0)),"ERROR"))</f>
        <v>765</v>
      </c>
      <c r="D37" s="155">
        <f>IF($B37=" ","",IFERROR(INDEX(MMWR_RATING_RO_ROLLUP[],MATCH($B37,MMWR_RATING_RO_ROLLUP[MMWR_RATING_RO_ROLLUP],0),MATCH(D$9,MMWR_RATING_RO_ROLLUP[#Headers],0)),"ERROR"))</f>
        <v>175.34379084970001</v>
      </c>
      <c r="E37" s="156">
        <f>IF($B37=" ","",IFERROR(INDEX(MMWR_RATING_RO_ROLLUP[],MATCH($B37,MMWR_RATING_RO_ROLLUP[MMWR_RATING_RO_ROLLUP],0),MATCH(E$9,MMWR_RATING_RO_ROLLUP[#Headers],0))/$C37,"ERROR"))</f>
        <v>0.52418300653594774</v>
      </c>
      <c r="F37" s="154">
        <f>IF($B37=" ","",IFERROR(INDEX(MMWR_RATING_RO_ROLLUP[],MATCH($B37,MMWR_RATING_RO_ROLLUP[MMWR_RATING_RO_ROLLUP],0),MATCH(F$9,MMWR_RATING_RO_ROLLUP[#Headers],0)),"ERROR"))</f>
        <v>165</v>
      </c>
      <c r="G37" s="154">
        <f>IF($B37=" ","",IFERROR(INDEX(MMWR_RATING_RO_ROLLUP[],MATCH($B37,MMWR_RATING_RO_ROLLUP[MMWR_RATING_RO_ROLLUP],0),MATCH(G$9,MMWR_RATING_RO_ROLLUP[#Headers],0)),"ERROR"))</f>
        <v>2341</v>
      </c>
      <c r="H37" s="155">
        <f>IF($B37=" ","",IFERROR(INDEX(MMWR_RATING_RO_ROLLUP[],MATCH($B37,MMWR_RATING_RO_ROLLUP[MMWR_RATING_RO_ROLLUP],0),MATCH(H$9,MMWR_RATING_RO_ROLLUP[#Headers],0)),"ERROR"))</f>
        <v>55.218181818200001</v>
      </c>
      <c r="I37" s="155">
        <f>IF($B37=" ","",IFERROR(INDEX(MMWR_RATING_RO_ROLLUP[],MATCH($B37,MMWR_RATING_RO_ROLLUP[MMWR_RATING_RO_ROLLUP],0),MATCH(I$9,MMWR_RATING_RO_ROLLUP[#Headers],0)),"ERROR"))</f>
        <v>54.4284493806</v>
      </c>
      <c r="J37" s="42"/>
      <c r="K37" s="42"/>
      <c r="L37" s="42"/>
      <c r="M37" s="42"/>
      <c r="N37" s="28"/>
    </row>
    <row r="38" spans="1:14" x14ac:dyDescent="0.2">
      <c r="A38" s="25"/>
      <c r="B38" s="377" t="s">
        <v>917</v>
      </c>
      <c r="C38" s="378"/>
      <c r="D38" s="378"/>
      <c r="E38" s="378"/>
      <c r="F38" s="378"/>
      <c r="G38" s="378"/>
      <c r="H38" s="378"/>
      <c r="I38" s="378"/>
      <c r="J38" s="378"/>
      <c r="K38" s="378"/>
      <c r="L38" s="378"/>
      <c r="M38" s="387"/>
      <c r="N38" s="28"/>
    </row>
    <row r="39" spans="1:14" x14ac:dyDescent="0.2">
      <c r="A39" s="25"/>
      <c r="B39" s="44" t="s">
        <v>698</v>
      </c>
      <c r="C39" s="154">
        <f>IF($B39=" ","",IFERROR(INDEX(MMWR_RATING_RO_ROLLUP[],MATCH($B39,MMWR_RATING_RO_ROLLUP[MMWR_RATING_RO_ROLLUP],0),MATCH(C$9,MMWR_RATING_RO_ROLLUP[#Headers],0)),"ERROR"))</f>
        <v>9491</v>
      </c>
      <c r="D39" s="155">
        <f>IF($B39=" ","",IFERROR(INDEX(MMWR_RATING_RO_ROLLUP[],MATCH($B39,MMWR_RATING_RO_ROLLUP[MMWR_RATING_RO_ROLLUP],0),MATCH(D$9,MMWR_RATING_RO_ROLLUP[#Headers],0)),"ERROR"))</f>
        <v>89.785902433900006</v>
      </c>
      <c r="E39" s="156">
        <f>IF($B39=" ","",IFERROR(INDEX(MMWR_RATING_RO_ROLLUP[],MATCH($B39,MMWR_RATING_RO_ROLLUP[MMWR_RATING_RO_ROLLUP],0),MATCH(E$9,MMWR_RATING_RO_ROLLUP[#Headers],0))/$C39,"ERROR"))</f>
        <v>0.29101253819407857</v>
      </c>
      <c r="F39" s="154">
        <f>IF($B39=" ","",IFERROR(INDEX(MMWR_RATING_RO_ROLLUP[],MATCH($B39,MMWR_RATING_RO_ROLLUP[MMWR_RATING_RO_ROLLUP],0),MATCH(F$9,MMWR_RATING_RO_ROLLUP[#Headers],0)),"ERROR"))</f>
        <v>1314</v>
      </c>
      <c r="G39" s="154">
        <f>IF($B39=" ","",IFERROR(INDEX(MMWR_RATING_RO_ROLLUP[],MATCH($B39,MMWR_RATING_RO_ROLLUP[MMWR_RATING_RO_ROLLUP],0),MATCH(G$9,MMWR_RATING_RO_ROLLUP[#Headers],0)),"ERROR"))</f>
        <v>9968</v>
      </c>
      <c r="H39" s="155">
        <f>IF($B39=" ","",IFERROR(INDEX(MMWR_RATING_RO_ROLLUP[],MATCH($B39,MMWR_RATING_RO_ROLLUP[MMWR_RATING_RO_ROLLUP],0),MATCH(H$9,MMWR_RATING_RO_ROLLUP[#Headers],0)),"ERROR"))</f>
        <v>146.95662100460001</v>
      </c>
      <c r="I39" s="155">
        <f>IF($B39=" ","",IFERROR(INDEX(MMWR_RATING_RO_ROLLUP[],MATCH($B39,MMWR_RATING_RO_ROLLUP[MMWR_RATING_RO_ROLLUP],0),MATCH(I$9,MMWR_RATING_RO_ROLLUP[#Headers],0)),"ERROR"))</f>
        <v>147.1851926164</v>
      </c>
      <c r="J39" s="42"/>
      <c r="K39" s="42"/>
      <c r="L39" s="42"/>
      <c r="M39" s="42"/>
      <c r="N39" s="28"/>
    </row>
    <row r="40" spans="1:14" x14ac:dyDescent="0.2">
      <c r="A40" s="25"/>
      <c r="B40" s="53" t="s">
        <v>957</v>
      </c>
      <c r="C40" s="154">
        <f>IF($B40=" ","",IFERROR(INDEX(MMWR_RATING_RO_ROLLUP[],MATCH($B40,MMWR_RATING_RO_ROLLUP[MMWR_RATING_RO_ROLLUP],0),MATCH(C$9,MMWR_RATING_RO_ROLLUP[#Headers],0)),"ERROR"))</f>
        <v>1421</v>
      </c>
      <c r="D40" s="155">
        <f>IF($B40=" ","",IFERROR(INDEX(MMWR_RATING_RO_ROLLUP[],MATCH($B40,MMWR_RATING_RO_ROLLUP[MMWR_RATING_RO_ROLLUP],0),MATCH(D$9,MMWR_RATING_RO_ROLLUP[#Headers],0)),"ERROR"))</f>
        <v>81.232934553099994</v>
      </c>
      <c r="E40" s="156">
        <f>IF($B40=" ","",IFERROR(INDEX(MMWR_RATING_RO_ROLLUP[],MATCH($B40,MMWR_RATING_RO_ROLLUP[MMWR_RATING_RO_ROLLUP],0),MATCH(E$9,MMWR_RATING_RO_ROLLUP[#Headers],0))/$C40,"ERROR"))</f>
        <v>0.2378606615059817</v>
      </c>
      <c r="F40" s="154">
        <f>IF($B40=" ","",IFERROR(INDEX(MMWR_RATING_RO_ROLLUP[],MATCH($B40,MMWR_RATING_RO_ROLLUP[MMWR_RATING_RO_ROLLUP],0),MATCH(F$9,MMWR_RATING_RO_ROLLUP[#Headers],0)),"ERROR"))</f>
        <v>201</v>
      </c>
      <c r="G40" s="154">
        <f>IF($B40=" ","",IFERROR(INDEX(MMWR_RATING_RO_ROLLUP[],MATCH($B40,MMWR_RATING_RO_ROLLUP[MMWR_RATING_RO_ROLLUP],0),MATCH(G$9,MMWR_RATING_RO_ROLLUP[#Headers],0)),"ERROR"))</f>
        <v>2103</v>
      </c>
      <c r="H40" s="155">
        <f>IF($B40=" ","",IFERROR(INDEX(MMWR_RATING_RO_ROLLUP[],MATCH($B40,MMWR_RATING_RO_ROLLUP[MMWR_RATING_RO_ROLLUP],0),MATCH(H$9,MMWR_RATING_RO_ROLLUP[#Headers],0)),"ERROR"))</f>
        <v>134.83582089550001</v>
      </c>
      <c r="I40" s="155">
        <f>IF($B40=" ","",IFERROR(INDEX(MMWR_RATING_RO_ROLLUP[],MATCH($B40,MMWR_RATING_RO_ROLLUP[MMWR_RATING_RO_ROLLUP],0),MATCH(I$9,MMWR_RATING_RO_ROLLUP[#Headers],0)),"ERROR"))</f>
        <v>132.57441749879999</v>
      </c>
      <c r="J40" s="42"/>
      <c r="K40" s="42"/>
      <c r="L40" s="42"/>
      <c r="M40" s="42"/>
      <c r="N40" s="28"/>
    </row>
    <row r="41" spans="1:14" x14ac:dyDescent="0.2">
      <c r="A41" s="25"/>
      <c r="B41" s="53" t="s">
        <v>958</v>
      </c>
      <c r="C41" s="154">
        <f>IF($B41=" ","",IFERROR(INDEX(MMWR_RATING_RO_ROLLUP[],MATCH($B41,MMWR_RATING_RO_ROLLUP[MMWR_RATING_RO_ROLLUP],0),MATCH(C$9,MMWR_RATING_RO_ROLLUP[#Headers],0)),"ERROR"))</f>
        <v>1426</v>
      </c>
      <c r="D41" s="155">
        <f>IF($B41=" ","",IFERROR(INDEX(MMWR_RATING_RO_ROLLUP[],MATCH($B41,MMWR_RATING_RO_ROLLUP[MMWR_RATING_RO_ROLLUP],0),MATCH(D$9,MMWR_RATING_RO_ROLLUP[#Headers],0)),"ERROR"))</f>
        <v>99.603786816300001</v>
      </c>
      <c r="E41" s="156">
        <f>IF($B41=" ","",IFERROR(INDEX(MMWR_RATING_RO_ROLLUP[],MATCH($B41,MMWR_RATING_RO_ROLLUP[MMWR_RATING_RO_ROLLUP],0),MATCH(E$9,MMWR_RATING_RO_ROLLUP[#Headers],0))/$C41,"ERROR"))</f>
        <v>0.35343618513323982</v>
      </c>
      <c r="F41" s="154">
        <f>IF($B41=" ","",IFERROR(INDEX(MMWR_RATING_RO_ROLLUP[],MATCH($B41,MMWR_RATING_RO_ROLLUP[MMWR_RATING_RO_ROLLUP],0),MATCH(F$9,MMWR_RATING_RO_ROLLUP[#Headers],0)),"ERROR"))</f>
        <v>241</v>
      </c>
      <c r="G41" s="154">
        <f>IF($B41=" ","",IFERROR(INDEX(MMWR_RATING_RO_ROLLUP[],MATCH($B41,MMWR_RATING_RO_ROLLUP[MMWR_RATING_RO_ROLLUP],0),MATCH(G$9,MMWR_RATING_RO_ROLLUP[#Headers],0)),"ERROR"))</f>
        <v>1706</v>
      </c>
      <c r="H41" s="155">
        <f>IF($B41=" ","",IFERROR(INDEX(MMWR_RATING_RO_ROLLUP[],MATCH($B41,MMWR_RATING_RO_ROLLUP[MMWR_RATING_RO_ROLLUP],0),MATCH(H$9,MMWR_RATING_RO_ROLLUP[#Headers],0)),"ERROR"))</f>
        <v>156.12033195020001</v>
      </c>
      <c r="I41" s="155">
        <f>IF($B41=" ","",IFERROR(INDEX(MMWR_RATING_RO_ROLLUP[],MATCH($B41,MMWR_RATING_RO_ROLLUP[MMWR_RATING_RO_ROLLUP],0),MATCH(I$9,MMWR_RATING_RO_ROLLUP[#Headers],0)),"ERROR"))</f>
        <v>156.62192262600001</v>
      </c>
      <c r="J41" s="42"/>
      <c r="K41" s="42"/>
      <c r="L41" s="42"/>
      <c r="M41" s="42"/>
      <c r="N41" s="28"/>
    </row>
    <row r="42" spans="1:14" x14ac:dyDescent="0.2">
      <c r="A42" s="25"/>
      <c r="B42" s="46" t="s">
        <v>307</v>
      </c>
      <c r="C42" s="154">
        <f>IF($B42=" ","",IFERROR(INDEX(MMWR_RATING_RO_ROLLUP[],MATCH($B42,MMWR_RATING_RO_ROLLUP[MMWR_RATING_RO_ROLLUP],0),MATCH(C$9,MMWR_RATING_RO_ROLLUP[#Headers],0)),"ERROR"))</f>
        <v>6644</v>
      </c>
      <c r="D42" s="155">
        <f>IF($B42=" ","",IFERROR(INDEX(MMWR_RATING_RO_ROLLUP[],MATCH($B42,MMWR_RATING_RO_ROLLUP[MMWR_RATING_RO_ROLLUP],0),MATCH(D$9,MMWR_RATING_RO_ROLLUP[#Headers],0)),"ERROR"))</f>
        <v>89.507977122200003</v>
      </c>
      <c r="E42" s="156">
        <f>IF($B42=" ","",IFERROR(INDEX(MMWR_RATING_RO_ROLLUP[],MATCH($B42,MMWR_RATING_RO_ROLLUP[MMWR_RATING_RO_ROLLUP],0),MATCH(E$9,MMWR_RATING_RO_ROLLUP[#Headers],0))/$C42,"ERROR"))</f>
        <v>0.2889825406381698</v>
      </c>
      <c r="F42" s="154">
        <f>IF($B42=" ","",IFERROR(INDEX(MMWR_RATING_RO_ROLLUP[],MATCH($B42,MMWR_RATING_RO_ROLLUP[MMWR_RATING_RO_ROLLUP],0),MATCH(F$9,MMWR_RATING_RO_ROLLUP[#Headers],0)),"ERROR"))</f>
        <v>872</v>
      </c>
      <c r="G42" s="154">
        <f>IF($B42=" ","",IFERROR(INDEX(MMWR_RATING_RO_ROLLUP[],MATCH($B42,MMWR_RATING_RO_ROLLUP[MMWR_RATING_RO_ROLLUP],0),MATCH(G$9,MMWR_RATING_RO_ROLLUP[#Headers],0)),"ERROR"))</f>
        <v>6159</v>
      </c>
      <c r="H42" s="155">
        <f>IF($B42=" ","",IFERROR(INDEX(MMWR_RATING_RO_ROLLUP[],MATCH($B42,MMWR_RATING_RO_ROLLUP[MMWR_RATING_RO_ROLLUP],0),MATCH(H$9,MMWR_RATING_RO_ROLLUP[#Headers],0)),"ERROR"))</f>
        <v>147.21788990830001</v>
      </c>
      <c r="I42" s="155">
        <f>IF($B42=" ","",IFERROR(INDEX(MMWR_RATING_RO_ROLLUP[],MATCH($B42,MMWR_RATING_RO_ROLLUP[MMWR_RATING_RO_ROLLUP],0),MATCH(I$9,MMWR_RATING_RO_ROLLUP[#Headers],0)),"ERROR"))</f>
        <v>149.56015586949999</v>
      </c>
      <c r="J42" s="42"/>
      <c r="K42" s="42"/>
      <c r="L42" s="42"/>
      <c r="M42" s="42"/>
      <c r="N42" s="28"/>
    </row>
    <row r="43" spans="1:14" x14ac:dyDescent="0.2">
      <c r="A43" s="25"/>
      <c r="B43" s="377" t="s">
        <v>735</v>
      </c>
      <c r="C43" s="378"/>
      <c r="D43" s="378"/>
      <c r="E43" s="378"/>
      <c r="F43" s="378"/>
      <c r="G43" s="378"/>
      <c r="H43" s="378"/>
      <c r="I43" s="378"/>
      <c r="J43" s="378"/>
      <c r="K43" s="378"/>
      <c r="L43" s="378"/>
      <c r="M43" s="387"/>
      <c r="N43" s="28"/>
    </row>
    <row r="44" spans="1:14" x14ac:dyDescent="0.2">
      <c r="A44" s="25"/>
      <c r="B44" s="44" t="s">
        <v>696</v>
      </c>
      <c r="C44" s="154">
        <f>IF($B44=" ","",IFERROR(INDEX(MMWR_RATING_RO_ROLLUP[],MATCH($B44,MMWR_RATING_RO_ROLLUP[MMWR_RATING_RO_ROLLUP],0),MATCH(C$9,MMWR_RATING_RO_ROLLUP[#Headers],0)),"ERROR"))</f>
        <v>9944</v>
      </c>
      <c r="D44" s="155">
        <f>IF($B44=" ","",IFERROR(INDEX(MMWR_RATING_RO_ROLLUP[],MATCH($B44,MMWR_RATING_RO_ROLLUP[MMWR_RATING_RO_ROLLUP],0),MATCH(D$9,MMWR_RATING_RO_ROLLUP[#Headers],0)),"ERROR"))</f>
        <v>83.997687047499994</v>
      </c>
      <c r="E44" s="156">
        <f>IF($B44=" ","",IFERROR(INDEX(MMWR_RATING_RO_ROLLUP[],MATCH($B44,MMWR_RATING_RO_ROLLUP[MMWR_RATING_RO_ROLLUP],0),MATCH(E$9,MMWR_RATING_RO_ROLLUP[#Headers],0))/$C44,"ERROR"))</f>
        <v>0.25351971037811744</v>
      </c>
      <c r="F44" s="154">
        <f>IF($B44=" ","",IFERROR(INDEX(MMWR_RATING_RO_ROLLUP[],MATCH($B44,MMWR_RATING_RO_ROLLUP[MMWR_RATING_RO_ROLLUP],0),MATCH(F$9,MMWR_RATING_RO_ROLLUP[#Headers],0)),"ERROR"))</f>
        <v>1380</v>
      </c>
      <c r="G44" s="154">
        <f>IF($B44=" ","",IFERROR(INDEX(MMWR_RATING_RO_ROLLUP[],MATCH($B44,MMWR_RATING_RO_ROLLUP[MMWR_RATING_RO_ROLLUP],0),MATCH(G$9,MMWR_RATING_RO_ROLLUP[#Headers],0)),"ERROR"))</f>
        <v>12102</v>
      </c>
      <c r="H44" s="155">
        <f>IF($B44=" ","",IFERROR(INDEX(MMWR_RATING_RO_ROLLUP[],MATCH($B44,MMWR_RATING_RO_ROLLUP[MMWR_RATING_RO_ROLLUP],0),MATCH(H$9,MMWR_RATING_RO_ROLLUP[#Headers],0)),"ERROR"))</f>
        <v>138.47898550720001</v>
      </c>
      <c r="I44" s="155">
        <f>IF($B44=" ","",IFERROR(INDEX(MMWR_RATING_RO_ROLLUP[],MATCH($B44,MMWR_RATING_RO_ROLLUP[MMWR_RATING_RO_ROLLUP],0),MATCH(I$9,MMWR_RATING_RO_ROLLUP[#Headers],0)),"ERROR"))</f>
        <v>139.4174035204</v>
      </c>
      <c r="J44" s="42"/>
      <c r="K44" s="42"/>
      <c r="L44" s="42"/>
      <c r="M44" s="42"/>
      <c r="N44" s="28"/>
    </row>
    <row r="45" spans="1:14" x14ac:dyDescent="0.2">
      <c r="A45" s="25"/>
      <c r="B45" s="45" t="s">
        <v>211</v>
      </c>
      <c r="C45" s="154">
        <f>IF($B45=" ","",IFERROR(INDEX(MMWR_RATING_RO_ROLLUP[],MATCH($B45,MMWR_RATING_RO_ROLLUP[MMWR_RATING_RO_ROLLUP],0),MATCH(C$9,MMWR_RATING_RO_ROLLUP[#Headers],0)),"ERROR"))</f>
        <v>63</v>
      </c>
      <c r="D45" s="155">
        <f>IF($B45=" ","",IFERROR(INDEX(MMWR_RATING_RO_ROLLUP[],MATCH($B45,MMWR_RATING_RO_ROLLUP[MMWR_RATING_RO_ROLLUP],0),MATCH(D$9,MMWR_RATING_RO_ROLLUP[#Headers],0)),"ERROR"))</f>
        <v>86.777777777799997</v>
      </c>
      <c r="E45" s="156">
        <f>IF($B45=" ","",IFERROR(INDEX(MMWR_RATING_RO_ROLLUP[],MATCH($B45,MMWR_RATING_RO_ROLLUP[MMWR_RATING_RO_ROLLUP],0),MATCH(E$9,MMWR_RATING_RO_ROLLUP[#Headers],0))/$C45,"ERROR"))</f>
        <v>0.31746031746031744</v>
      </c>
      <c r="F45" s="154">
        <f>IF($B45=" ","",IFERROR(INDEX(MMWR_RATING_RO_ROLLUP[],MATCH($B45,MMWR_RATING_RO_ROLLUP[MMWR_RATING_RO_ROLLUP],0),MATCH(F$9,MMWR_RATING_RO_ROLLUP[#Headers],0)),"ERROR"))</f>
        <v>13</v>
      </c>
      <c r="G45" s="154">
        <f>IF($B45=" ","",IFERROR(INDEX(MMWR_RATING_RO_ROLLUP[],MATCH($B45,MMWR_RATING_RO_ROLLUP[MMWR_RATING_RO_ROLLUP],0),MATCH(G$9,MMWR_RATING_RO_ROLLUP[#Headers],0)),"ERROR"))</f>
        <v>90</v>
      </c>
      <c r="H45" s="155">
        <f>IF($B45=" ","",IFERROR(INDEX(MMWR_RATING_RO_ROLLUP[],MATCH($B45,MMWR_RATING_RO_ROLLUP[MMWR_RATING_RO_ROLLUP],0),MATCH(H$9,MMWR_RATING_RO_ROLLUP[#Headers],0)),"ERROR"))</f>
        <v>130.8461538462</v>
      </c>
      <c r="I45" s="155">
        <f>IF($B45=" ","",IFERROR(INDEX(MMWR_RATING_RO_ROLLUP[],MATCH($B45,MMWR_RATING_RO_ROLLUP[MMWR_RATING_RO_ROLLUP],0),MATCH(I$9,MMWR_RATING_RO_ROLLUP[#Headers],0)),"ERROR"))</f>
        <v>138.2222222222</v>
      </c>
      <c r="J45" s="42"/>
      <c r="K45" s="42"/>
      <c r="L45" s="42"/>
      <c r="M45" s="42"/>
      <c r="N45" s="28"/>
    </row>
    <row r="46" spans="1:14" x14ac:dyDescent="0.2">
      <c r="A46" s="25"/>
      <c r="B46" s="45" t="s">
        <v>213</v>
      </c>
      <c r="C46" s="154">
        <f>IF($B46=" ","",IFERROR(INDEX(MMWR_RATING_RO_ROLLUP[],MATCH($B46,MMWR_RATING_RO_ROLLUP[MMWR_RATING_RO_ROLLUP],0),MATCH(C$9,MMWR_RATING_RO_ROLLUP[#Headers],0)),"ERROR"))</f>
        <v>1520</v>
      </c>
      <c r="D46" s="155">
        <f>IF($B46=" ","",IFERROR(INDEX(MMWR_RATING_RO_ROLLUP[],MATCH($B46,MMWR_RATING_RO_ROLLUP[MMWR_RATING_RO_ROLLUP],0),MATCH(D$9,MMWR_RATING_RO_ROLLUP[#Headers],0)),"ERROR"))</f>
        <v>89.422368421100003</v>
      </c>
      <c r="E46" s="156">
        <f>IF($B46=" ","",IFERROR(INDEX(MMWR_RATING_RO_ROLLUP[],MATCH($B46,MMWR_RATING_RO_ROLLUP[MMWR_RATING_RO_ROLLUP],0),MATCH(E$9,MMWR_RATING_RO_ROLLUP[#Headers],0))/$C46,"ERROR"))</f>
        <v>0.26842105263157895</v>
      </c>
      <c r="F46" s="154">
        <f>IF($B46=" ","",IFERROR(INDEX(MMWR_RATING_RO_ROLLUP[],MATCH($B46,MMWR_RATING_RO_ROLLUP[MMWR_RATING_RO_ROLLUP],0),MATCH(F$9,MMWR_RATING_RO_ROLLUP[#Headers],0)),"ERROR"))</f>
        <v>173</v>
      </c>
      <c r="G46" s="154">
        <f>IF($B46=" ","",IFERROR(INDEX(MMWR_RATING_RO_ROLLUP[],MATCH($B46,MMWR_RATING_RO_ROLLUP[MMWR_RATING_RO_ROLLUP],0),MATCH(G$9,MMWR_RATING_RO_ROLLUP[#Headers],0)),"ERROR"))</f>
        <v>2071</v>
      </c>
      <c r="H46" s="155">
        <f>IF($B46=" ","",IFERROR(INDEX(MMWR_RATING_RO_ROLLUP[],MATCH($B46,MMWR_RATING_RO_ROLLUP[MMWR_RATING_RO_ROLLUP],0),MATCH(H$9,MMWR_RATING_RO_ROLLUP[#Headers],0)),"ERROR"))</f>
        <v>150.98843930640001</v>
      </c>
      <c r="I46" s="155">
        <f>IF($B46=" ","",IFERROR(INDEX(MMWR_RATING_RO_ROLLUP[],MATCH($B46,MMWR_RATING_RO_ROLLUP[MMWR_RATING_RO_ROLLUP],0),MATCH(I$9,MMWR_RATING_RO_ROLLUP[#Headers],0)),"ERROR"))</f>
        <v>148.46595847419999</v>
      </c>
      <c r="J46" s="42"/>
      <c r="K46" s="42"/>
      <c r="L46" s="42"/>
      <c r="M46" s="42"/>
      <c r="N46" s="28"/>
    </row>
    <row r="47" spans="1:14" x14ac:dyDescent="0.2">
      <c r="A47" s="25"/>
      <c r="B47" s="47" t="s">
        <v>308</v>
      </c>
      <c r="C47" s="154">
        <f>IF($B47=" ","",IFERROR(INDEX(MMWR_RATING_RO_ROLLUP[],MATCH($B47,MMWR_RATING_RO_ROLLUP[MMWR_RATING_RO_ROLLUP],0),MATCH(C$9,MMWR_RATING_RO_ROLLUP[#Headers],0)),"ERROR"))</f>
        <v>8361</v>
      </c>
      <c r="D47" s="155">
        <f>IF($B47=" ","",IFERROR(INDEX(MMWR_RATING_RO_ROLLUP[],MATCH($B47,MMWR_RATING_RO_ROLLUP[MMWR_RATING_RO_ROLLUP],0),MATCH(D$9,MMWR_RATING_RO_ROLLUP[#Headers],0)),"ERROR"))</f>
        <v>82.990551369499997</v>
      </c>
      <c r="E47" s="156">
        <f>IF($B47=" ","",IFERROR(INDEX(MMWR_RATING_RO_ROLLUP[],MATCH($B47,MMWR_RATING_RO_ROLLUP[MMWR_RATING_RO_ROLLUP],0),MATCH(E$9,MMWR_RATING_RO_ROLLUP[#Headers],0))/$C47,"ERROR"))</f>
        <v>0.25032890802535585</v>
      </c>
      <c r="F47" s="154">
        <f>IF($B47=" ","",IFERROR(INDEX(MMWR_RATING_RO_ROLLUP[],MATCH($B47,MMWR_RATING_RO_ROLLUP[MMWR_RATING_RO_ROLLUP],0),MATCH(F$9,MMWR_RATING_RO_ROLLUP[#Headers],0)),"ERROR"))</f>
        <v>1194</v>
      </c>
      <c r="G47" s="154">
        <f>IF($B47=" ","",IFERROR(INDEX(MMWR_RATING_RO_ROLLUP[],MATCH($B47,MMWR_RATING_RO_ROLLUP[MMWR_RATING_RO_ROLLUP],0),MATCH(G$9,MMWR_RATING_RO_ROLLUP[#Headers],0)),"ERROR"))</f>
        <v>9941</v>
      </c>
      <c r="H47" s="155">
        <f>IF($B47=" ","",IFERROR(INDEX(MMWR_RATING_RO_ROLLUP[],MATCH($B47,MMWR_RATING_RO_ROLLUP[MMWR_RATING_RO_ROLLUP],0),MATCH(H$9,MMWR_RATING_RO_ROLLUP[#Headers],0)),"ERROR"))</f>
        <v>136.7495812395</v>
      </c>
      <c r="I47" s="155">
        <f>IF($B47=" ","",IFERROR(INDEX(MMWR_RATING_RO_ROLLUP[],MATCH($B47,MMWR_RATING_RO_ROLLUP[MMWR_RATING_RO_ROLLUP],0),MATCH(I$9,MMWR_RATING_RO_ROLLUP[#Headers],0)),"ERROR"))</f>
        <v>137.54295774650001</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978</v>
      </c>
      <c r="D2" s="350"/>
      <c r="E2" s="350"/>
      <c r="F2" s="350"/>
      <c r="G2" s="350"/>
      <c r="H2" s="350"/>
      <c r="I2" s="350"/>
      <c r="J2" s="349" t="s">
        <v>300</v>
      </c>
      <c r="K2" s="350"/>
      <c r="L2" s="350"/>
      <c r="M2" s="351"/>
      <c r="N2" s="28"/>
    </row>
    <row r="3" spans="1:15" ht="24" customHeight="1" thickBot="1" x14ac:dyDescent="0.4">
      <c r="A3" s="25"/>
      <c r="B3" s="29"/>
      <c r="C3" s="352"/>
      <c r="D3" s="353"/>
      <c r="E3" s="353"/>
      <c r="F3" s="353"/>
      <c r="G3" s="353"/>
      <c r="H3" s="353"/>
      <c r="I3" s="353"/>
      <c r="J3" s="352" t="str">
        <f>Transformation!B4</f>
        <v>As of: March 12, 2016</v>
      </c>
      <c r="K3" s="353"/>
      <c r="L3" s="353"/>
      <c r="M3" s="354"/>
      <c r="N3" s="28"/>
    </row>
    <row r="4" spans="1:15" ht="51.75" customHeight="1" thickBot="1" x14ac:dyDescent="0.35">
      <c r="A4" s="30"/>
      <c r="B4" s="246" t="s">
        <v>456</v>
      </c>
      <c r="C4" s="355" t="s">
        <v>432</v>
      </c>
      <c r="D4" s="356"/>
      <c r="E4" s="356"/>
      <c r="F4" s="356"/>
      <c r="G4" s="356"/>
      <c r="H4" s="356"/>
      <c r="I4" s="356"/>
      <c r="J4" s="356"/>
      <c r="K4" s="356"/>
      <c r="L4" s="356"/>
      <c r="M4" s="357"/>
      <c r="N4" s="28"/>
    </row>
    <row r="5" spans="1:15" ht="27" customHeight="1" thickBot="1" x14ac:dyDescent="0.25">
      <c r="A5" s="30"/>
      <c r="B5" s="245" t="s">
        <v>370</v>
      </c>
      <c r="C5" s="358" t="s">
        <v>1042</v>
      </c>
      <c r="D5" s="359"/>
      <c r="E5" s="359"/>
      <c r="F5" s="359"/>
      <c r="G5" s="359"/>
      <c r="H5" s="359"/>
      <c r="I5" s="359"/>
      <c r="J5" s="359"/>
      <c r="K5" s="359"/>
      <c r="L5" s="359"/>
      <c r="M5" s="359"/>
      <c r="N5" s="359"/>
      <c r="O5" s="360"/>
    </row>
    <row r="6" spans="1:15" ht="55.5" customHeight="1" x14ac:dyDescent="0.2">
      <c r="A6" s="30"/>
      <c r="B6" s="31"/>
      <c r="C6" s="32" t="s">
        <v>190</v>
      </c>
      <c r="D6" s="361" t="s">
        <v>16</v>
      </c>
      <c r="E6" s="362"/>
      <c r="F6" s="33" t="s">
        <v>193</v>
      </c>
      <c r="G6" s="361" t="s">
        <v>198</v>
      </c>
      <c r="H6" s="363"/>
      <c r="I6" s="33" t="s">
        <v>196</v>
      </c>
      <c r="J6" s="49" t="s">
        <v>14</v>
      </c>
      <c r="K6" s="33" t="s">
        <v>201</v>
      </c>
      <c r="L6" s="367" t="s">
        <v>85</v>
      </c>
      <c r="M6" s="395"/>
      <c r="N6" s="28"/>
    </row>
    <row r="7" spans="1:15" ht="51.75" customHeight="1" x14ac:dyDescent="0.2">
      <c r="A7" s="30"/>
      <c r="B7" s="34"/>
      <c r="C7" s="35" t="s">
        <v>191</v>
      </c>
      <c r="D7" s="379" t="s">
        <v>0</v>
      </c>
      <c r="E7" s="380"/>
      <c r="F7" s="36" t="s">
        <v>194</v>
      </c>
      <c r="G7" s="381" t="s">
        <v>199</v>
      </c>
      <c r="H7" s="381"/>
      <c r="I7" s="36" t="s">
        <v>197</v>
      </c>
      <c r="J7" s="50" t="s">
        <v>19</v>
      </c>
      <c r="K7" s="36" t="s">
        <v>202</v>
      </c>
      <c r="L7" s="391" t="s">
        <v>87</v>
      </c>
      <c r="M7" s="392"/>
      <c r="N7" s="28"/>
    </row>
    <row r="8" spans="1:15" ht="51.75" customHeight="1" thickBot="1" x14ac:dyDescent="0.25">
      <c r="A8" s="25"/>
      <c r="B8" s="28"/>
      <c r="C8" s="37" t="s">
        <v>192</v>
      </c>
      <c r="D8" s="382" t="s">
        <v>18</v>
      </c>
      <c r="E8" s="383"/>
      <c r="F8" s="38" t="s">
        <v>195</v>
      </c>
      <c r="G8" s="384" t="s">
        <v>17</v>
      </c>
      <c r="H8" s="384"/>
      <c r="I8" s="38" t="s">
        <v>200</v>
      </c>
      <c r="J8" s="51" t="s">
        <v>84</v>
      </c>
      <c r="K8" s="38" t="s">
        <v>203</v>
      </c>
      <c r="L8" s="393" t="s">
        <v>86</v>
      </c>
      <c r="M8" s="394"/>
      <c r="N8" s="28"/>
    </row>
    <row r="9" spans="1:15" x14ac:dyDescent="0.2">
      <c r="A9" s="28"/>
      <c r="B9" s="39"/>
      <c r="C9" s="39" t="s">
        <v>715</v>
      </c>
      <c r="D9" s="39" t="s">
        <v>717</v>
      </c>
      <c r="E9" s="39" t="s">
        <v>716</v>
      </c>
      <c r="F9" s="39" t="s">
        <v>719</v>
      </c>
      <c r="G9" s="39" t="s">
        <v>718</v>
      </c>
      <c r="H9" s="39" t="s">
        <v>721</v>
      </c>
      <c r="I9" s="39" t="s">
        <v>720</v>
      </c>
      <c r="J9" s="39"/>
      <c r="K9" s="39"/>
      <c r="L9" s="39"/>
      <c r="M9" s="39"/>
      <c r="N9" s="39"/>
    </row>
    <row r="10" spans="1:15" ht="15.75" customHeight="1" x14ac:dyDescent="0.2">
      <c r="A10" s="25"/>
      <c r="B10" s="26"/>
      <c r="C10" s="385" t="s">
        <v>293</v>
      </c>
      <c r="D10" s="385"/>
      <c r="E10" s="385"/>
      <c r="F10" s="385"/>
      <c r="G10" s="385"/>
      <c r="H10" s="385"/>
      <c r="I10" s="385"/>
      <c r="J10" s="385"/>
      <c r="K10" s="385"/>
      <c r="L10" s="385"/>
      <c r="M10" s="386"/>
      <c r="N10" s="28"/>
    </row>
    <row r="11" spans="1:15" ht="63.75" customHeight="1" x14ac:dyDescent="0.2">
      <c r="A11" s="25"/>
      <c r="B11" s="26"/>
      <c r="C11" s="52" t="s">
        <v>226</v>
      </c>
      <c r="D11" s="52" t="s">
        <v>134</v>
      </c>
      <c r="E11" s="52" t="s">
        <v>227</v>
      </c>
      <c r="F11" s="52" t="s">
        <v>189</v>
      </c>
      <c r="G11" s="52" t="s">
        <v>204</v>
      </c>
      <c r="H11" s="52" t="s">
        <v>206</v>
      </c>
      <c r="I11" s="52" t="s">
        <v>207</v>
      </c>
      <c r="J11" s="388" t="s">
        <v>973</v>
      </c>
      <c r="K11" s="389"/>
      <c r="L11" s="389"/>
      <c r="M11" s="390"/>
      <c r="N11" s="28"/>
    </row>
    <row r="12" spans="1:15" x14ac:dyDescent="0.2">
      <c r="A12" s="25"/>
      <c r="B12" s="41" t="s">
        <v>730</v>
      </c>
      <c r="C12" s="154">
        <f>IF($B12=" ","",IFERROR(INDEX(MMWR_RATING_STATE_ROLLUP_VSC[],MATCH($B12,MMWR_RATING_STATE_ROLLUP_VSC[MMWR_RATING_STATE_ROLLUP_VSC],0),MATCH(C$9,MMWR_RATING_STATE_ROLLUP_VSC[#Headers],0)),"ERROR"))</f>
        <v>348658</v>
      </c>
      <c r="D12" s="155">
        <f>IF($B12=" ","",IFERROR(INDEX(MMWR_RATING_STATE_ROLLUP_VSC[],MATCH($B12,MMWR_RATING_STATE_ROLLUP_VSC[MMWR_RATING_STATE_ROLLUP_VSC],0),MATCH(D$9,MMWR_RATING_STATE_ROLLUP_VSC[#Headers],0)),"ERROR"))</f>
        <v>90.591129416200005</v>
      </c>
      <c r="E12" s="157">
        <f>IF($B12=" ","",IFERROR(INDEX(MMWR_RATING_STATE_ROLLUP_VSC[],MATCH($B12,MMWR_RATING_STATE_ROLLUP_VSC[MMWR_RATING_STATE_ROLLUP_VSC],0),MATCH(E$9,MMWR_RATING_STATE_ROLLUP_VSC[#Headers],0))/$C12,"ERROR"))</f>
        <v>0.23856615938828307</v>
      </c>
      <c r="F12" s="154">
        <f>IF($B12=" ","",IFERROR(INDEX(MMWR_RATING_STATE_ROLLUP_VSC[],MATCH($B12,MMWR_RATING_STATE_ROLLUP_VSC[MMWR_RATING_STATE_ROLLUP_VSC],0),MATCH(F$9,MMWR_RATING_STATE_ROLLUP_VSC[#Headers],0)),"ERROR"))</f>
        <v>46507</v>
      </c>
      <c r="G12" s="154">
        <f>IF($B12=" ","",IFERROR(INDEX(MMWR_RATING_STATE_ROLLUP_VSC[],MATCH($B12,MMWR_RATING_STATE_ROLLUP_VSC[MMWR_RATING_STATE_ROLLUP_VSC],0),MATCH(G$9,MMWR_RATING_STATE_ROLLUP_VSC[#Headers],0)),"ERROR"))</f>
        <v>558275</v>
      </c>
      <c r="H12" s="155">
        <f>IF($B12=" ","",IFERROR(INDEX(MMWR_RATING_STATE_ROLLUP_VSC[],MATCH($B12,MMWR_RATING_STATE_ROLLUP_VSC[MMWR_RATING_STATE_ROLLUP_VSC],0),MATCH(H$9,MMWR_RATING_STATE_ROLLUP_VSC[#Headers],0)),"ERROR"))</f>
        <v>122.6656417314</v>
      </c>
      <c r="I12" s="155">
        <f>IF($B12=" ","",IFERROR(INDEX(MMWR_RATING_STATE_ROLLUP_VSC[],MATCH($B12,MMWR_RATING_STATE_ROLLUP_VSC[MMWR_RATING_STATE_ROLLUP_VSC],0),MATCH(I$9,MMWR_RATING_STATE_ROLLUP_VSC[#Headers],0)),"ERROR"))</f>
        <v>127.19974921630001</v>
      </c>
      <c r="J12" s="42"/>
      <c r="K12" s="42"/>
      <c r="L12" s="42"/>
      <c r="M12" s="42"/>
      <c r="N12" s="28"/>
    </row>
    <row r="13" spans="1:15" x14ac:dyDescent="0.2">
      <c r="A13" s="25"/>
      <c r="B13" s="377" t="s">
        <v>959</v>
      </c>
      <c r="C13" s="378"/>
      <c r="D13" s="378"/>
      <c r="E13" s="378"/>
      <c r="F13" s="378"/>
      <c r="G13" s="378"/>
      <c r="H13" s="378"/>
      <c r="I13" s="378"/>
      <c r="J13" s="378"/>
      <c r="K13" s="378"/>
      <c r="L13" s="378"/>
      <c r="M13" s="387"/>
      <c r="N13" s="28"/>
    </row>
    <row r="14" spans="1:15" x14ac:dyDescent="0.2">
      <c r="A14" s="25"/>
      <c r="B14" s="41" t="s">
        <v>1036</v>
      </c>
      <c r="C14" s="154">
        <f>IF($B14=" ","",IFERROR(INDEX(MMWR_RATING_STATE_ROLLUP_VSC[],MATCH($B14,MMWR_RATING_STATE_ROLLUP_VSC[MMWR_RATING_STATE_ROLLUP_VSC],0),MATCH(C$9,MMWR_RATING_STATE_ROLLUP_VSC[#Headers],0)),"ERROR"))</f>
        <v>303128</v>
      </c>
      <c r="D14" s="155">
        <f>IF($B14=" ","",IFERROR(INDEX(MMWR_RATING_STATE_ROLLUP_VSC[],MATCH($B14,MMWR_RATING_STATE_ROLLUP_VSC[MMWR_RATING_STATE_ROLLUP_VSC],0),MATCH(D$9,MMWR_RATING_STATE_ROLLUP_VSC[#Headers],0)),"ERROR"))</f>
        <v>92.671237892899995</v>
      </c>
      <c r="E14" s="156">
        <f>IF($B14=" ","",IFERROR(INDEX(MMWR_RATING_STATE_ROLLUP_VSC[],MATCH($B14,MMWR_RATING_STATE_ROLLUP_VSC[MMWR_RATING_STATE_ROLLUP_VSC],0),MATCH(E$9,MMWR_RATING_STATE_ROLLUP_VSC[#Headers],0))/$C14,"ERROR"))</f>
        <v>0.24589942202633872</v>
      </c>
      <c r="F14" s="154">
        <f>IF($B14=" ","",IFERROR(INDEX(MMWR_RATING_STATE_ROLLUP_VSC[],MATCH($B14,MMWR_RATING_STATE_ROLLUP_VSC[MMWR_RATING_STATE_ROLLUP_VSC],0),MATCH(F$9,MMWR_RATING_STATE_ROLLUP_VSC[#Headers],0)),"ERROR"))</f>
        <v>38643</v>
      </c>
      <c r="G14" s="154">
        <f>IF($B14=" ","",IFERROR(INDEX(MMWR_RATING_STATE_ROLLUP_VSC[],MATCH($B14,MMWR_RATING_STATE_ROLLUP_VSC[MMWR_RATING_STATE_ROLLUP_VSC],0),MATCH(G$9,MMWR_RATING_STATE_ROLLUP_VSC[#Headers],0)),"ERROR"))</f>
        <v>471344</v>
      </c>
      <c r="H14" s="155">
        <f>IF($B14=" ","",IFERROR(INDEX(MMWR_RATING_STATE_ROLLUP_VSC[],MATCH($B14,MMWR_RATING_STATE_ROLLUP_VSC[MMWR_RATING_STATE_ROLLUP_VSC],0),MATCH(H$9,MMWR_RATING_STATE_ROLLUP_VSC[#Headers],0)),"ERROR"))</f>
        <v>126.4541831638</v>
      </c>
      <c r="I14" s="155">
        <f>IF($B14=" ","",IFERROR(INDEX(MMWR_RATING_STATE_ROLLUP_VSC[],MATCH($B14,MMWR_RATING_STATE_ROLLUP_VSC[MMWR_RATING_STATE_ROLLUP_VSC],0),MATCH(I$9,MMWR_RATING_STATE_ROLLUP_VSC[#Headers],0)),"ERROR"))</f>
        <v>133.47680990910001</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66094</v>
      </c>
      <c r="D15" s="155">
        <f>IF($B15=" ","",IFERROR(INDEX(MMWR_RATING_STATE_ROLLUP_VSC[],MATCH($B15,MMWR_RATING_STATE_ROLLUP_VSC[MMWR_RATING_STATE_ROLLUP_VSC],0),MATCH(D$9,MMWR_RATING_STATE_ROLLUP_VSC[#Headers],0)),"ERROR"))</f>
        <v>94.587768935200003</v>
      </c>
      <c r="E15" s="156">
        <f>IF($B15=" ","",IFERROR(INDEX(MMWR_RATING_STATE_ROLLUP_VSC[],MATCH($B15,MMWR_RATING_STATE_ROLLUP_VSC[MMWR_RATING_STATE_ROLLUP_VSC],0),MATCH(E$9,MMWR_RATING_STATE_ROLLUP_VSC[#Headers],0))/$C15,"ERROR"))</f>
        <v>0.25189881078464005</v>
      </c>
      <c r="F15" s="154">
        <f>IF($B15=" ","",IFERROR(INDEX(MMWR_RATING_STATE_ROLLUP_VSC[],MATCH($B15,MMWR_RATING_STATE_ROLLUP_VSC[MMWR_RATING_STATE_ROLLUP_VSC],0),MATCH(F$9,MMWR_RATING_STATE_ROLLUP_VSC[#Headers],0)),"ERROR"))</f>
        <v>7946</v>
      </c>
      <c r="G15" s="154">
        <f>IF($B15=" ","",IFERROR(INDEX(MMWR_RATING_STATE_ROLLUP_VSC[],MATCH($B15,MMWR_RATING_STATE_ROLLUP_VSC[MMWR_RATING_STATE_ROLLUP_VSC],0),MATCH(G$9,MMWR_RATING_STATE_ROLLUP_VSC[#Headers],0)),"ERROR"))</f>
        <v>98076</v>
      </c>
      <c r="H15" s="155">
        <f>IF($B15=" ","",IFERROR(INDEX(MMWR_RATING_STATE_ROLLUP_VSC[],MATCH($B15,MMWR_RATING_STATE_ROLLUP_VSC[MMWR_RATING_STATE_ROLLUP_VSC],0),MATCH(H$9,MMWR_RATING_STATE_ROLLUP_VSC[#Headers],0)),"ERROR"))</f>
        <v>134.1381827335</v>
      </c>
      <c r="I15" s="155">
        <f>IF($B15=" ","",IFERROR(INDEX(MMWR_RATING_STATE_ROLLUP_VSC[],MATCH($B15,MMWR_RATING_STATE_ROLLUP_VSC[MMWR_RATING_STATE_ROLLUP_VSC],0),MATCH(I$9,MMWR_RATING_STATE_ROLLUP_VSC[#Headers],0)),"ERROR"))</f>
        <v>136.5607875927</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1801</v>
      </c>
      <c r="D16" s="155">
        <f>IF($B16=" ","",IFERROR(INDEX(MMWR_RATING_STATE_ROLLUP_VSC[],MATCH($B16,MMWR_RATING_STATE_ROLLUP_VSC[MMWR_RATING_STATE_ROLLUP_VSC],0),MATCH(D$9,MMWR_RATING_STATE_ROLLUP_VSC[#Headers],0)),"ERROR"))</f>
        <v>91.6907273737</v>
      </c>
      <c r="E16" s="156">
        <f>IF($B16=" ","",IFERROR(INDEX(MMWR_RATING_STATE_ROLLUP_VSC[],MATCH($B16,MMWR_RATING_STATE_ROLLUP_VSC[MMWR_RATING_STATE_ROLLUP_VSC],0),MATCH(E$9,MMWR_RATING_STATE_ROLLUP_VSC[#Headers],0))/$C16,"ERROR"))</f>
        <v>0.25374791782343142</v>
      </c>
      <c r="F16" s="154">
        <f>IF($B16=" ","",IFERROR(INDEX(MMWR_RATING_STATE_ROLLUP_VSC[],MATCH($B16,MMWR_RATING_STATE_ROLLUP_VSC[MMWR_RATING_STATE_ROLLUP_VSC],0),MATCH(F$9,MMWR_RATING_STATE_ROLLUP_VSC[#Headers],0)),"ERROR"))</f>
        <v>353</v>
      </c>
      <c r="G16" s="154">
        <f>IF($B16=" ","",IFERROR(INDEX(MMWR_RATING_STATE_ROLLUP_VSC[],MATCH($B16,MMWR_RATING_STATE_ROLLUP_VSC[MMWR_RATING_STATE_ROLLUP_VSC],0),MATCH(G$9,MMWR_RATING_STATE_ROLLUP_VSC[#Headers],0)),"ERROR"))</f>
        <v>2931</v>
      </c>
      <c r="H16" s="155">
        <f>IF($B16=" ","",IFERROR(INDEX(MMWR_RATING_STATE_ROLLUP_VSC[],MATCH($B16,MMWR_RATING_STATE_ROLLUP_VSC[MMWR_RATING_STATE_ROLLUP_VSC],0),MATCH(H$9,MMWR_RATING_STATE_ROLLUP_VSC[#Headers],0)),"ERROR"))</f>
        <v>99.439093484400004</v>
      </c>
      <c r="I16" s="155">
        <f>IF($B16=" ","",IFERROR(INDEX(MMWR_RATING_STATE_ROLLUP_VSC[],MATCH($B16,MMWR_RATING_STATE_ROLLUP_VSC[MMWR_RATING_STATE_ROLLUP_VSC],0),MATCH(I$9,MMWR_RATING_STATE_ROLLUP_VSC[#Headers],0)),"ERROR"))</f>
        <v>114.9297168202</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849</v>
      </c>
      <c r="D17" s="155">
        <f>IF($B17=" ","",IFERROR(INDEX(MMWR_RATING_STATE_ROLLUP_VSC[],MATCH($B17,MMWR_RATING_STATE_ROLLUP_VSC[MMWR_RATING_STATE_ROLLUP_VSC],0),MATCH(D$9,MMWR_RATING_STATE_ROLLUP_VSC[#Headers],0)),"ERROR"))</f>
        <v>102.05418138989999</v>
      </c>
      <c r="E17" s="156">
        <f>IF($B17=" ","",IFERROR(INDEX(MMWR_RATING_STATE_ROLLUP_VSC[],MATCH($B17,MMWR_RATING_STATE_ROLLUP_VSC[MMWR_RATING_STATE_ROLLUP_VSC],0),MATCH(E$9,MMWR_RATING_STATE_ROLLUP_VSC[#Headers],0))/$C17,"ERROR"))</f>
        <v>0.2756183745583039</v>
      </c>
      <c r="F17" s="154">
        <f>IF($B17=" ","",IFERROR(INDEX(MMWR_RATING_STATE_ROLLUP_VSC[],MATCH($B17,MMWR_RATING_STATE_ROLLUP_VSC[MMWR_RATING_STATE_ROLLUP_VSC],0),MATCH(F$9,MMWR_RATING_STATE_ROLLUP_VSC[#Headers],0)),"ERROR"))</f>
        <v>88</v>
      </c>
      <c r="G17" s="154">
        <f>IF($B17=" ","",IFERROR(INDEX(MMWR_RATING_STATE_ROLLUP_VSC[],MATCH($B17,MMWR_RATING_STATE_ROLLUP_VSC[MMWR_RATING_STATE_ROLLUP_VSC],0),MATCH(G$9,MMWR_RATING_STATE_ROLLUP_VSC[#Headers],0)),"ERROR"))</f>
        <v>1308</v>
      </c>
      <c r="H17" s="155">
        <f>IF($B17=" ","",IFERROR(INDEX(MMWR_RATING_STATE_ROLLUP_VSC[],MATCH($B17,MMWR_RATING_STATE_ROLLUP_VSC[MMWR_RATING_STATE_ROLLUP_VSC],0),MATCH(H$9,MMWR_RATING_STATE_ROLLUP_VSC[#Headers],0)),"ERROR"))</f>
        <v>124.7272727273</v>
      </c>
      <c r="I17" s="155">
        <f>IF($B17=" ","",IFERROR(INDEX(MMWR_RATING_STATE_ROLLUP_VSC[],MATCH($B17,MMWR_RATING_STATE_ROLLUP_VSC[MMWR_RATING_STATE_ROLLUP_VSC],0),MATCH(I$9,MMWR_RATING_STATE_ROLLUP_VSC[#Headers],0)),"ERROR"))</f>
        <v>142.98547400609999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370</v>
      </c>
      <c r="D18" s="155">
        <f>IF($B18=" ","",IFERROR(INDEX(MMWR_RATING_STATE_ROLLUP_VSC[],MATCH($B18,MMWR_RATING_STATE_ROLLUP_VSC[MMWR_RATING_STATE_ROLLUP_VSC],0),MATCH(D$9,MMWR_RATING_STATE_ROLLUP_VSC[#Headers],0)),"ERROR"))</f>
        <v>101.1081081081</v>
      </c>
      <c r="E18" s="156">
        <f>IF($B18=" ","",IFERROR(INDEX(MMWR_RATING_STATE_ROLLUP_VSC[],MATCH($B18,MMWR_RATING_STATE_ROLLUP_VSC[MMWR_RATING_STATE_ROLLUP_VSC],0),MATCH(E$9,MMWR_RATING_STATE_ROLLUP_VSC[#Headers],0))/$C18,"ERROR"))</f>
        <v>0.25405405405405407</v>
      </c>
      <c r="F18" s="154">
        <f>IF($B18=" ","",IFERROR(INDEX(MMWR_RATING_STATE_ROLLUP_VSC[],MATCH($B18,MMWR_RATING_STATE_ROLLUP_VSC[MMWR_RATING_STATE_ROLLUP_VSC],0),MATCH(F$9,MMWR_RATING_STATE_ROLLUP_VSC[#Headers],0)),"ERROR"))</f>
        <v>43</v>
      </c>
      <c r="G18" s="154">
        <f>IF($B18=" ","",IFERROR(INDEX(MMWR_RATING_STATE_ROLLUP_VSC[],MATCH($B18,MMWR_RATING_STATE_ROLLUP_VSC[MMWR_RATING_STATE_ROLLUP_VSC],0),MATCH(G$9,MMWR_RATING_STATE_ROLLUP_VSC[#Headers],0)),"ERROR"))</f>
        <v>598</v>
      </c>
      <c r="H18" s="155">
        <f>IF($B18=" ","",IFERROR(INDEX(MMWR_RATING_STATE_ROLLUP_VSC[],MATCH($B18,MMWR_RATING_STATE_ROLLUP_VSC[MMWR_RATING_STATE_ROLLUP_VSC],0),MATCH(H$9,MMWR_RATING_STATE_ROLLUP_VSC[#Headers],0)),"ERROR"))</f>
        <v>163.76744186050001</v>
      </c>
      <c r="I18" s="155">
        <f>IF($B18=" ","",IFERROR(INDEX(MMWR_RATING_STATE_ROLLUP_VSC[],MATCH($B18,MMWR_RATING_STATE_ROLLUP_VSC[MMWR_RATING_STATE_ROLLUP_VSC],0),MATCH(I$9,MMWR_RATING_STATE_ROLLUP_VSC[#Headers],0)),"ERROR"))</f>
        <v>147.6036789298</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1512</v>
      </c>
      <c r="D19" s="155">
        <f>IF($B19=" ","",IFERROR(INDEX(MMWR_RATING_STATE_ROLLUP_VSC[],MATCH($B19,MMWR_RATING_STATE_ROLLUP_VSC[MMWR_RATING_STATE_ROLLUP_VSC],0),MATCH(D$9,MMWR_RATING_STATE_ROLLUP_VSC[#Headers],0)),"ERROR"))</f>
        <v>75.363095238100001</v>
      </c>
      <c r="E19" s="156">
        <f>IF($B19=" ","",IFERROR(INDEX(MMWR_RATING_STATE_ROLLUP_VSC[],MATCH($B19,MMWR_RATING_STATE_ROLLUP_VSC[MMWR_RATING_STATE_ROLLUP_VSC],0),MATCH(E$9,MMWR_RATING_STATE_ROLLUP_VSC[#Headers],0))/$C19,"ERROR"))</f>
        <v>0.14087301587301587</v>
      </c>
      <c r="F19" s="154">
        <f>IF($B19=" ","",IFERROR(INDEX(MMWR_RATING_STATE_ROLLUP_VSC[],MATCH($B19,MMWR_RATING_STATE_ROLLUP_VSC[MMWR_RATING_STATE_ROLLUP_VSC],0),MATCH(F$9,MMWR_RATING_STATE_ROLLUP_VSC[#Headers],0)),"ERROR"))</f>
        <v>146</v>
      </c>
      <c r="G19" s="154">
        <f>IF($B19=" ","",IFERROR(INDEX(MMWR_RATING_STATE_ROLLUP_VSC[],MATCH($B19,MMWR_RATING_STATE_ROLLUP_VSC[MMWR_RATING_STATE_ROLLUP_VSC],0),MATCH(G$9,MMWR_RATING_STATE_ROLLUP_VSC[#Headers],0)),"ERROR"))</f>
        <v>2014</v>
      </c>
      <c r="H19" s="155">
        <f>IF($B19=" ","",IFERROR(INDEX(MMWR_RATING_STATE_ROLLUP_VSC[],MATCH($B19,MMWR_RATING_STATE_ROLLUP_VSC[MMWR_RATING_STATE_ROLLUP_VSC],0),MATCH(H$9,MMWR_RATING_STATE_ROLLUP_VSC[#Headers],0)),"ERROR"))</f>
        <v>123.1438356164</v>
      </c>
      <c r="I19" s="155">
        <f>IF($B19=" ","",IFERROR(INDEX(MMWR_RATING_STATE_ROLLUP_VSC[],MATCH($B19,MMWR_RATING_STATE_ROLLUP_VSC[MMWR_RATING_STATE_ROLLUP_VSC],0),MATCH(I$9,MMWR_RATING_STATE_ROLLUP_VSC[#Headers],0)),"ERROR"))</f>
        <v>111.4853452558</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5026</v>
      </c>
      <c r="D20" s="155">
        <f>IF($B20=" ","",IFERROR(INDEX(MMWR_RATING_STATE_ROLLUP_VSC[],MATCH($B20,MMWR_RATING_STATE_ROLLUP_VSC[MMWR_RATING_STATE_ROLLUP_VSC],0),MATCH(D$9,MMWR_RATING_STATE_ROLLUP_VSC[#Headers],0)),"ERROR"))</f>
        <v>106.1416633506</v>
      </c>
      <c r="E20" s="156">
        <f>IF($B20=" ","",IFERROR(INDEX(MMWR_RATING_STATE_ROLLUP_VSC[],MATCH($B20,MMWR_RATING_STATE_ROLLUP_VSC[MMWR_RATING_STATE_ROLLUP_VSC],0),MATCH(E$9,MMWR_RATING_STATE_ROLLUP_VSC[#Headers],0))/$C20,"ERROR"))</f>
        <v>0.28830083565459608</v>
      </c>
      <c r="F20" s="154">
        <f>IF($B20=" ","",IFERROR(INDEX(MMWR_RATING_STATE_ROLLUP_VSC[],MATCH($B20,MMWR_RATING_STATE_ROLLUP_VSC[MMWR_RATING_STATE_ROLLUP_VSC],0),MATCH(F$9,MMWR_RATING_STATE_ROLLUP_VSC[#Headers],0)),"ERROR"))</f>
        <v>605</v>
      </c>
      <c r="G20" s="154">
        <f>IF($B20=" ","",IFERROR(INDEX(MMWR_RATING_STATE_ROLLUP_VSC[],MATCH($B20,MMWR_RATING_STATE_ROLLUP_VSC[MMWR_RATING_STATE_ROLLUP_VSC],0),MATCH(G$9,MMWR_RATING_STATE_ROLLUP_VSC[#Headers],0)),"ERROR"))</f>
        <v>7632</v>
      </c>
      <c r="H20" s="155">
        <f>IF($B20=" ","",IFERROR(INDEX(MMWR_RATING_STATE_ROLLUP_VSC[],MATCH($B20,MMWR_RATING_STATE_ROLLUP_VSC[MMWR_RATING_STATE_ROLLUP_VSC],0),MATCH(H$9,MMWR_RATING_STATE_ROLLUP_VSC[#Headers],0)),"ERROR"))</f>
        <v>133.65123966940001</v>
      </c>
      <c r="I20" s="155">
        <f>IF($B20=" ","",IFERROR(INDEX(MMWR_RATING_STATE_ROLLUP_VSC[],MATCH($B20,MMWR_RATING_STATE_ROLLUP_VSC[MMWR_RATING_STATE_ROLLUP_VSC],0),MATCH(I$9,MMWR_RATING_STATE_ROLLUP_VSC[#Headers],0)),"ERROR"))</f>
        <v>137.75389857159999</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4560</v>
      </c>
      <c r="D21" s="155">
        <f>IF($B21=" ","",IFERROR(INDEX(MMWR_RATING_STATE_ROLLUP_VSC[],MATCH($B21,MMWR_RATING_STATE_ROLLUP_VSC[MMWR_RATING_STATE_ROLLUP_VSC],0),MATCH(D$9,MMWR_RATING_STATE_ROLLUP_VSC[#Headers],0)),"ERROR"))</f>
        <v>92.481798245600004</v>
      </c>
      <c r="E21" s="156">
        <f>IF($B21=" ","",IFERROR(INDEX(MMWR_RATING_STATE_ROLLUP_VSC[],MATCH($B21,MMWR_RATING_STATE_ROLLUP_VSC[MMWR_RATING_STATE_ROLLUP_VSC],0),MATCH(E$9,MMWR_RATING_STATE_ROLLUP_VSC[#Headers],0))/$C21,"ERROR"))</f>
        <v>0.23245614035087719</v>
      </c>
      <c r="F21" s="154">
        <f>IF($B21=" ","",IFERROR(INDEX(MMWR_RATING_STATE_ROLLUP_VSC[],MATCH($B21,MMWR_RATING_STATE_ROLLUP_VSC[MMWR_RATING_STATE_ROLLUP_VSC],0),MATCH(F$9,MMWR_RATING_STATE_ROLLUP_VSC[#Headers],0)),"ERROR"))</f>
        <v>445</v>
      </c>
      <c r="G21" s="154">
        <f>IF($B21=" ","",IFERROR(INDEX(MMWR_RATING_STATE_ROLLUP_VSC[],MATCH($B21,MMWR_RATING_STATE_ROLLUP_VSC[MMWR_RATING_STATE_ROLLUP_VSC],0),MATCH(G$9,MMWR_RATING_STATE_ROLLUP_VSC[#Headers],0)),"ERROR"))</f>
        <v>5882</v>
      </c>
      <c r="H21" s="155">
        <f>IF($B21=" ","",IFERROR(INDEX(MMWR_RATING_STATE_ROLLUP_VSC[],MATCH($B21,MMWR_RATING_STATE_ROLLUP_VSC[MMWR_RATING_STATE_ROLLUP_VSC],0),MATCH(H$9,MMWR_RATING_STATE_ROLLUP_VSC[#Headers],0)),"ERROR"))</f>
        <v>137.28089887639999</v>
      </c>
      <c r="I21" s="155">
        <f>IF($B21=" ","",IFERROR(INDEX(MMWR_RATING_STATE_ROLLUP_VSC[],MATCH($B21,MMWR_RATING_STATE_ROLLUP_VSC[MMWR_RATING_STATE_ROLLUP_VSC],0),MATCH(I$9,MMWR_RATING_STATE_ROLLUP_VSC[#Headers],0)),"ERROR"))</f>
        <v>132.47985036559999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1130</v>
      </c>
      <c r="D22" s="155">
        <f>IF($B22=" ","",IFERROR(INDEX(MMWR_RATING_STATE_ROLLUP_VSC[],MATCH($B22,MMWR_RATING_STATE_ROLLUP_VSC[MMWR_RATING_STATE_ROLLUP_VSC],0),MATCH(D$9,MMWR_RATING_STATE_ROLLUP_VSC[#Headers],0)),"ERROR"))</f>
        <v>85.667256637199998</v>
      </c>
      <c r="E22" s="156">
        <f>IF($B22=" ","",IFERROR(INDEX(MMWR_RATING_STATE_ROLLUP_VSC[],MATCH($B22,MMWR_RATING_STATE_ROLLUP_VSC[MMWR_RATING_STATE_ROLLUP_VSC],0),MATCH(E$9,MMWR_RATING_STATE_ROLLUP_VSC[#Headers],0))/$C22,"ERROR"))</f>
        <v>0.20176991150442478</v>
      </c>
      <c r="F22" s="154">
        <f>IF($B22=" ","",IFERROR(INDEX(MMWR_RATING_STATE_ROLLUP_VSC[],MATCH($B22,MMWR_RATING_STATE_ROLLUP_VSC[MMWR_RATING_STATE_ROLLUP_VSC],0),MATCH(F$9,MMWR_RATING_STATE_ROLLUP_VSC[#Headers],0)),"ERROR"))</f>
        <v>173</v>
      </c>
      <c r="G22" s="154">
        <f>IF($B22=" ","",IFERROR(INDEX(MMWR_RATING_STATE_ROLLUP_VSC[],MATCH($B22,MMWR_RATING_STATE_ROLLUP_VSC[MMWR_RATING_STATE_ROLLUP_VSC],0),MATCH(G$9,MMWR_RATING_STATE_ROLLUP_VSC[#Headers],0)),"ERROR"))</f>
        <v>1872</v>
      </c>
      <c r="H22" s="155">
        <f>IF($B22=" ","",IFERROR(INDEX(MMWR_RATING_STATE_ROLLUP_VSC[],MATCH($B22,MMWR_RATING_STATE_ROLLUP_VSC[MMWR_RATING_STATE_ROLLUP_VSC],0),MATCH(H$9,MMWR_RATING_STATE_ROLLUP_VSC[#Headers],0)),"ERROR"))</f>
        <v>143.3641618497</v>
      </c>
      <c r="I22" s="155">
        <f>IF($B22=" ","",IFERROR(INDEX(MMWR_RATING_STATE_ROLLUP_VSC[],MATCH($B22,MMWR_RATING_STATE_ROLLUP_VSC[MMWR_RATING_STATE_ROLLUP_VSC],0),MATCH(I$9,MMWR_RATING_STATE_ROLLUP_VSC[#Headers],0)),"ERROR"))</f>
        <v>136.85256410260001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3940</v>
      </c>
      <c r="D23" s="155">
        <f>IF($B23=" ","",IFERROR(INDEX(MMWR_RATING_STATE_ROLLUP_VSC[],MATCH($B23,MMWR_RATING_STATE_ROLLUP_VSC[MMWR_RATING_STATE_ROLLUP_VSC],0),MATCH(D$9,MMWR_RATING_STATE_ROLLUP_VSC[#Headers],0)),"ERROR"))</f>
        <v>93.277411167500006</v>
      </c>
      <c r="E23" s="156">
        <f>IF($B23=" ","",IFERROR(INDEX(MMWR_RATING_STATE_ROLLUP_VSC[],MATCH($B23,MMWR_RATING_STATE_ROLLUP_VSC[MMWR_RATING_STATE_ROLLUP_VSC],0),MATCH(E$9,MMWR_RATING_STATE_ROLLUP_VSC[#Headers],0))/$C23,"ERROR"))</f>
        <v>0.23274111675126904</v>
      </c>
      <c r="F23" s="154">
        <f>IF($B23=" ","",IFERROR(INDEX(MMWR_RATING_STATE_ROLLUP_VSC[],MATCH($B23,MMWR_RATING_STATE_ROLLUP_VSC[MMWR_RATING_STATE_ROLLUP_VSC],0),MATCH(F$9,MMWR_RATING_STATE_ROLLUP_VSC[#Headers],0)),"ERROR"))</f>
        <v>410</v>
      </c>
      <c r="G23" s="154">
        <f>IF($B23=" ","",IFERROR(INDEX(MMWR_RATING_STATE_ROLLUP_VSC[],MATCH($B23,MMWR_RATING_STATE_ROLLUP_VSC[MMWR_RATING_STATE_ROLLUP_VSC],0),MATCH(G$9,MMWR_RATING_STATE_ROLLUP_VSC[#Headers],0)),"ERROR"))</f>
        <v>5733</v>
      </c>
      <c r="H23" s="155">
        <f>IF($B23=" ","",IFERROR(INDEX(MMWR_RATING_STATE_ROLLUP_VSC[],MATCH($B23,MMWR_RATING_STATE_ROLLUP_VSC[MMWR_RATING_STATE_ROLLUP_VSC],0),MATCH(H$9,MMWR_RATING_STATE_ROLLUP_VSC[#Headers],0)),"ERROR"))</f>
        <v>150.18292682929999</v>
      </c>
      <c r="I23" s="155">
        <f>IF($B23=" ","",IFERROR(INDEX(MMWR_RATING_STATE_ROLLUP_VSC[],MATCH($B23,MMWR_RATING_STATE_ROLLUP_VSC[MMWR_RATING_STATE_ROLLUP_VSC],0),MATCH(I$9,MMWR_RATING_STATE_ROLLUP_VSC[#Headers],0)),"ERROR"))</f>
        <v>140.72928658640001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8397</v>
      </c>
      <c r="D24" s="155">
        <f>IF($B24=" ","",IFERROR(INDEX(MMWR_RATING_STATE_ROLLUP_VSC[],MATCH($B24,MMWR_RATING_STATE_ROLLUP_VSC[MMWR_RATING_STATE_ROLLUP_VSC],0),MATCH(D$9,MMWR_RATING_STATE_ROLLUP_VSC[#Headers],0)),"ERROR"))</f>
        <v>93.8410146481</v>
      </c>
      <c r="E24" s="156">
        <f>IF($B24=" ","",IFERROR(INDEX(MMWR_RATING_STATE_ROLLUP_VSC[],MATCH($B24,MMWR_RATING_STATE_ROLLUP_VSC[MMWR_RATING_STATE_ROLLUP_VSC],0),MATCH(E$9,MMWR_RATING_STATE_ROLLUP_VSC[#Headers],0))/$C24,"ERROR"))</f>
        <v>0.23722758127902824</v>
      </c>
      <c r="F24" s="154">
        <f>IF($B24=" ","",IFERROR(INDEX(MMWR_RATING_STATE_ROLLUP_VSC[],MATCH($B24,MMWR_RATING_STATE_ROLLUP_VSC[MMWR_RATING_STATE_ROLLUP_VSC],0),MATCH(F$9,MMWR_RATING_STATE_ROLLUP_VSC[#Headers],0)),"ERROR"))</f>
        <v>994</v>
      </c>
      <c r="G24" s="154">
        <f>IF($B24=" ","",IFERROR(INDEX(MMWR_RATING_STATE_ROLLUP_VSC[],MATCH($B24,MMWR_RATING_STATE_ROLLUP_VSC[MMWR_RATING_STATE_ROLLUP_VSC],0),MATCH(G$9,MMWR_RATING_STATE_ROLLUP_VSC[#Headers],0)),"ERROR"))</f>
        <v>12551</v>
      </c>
      <c r="H24" s="155">
        <f>IF($B24=" ","",IFERROR(INDEX(MMWR_RATING_STATE_ROLLUP_VSC[],MATCH($B24,MMWR_RATING_STATE_ROLLUP_VSC[MMWR_RATING_STATE_ROLLUP_VSC],0),MATCH(H$9,MMWR_RATING_STATE_ROLLUP_VSC[#Headers],0)),"ERROR"))</f>
        <v>127.46277666</v>
      </c>
      <c r="I24" s="155">
        <f>IF($B24=" ","",IFERROR(INDEX(MMWR_RATING_STATE_ROLLUP_VSC[],MATCH($B24,MMWR_RATING_STATE_ROLLUP_VSC[MMWR_RATING_STATE_ROLLUP_VSC],0),MATCH(I$9,MMWR_RATING_STATE_ROLLUP_VSC[#Headers],0)),"ERROR"))</f>
        <v>134.76209067010001</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15979</v>
      </c>
      <c r="D25" s="155">
        <f>IF($B25=" ","",IFERROR(INDEX(MMWR_RATING_STATE_ROLLUP_VSC[],MATCH($B25,MMWR_RATING_STATE_ROLLUP_VSC[MMWR_RATING_STATE_ROLLUP_VSC],0),MATCH(D$9,MMWR_RATING_STATE_ROLLUP_VSC[#Headers],0)),"ERROR"))</f>
        <v>93.574003379399997</v>
      </c>
      <c r="E25" s="156">
        <f>IF($B25=" ","",IFERROR(INDEX(MMWR_RATING_STATE_ROLLUP_VSC[],MATCH($B25,MMWR_RATING_STATE_ROLLUP_VSC[MMWR_RATING_STATE_ROLLUP_VSC],0),MATCH(E$9,MMWR_RATING_STATE_ROLLUP_VSC[#Headers],0))/$C25,"ERROR"))</f>
        <v>0.25452155954690531</v>
      </c>
      <c r="F25" s="154">
        <f>IF($B25=" ","",IFERROR(INDEX(MMWR_RATING_STATE_ROLLUP_VSC[],MATCH($B25,MMWR_RATING_STATE_ROLLUP_VSC[MMWR_RATING_STATE_ROLLUP_VSC],0),MATCH(F$9,MMWR_RATING_STATE_ROLLUP_VSC[#Headers],0)),"ERROR"))</f>
        <v>1908</v>
      </c>
      <c r="G25" s="154">
        <f>IF($B25=" ","",IFERROR(INDEX(MMWR_RATING_STATE_ROLLUP_VSC[],MATCH($B25,MMWR_RATING_STATE_ROLLUP_VSC[MMWR_RATING_STATE_ROLLUP_VSC],0),MATCH(G$9,MMWR_RATING_STATE_ROLLUP_VSC[#Headers],0)),"ERROR"))</f>
        <v>22867</v>
      </c>
      <c r="H25" s="155">
        <f>IF($B25=" ","",IFERROR(INDEX(MMWR_RATING_STATE_ROLLUP_VSC[],MATCH($B25,MMWR_RATING_STATE_ROLLUP_VSC[MMWR_RATING_STATE_ROLLUP_VSC],0),MATCH(H$9,MMWR_RATING_STATE_ROLLUP_VSC[#Headers],0)),"ERROR"))</f>
        <v>134.1661425577</v>
      </c>
      <c r="I25" s="155">
        <f>IF($B25=" ","",IFERROR(INDEX(MMWR_RATING_STATE_ROLLUP_VSC[],MATCH($B25,MMWR_RATING_STATE_ROLLUP_VSC[MMWR_RATING_STATE_ROLLUP_VSC],0),MATCH(I$9,MMWR_RATING_STATE_ROLLUP_VSC[#Headers],0)),"ERROR"))</f>
        <v>141.8428165318</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8346</v>
      </c>
      <c r="D26" s="155">
        <f>IF($B26=" ","",IFERROR(INDEX(MMWR_RATING_STATE_ROLLUP_VSC[],MATCH($B26,MMWR_RATING_STATE_ROLLUP_VSC[MMWR_RATING_STATE_ROLLUP_VSC],0),MATCH(D$9,MMWR_RATING_STATE_ROLLUP_VSC[#Headers],0)),"ERROR"))</f>
        <v>104.4394919722</v>
      </c>
      <c r="E26" s="156">
        <f>IF($B26=" ","",IFERROR(INDEX(MMWR_RATING_STATE_ROLLUP_VSC[],MATCH($B26,MMWR_RATING_STATE_ROLLUP_VSC[MMWR_RATING_STATE_ROLLUP_VSC],0),MATCH(E$9,MMWR_RATING_STATE_ROLLUP_VSC[#Headers],0))/$C26,"ERROR"))</f>
        <v>0.29115744069015098</v>
      </c>
      <c r="F26" s="154">
        <f>IF($B26=" ","",IFERROR(INDEX(MMWR_RATING_STATE_ROLLUP_VSC[],MATCH($B26,MMWR_RATING_STATE_ROLLUP_VSC[MMWR_RATING_STATE_ROLLUP_VSC],0),MATCH(F$9,MMWR_RATING_STATE_ROLLUP_VSC[#Headers],0)),"ERROR"))</f>
        <v>995</v>
      </c>
      <c r="G26" s="154">
        <f>IF($B26=" ","",IFERROR(INDEX(MMWR_RATING_STATE_ROLLUP_VSC[],MATCH($B26,MMWR_RATING_STATE_ROLLUP_VSC[MMWR_RATING_STATE_ROLLUP_VSC],0),MATCH(G$9,MMWR_RATING_STATE_ROLLUP_VSC[#Headers],0)),"ERROR"))</f>
        <v>13500</v>
      </c>
      <c r="H26" s="155">
        <f>IF($B26=" ","",IFERROR(INDEX(MMWR_RATING_STATE_ROLLUP_VSC[],MATCH($B26,MMWR_RATING_STATE_ROLLUP_VSC[MMWR_RATING_STATE_ROLLUP_VSC],0),MATCH(H$9,MMWR_RATING_STATE_ROLLUP_VSC[#Headers],0)),"ERROR"))</f>
        <v>140.04221105529999</v>
      </c>
      <c r="I26" s="155">
        <f>IF($B26=" ","",IFERROR(INDEX(MMWR_RATING_STATE_ROLLUP_VSC[],MATCH($B26,MMWR_RATING_STATE_ROLLUP_VSC[MMWR_RATING_STATE_ROLLUP_VSC],0),MATCH(I$9,MMWR_RATING_STATE_ROLLUP_VSC[#Headers],0)),"ERROR"))</f>
        <v>143.5762962963</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847</v>
      </c>
      <c r="D27" s="155">
        <f>IF($B27=" ","",IFERROR(INDEX(MMWR_RATING_STATE_ROLLUP_VSC[],MATCH($B27,MMWR_RATING_STATE_ROLLUP_VSC[MMWR_RATING_STATE_ROLLUP_VSC],0),MATCH(D$9,MMWR_RATING_STATE_ROLLUP_VSC[#Headers],0)),"ERROR"))</f>
        <v>84.452184179499994</v>
      </c>
      <c r="E27" s="156">
        <f>IF($B27=" ","",IFERROR(INDEX(MMWR_RATING_STATE_ROLLUP_VSC[],MATCH($B27,MMWR_RATING_STATE_ROLLUP_VSC[MMWR_RATING_STATE_ROLLUP_VSC],0),MATCH(E$9,MMWR_RATING_STATE_ROLLUP_VSC[#Headers],0))/$C27,"ERROR"))</f>
        <v>0.21959858323494688</v>
      </c>
      <c r="F27" s="154">
        <f>IF($B27=" ","",IFERROR(INDEX(MMWR_RATING_STATE_ROLLUP_VSC[],MATCH($B27,MMWR_RATING_STATE_ROLLUP_VSC[MMWR_RATING_STATE_ROLLUP_VSC],0),MATCH(F$9,MMWR_RATING_STATE_ROLLUP_VSC[#Headers],0)),"ERROR"))</f>
        <v>117</v>
      </c>
      <c r="G27" s="154">
        <f>IF($B27=" ","",IFERROR(INDEX(MMWR_RATING_STATE_ROLLUP_VSC[],MATCH($B27,MMWR_RATING_STATE_ROLLUP_VSC[MMWR_RATING_STATE_ROLLUP_VSC],0),MATCH(G$9,MMWR_RATING_STATE_ROLLUP_VSC[#Headers],0)),"ERROR"))</f>
        <v>1430</v>
      </c>
      <c r="H27" s="155">
        <f>IF($B27=" ","",IFERROR(INDEX(MMWR_RATING_STATE_ROLLUP_VSC[],MATCH($B27,MMWR_RATING_STATE_ROLLUP_VSC[MMWR_RATING_STATE_ROLLUP_VSC],0),MATCH(H$9,MMWR_RATING_STATE_ROLLUP_VSC[#Headers],0)),"ERROR"))</f>
        <v>108.23076923079999</v>
      </c>
      <c r="I27" s="155">
        <f>IF($B27=" ","",IFERROR(INDEX(MMWR_RATING_STATE_ROLLUP_VSC[],MATCH($B27,MMWR_RATING_STATE_ROLLUP_VSC[MMWR_RATING_STATE_ROLLUP_VSC],0),MATCH(I$9,MMWR_RATING_STATE_ROLLUP_VSC[#Headers],0)),"ERROR"))</f>
        <v>116.2748251748</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504</v>
      </c>
      <c r="D28" s="155">
        <f>IF($B28=" ","",IFERROR(INDEX(MMWR_RATING_STATE_ROLLUP_VSC[],MATCH($B28,MMWR_RATING_STATE_ROLLUP_VSC[MMWR_RATING_STATE_ROLLUP_VSC],0),MATCH(D$9,MMWR_RATING_STATE_ROLLUP_VSC[#Headers],0)),"ERROR"))</f>
        <v>90.420634920599994</v>
      </c>
      <c r="E28" s="156">
        <f>IF($B28=" ","",IFERROR(INDEX(MMWR_RATING_STATE_ROLLUP_VSC[],MATCH($B28,MMWR_RATING_STATE_ROLLUP_VSC[MMWR_RATING_STATE_ROLLUP_VSC],0),MATCH(E$9,MMWR_RATING_STATE_ROLLUP_VSC[#Headers],0))/$C28,"ERROR"))</f>
        <v>0.28174603174603174</v>
      </c>
      <c r="F28" s="154">
        <f>IF($B28=" ","",IFERROR(INDEX(MMWR_RATING_STATE_ROLLUP_VSC[],MATCH($B28,MMWR_RATING_STATE_ROLLUP_VSC[MMWR_RATING_STATE_ROLLUP_VSC],0),MATCH(F$9,MMWR_RATING_STATE_ROLLUP_VSC[#Headers],0)),"ERROR"))</f>
        <v>50</v>
      </c>
      <c r="G28" s="154">
        <f>IF($B28=" ","",IFERROR(INDEX(MMWR_RATING_STATE_ROLLUP_VSC[],MATCH($B28,MMWR_RATING_STATE_ROLLUP_VSC[MMWR_RATING_STATE_ROLLUP_VSC],0),MATCH(G$9,MMWR_RATING_STATE_ROLLUP_VSC[#Headers],0)),"ERROR"))</f>
        <v>635</v>
      </c>
      <c r="H28" s="155">
        <f>IF($B28=" ","",IFERROR(INDEX(MMWR_RATING_STATE_ROLLUP_VSC[],MATCH($B28,MMWR_RATING_STATE_ROLLUP_VSC[MMWR_RATING_STATE_ROLLUP_VSC],0),MATCH(H$9,MMWR_RATING_STATE_ROLLUP_VSC[#Headers],0)),"ERROR"))</f>
        <v>129.72</v>
      </c>
      <c r="I28" s="155">
        <f>IF($B28=" ","",IFERROR(INDEX(MMWR_RATING_STATE_ROLLUP_VSC[],MATCH($B28,MMWR_RATING_STATE_ROLLUP_VSC[MMWR_RATING_STATE_ROLLUP_VSC],0),MATCH(I$9,MMWR_RATING_STATE_ROLLUP_VSC[#Headers],0)),"ERROR"))</f>
        <v>135.04409448819999</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10157</v>
      </c>
      <c r="D29" s="155">
        <f>IF($B29=" ","",IFERROR(INDEX(MMWR_RATING_STATE_ROLLUP_VSC[],MATCH($B29,MMWR_RATING_STATE_ROLLUP_VSC[MMWR_RATING_STATE_ROLLUP_VSC],0),MATCH(D$9,MMWR_RATING_STATE_ROLLUP_VSC[#Headers],0)),"ERROR"))</f>
        <v>91.494535788099995</v>
      </c>
      <c r="E29" s="156">
        <f>IF($B29=" ","",IFERROR(INDEX(MMWR_RATING_STATE_ROLLUP_VSC[],MATCH($B29,MMWR_RATING_STATE_ROLLUP_VSC[MMWR_RATING_STATE_ROLLUP_VSC],0),MATCH(E$9,MMWR_RATING_STATE_ROLLUP_VSC[#Headers],0))/$C29,"ERROR"))</f>
        <v>0.25991926750024613</v>
      </c>
      <c r="F29" s="154">
        <f>IF($B29=" ","",IFERROR(INDEX(MMWR_RATING_STATE_ROLLUP_VSC[],MATCH($B29,MMWR_RATING_STATE_ROLLUP_VSC[MMWR_RATING_STATE_ROLLUP_VSC],0),MATCH(F$9,MMWR_RATING_STATE_ROLLUP_VSC[#Headers],0)),"ERROR"))</f>
        <v>1257</v>
      </c>
      <c r="G29" s="154">
        <f>IF($B29=" ","",IFERROR(INDEX(MMWR_RATING_STATE_ROLLUP_VSC[],MATCH($B29,MMWR_RATING_STATE_ROLLUP_VSC[MMWR_RATING_STATE_ROLLUP_VSC],0),MATCH(G$9,MMWR_RATING_STATE_ROLLUP_VSC[#Headers],0)),"ERROR"))</f>
        <v>15382</v>
      </c>
      <c r="H29" s="155">
        <f>IF($B29=" ","",IFERROR(INDEX(MMWR_RATING_STATE_ROLLUP_VSC[],MATCH($B29,MMWR_RATING_STATE_ROLLUP_VSC[MMWR_RATING_STATE_ROLLUP_VSC],0),MATCH(H$9,MMWR_RATING_STATE_ROLLUP_VSC[#Headers],0)),"ERROR"))</f>
        <v>142.8345266508</v>
      </c>
      <c r="I29" s="155">
        <f>IF($B29=" ","",IFERROR(INDEX(MMWR_RATING_STATE_ROLLUP_VSC[],MATCH($B29,MMWR_RATING_STATE_ROLLUP_VSC[MMWR_RATING_STATE_ROLLUP_VSC],0),MATCH(I$9,MMWR_RATING_STATE_ROLLUP_VSC[#Headers],0)),"ERROR"))</f>
        <v>134.9266025224</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2676</v>
      </c>
      <c r="D30" s="155">
        <f>IF($B30=" ","",IFERROR(INDEX(MMWR_RATING_STATE_ROLLUP_VSC[],MATCH($B30,MMWR_RATING_STATE_ROLLUP_VSC[MMWR_RATING_STATE_ROLLUP_VSC],0),MATCH(D$9,MMWR_RATING_STATE_ROLLUP_VSC[#Headers],0)),"ERROR"))</f>
        <v>85.118460388599999</v>
      </c>
      <c r="E30" s="156">
        <f>IF($B30=" ","",IFERROR(INDEX(MMWR_RATING_STATE_ROLLUP_VSC[],MATCH($B30,MMWR_RATING_STATE_ROLLUP_VSC[MMWR_RATING_STATE_ROLLUP_VSC],0),MATCH(E$9,MMWR_RATING_STATE_ROLLUP_VSC[#Headers],0))/$C30,"ERROR"))</f>
        <v>0.20179372197309417</v>
      </c>
      <c r="F30" s="154">
        <f>IF($B30=" ","",IFERROR(INDEX(MMWR_RATING_STATE_ROLLUP_VSC[],MATCH($B30,MMWR_RATING_STATE_ROLLUP_VSC[MMWR_RATING_STATE_ROLLUP_VSC],0),MATCH(F$9,MMWR_RATING_STATE_ROLLUP_VSC[#Headers],0)),"ERROR"))</f>
        <v>362</v>
      </c>
      <c r="G30" s="154">
        <f>IF($B30=" ","",IFERROR(INDEX(MMWR_RATING_STATE_ROLLUP_VSC[],MATCH($B30,MMWR_RATING_STATE_ROLLUP_VSC[MMWR_RATING_STATE_ROLLUP_VSC],0),MATCH(G$9,MMWR_RATING_STATE_ROLLUP_VSC[#Headers],0)),"ERROR"))</f>
        <v>3741</v>
      </c>
      <c r="H30" s="155">
        <f>IF($B30=" ","",IFERROR(INDEX(MMWR_RATING_STATE_ROLLUP_VSC[],MATCH($B30,MMWR_RATING_STATE_ROLLUP_VSC[MMWR_RATING_STATE_ROLLUP_VSC],0),MATCH(H$9,MMWR_RATING_STATE_ROLLUP_VSC[#Headers],0)),"ERROR"))</f>
        <v>126.28729281770001</v>
      </c>
      <c r="I30" s="155">
        <f>IF($B30=" ","",IFERROR(INDEX(MMWR_RATING_STATE_ROLLUP_VSC[],MATCH($B30,MMWR_RATING_STATE_ROLLUP_VSC[MMWR_RATING_STATE_ROLLUP_VSC],0),MATCH(I$9,MMWR_RATING_STATE_ROLLUP_VSC[#Headers],0)),"ERROR"))</f>
        <v>123.6025126971</v>
      </c>
      <c r="J30" s="42"/>
      <c r="K30" s="42"/>
      <c r="L30" s="42"/>
      <c r="M30" s="42"/>
      <c r="N30" s="28"/>
    </row>
    <row r="31" spans="1:14" x14ac:dyDescent="0.2">
      <c r="A31" s="25"/>
      <c r="B31" s="377" t="s">
        <v>960</v>
      </c>
      <c r="C31" s="378"/>
      <c r="D31" s="378"/>
      <c r="E31" s="378"/>
      <c r="F31" s="378"/>
      <c r="G31" s="378"/>
      <c r="H31" s="378"/>
      <c r="I31" s="378"/>
      <c r="J31" s="378"/>
      <c r="K31" s="378"/>
      <c r="L31" s="378"/>
      <c r="M31" s="387"/>
      <c r="N31" s="28"/>
    </row>
    <row r="32" spans="1:14" x14ac:dyDescent="0.2">
      <c r="A32" s="25"/>
      <c r="B32" s="41" t="s">
        <v>1038</v>
      </c>
      <c r="C32" s="154">
        <f>IF($B32=" ","",IFERROR(INDEX(MMWR_RATING_STATE_ROLLUP_PMC[],MATCH($B32,MMWR_RATING_STATE_ROLLUP_PMC[MMWR_RATING_STATE_ROLLUP_PMC],0),MATCH(C$9,MMWR_RATING_STATE_ROLLUP_PMC[#Headers],0)),"ERROR"))</f>
        <v>26095</v>
      </c>
      <c r="D32" s="155">
        <f>IF($B32=" ","",IFERROR(INDEX(MMWR_RATING_STATE_ROLLUP_PMC[],MATCH($B32,MMWR_RATING_STATE_ROLLUP_PMC[MMWR_RATING_STATE_ROLLUP_PMC],0),MATCH(D$9,MMWR_RATING_STATE_ROLLUP_PMC[#Headers],0)),"ERROR"))</f>
        <v>69.233339720299995</v>
      </c>
      <c r="E32" s="156">
        <f>IF($B32=" ","",IFERROR(INDEX(MMWR_RATING_STATE_ROLLUP_PMC[],MATCH($B32,MMWR_RATING_STATE_ROLLUP_PMC[MMWR_RATING_STATE_ROLLUP_PMC],0),MATCH(E$9,MMWR_RATING_STATE_ROLLUP_PMC[#Headers],0))/$C32,"ERROR"))</f>
        <v>0.12860701283770837</v>
      </c>
      <c r="F32" s="154">
        <f>IF($B32=" ","",IFERROR(INDEX(MMWR_RATING_STATE_ROLLUP_PMC[],MATCH($B32,MMWR_RATING_STATE_ROLLUP_PMC[MMWR_RATING_STATE_ROLLUP_PMC],0),MATCH(F$9,MMWR_RATING_STATE_ROLLUP_PMC[#Headers],0)),"ERROR"))</f>
        <v>5170</v>
      </c>
      <c r="G32" s="154">
        <f>IF($B32=" ","",IFERROR(INDEX(MMWR_RATING_STATE_ROLLUP_PMC[],MATCH($B32,MMWR_RATING_STATE_ROLLUP_PMC[MMWR_RATING_STATE_ROLLUP_PMC],0),MATCH(G$9,MMWR_RATING_STATE_ROLLUP_PMC[#Headers],0)),"ERROR"))</f>
        <v>64861</v>
      </c>
      <c r="H32" s="155">
        <f>IF($B32=" ","",IFERROR(INDEX(MMWR_RATING_STATE_ROLLUP_PMC[],MATCH($B32,MMWR_RATING_STATE_ROLLUP_PMC[MMWR_RATING_STATE_ROLLUP_PMC],0),MATCH(H$9,MMWR_RATING_STATE_ROLLUP_PMC[#Headers],0)),"ERROR"))</f>
        <v>83.953578336600003</v>
      </c>
      <c r="I32" s="155">
        <f>IF($B32=" ","",IFERROR(INDEX(MMWR_RATING_STATE_ROLLUP_PMC[],MATCH($B32,MMWR_RATING_STATE_ROLLUP_PMC[MMWR_RATING_STATE_ROLLUP_PMC],0),MATCH(I$9,MMWR_RATING_STATE_ROLLUP_PMC[#Headers],0)),"ERROR"))</f>
        <v>76.234154088099999</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7452</v>
      </c>
      <c r="D33" s="155">
        <f>IF($B33=" ","",IFERROR(INDEX(MMWR_RATING_STATE_ROLLUP_PMC[],MATCH($B33,MMWR_RATING_STATE_ROLLUP_PMC[MMWR_RATING_STATE_ROLLUP_PMC],0),MATCH(D$9,MMWR_RATING_STATE_ROLLUP_PMC[#Headers],0)),"ERROR"))</f>
        <v>72.143451422400005</v>
      </c>
      <c r="E33" s="156">
        <f>IF($B33=" ","",IFERROR(INDEX(MMWR_RATING_STATE_ROLLUP_PMC[],MATCH($B33,MMWR_RATING_STATE_ROLLUP_PMC[MMWR_RATING_STATE_ROLLUP_PMC],0),MATCH(E$9,MMWR_RATING_STATE_ROLLUP_PMC[#Headers],0))/$C33,"ERROR"))</f>
        <v>0.14533011272141708</v>
      </c>
      <c r="F33" s="154">
        <f>IF($B33=" ","",IFERROR(INDEX(MMWR_RATING_STATE_ROLLUP_PMC[],MATCH($B33,MMWR_RATING_STATE_ROLLUP_PMC[MMWR_RATING_STATE_ROLLUP_PMC],0),MATCH(F$9,MMWR_RATING_STATE_ROLLUP_PMC[#Headers],0)),"ERROR"))</f>
        <v>1005</v>
      </c>
      <c r="G33" s="154">
        <f>IF($B33=" ","",IFERROR(INDEX(MMWR_RATING_STATE_ROLLUP_PMC[],MATCH($B33,MMWR_RATING_STATE_ROLLUP_PMC[MMWR_RATING_STATE_ROLLUP_PMC],0),MATCH(G$9,MMWR_RATING_STATE_ROLLUP_PMC[#Headers],0)),"ERROR"))</f>
        <v>12885</v>
      </c>
      <c r="H33" s="155">
        <f>IF($B33=" ","",IFERROR(INDEX(MMWR_RATING_STATE_ROLLUP_PMC[],MATCH($B33,MMWR_RATING_STATE_ROLLUP_PMC[MMWR_RATING_STATE_ROLLUP_PMC],0),MATCH(H$9,MMWR_RATING_STATE_ROLLUP_PMC[#Headers],0)),"ERROR"))</f>
        <v>105.93631840800001</v>
      </c>
      <c r="I33" s="155">
        <f>IF($B33=" ","",IFERROR(INDEX(MMWR_RATING_STATE_ROLLUP_PMC[],MATCH($B33,MMWR_RATING_STATE_ROLLUP_PMC[MMWR_RATING_STATE_ROLLUP_PMC],0),MATCH(I$9,MMWR_RATING_STATE_ROLLUP_PMC[#Headers],0)),"ERROR"))</f>
        <v>91.814978657400005</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215</v>
      </c>
      <c r="D34" s="155">
        <f>IF($B34=" ","",IFERROR(INDEX(MMWR_RATING_STATE_ROLLUP_PMC[],MATCH($B34,MMWR_RATING_STATE_ROLLUP_PMC[MMWR_RATING_STATE_ROLLUP_PMC],0),MATCH(D$9,MMWR_RATING_STATE_ROLLUP_PMC[#Headers],0)),"ERROR"))</f>
        <v>73.4604651163</v>
      </c>
      <c r="E34" s="156">
        <f>IF($B34=" ","",IFERROR(INDEX(MMWR_RATING_STATE_ROLLUP_PMC[],MATCH($B34,MMWR_RATING_STATE_ROLLUP_PMC[MMWR_RATING_STATE_ROLLUP_PMC],0),MATCH(E$9,MMWR_RATING_STATE_ROLLUP_PMC[#Headers],0))/$C34,"ERROR"))</f>
        <v>0.16279069767441862</v>
      </c>
      <c r="F34" s="154">
        <f>IF($B34=" ","",IFERROR(INDEX(MMWR_RATING_STATE_ROLLUP_PMC[],MATCH($B34,MMWR_RATING_STATE_ROLLUP_PMC[MMWR_RATING_STATE_ROLLUP_PMC],0),MATCH(F$9,MMWR_RATING_STATE_ROLLUP_PMC[#Headers],0)),"ERROR"))</f>
        <v>33</v>
      </c>
      <c r="G34" s="154">
        <f>IF($B34=" ","",IFERROR(INDEX(MMWR_RATING_STATE_ROLLUP_PMC[],MATCH($B34,MMWR_RATING_STATE_ROLLUP_PMC[MMWR_RATING_STATE_ROLLUP_PMC],0),MATCH(G$9,MMWR_RATING_STATE_ROLLUP_PMC[#Headers],0)),"ERROR"))</f>
        <v>389</v>
      </c>
      <c r="H34" s="155">
        <f>IF($B34=" ","",IFERROR(INDEX(MMWR_RATING_STATE_ROLLUP_PMC[],MATCH($B34,MMWR_RATING_STATE_ROLLUP_PMC[MMWR_RATING_STATE_ROLLUP_PMC],0),MATCH(H$9,MMWR_RATING_STATE_ROLLUP_PMC[#Headers],0)),"ERROR"))</f>
        <v>96.848484848499993</v>
      </c>
      <c r="I34" s="155">
        <f>IF($B34=" ","",IFERROR(INDEX(MMWR_RATING_STATE_ROLLUP_PMC[],MATCH($B34,MMWR_RATING_STATE_ROLLUP_PMC[MMWR_RATING_STATE_ROLLUP_PMC],0),MATCH(I$9,MMWR_RATING_STATE_ROLLUP_PMC[#Headers],0)),"ERROR"))</f>
        <v>90.614395886899999</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75</v>
      </c>
      <c r="D35" s="155">
        <f>IF($B35=" ","",IFERROR(INDEX(MMWR_RATING_STATE_ROLLUP_PMC[],MATCH($B35,MMWR_RATING_STATE_ROLLUP_PMC[MMWR_RATING_STATE_ROLLUP_PMC],0),MATCH(D$9,MMWR_RATING_STATE_ROLLUP_PMC[#Headers],0)),"ERROR"))</f>
        <v>82.48</v>
      </c>
      <c r="E35" s="156">
        <f>IF($B35=" ","",IFERROR(INDEX(MMWR_RATING_STATE_ROLLUP_PMC[],MATCH($B35,MMWR_RATING_STATE_ROLLUP_PMC[MMWR_RATING_STATE_ROLLUP_PMC],0),MATCH(E$9,MMWR_RATING_STATE_ROLLUP_PMC[#Headers],0))/$C35,"ERROR"))</f>
        <v>0.17333333333333334</v>
      </c>
      <c r="F35" s="154">
        <f>IF($B35=" ","",IFERROR(INDEX(MMWR_RATING_STATE_ROLLUP_PMC[],MATCH($B35,MMWR_RATING_STATE_ROLLUP_PMC[MMWR_RATING_STATE_ROLLUP_PMC],0),MATCH(F$9,MMWR_RATING_STATE_ROLLUP_PMC[#Headers],0)),"ERROR"))</f>
        <v>5</v>
      </c>
      <c r="G35" s="154">
        <f>IF($B35=" ","",IFERROR(INDEX(MMWR_RATING_STATE_ROLLUP_PMC[],MATCH($B35,MMWR_RATING_STATE_ROLLUP_PMC[MMWR_RATING_STATE_ROLLUP_PMC],0),MATCH(G$9,MMWR_RATING_STATE_ROLLUP_PMC[#Headers],0)),"ERROR"))</f>
        <v>121</v>
      </c>
      <c r="H35" s="155">
        <f>IF($B35=" ","",IFERROR(INDEX(MMWR_RATING_STATE_ROLLUP_PMC[],MATCH($B35,MMWR_RATING_STATE_ROLLUP_PMC[MMWR_RATING_STATE_ROLLUP_PMC],0),MATCH(H$9,MMWR_RATING_STATE_ROLLUP_PMC[#Headers],0)),"ERROR"))</f>
        <v>110.2</v>
      </c>
      <c r="I35" s="155">
        <f>IF($B35=" ","",IFERROR(INDEX(MMWR_RATING_STATE_ROLLUP_PMC[],MATCH($B35,MMWR_RATING_STATE_ROLLUP_PMC[MMWR_RATING_STATE_ROLLUP_PMC],0),MATCH(I$9,MMWR_RATING_STATE_ROLLUP_PMC[#Headers],0)),"ERROR"))</f>
        <v>93.140495867799999</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65</v>
      </c>
      <c r="D36" s="155">
        <f>IF($B36=" ","",IFERROR(INDEX(MMWR_RATING_STATE_ROLLUP_PMC[],MATCH($B36,MMWR_RATING_STATE_ROLLUP_PMC[MMWR_RATING_STATE_ROLLUP_PMC],0),MATCH(D$9,MMWR_RATING_STATE_ROLLUP_PMC[#Headers],0)),"ERROR"))</f>
        <v>84.153846153800004</v>
      </c>
      <c r="E36" s="156">
        <f>IF($B36=" ","",IFERROR(INDEX(MMWR_RATING_STATE_ROLLUP_PMC[],MATCH($B36,MMWR_RATING_STATE_ROLLUP_PMC[MMWR_RATING_STATE_ROLLUP_PMC],0),MATCH(E$9,MMWR_RATING_STATE_ROLLUP_PMC[#Headers],0))/$C36,"ERROR"))</f>
        <v>0.24615384615384617</v>
      </c>
      <c r="F36" s="154">
        <f>IF($B36=" ","",IFERROR(INDEX(MMWR_RATING_STATE_ROLLUP_PMC[],MATCH($B36,MMWR_RATING_STATE_ROLLUP_PMC[MMWR_RATING_STATE_ROLLUP_PMC],0),MATCH(F$9,MMWR_RATING_STATE_ROLLUP_PMC[#Headers],0)),"ERROR"))</f>
        <v>9</v>
      </c>
      <c r="G36" s="154">
        <f>IF($B36=" ","",IFERROR(INDEX(MMWR_RATING_STATE_ROLLUP_PMC[],MATCH($B36,MMWR_RATING_STATE_ROLLUP_PMC[MMWR_RATING_STATE_ROLLUP_PMC],0),MATCH(G$9,MMWR_RATING_STATE_ROLLUP_PMC[#Headers],0)),"ERROR"))</f>
        <v>127</v>
      </c>
      <c r="H36" s="155">
        <f>IF($B36=" ","",IFERROR(INDEX(MMWR_RATING_STATE_ROLLUP_PMC[],MATCH($B36,MMWR_RATING_STATE_ROLLUP_PMC[MMWR_RATING_STATE_ROLLUP_PMC],0),MATCH(H$9,MMWR_RATING_STATE_ROLLUP_PMC[#Headers],0)),"ERROR"))</f>
        <v>102.3333333333</v>
      </c>
      <c r="I36" s="155">
        <f>IF($B36=" ","",IFERROR(INDEX(MMWR_RATING_STATE_ROLLUP_PMC[],MATCH($B36,MMWR_RATING_STATE_ROLLUP_PMC[MMWR_RATING_STATE_ROLLUP_PMC],0),MATCH(I$9,MMWR_RATING_STATE_ROLLUP_PMC[#Headers],0)),"ERROR"))</f>
        <v>95.456692913400005</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121</v>
      </c>
      <c r="D37" s="155">
        <f>IF($B37=" ","",IFERROR(INDEX(MMWR_RATING_STATE_ROLLUP_PMC[],MATCH($B37,MMWR_RATING_STATE_ROLLUP_PMC[MMWR_RATING_STATE_ROLLUP_PMC],0),MATCH(D$9,MMWR_RATING_STATE_ROLLUP_PMC[#Headers],0)),"ERROR"))</f>
        <v>66.876033057900003</v>
      </c>
      <c r="E37" s="156">
        <f>IF($B37=" ","",IFERROR(INDEX(MMWR_RATING_STATE_ROLLUP_PMC[],MATCH($B37,MMWR_RATING_STATE_ROLLUP_PMC[MMWR_RATING_STATE_ROLLUP_PMC],0),MATCH(E$9,MMWR_RATING_STATE_ROLLUP_PMC[#Headers],0))/$C37,"ERROR"))</f>
        <v>0.11570247933884298</v>
      </c>
      <c r="F37" s="154">
        <f>IF($B37=" ","",IFERROR(INDEX(MMWR_RATING_STATE_ROLLUP_PMC[],MATCH($B37,MMWR_RATING_STATE_ROLLUP_PMC[MMWR_RATING_STATE_ROLLUP_PMC],0),MATCH(F$9,MMWR_RATING_STATE_ROLLUP_PMC[#Headers],0)),"ERROR"))</f>
        <v>17</v>
      </c>
      <c r="G37" s="154">
        <f>IF($B37=" ","",IFERROR(INDEX(MMWR_RATING_STATE_ROLLUP_PMC[],MATCH($B37,MMWR_RATING_STATE_ROLLUP_PMC[MMWR_RATING_STATE_ROLLUP_PMC],0),MATCH(G$9,MMWR_RATING_STATE_ROLLUP_PMC[#Headers],0)),"ERROR"))</f>
        <v>249</v>
      </c>
      <c r="H37" s="155">
        <f>IF($B37=" ","",IFERROR(INDEX(MMWR_RATING_STATE_ROLLUP_PMC[],MATCH($B37,MMWR_RATING_STATE_ROLLUP_PMC[MMWR_RATING_STATE_ROLLUP_PMC],0),MATCH(H$9,MMWR_RATING_STATE_ROLLUP_PMC[#Headers],0)),"ERROR"))</f>
        <v>86.058823529400001</v>
      </c>
      <c r="I37" s="155">
        <f>IF($B37=" ","",IFERROR(INDEX(MMWR_RATING_STATE_ROLLUP_PMC[],MATCH($B37,MMWR_RATING_STATE_ROLLUP_PMC[MMWR_RATING_STATE_ROLLUP_PMC],0),MATCH(I$9,MMWR_RATING_STATE_ROLLUP_PMC[#Headers],0)),"ERROR"))</f>
        <v>81.176706827299995</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445</v>
      </c>
      <c r="D38" s="155">
        <f>IF($B38=" ","",IFERROR(INDEX(MMWR_RATING_STATE_ROLLUP_PMC[],MATCH($B38,MMWR_RATING_STATE_ROLLUP_PMC[MMWR_RATING_STATE_ROLLUP_PMC],0),MATCH(D$9,MMWR_RATING_STATE_ROLLUP_PMC[#Headers],0)),"ERROR"))</f>
        <v>73.595505618000004</v>
      </c>
      <c r="E38" s="156">
        <f>IF($B38=" ","",IFERROR(INDEX(MMWR_RATING_STATE_ROLLUP_PMC[],MATCH($B38,MMWR_RATING_STATE_ROLLUP_PMC[MMWR_RATING_STATE_ROLLUP_PMC],0),MATCH(E$9,MMWR_RATING_STATE_ROLLUP_PMC[#Headers],0))/$C38,"ERROR"))</f>
        <v>0.14382022471910114</v>
      </c>
      <c r="F38" s="154">
        <f>IF($B38=" ","",IFERROR(INDEX(MMWR_RATING_STATE_ROLLUP_PMC[],MATCH($B38,MMWR_RATING_STATE_ROLLUP_PMC[MMWR_RATING_STATE_ROLLUP_PMC],0),MATCH(F$9,MMWR_RATING_STATE_ROLLUP_PMC[#Headers],0)),"ERROR"))</f>
        <v>68</v>
      </c>
      <c r="G38" s="154">
        <f>IF($B38=" ","",IFERROR(INDEX(MMWR_RATING_STATE_ROLLUP_PMC[],MATCH($B38,MMWR_RATING_STATE_ROLLUP_PMC[MMWR_RATING_STATE_ROLLUP_PMC],0),MATCH(G$9,MMWR_RATING_STATE_ROLLUP_PMC[#Headers],0)),"ERROR"))</f>
        <v>859</v>
      </c>
      <c r="H38" s="155">
        <f>IF($B38=" ","",IFERROR(INDEX(MMWR_RATING_STATE_ROLLUP_PMC[],MATCH($B38,MMWR_RATING_STATE_ROLLUP_PMC[MMWR_RATING_STATE_ROLLUP_PMC],0),MATCH(H$9,MMWR_RATING_STATE_ROLLUP_PMC[#Headers],0)),"ERROR"))</f>
        <v>106.5735294118</v>
      </c>
      <c r="I38" s="155">
        <f>IF($B38=" ","",IFERROR(INDEX(MMWR_RATING_STATE_ROLLUP_PMC[],MATCH($B38,MMWR_RATING_STATE_ROLLUP_PMC[MMWR_RATING_STATE_ROLLUP_PMC],0),MATCH(I$9,MMWR_RATING_STATE_ROLLUP_PMC[#Headers],0)),"ERROR"))</f>
        <v>92.316647264300002</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470</v>
      </c>
      <c r="D39" s="155">
        <f>IF($B39=" ","",IFERROR(INDEX(MMWR_RATING_STATE_ROLLUP_PMC[],MATCH($B39,MMWR_RATING_STATE_ROLLUP_PMC[MMWR_RATING_STATE_ROLLUP_PMC],0),MATCH(D$9,MMWR_RATING_STATE_ROLLUP_PMC[#Headers],0)),"ERROR"))</f>
        <v>70.914893617000004</v>
      </c>
      <c r="E39" s="156">
        <f>IF($B39=" ","",IFERROR(INDEX(MMWR_RATING_STATE_ROLLUP_PMC[],MATCH($B39,MMWR_RATING_STATE_ROLLUP_PMC[MMWR_RATING_STATE_ROLLUP_PMC],0),MATCH(E$9,MMWR_RATING_STATE_ROLLUP_PMC[#Headers],0))/$C39,"ERROR"))</f>
        <v>0.12553191489361701</v>
      </c>
      <c r="F39" s="154">
        <f>IF($B39=" ","",IFERROR(INDEX(MMWR_RATING_STATE_ROLLUP_PMC[],MATCH($B39,MMWR_RATING_STATE_ROLLUP_PMC[MMWR_RATING_STATE_ROLLUP_PMC],0),MATCH(F$9,MMWR_RATING_STATE_ROLLUP_PMC[#Headers],0)),"ERROR"))</f>
        <v>65</v>
      </c>
      <c r="G39" s="154">
        <f>IF($B39=" ","",IFERROR(INDEX(MMWR_RATING_STATE_ROLLUP_PMC[],MATCH($B39,MMWR_RATING_STATE_ROLLUP_PMC[MMWR_RATING_STATE_ROLLUP_PMC],0),MATCH(G$9,MMWR_RATING_STATE_ROLLUP_PMC[#Headers],0)),"ERROR"))</f>
        <v>818</v>
      </c>
      <c r="H39" s="155">
        <f>IF($B39=" ","",IFERROR(INDEX(MMWR_RATING_STATE_ROLLUP_PMC[],MATCH($B39,MMWR_RATING_STATE_ROLLUP_PMC[MMWR_RATING_STATE_ROLLUP_PMC],0),MATCH(H$9,MMWR_RATING_STATE_ROLLUP_PMC[#Headers],0)),"ERROR"))</f>
        <v>110.6307692308</v>
      </c>
      <c r="I39" s="155">
        <f>IF($B39=" ","",IFERROR(INDEX(MMWR_RATING_STATE_ROLLUP_PMC[],MATCH($B39,MMWR_RATING_STATE_ROLLUP_PMC[MMWR_RATING_STATE_ROLLUP_PMC],0),MATCH(I$9,MMWR_RATING_STATE_ROLLUP_PMC[#Headers],0)),"ERROR"))</f>
        <v>85.634474327600003</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110</v>
      </c>
      <c r="D40" s="155">
        <f>IF($B40=" ","",IFERROR(INDEX(MMWR_RATING_STATE_ROLLUP_PMC[],MATCH($B40,MMWR_RATING_STATE_ROLLUP_PMC[MMWR_RATING_STATE_ROLLUP_PMC],0),MATCH(D$9,MMWR_RATING_STATE_ROLLUP_PMC[#Headers],0)),"ERROR"))</f>
        <v>65.8</v>
      </c>
      <c r="E40" s="156">
        <f>IF($B40=" ","",IFERROR(INDEX(MMWR_RATING_STATE_ROLLUP_PMC[],MATCH($B40,MMWR_RATING_STATE_ROLLUP_PMC[MMWR_RATING_STATE_ROLLUP_PMC],0),MATCH(E$9,MMWR_RATING_STATE_ROLLUP_PMC[#Headers],0))/$C40,"ERROR"))</f>
        <v>0.1</v>
      </c>
      <c r="F40" s="154">
        <f>IF($B40=" ","",IFERROR(INDEX(MMWR_RATING_STATE_ROLLUP_PMC[],MATCH($B40,MMWR_RATING_STATE_ROLLUP_PMC[MMWR_RATING_STATE_ROLLUP_PMC],0),MATCH(F$9,MMWR_RATING_STATE_ROLLUP_PMC[#Headers],0)),"ERROR"))</f>
        <v>11</v>
      </c>
      <c r="G40" s="154">
        <f>IF($B40=" ","",IFERROR(INDEX(MMWR_RATING_STATE_ROLLUP_PMC[],MATCH($B40,MMWR_RATING_STATE_ROLLUP_PMC[MMWR_RATING_STATE_ROLLUP_PMC],0),MATCH(G$9,MMWR_RATING_STATE_ROLLUP_PMC[#Headers],0)),"ERROR"))</f>
        <v>191</v>
      </c>
      <c r="H40" s="155">
        <f>IF($B40=" ","",IFERROR(INDEX(MMWR_RATING_STATE_ROLLUP_PMC[],MATCH($B40,MMWR_RATING_STATE_ROLLUP_PMC[MMWR_RATING_STATE_ROLLUP_PMC],0),MATCH(H$9,MMWR_RATING_STATE_ROLLUP_PMC[#Headers],0)),"ERROR"))</f>
        <v>119.1818181818</v>
      </c>
      <c r="I40" s="155">
        <f>IF($B40=" ","",IFERROR(INDEX(MMWR_RATING_STATE_ROLLUP_PMC[],MATCH($B40,MMWR_RATING_STATE_ROLLUP_PMC[MMWR_RATING_STATE_ROLLUP_PMC],0),MATCH(I$9,MMWR_RATING_STATE_ROLLUP_PMC[#Headers],0)),"ERROR"))</f>
        <v>94.795811518299999</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510</v>
      </c>
      <c r="D41" s="155">
        <f>IF($B41=" ","",IFERROR(INDEX(MMWR_RATING_STATE_ROLLUP_PMC[],MATCH($B41,MMWR_RATING_STATE_ROLLUP_PMC[MMWR_RATING_STATE_ROLLUP_PMC],0),MATCH(D$9,MMWR_RATING_STATE_ROLLUP_PMC[#Headers],0)),"ERROR"))</f>
        <v>69.1568627451</v>
      </c>
      <c r="E41" s="156">
        <f>IF($B41=" ","",IFERROR(INDEX(MMWR_RATING_STATE_ROLLUP_PMC[],MATCH($B41,MMWR_RATING_STATE_ROLLUP_PMC[MMWR_RATING_STATE_ROLLUP_PMC],0),MATCH(E$9,MMWR_RATING_STATE_ROLLUP_PMC[#Headers],0))/$C41,"ERROR"))</f>
        <v>0.13137254901960785</v>
      </c>
      <c r="F41" s="154">
        <f>IF($B41=" ","",IFERROR(INDEX(MMWR_RATING_STATE_ROLLUP_PMC[],MATCH($B41,MMWR_RATING_STATE_ROLLUP_PMC[MMWR_RATING_STATE_ROLLUP_PMC],0),MATCH(F$9,MMWR_RATING_STATE_ROLLUP_PMC[#Headers],0)),"ERROR"))</f>
        <v>70</v>
      </c>
      <c r="G41" s="154">
        <f>IF($B41=" ","",IFERROR(INDEX(MMWR_RATING_STATE_ROLLUP_PMC[],MATCH($B41,MMWR_RATING_STATE_ROLLUP_PMC[MMWR_RATING_STATE_ROLLUP_PMC],0),MATCH(G$9,MMWR_RATING_STATE_ROLLUP_PMC[#Headers],0)),"ERROR"))</f>
        <v>885</v>
      </c>
      <c r="H41" s="155">
        <f>IF($B41=" ","",IFERROR(INDEX(MMWR_RATING_STATE_ROLLUP_PMC[],MATCH($B41,MMWR_RATING_STATE_ROLLUP_PMC[MMWR_RATING_STATE_ROLLUP_PMC],0),MATCH(H$9,MMWR_RATING_STATE_ROLLUP_PMC[#Headers],0)),"ERROR"))</f>
        <v>98.271428571399994</v>
      </c>
      <c r="I41" s="155">
        <f>IF($B41=" ","",IFERROR(INDEX(MMWR_RATING_STATE_ROLLUP_PMC[],MATCH($B41,MMWR_RATING_STATE_ROLLUP_PMC[MMWR_RATING_STATE_ROLLUP_PMC],0),MATCH(I$9,MMWR_RATING_STATE_ROLLUP_PMC[#Headers],0)),"ERROR"))</f>
        <v>90.903954802300007</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1274</v>
      </c>
      <c r="D42" s="155">
        <f>IF($B42=" ","",IFERROR(INDEX(MMWR_RATING_STATE_ROLLUP_PMC[],MATCH($B42,MMWR_RATING_STATE_ROLLUP_PMC[MMWR_RATING_STATE_ROLLUP_PMC],0),MATCH(D$9,MMWR_RATING_STATE_ROLLUP_PMC[#Headers],0)),"ERROR"))</f>
        <v>74.2715855573</v>
      </c>
      <c r="E42" s="156">
        <f>IF($B42=" ","",IFERROR(INDEX(MMWR_RATING_STATE_ROLLUP_PMC[],MATCH($B42,MMWR_RATING_STATE_ROLLUP_PMC[MMWR_RATING_STATE_ROLLUP_PMC],0),MATCH(E$9,MMWR_RATING_STATE_ROLLUP_PMC[#Headers],0))/$C42,"ERROR"))</f>
        <v>0.15070643642072212</v>
      </c>
      <c r="F42" s="154">
        <f>IF($B42=" ","",IFERROR(INDEX(MMWR_RATING_STATE_ROLLUP_PMC[],MATCH($B42,MMWR_RATING_STATE_ROLLUP_PMC[MMWR_RATING_STATE_ROLLUP_PMC],0),MATCH(F$9,MMWR_RATING_STATE_ROLLUP_PMC[#Headers],0)),"ERROR"))</f>
        <v>172</v>
      </c>
      <c r="G42" s="154">
        <f>IF($B42=" ","",IFERROR(INDEX(MMWR_RATING_STATE_ROLLUP_PMC[],MATCH($B42,MMWR_RATING_STATE_ROLLUP_PMC[MMWR_RATING_STATE_ROLLUP_PMC],0),MATCH(G$9,MMWR_RATING_STATE_ROLLUP_PMC[#Headers],0)),"ERROR"))</f>
        <v>2226</v>
      </c>
      <c r="H42" s="155">
        <f>IF($B42=" ","",IFERROR(INDEX(MMWR_RATING_STATE_ROLLUP_PMC[],MATCH($B42,MMWR_RATING_STATE_ROLLUP_PMC[MMWR_RATING_STATE_ROLLUP_PMC],0),MATCH(H$9,MMWR_RATING_STATE_ROLLUP_PMC[#Headers],0)),"ERROR"))</f>
        <v>105.7034883721</v>
      </c>
      <c r="I42" s="155">
        <f>IF($B42=" ","",IFERROR(INDEX(MMWR_RATING_STATE_ROLLUP_PMC[],MATCH($B42,MMWR_RATING_STATE_ROLLUP_PMC[MMWR_RATING_STATE_ROLLUP_PMC],0),MATCH(I$9,MMWR_RATING_STATE_ROLLUP_PMC[#Headers],0)),"ERROR"))</f>
        <v>93.097933513000001</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1407</v>
      </c>
      <c r="D43" s="155">
        <f>IF($B43=" ","",IFERROR(INDEX(MMWR_RATING_STATE_ROLLUP_PMC[],MATCH($B43,MMWR_RATING_STATE_ROLLUP_PMC[MMWR_RATING_STATE_ROLLUP_PMC],0),MATCH(D$9,MMWR_RATING_STATE_ROLLUP_PMC[#Headers],0)),"ERROR"))</f>
        <v>70.701492537299998</v>
      </c>
      <c r="E43" s="156">
        <f>IF($B43=" ","",IFERROR(INDEX(MMWR_RATING_STATE_ROLLUP_PMC[],MATCH($B43,MMWR_RATING_STATE_ROLLUP_PMC[MMWR_RATING_STATE_ROLLUP_PMC],0),MATCH(E$9,MMWR_RATING_STATE_ROLLUP_PMC[#Headers],0))/$C43,"ERROR"))</f>
        <v>0.13646055437100213</v>
      </c>
      <c r="F43" s="154">
        <f>IF($B43=" ","",IFERROR(INDEX(MMWR_RATING_STATE_ROLLUP_PMC[],MATCH($B43,MMWR_RATING_STATE_ROLLUP_PMC[MMWR_RATING_STATE_ROLLUP_PMC],0),MATCH(F$9,MMWR_RATING_STATE_ROLLUP_PMC[#Headers],0)),"ERROR"))</f>
        <v>195</v>
      </c>
      <c r="G43" s="154">
        <f>IF($B43=" ","",IFERROR(INDEX(MMWR_RATING_STATE_ROLLUP_PMC[],MATCH($B43,MMWR_RATING_STATE_ROLLUP_PMC[MMWR_RATING_STATE_ROLLUP_PMC],0),MATCH(G$9,MMWR_RATING_STATE_ROLLUP_PMC[#Headers],0)),"ERROR"))</f>
        <v>2210</v>
      </c>
      <c r="H43" s="155">
        <f>IF($B43=" ","",IFERROR(INDEX(MMWR_RATING_STATE_ROLLUP_PMC[],MATCH($B43,MMWR_RATING_STATE_ROLLUP_PMC[MMWR_RATING_STATE_ROLLUP_PMC],0),MATCH(H$9,MMWR_RATING_STATE_ROLLUP_PMC[#Headers],0)),"ERROR"))</f>
        <v>110.7282051282</v>
      </c>
      <c r="I43" s="155">
        <f>IF($B43=" ","",IFERROR(INDEX(MMWR_RATING_STATE_ROLLUP_PMC[],MATCH($B43,MMWR_RATING_STATE_ROLLUP_PMC[MMWR_RATING_STATE_ROLLUP_PMC],0),MATCH(I$9,MMWR_RATING_STATE_ROLLUP_PMC[#Headers],0)),"ERROR"))</f>
        <v>91.214027149299994</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1564</v>
      </c>
      <c r="D44" s="155">
        <f>IF($B44=" ","",IFERROR(INDEX(MMWR_RATING_STATE_ROLLUP_PMC[],MATCH($B44,MMWR_RATING_STATE_ROLLUP_PMC[MMWR_RATING_STATE_ROLLUP_PMC],0),MATCH(D$9,MMWR_RATING_STATE_ROLLUP_PMC[#Headers],0)),"ERROR"))</f>
        <v>71.398337595900003</v>
      </c>
      <c r="E44" s="156">
        <f>IF($B44=" ","",IFERROR(INDEX(MMWR_RATING_STATE_ROLLUP_PMC[],MATCH($B44,MMWR_RATING_STATE_ROLLUP_PMC[MMWR_RATING_STATE_ROLLUP_PMC],0),MATCH(E$9,MMWR_RATING_STATE_ROLLUP_PMC[#Headers],0))/$C44,"ERROR"))</f>
        <v>0.14450127877237851</v>
      </c>
      <c r="F44" s="154">
        <f>IF($B44=" ","",IFERROR(INDEX(MMWR_RATING_STATE_ROLLUP_PMC[],MATCH($B44,MMWR_RATING_STATE_ROLLUP_PMC[MMWR_RATING_STATE_ROLLUP_PMC],0),MATCH(F$9,MMWR_RATING_STATE_ROLLUP_PMC[#Headers],0)),"ERROR"))</f>
        <v>204</v>
      </c>
      <c r="G44" s="154">
        <f>IF($B44=" ","",IFERROR(INDEX(MMWR_RATING_STATE_ROLLUP_PMC[],MATCH($B44,MMWR_RATING_STATE_ROLLUP_PMC[MMWR_RATING_STATE_ROLLUP_PMC],0),MATCH(G$9,MMWR_RATING_STATE_ROLLUP_PMC[#Headers],0)),"ERROR"))</f>
        <v>2626</v>
      </c>
      <c r="H44" s="155">
        <f>IF($B44=" ","",IFERROR(INDEX(MMWR_RATING_STATE_ROLLUP_PMC[],MATCH($B44,MMWR_RATING_STATE_ROLLUP_PMC[MMWR_RATING_STATE_ROLLUP_PMC],0),MATCH(H$9,MMWR_RATING_STATE_ROLLUP_PMC[#Headers],0)),"ERROR"))</f>
        <v>101.89215686270001</v>
      </c>
      <c r="I44" s="155">
        <f>IF($B44=" ","",IFERROR(INDEX(MMWR_RATING_STATE_ROLLUP_PMC[],MATCH($B44,MMWR_RATING_STATE_ROLLUP_PMC[MMWR_RATING_STATE_ROLLUP_PMC],0),MATCH(I$9,MMWR_RATING_STATE_ROLLUP_PMC[#Headers],0)),"ERROR"))</f>
        <v>90.103579588700001</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103</v>
      </c>
      <c r="D45" s="155">
        <f>IF($B45=" ","",IFERROR(INDEX(MMWR_RATING_STATE_ROLLUP_PMC[],MATCH($B45,MMWR_RATING_STATE_ROLLUP_PMC[MMWR_RATING_STATE_ROLLUP_PMC],0),MATCH(D$9,MMWR_RATING_STATE_ROLLUP_PMC[#Headers],0)),"ERROR"))</f>
        <v>72.116504854400006</v>
      </c>
      <c r="E45" s="156">
        <f>IF($B45=" ","",IFERROR(INDEX(MMWR_RATING_STATE_ROLLUP_PMC[],MATCH($B45,MMWR_RATING_STATE_ROLLUP_PMC[MMWR_RATING_STATE_ROLLUP_PMC],0),MATCH(E$9,MMWR_RATING_STATE_ROLLUP_PMC[#Headers],0))/$C45,"ERROR"))</f>
        <v>0.13592233009708737</v>
      </c>
      <c r="F45" s="154">
        <f>IF($B45=" ","",IFERROR(INDEX(MMWR_RATING_STATE_ROLLUP_PMC[],MATCH($B45,MMWR_RATING_STATE_ROLLUP_PMC[MMWR_RATING_STATE_ROLLUP_PMC],0),MATCH(F$9,MMWR_RATING_STATE_ROLLUP_PMC[#Headers],0)),"ERROR"))</f>
        <v>15</v>
      </c>
      <c r="G45" s="154">
        <f>IF($B45=" ","",IFERROR(INDEX(MMWR_RATING_STATE_ROLLUP_PMC[],MATCH($B45,MMWR_RATING_STATE_ROLLUP_PMC[MMWR_RATING_STATE_ROLLUP_PMC],0),MATCH(G$9,MMWR_RATING_STATE_ROLLUP_PMC[#Headers],0)),"ERROR"))</f>
        <v>217</v>
      </c>
      <c r="H45" s="155">
        <f>IF($B45=" ","",IFERROR(INDEX(MMWR_RATING_STATE_ROLLUP_PMC[],MATCH($B45,MMWR_RATING_STATE_ROLLUP_PMC[MMWR_RATING_STATE_ROLLUP_PMC],0),MATCH(H$9,MMWR_RATING_STATE_ROLLUP_PMC[#Headers],0)),"ERROR"))</f>
        <v>82.866666666699999</v>
      </c>
      <c r="I45" s="155">
        <f>IF($B45=" ","",IFERROR(INDEX(MMWR_RATING_STATE_ROLLUP_PMC[],MATCH($B45,MMWR_RATING_STATE_ROLLUP_PMC[MMWR_RATING_STATE_ROLLUP_PMC],0),MATCH(I$9,MMWR_RATING_STATE_ROLLUP_PMC[#Headers],0)),"ERROR"))</f>
        <v>93.207373271899996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48</v>
      </c>
      <c r="D46" s="155">
        <f>IF($B46=" ","",IFERROR(INDEX(MMWR_RATING_STATE_ROLLUP_PMC[],MATCH($B46,MMWR_RATING_STATE_ROLLUP_PMC[MMWR_RATING_STATE_ROLLUP_PMC],0),MATCH(D$9,MMWR_RATING_STATE_ROLLUP_PMC[#Headers],0)),"ERROR"))</f>
        <v>75.395833333300004</v>
      </c>
      <c r="E46" s="156">
        <f>IF($B46=" ","",IFERROR(INDEX(MMWR_RATING_STATE_ROLLUP_PMC[],MATCH($B46,MMWR_RATING_STATE_ROLLUP_PMC[MMWR_RATING_STATE_ROLLUP_PMC],0),MATCH(E$9,MMWR_RATING_STATE_ROLLUP_PMC[#Headers],0))/$C46,"ERROR"))</f>
        <v>0.125</v>
      </c>
      <c r="F46" s="154">
        <f>IF($B46=" ","",IFERROR(INDEX(MMWR_RATING_STATE_ROLLUP_PMC[],MATCH($B46,MMWR_RATING_STATE_ROLLUP_PMC[MMWR_RATING_STATE_ROLLUP_PMC],0),MATCH(F$9,MMWR_RATING_STATE_ROLLUP_PMC[#Headers],0)),"ERROR"))</f>
        <v>6</v>
      </c>
      <c r="G46" s="154">
        <f>IF($B46=" ","",IFERROR(INDEX(MMWR_RATING_STATE_ROLLUP_PMC[],MATCH($B46,MMWR_RATING_STATE_ROLLUP_PMC[MMWR_RATING_STATE_ROLLUP_PMC],0),MATCH(G$9,MMWR_RATING_STATE_ROLLUP_PMC[#Headers],0)),"ERROR"))</f>
        <v>71</v>
      </c>
      <c r="H46" s="155">
        <f>IF($B46=" ","",IFERROR(INDEX(MMWR_RATING_STATE_ROLLUP_PMC[],MATCH($B46,MMWR_RATING_STATE_ROLLUP_PMC[MMWR_RATING_STATE_ROLLUP_PMC],0),MATCH(H$9,MMWR_RATING_STATE_ROLLUP_PMC[#Headers],0)),"ERROR"))</f>
        <v>83.5</v>
      </c>
      <c r="I46" s="155">
        <f>IF($B46=" ","",IFERROR(INDEX(MMWR_RATING_STATE_ROLLUP_PMC[],MATCH($B46,MMWR_RATING_STATE_ROLLUP_PMC[MMWR_RATING_STATE_ROLLUP_PMC],0),MATCH(I$9,MMWR_RATING_STATE_ROLLUP_PMC[#Headers],0)),"ERROR"))</f>
        <v>93.690140845100004</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781</v>
      </c>
      <c r="D47" s="155">
        <f>IF($B47=" ","",IFERROR(INDEX(MMWR_RATING_STATE_ROLLUP_PMC[],MATCH($B47,MMWR_RATING_STATE_ROLLUP_PMC[MMWR_RATING_STATE_ROLLUP_PMC],0),MATCH(D$9,MMWR_RATING_STATE_ROLLUP_PMC[#Headers],0)),"ERROR"))</f>
        <v>72.317541613299994</v>
      </c>
      <c r="E47" s="156">
        <f>IF($B47=" ","",IFERROR(INDEX(MMWR_RATING_STATE_ROLLUP_PMC[],MATCH($B47,MMWR_RATING_STATE_ROLLUP_PMC[MMWR_RATING_STATE_ROLLUP_PMC],0),MATCH(E$9,MMWR_RATING_STATE_ROLLUP_PMC[#Headers],0))/$C47,"ERROR"))</f>
        <v>0.16901408450704225</v>
      </c>
      <c r="F47" s="154">
        <f>IF($B47=" ","",IFERROR(INDEX(MMWR_RATING_STATE_ROLLUP_PMC[],MATCH($B47,MMWR_RATING_STATE_ROLLUP_PMC[MMWR_RATING_STATE_ROLLUP_PMC],0),MATCH(F$9,MMWR_RATING_STATE_ROLLUP_PMC[#Headers],0)),"ERROR"))</f>
        <v>109</v>
      </c>
      <c r="G47" s="154">
        <f>IF($B47=" ","",IFERROR(INDEX(MMWR_RATING_STATE_ROLLUP_PMC[],MATCH($B47,MMWR_RATING_STATE_ROLLUP_PMC[MMWR_RATING_STATE_ROLLUP_PMC],0),MATCH(G$9,MMWR_RATING_STATE_ROLLUP_PMC[#Headers],0)),"ERROR"))</f>
        <v>1428</v>
      </c>
      <c r="H47" s="155">
        <f>IF($B47=" ","",IFERROR(INDEX(MMWR_RATING_STATE_ROLLUP_PMC[],MATCH($B47,MMWR_RATING_STATE_ROLLUP_PMC[MMWR_RATING_STATE_ROLLUP_PMC],0),MATCH(H$9,MMWR_RATING_STATE_ROLLUP_PMC[#Headers],0)),"ERROR"))</f>
        <v>113.623853211</v>
      </c>
      <c r="I47" s="155">
        <f>IF($B47=" ","",IFERROR(INDEX(MMWR_RATING_STATE_ROLLUP_PMC[],MATCH($B47,MMWR_RATING_STATE_ROLLUP_PMC[MMWR_RATING_STATE_ROLLUP_PMC],0),MATCH(I$9,MMWR_RATING_STATE_ROLLUP_PMC[#Headers],0)),"ERROR"))</f>
        <v>98.226190476200003</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264</v>
      </c>
      <c r="D48" s="155">
        <f>IF($B48=" ","",IFERROR(INDEX(MMWR_RATING_STATE_ROLLUP_PMC[],MATCH($B48,MMWR_RATING_STATE_ROLLUP_PMC[MMWR_RATING_STATE_ROLLUP_PMC],0),MATCH(D$9,MMWR_RATING_STATE_ROLLUP_PMC[#Headers],0)),"ERROR"))</f>
        <v>76.477272727300004</v>
      </c>
      <c r="E48" s="156">
        <f>IF($B48=" ","",IFERROR(INDEX(MMWR_RATING_STATE_ROLLUP_PMC[],MATCH($B48,MMWR_RATING_STATE_ROLLUP_PMC[MMWR_RATING_STATE_ROLLUP_PMC],0),MATCH(E$9,MMWR_RATING_STATE_ROLLUP_PMC[#Headers],0))/$C48,"ERROR"))</f>
        <v>0.15909090909090909</v>
      </c>
      <c r="F48" s="154">
        <f>IF($B48=" ","",IFERROR(INDEX(MMWR_RATING_STATE_ROLLUP_PMC[],MATCH($B48,MMWR_RATING_STATE_ROLLUP_PMC[MMWR_RATING_STATE_ROLLUP_PMC],0),MATCH(F$9,MMWR_RATING_STATE_ROLLUP_PMC[#Headers],0)),"ERROR"))</f>
        <v>26</v>
      </c>
      <c r="G48" s="154">
        <f>IF($B48=" ","",IFERROR(INDEX(MMWR_RATING_STATE_ROLLUP_PMC[],MATCH($B48,MMWR_RATING_STATE_ROLLUP_PMC[MMWR_RATING_STATE_ROLLUP_PMC],0),MATCH(G$9,MMWR_RATING_STATE_ROLLUP_PMC[#Headers],0)),"ERROR"))</f>
        <v>468</v>
      </c>
      <c r="H48" s="155">
        <f>IF($B48=" ","",IFERROR(INDEX(MMWR_RATING_STATE_ROLLUP_PMC[],MATCH($B48,MMWR_RATING_STATE_ROLLUP_PMC[MMWR_RATING_STATE_ROLLUP_PMC],0),MATCH(H$9,MMWR_RATING_STATE_ROLLUP_PMC[#Headers],0)),"ERROR"))</f>
        <v>116.1153846154</v>
      </c>
      <c r="I48" s="155">
        <f>IF($B48=" ","",IFERROR(INDEX(MMWR_RATING_STATE_ROLLUP_PMC[],MATCH($B48,MMWR_RATING_STATE_ROLLUP_PMC[MMWR_RATING_STATE_ROLLUP_PMC],0),MATCH(I$9,MMWR_RATING_STATE_ROLLUP_PMC[#Headers],0)),"ERROR"))</f>
        <v>93.376068376099994</v>
      </c>
      <c r="J48" s="42"/>
      <c r="K48" s="42"/>
      <c r="L48" s="42"/>
      <c r="M48" s="42"/>
      <c r="N48" s="28"/>
    </row>
    <row r="49" spans="1:14" x14ac:dyDescent="0.2">
      <c r="A49" s="25"/>
      <c r="B49" s="377" t="s">
        <v>1040</v>
      </c>
      <c r="C49" s="378"/>
      <c r="D49" s="378"/>
      <c r="E49" s="378"/>
      <c r="F49" s="378"/>
      <c r="G49" s="378"/>
      <c r="H49" s="378"/>
      <c r="I49" s="378"/>
      <c r="J49" s="378"/>
      <c r="K49" s="378"/>
      <c r="L49" s="378"/>
      <c r="M49" s="387"/>
      <c r="N49" s="28"/>
    </row>
    <row r="50" spans="1:14" x14ac:dyDescent="0.2">
      <c r="A50" s="25"/>
      <c r="B50" s="41" t="s">
        <v>1039</v>
      </c>
      <c r="C50" s="154">
        <f>IF($B50=" ","",IFERROR(INDEX(MMWR_RATING_STATE_ROLLUP_QST[],MATCH($B50,MMWR_RATING_STATE_ROLLUP_QST[MMWR_RATING_STATE_ROLLUP_QST],0),MATCH(C$9,MMWR_RATING_STATE_ROLLUP_QST[#Headers],0)),"ERROR"))</f>
        <v>9491</v>
      </c>
      <c r="D50" s="155">
        <f>IF($B50=" ","",IFERROR(INDEX(MMWR_RATING_STATE_ROLLUP_QST[],MATCH($B50,MMWR_RATING_STATE_ROLLUP_QST[MMWR_RATING_STATE_ROLLUP_QST],0),MATCH(D$9,MMWR_RATING_STATE_ROLLUP_QST[#Headers],0)),"ERROR"))</f>
        <v>89.785902433900006</v>
      </c>
      <c r="E50" s="156">
        <f>IF($B50=" ","",IFERROR(INDEX(MMWR_RATING_STATE_ROLLUP_QST[],MATCH($B50,MMWR_RATING_STATE_ROLLUP_QST[MMWR_RATING_STATE_ROLLUP_QST],0),MATCH(E$9,MMWR_RATING_STATE_ROLLUP_QST[#Headers],0))/$C50,"ERROR"))</f>
        <v>0.29101253819407857</v>
      </c>
      <c r="F50" s="154">
        <f>IF($B50=" ","",IFERROR(INDEX(MMWR_RATING_STATE_ROLLUP_QST[],MATCH($B50,MMWR_RATING_STATE_ROLLUP_QST[MMWR_RATING_STATE_ROLLUP_QST],0),MATCH(F$9,MMWR_RATING_STATE_ROLLUP_QST[#Headers],0)),"ERROR"))</f>
        <v>1314</v>
      </c>
      <c r="G50" s="154">
        <f>IF($B50=" ","",IFERROR(INDEX(MMWR_RATING_STATE_ROLLUP_QST[],MATCH($B50,MMWR_RATING_STATE_ROLLUP_QST[MMWR_RATING_STATE_ROLLUP_QST],0),MATCH(G$9,MMWR_RATING_STATE_ROLLUP_QST[#Headers],0)),"ERROR"))</f>
        <v>9968</v>
      </c>
      <c r="H50" s="155">
        <f>IF($B50=" ","",IFERROR(INDEX(MMWR_RATING_STATE_ROLLUP_QST[],MATCH($B50,MMWR_RATING_STATE_ROLLUP_QST[MMWR_RATING_STATE_ROLLUP_QST],0),MATCH(H$9,MMWR_RATING_STATE_ROLLUP_QST[#Headers],0)),"ERROR"))</f>
        <v>146.95662100460001</v>
      </c>
      <c r="I50" s="155">
        <f>IF($B50=" ","",IFERROR(INDEX(MMWR_RATING_STATE_ROLLUP_QST[],MATCH($B50,MMWR_RATING_STATE_ROLLUP_QST[MMWR_RATING_STATE_ROLLUP_QST],0),MATCH(I$9,MMWR_RATING_STATE_ROLLUP_QST[#Headers],0)),"ERROR"))</f>
        <v>147.1851926164</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2141</v>
      </c>
      <c r="D51" s="155">
        <f>IF($B51=" ","",IFERROR(INDEX(MMWR_RATING_STATE_ROLLUP_QST[],MATCH($B51,MMWR_RATING_STATE_ROLLUP_QST[MMWR_RATING_STATE_ROLLUP_QST],0),MATCH(D$9,MMWR_RATING_STATE_ROLLUP_QST[#Headers],0)),"ERROR"))</f>
        <v>94.170014012099998</v>
      </c>
      <c r="E51" s="156">
        <f>IF($B51=" ","",IFERROR(INDEX(MMWR_RATING_STATE_ROLLUP_QST[],MATCH($B51,MMWR_RATING_STATE_ROLLUP_QST[MMWR_RATING_STATE_ROLLUP_QST],0),MATCH(E$9,MMWR_RATING_STATE_ROLLUP_QST[#Headers],0))/$C51,"ERROR"))</f>
        <v>0.32321345165810367</v>
      </c>
      <c r="F51" s="154">
        <f>IF($B51=" ","",IFERROR(INDEX(MMWR_RATING_STATE_ROLLUP_QST[],MATCH($B51,MMWR_RATING_STATE_ROLLUP_QST[MMWR_RATING_STATE_ROLLUP_QST],0),MATCH(F$9,MMWR_RATING_STATE_ROLLUP_QST[#Headers],0)),"ERROR"))</f>
        <v>316</v>
      </c>
      <c r="G51" s="154">
        <f>IF($B51=" ","",IFERROR(INDEX(MMWR_RATING_STATE_ROLLUP_QST[],MATCH($B51,MMWR_RATING_STATE_ROLLUP_QST[MMWR_RATING_STATE_ROLLUP_QST],0),MATCH(G$9,MMWR_RATING_STATE_ROLLUP_QST[#Headers],0)),"ERROR"))</f>
        <v>2260</v>
      </c>
      <c r="H51" s="155">
        <f>IF($B51=" ","",IFERROR(INDEX(MMWR_RATING_STATE_ROLLUP_QST[],MATCH($B51,MMWR_RATING_STATE_ROLLUP_QST[MMWR_RATING_STATE_ROLLUP_QST],0),MATCH(H$9,MMWR_RATING_STATE_ROLLUP_QST[#Headers],0)),"ERROR"))</f>
        <v>152.6234177215</v>
      </c>
      <c r="I51" s="155">
        <f>IF($B51=" ","",IFERROR(INDEX(MMWR_RATING_STATE_ROLLUP_QST[],MATCH($B51,MMWR_RATING_STATE_ROLLUP_QST[MMWR_RATING_STATE_ROLLUP_QST],0),MATCH(I$9,MMWR_RATING_STATE_ROLLUP_QST[#Headers],0)),"ERROR"))</f>
        <v>153.15973451330001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49</v>
      </c>
      <c r="D52" s="155">
        <f>IF($B52=" ","",IFERROR(INDEX(MMWR_RATING_STATE_ROLLUP_QST[],MATCH($B52,MMWR_RATING_STATE_ROLLUP_QST[MMWR_RATING_STATE_ROLLUP_QST],0),MATCH(D$9,MMWR_RATING_STATE_ROLLUP_QST[#Headers],0)),"ERROR"))</f>
        <v>85</v>
      </c>
      <c r="E52" s="156">
        <f>IF($B52=" ","",IFERROR(INDEX(MMWR_RATING_STATE_ROLLUP_QST[],MATCH($B52,MMWR_RATING_STATE_ROLLUP_QST[MMWR_RATING_STATE_ROLLUP_QST],0),MATCH(E$9,MMWR_RATING_STATE_ROLLUP_QST[#Headers],0))/$C52,"ERROR"))</f>
        <v>0.32653061224489793</v>
      </c>
      <c r="F52" s="154">
        <f>IF($B52=" ","",IFERROR(INDEX(MMWR_RATING_STATE_ROLLUP_QST[],MATCH($B52,MMWR_RATING_STATE_ROLLUP_QST[MMWR_RATING_STATE_ROLLUP_QST],0),MATCH(F$9,MMWR_RATING_STATE_ROLLUP_QST[#Headers],0)),"ERROR"))</f>
        <v>7</v>
      </c>
      <c r="G52" s="154">
        <f>IF($B52=" ","",IFERROR(INDEX(MMWR_RATING_STATE_ROLLUP_QST[],MATCH($B52,MMWR_RATING_STATE_ROLLUP_QST[MMWR_RATING_STATE_ROLLUP_QST],0),MATCH(G$9,MMWR_RATING_STATE_ROLLUP_QST[#Headers],0)),"ERROR"))</f>
        <v>60</v>
      </c>
      <c r="H52" s="155">
        <f>IF($B52=" ","",IFERROR(INDEX(MMWR_RATING_STATE_ROLLUP_QST[],MATCH($B52,MMWR_RATING_STATE_ROLLUP_QST[MMWR_RATING_STATE_ROLLUP_QST],0),MATCH(H$9,MMWR_RATING_STATE_ROLLUP_QST[#Headers],0)),"ERROR"))</f>
        <v>155.71428571429999</v>
      </c>
      <c r="I52" s="155">
        <f>IF($B52=" ","",IFERROR(INDEX(MMWR_RATING_STATE_ROLLUP_QST[],MATCH($B52,MMWR_RATING_STATE_ROLLUP_QST[MMWR_RATING_STATE_ROLLUP_QST],0),MATCH(I$9,MMWR_RATING_STATE_ROLLUP_QST[#Headers],0)),"ERROR"))</f>
        <v>140.44999999999999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19</v>
      </c>
      <c r="D53" s="155">
        <f>IF($B53=" ","",IFERROR(INDEX(MMWR_RATING_STATE_ROLLUP_QST[],MATCH($B53,MMWR_RATING_STATE_ROLLUP_QST[MMWR_RATING_STATE_ROLLUP_QST],0),MATCH(D$9,MMWR_RATING_STATE_ROLLUP_QST[#Headers],0)),"ERROR"))</f>
        <v>106.3684210526</v>
      </c>
      <c r="E53" s="156">
        <f>IF($B53=" ","",IFERROR(INDEX(MMWR_RATING_STATE_ROLLUP_QST[],MATCH($B53,MMWR_RATING_STATE_ROLLUP_QST[MMWR_RATING_STATE_ROLLUP_QST],0),MATCH(E$9,MMWR_RATING_STATE_ROLLUP_QST[#Headers],0))/$C53,"ERROR"))</f>
        <v>0.36842105263157893</v>
      </c>
      <c r="F53" s="154">
        <f>IF($B53=" ","",IFERROR(INDEX(MMWR_RATING_STATE_ROLLUP_QST[],MATCH($B53,MMWR_RATING_STATE_ROLLUP_QST[MMWR_RATING_STATE_ROLLUP_QST],0),MATCH(F$9,MMWR_RATING_STATE_ROLLUP_QST[#Headers],0)),"ERROR"))</f>
        <v>0</v>
      </c>
      <c r="G53" s="154">
        <f>IF($B53=" ","",IFERROR(INDEX(MMWR_RATING_STATE_ROLLUP_QST[],MATCH($B53,MMWR_RATING_STATE_ROLLUP_QST[MMWR_RATING_STATE_ROLLUP_QST],0),MATCH(G$9,MMWR_RATING_STATE_ROLLUP_QST[#Headers],0)),"ERROR"))</f>
        <v>18</v>
      </c>
      <c r="H53" s="155">
        <f>IF($B53=" ","",IFERROR(INDEX(MMWR_RATING_STATE_ROLLUP_QST[],MATCH($B53,MMWR_RATING_STATE_ROLLUP_QST[MMWR_RATING_STATE_ROLLUP_QST],0),MATCH(H$9,MMWR_RATING_STATE_ROLLUP_QST[#Headers],0)),"ERROR"))</f>
        <v>0</v>
      </c>
      <c r="I53" s="155">
        <f>IF($B53=" ","",IFERROR(INDEX(MMWR_RATING_STATE_ROLLUP_QST[],MATCH($B53,MMWR_RATING_STATE_ROLLUP_QST[MMWR_RATING_STATE_ROLLUP_QST],0),MATCH(I$9,MMWR_RATING_STATE_ROLLUP_QST[#Headers],0)),"ERROR"))</f>
        <v>141</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21</v>
      </c>
      <c r="D54" s="155">
        <f>IF($B54=" ","",IFERROR(INDEX(MMWR_RATING_STATE_ROLLUP_QST[],MATCH($B54,MMWR_RATING_STATE_ROLLUP_QST[MMWR_RATING_STATE_ROLLUP_QST],0),MATCH(D$9,MMWR_RATING_STATE_ROLLUP_QST[#Headers],0)),"ERROR"))</f>
        <v>109.2857142857</v>
      </c>
      <c r="E54" s="156">
        <f>IF($B54=" ","",IFERROR(INDEX(MMWR_RATING_STATE_ROLLUP_QST[],MATCH($B54,MMWR_RATING_STATE_ROLLUP_QST[MMWR_RATING_STATE_ROLLUP_QST],0),MATCH(E$9,MMWR_RATING_STATE_ROLLUP_QST[#Headers],0))/$C54,"ERROR"))</f>
        <v>0.38095238095238093</v>
      </c>
      <c r="F54" s="154">
        <f>IF($B54=" ","",IFERROR(INDEX(MMWR_RATING_STATE_ROLLUP_QST[],MATCH($B54,MMWR_RATING_STATE_ROLLUP_QST[MMWR_RATING_STATE_ROLLUP_QST],0),MATCH(F$9,MMWR_RATING_STATE_ROLLUP_QST[#Headers],0)),"ERROR"))</f>
        <v>2</v>
      </c>
      <c r="G54" s="154">
        <f>IF($B54=" ","",IFERROR(INDEX(MMWR_RATING_STATE_ROLLUP_QST[],MATCH($B54,MMWR_RATING_STATE_ROLLUP_QST[MMWR_RATING_STATE_ROLLUP_QST],0),MATCH(G$9,MMWR_RATING_STATE_ROLLUP_QST[#Headers],0)),"ERROR"))</f>
        <v>17</v>
      </c>
      <c r="H54" s="155">
        <f>IF($B54=" ","",IFERROR(INDEX(MMWR_RATING_STATE_ROLLUP_QST[],MATCH($B54,MMWR_RATING_STATE_ROLLUP_QST[MMWR_RATING_STATE_ROLLUP_QST],0),MATCH(H$9,MMWR_RATING_STATE_ROLLUP_QST[#Headers],0)),"ERROR"))</f>
        <v>173</v>
      </c>
      <c r="I54" s="155">
        <f>IF($B54=" ","",IFERROR(INDEX(MMWR_RATING_STATE_ROLLUP_QST[],MATCH($B54,MMWR_RATING_STATE_ROLLUP_QST[MMWR_RATING_STATE_ROLLUP_QST],0),MATCH(I$9,MMWR_RATING_STATE_ROLLUP_QST[#Headers],0)),"ERROR"))</f>
        <v>161.5294117647</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20</v>
      </c>
      <c r="D55" s="155">
        <f>IF($B55=" ","",IFERROR(INDEX(MMWR_RATING_STATE_ROLLUP_QST[],MATCH($B55,MMWR_RATING_STATE_ROLLUP_QST[MMWR_RATING_STATE_ROLLUP_QST],0),MATCH(D$9,MMWR_RATING_STATE_ROLLUP_QST[#Headers],0)),"ERROR"))</f>
        <v>101.75</v>
      </c>
      <c r="E55" s="156">
        <f>IF($B55=" ","",IFERROR(INDEX(MMWR_RATING_STATE_ROLLUP_QST[],MATCH($B55,MMWR_RATING_STATE_ROLLUP_QST[MMWR_RATING_STATE_ROLLUP_QST],0),MATCH(E$9,MMWR_RATING_STATE_ROLLUP_QST[#Headers],0))/$C55,"ERROR"))</f>
        <v>0.5</v>
      </c>
      <c r="F55" s="154">
        <f>IF($B55=" ","",IFERROR(INDEX(MMWR_RATING_STATE_ROLLUP_QST[],MATCH($B55,MMWR_RATING_STATE_ROLLUP_QST[MMWR_RATING_STATE_ROLLUP_QST],0),MATCH(F$9,MMWR_RATING_STATE_ROLLUP_QST[#Headers],0)),"ERROR"))</f>
        <v>7</v>
      </c>
      <c r="G55" s="154">
        <f>IF($B55=" ","",IFERROR(INDEX(MMWR_RATING_STATE_ROLLUP_QST[],MATCH($B55,MMWR_RATING_STATE_ROLLUP_QST[MMWR_RATING_STATE_ROLLUP_QST],0),MATCH(G$9,MMWR_RATING_STATE_ROLLUP_QST[#Headers],0)),"ERROR"))</f>
        <v>26</v>
      </c>
      <c r="H55" s="155">
        <f>IF($B55=" ","",IFERROR(INDEX(MMWR_RATING_STATE_ROLLUP_QST[],MATCH($B55,MMWR_RATING_STATE_ROLLUP_QST[MMWR_RATING_STATE_ROLLUP_QST],0),MATCH(H$9,MMWR_RATING_STATE_ROLLUP_QST[#Headers],0)),"ERROR"))</f>
        <v>136.42857142860001</v>
      </c>
      <c r="I55" s="155">
        <f>IF($B55=" ","",IFERROR(INDEX(MMWR_RATING_STATE_ROLLUP_QST[],MATCH($B55,MMWR_RATING_STATE_ROLLUP_QST[MMWR_RATING_STATE_ROLLUP_QST],0),MATCH(I$9,MMWR_RATING_STATE_ROLLUP_QST[#Headers],0)),"ERROR"))</f>
        <v>150.5</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218</v>
      </c>
      <c r="D56" s="155">
        <f>IF($B56=" ","",IFERROR(INDEX(MMWR_RATING_STATE_ROLLUP_QST[],MATCH($B56,MMWR_RATING_STATE_ROLLUP_QST[MMWR_RATING_STATE_ROLLUP_QST],0),MATCH(D$9,MMWR_RATING_STATE_ROLLUP_QST[#Headers],0)),"ERROR"))</f>
        <v>88.807339449500006</v>
      </c>
      <c r="E56" s="156">
        <f>IF($B56=" ","",IFERROR(INDEX(MMWR_RATING_STATE_ROLLUP_QST[],MATCH($B56,MMWR_RATING_STATE_ROLLUP_QST[MMWR_RATING_STATE_ROLLUP_QST],0),MATCH(E$9,MMWR_RATING_STATE_ROLLUP_QST[#Headers],0))/$C56,"ERROR"))</f>
        <v>0.29816513761467889</v>
      </c>
      <c r="F56" s="154">
        <f>IF($B56=" ","",IFERROR(INDEX(MMWR_RATING_STATE_ROLLUP_QST[],MATCH($B56,MMWR_RATING_STATE_ROLLUP_QST[MMWR_RATING_STATE_ROLLUP_QST],0),MATCH(F$9,MMWR_RATING_STATE_ROLLUP_QST[#Headers],0)),"ERROR"))</f>
        <v>33</v>
      </c>
      <c r="G56" s="154">
        <f>IF($B56=" ","",IFERROR(INDEX(MMWR_RATING_STATE_ROLLUP_QST[],MATCH($B56,MMWR_RATING_STATE_ROLLUP_QST[MMWR_RATING_STATE_ROLLUP_QST],0),MATCH(G$9,MMWR_RATING_STATE_ROLLUP_QST[#Headers],0)),"ERROR"))</f>
        <v>257</v>
      </c>
      <c r="H56" s="155">
        <f>IF($B56=" ","",IFERROR(INDEX(MMWR_RATING_STATE_ROLLUP_QST[],MATCH($B56,MMWR_RATING_STATE_ROLLUP_QST[MMWR_RATING_STATE_ROLLUP_QST],0),MATCH(H$9,MMWR_RATING_STATE_ROLLUP_QST[#Headers],0)),"ERROR"))</f>
        <v>149.69696969699999</v>
      </c>
      <c r="I56" s="155">
        <f>IF($B56=" ","",IFERROR(INDEX(MMWR_RATING_STATE_ROLLUP_QST[],MATCH($B56,MMWR_RATING_STATE_ROLLUP_QST[MMWR_RATING_STATE_ROLLUP_QST],0),MATCH(I$9,MMWR_RATING_STATE_ROLLUP_QST[#Headers],0)),"ERROR"))</f>
        <v>152.3190661479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65</v>
      </c>
      <c r="D57" s="155">
        <f>IF($B57=" ","",IFERROR(INDEX(MMWR_RATING_STATE_ROLLUP_QST[],MATCH($B57,MMWR_RATING_STATE_ROLLUP_QST[MMWR_RATING_STATE_ROLLUP_QST],0),MATCH(D$9,MMWR_RATING_STATE_ROLLUP_QST[#Headers],0)),"ERROR"))</f>
        <v>98.523076923100007</v>
      </c>
      <c r="E57" s="156">
        <f>IF($B57=" ","",IFERROR(INDEX(MMWR_RATING_STATE_ROLLUP_QST[],MATCH($B57,MMWR_RATING_STATE_ROLLUP_QST[MMWR_RATING_STATE_ROLLUP_QST],0),MATCH(E$9,MMWR_RATING_STATE_ROLLUP_QST[#Headers],0))/$C57,"ERROR"))</f>
        <v>0.30769230769230771</v>
      </c>
      <c r="F57" s="154">
        <f>IF($B57=" ","",IFERROR(INDEX(MMWR_RATING_STATE_ROLLUP_QST[],MATCH($B57,MMWR_RATING_STATE_ROLLUP_QST[MMWR_RATING_STATE_ROLLUP_QST],0),MATCH(F$9,MMWR_RATING_STATE_ROLLUP_QST[#Headers],0)),"ERROR"))</f>
        <v>11</v>
      </c>
      <c r="G57" s="154">
        <f>IF($B57=" ","",IFERROR(INDEX(MMWR_RATING_STATE_ROLLUP_QST[],MATCH($B57,MMWR_RATING_STATE_ROLLUP_QST[MMWR_RATING_STATE_ROLLUP_QST],0),MATCH(G$9,MMWR_RATING_STATE_ROLLUP_QST[#Headers],0)),"ERROR"))</f>
        <v>105</v>
      </c>
      <c r="H57" s="155">
        <f>IF($B57=" ","",IFERROR(INDEX(MMWR_RATING_STATE_ROLLUP_QST[],MATCH($B57,MMWR_RATING_STATE_ROLLUP_QST[MMWR_RATING_STATE_ROLLUP_QST],0),MATCH(H$9,MMWR_RATING_STATE_ROLLUP_QST[#Headers],0)),"ERROR"))</f>
        <v>198.54545454550001</v>
      </c>
      <c r="I57" s="155">
        <f>IF($B57=" ","",IFERROR(INDEX(MMWR_RATING_STATE_ROLLUP_QST[],MATCH($B57,MMWR_RATING_STATE_ROLLUP_QST[MMWR_RATING_STATE_ROLLUP_QST],0),MATCH(I$9,MMWR_RATING_STATE_ROLLUP_QST[#Headers],0)),"ERROR"))</f>
        <v>146.91428571430001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25</v>
      </c>
      <c r="D58" s="155">
        <f>IF($B58=" ","",IFERROR(INDEX(MMWR_RATING_STATE_ROLLUP_QST[],MATCH($B58,MMWR_RATING_STATE_ROLLUP_QST[MMWR_RATING_STATE_ROLLUP_QST],0),MATCH(D$9,MMWR_RATING_STATE_ROLLUP_QST[#Headers],0)),"ERROR"))</f>
        <v>105.68</v>
      </c>
      <c r="E58" s="156">
        <f>IF($B58=" ","",IFERROR(INDEX(MMWR_RATING_STATE_ROLLUP_QST[],MATCH($B58,MMWR_RATING_STATE_ROLLUP_QST[MMWR_RATING_STATE_ROLLUP_QST],0),MATCH(E$9,MMWR_RATING_STATE_ROLLUP_QST[#Headers],0))/$C58,"ERROR"))</f>
        <v>0.36</v>
      </c>
      <c r="F58" s="154">
        <f>IF($B58=" ","",IFERROR(INDEX(MMWR_RATING_STATE_ROLLUP_QST[],MATCH($B58,MMWR_RATING_STATE_ROLLUP_QST[MMWR_RATING_STATE_ROLLUP_QST],0),MATCH(F$9,MMWR_RATING_STATE_ROLLUP_QST[#Headers],0)),"ERROR"))</f>
        <v>2</v>
      </c>
      <c r="G58" s="154">
        <f>IF($B58=" ","",IFERROR(INDEX(MMWR_RATING_STATE_ROLLUP_QST[],MATCH($B58,MMWR_RATING_STATE_ROLLUP_QST[MMWR_RATING_STATE_ROLLUP_QST],0),MATCH(G$9,MMWR_RATING_STATE_ROLLUP_QST[#Headers],0)),"ERROR"))</f>
        <v>20</v>
      </c>
      <c r="H58" s="155">
        <f>IF($B58=" ","",IFERROR(INDEX(MMWR_RATING_STATE_ROLLUP_QST[],MATCH($B58,MMWR_RATING_STATE_ROLLUP_QST[MMWR_RATING_STATE_ROLLUP_QST],0),MATCH(H$9,MMWR_RATING_STATE_ROLLUP_QST[#Headers],0)),"ERROR"))</f>
        <v>139.5</v>
      </c>
      <c r="I58" s="155">
        <f>IF($B58=" ","",IFERROR(INDEX(MMWR_RATING_STATE_ROLLUP_QST[],MATCH($B58,MMWR_RATING_STATE_ROLLUP_QST[MMWR_RATING_STATE_ROLLUP_QST],0),MATCH(I$9,MMWR_RATING_STATE_ROLLUP_QST[#Headers],0)),"ERROR"))</f>
        <v>149.44999999999999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111</v>
      </c>
      <c r="D59" s="155">
        <f>IF($B59=" ","",IFERROR(INDEX(MMWR_RATING_STATE_ROLLUP_QST[],MATCH($B59,MMWR_RATING_STATE_ROLLUP_QST[MMWR_RATING_STATE_ROLLUP_QST],0),MATCH(D$9,MMWR_RATING_STATE_ROLLUP_QST[#Headers],0)),"ERROR"))</f>
        <v>95.567567567599994</v>
      </c>
      <c r="E59" s="156">
        <f>IF($B59=" ","",IFERROR(INDEX(MMWR_RATING_STATE_ROLLUP_QST[],MATCH($B59,MMWR_RATING_STATE_ROLLUP_QST[MMWR_RATING_STATE_ROLLUP_QST],0),MATCH(E$9,MMWR_RATING_STATE_ROLLUP_QST[#Headers],0))/$C59,"ERROR"))</f>
        <v>0.28828828828828829</v>
      </c>
      <c r="F59" s="154">
        <f>IF($B59=" ","",IFERROR(INDEX(MMWR_RATING_STATE_ROLLUP_QST[],MATCH($B59,MMWR_RATING_STATE_ROLLUP_QST[MMWR_RATING_STATE_ROLLUP_QST],0),MATCH(F$9,MMWR_RATING_STATE_ROLLUP_QST[#Headers],0)),"ERROR"))</f>
        <v>15</v>
      </c>
      <c r="G59" s="154">
        <f>IF($B59=" ","",IFERROR(INDEX(MMWR_RATING_STATE_ROLLUP_QST[],MATCH($B59,MMWR_RATING_STATE_ROLLUP_QST[MMWR_RATING_STATE_ROLLUP_QST],0),MATCH(G$9,MMWR_RATING_STATE_ROLLUP_QST[#Headers],0)),"ERROR"))</f>
        <v>92</v>
      </c>
      <c r="H59" s="155">
        <f>IF($B59=" ","",IFERROR(INDEX(MMWR_RATING_STATE_ROLLUP_QST[],MATCH($B59,MMWR_RATING_STATE_ROLLUP_QST[MMWR_RATING_STATE_ROLLUP_QST],0),MATCH(H$9,MMWR_RATING_STATE_ROLLUP_QST[#Headers],0)),"ERROR"))</f>
        <v>162.6666666667</v>
      </c>
      <c r="I59" s="155">
        <f>IF($B59=" ","",IFERROR(INDEX(MMWR_RATING_STATE_ROLLUP_QST[],MATCH($B59,MMWR_RATING_STATE_ROLLUP_QST[MMWR_RATING_STATE_ROLLUP_QST],0),MATCH(I$9,MMWR_RATING_STATE_ROLLUP_QST[#Headers],0)),"ERROR"))</f>
        <v>150.8913043478</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241</v>
      </c>
      <c r="D60" s="155">
        <f>IF($B60=" ","",IFERROR(INDEX(MMWR_RATING_STATE_ROLLUP_QST[],MATCH($B60,MMWR_RATING_STATE_ROLLUP_QST[MMWR_RATING_STATE_ROLLUP_QST],0),MATCH(D$9,MMWR_RATING_STATE_ROLLUP_QST[#Headers],0)),"ERROR"))</f>
        <v>92.232365145200006</v>
      </c>
      <c r="E60" s="156">
        <f>IF($B60=" ","",IFERROR(INDEX(MMWR_RATING_STATE_ROLLUP_QST[],MATCH($B60,MMWR_RATING_STATE_ROLLUP_QST[MMWR_RATING_STATE_ROLLUP_QST],0),MATCH(E$9,MMWR_RATING_STATE_ROLLUP_QST[#Headers],0))/$C60,"ERROR"))</f>
        <v>0.31950207468879666</v>
      </c>
      <c r="F60" s="154">
        <f>IF($B60=" ","",IFERROR(INDEX(MMWR_RATING_STATE_ROLLUP_QST[],MATCH($B60,MMWR_RATING_STATE_ROLLUP_QST[MMWR_RATING_STATE_ROLLUP_QST],0),MATCH(F$9,MMWR_RATING_STATE_ROLLUP_QST[#Headers],0)),"ERROR"))</f>
        <v>38</v>
      </c>
      <c r="G60" s="154">
        <f>IF($B60=" ","",IFERROR(INDEX(MMWR_RATING_STATE_ROLLUP_QST[],MATCH($B60,MMWR_RATING_STATE_ROLLUP_QST[MMWR_RATING_STATE_ROLLUP_QST],0),MATCH(G$9,MMWR_RATING_STATE_ROLLUP_QST[#Headers],0)),"ERROR"))</f>
        <v>233</v>
      </c>
      <c r="H60" s="155">
        <f>IF($B60=" ","",IFERROR(INDEX(MMWR_RATING_STATE_ROLLUP_QST[],MATCH($B60,MMWR_RATING_STATE_ROLLUP_QST[MMWR_RATING_STATE_ROLLUP_QST],0),MATCH(H$9,MMWR_RATING_STATE_ROLLUP_QST[#Headers],0)),"ERROR"))</f>
        <v>143.86842105260001</v>
      </c>
      <c r="I60" s="155">
        <f>IF($B60=" ","",IFERROR(INDEX(MMWR_RATING_STATE_ROLLUP_QST[],MATCH($B60,MMWR_RATING_STATE_ROLLUP_QST[MMWR_RATING_STATE_ROLLUP_QST],0),MATCH(I$9,MMWR_RATING_STATE_ROLLUP_QST[#Headers],0)),"ERROR"))</f>
        <v>138.0515021459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541</v>
      </c>
      <c r="D61" s="155">
        <f>IF($B61=" ","",IFERROR(INDEX(MMWR_RATING_STATE_ROLLUP_QST[],MATCH($B61,MMWR_RATING_STATE_ROLLUP_QST[MMWR_RATING_STATE_ROLLUP_QST],0),MATCH(D$9,MMWR_RATING_STATE_ROLLUP_QST[#Headers],0)),"ERROR"))</f>
        <v>96.890942698700002</v>
      </c>
      <c r="E61" s="156">
        <f>IF($B61=" ","",IFERROR(INDEX(MMWR_RATING_STATE_ROLLUP_QST[],MATCH($B61,MMWR_RATING_STATE_ROLLUP_QST[MMWR_RATING_STATE_ROLLUP_QST],0),MATCH(E$9,MMWR_RATING_STATE_ROLLUP_QST[#Headers],0))/$C61,"ERROR"))</f>
        <v>0.33086876155268025</v>
      </c>
      <c r="F61" s="154">
        <f>IF($B61=" ","",IFERROR(INDEX(MMWR_RATING_STATE_ROLLUP_QST[],MATCH($B61,MMWR_RATING_STATE_ROLLUP_QST[MMWR_RATING_STATE_ROLLUP_QST],0),MATCH(F$9,MMWR_RATING_STATE_ROLLUP_QST[#Headers],0)),"ERROR"))</f>
        <v>81</v>
      </c>
      <c r="G61" s="154">
        <f>IF($B61=" ","",IFERROR(INDEX(MMWR_RATING_STATE_ROLLUP_QST[],MATCH($B61,MMWR_RATING_STATE_ROLLUP_QST[MMWR_RATING_STATE_ROLLUP_QST],0),MATCH(G$9,MMWR_RATING_STATE_ROLLUP_QST[#Headers],0)),"ERROR"))</f>
        <v>558</v>
      </c>
      <c r="H61" s="155">
        <f>IF($B61=" ","",IFERROR(INDEX(MMWR_RATING_STATE_ROLLUP_QST[],MATCH($B61,MMWR_RATING_STATE_ROLLUP_QST[MMWR_RATING_STATE_ROLLUP_QST],0),MATCH(H$9,MMWR_RATING_STATE_ROLLUP_QST[#Headers],0)),"ERROR"))</f>
        <v>154.38271604939999</v>
      </c>
      <c r="I61" s="155">
        <f>IF($B61=" ","",IFERROR(INDEX(MMWR_RATING_STATE_ROLLUP_QST[],MATCH($B61,MMWR_RATING_STATE_ROLLUP_QST[MMWR_RATING_STATE_ROLLUP_QST],0),MATCH(I$9,MMWR_RATING_STATE_ROLLUP_QST[#Headers],0)),"ERROR"))</f>
        <v>153.9193548387</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185</v>
      </c>
      <c r="D62" s="155">
        <f>IF($B62=" ","",IFERROR(INDEX(MMWR_RATING_STATE_ROLLUP_QST[],MATCH($B62,MMWR_RATING_STATE_ROLLUP_QST[MMWR_RATING_STATE_ROLLUP_QST],0),MATCH(D$9,MMWR_RATING_STATE_ROLLUP_QST[#Headers],0)),"ERROR"))</f>
        <v>94.351351351399998</v>
      </c>
      <c r="E62" s="156">
        <f>IF($B62=" ","",IFERROR(INDEX(MMWR_RATING_STATE_ROLLUP_QST[],MATCH($B62,MMWR_RATING_STATE_ROLLUP_QST[MMWR_RATING_STATE_ROLLUP_QST],0),MATCH(E$9,MMWR_RATING_STATE_ROLLUP_QST[#Headers],0))/$C62,"ERROR"))</f>
        <v>0.33513513513513515</v>
      </c>
      <c r="F62" s="154">
        <f>IF($B62=" ","",IFERROR(INDEX(MMWR_RATING_STATE_ROLLUP_QST[],MATCH($B62,MMWR_RATING_STATE_ROLLUP_QST[MMWR_RATING_STATE_ROLLUP_QST],0),MATCH(F$9,MMWR_RATING_STATE_ROLLUP_QST[#Headers],0)),"ERROR"))</f>
        <v>29</v>
      </c>
      <c r="G62" s="154">
        <f>IF($B62=" ","",IFERROR(INDEX(MMWR_RATING_STATE_ROLLUP_QST[],MATCH($B62,MMWR_RATING_STATE_ROLLUP_QST[MMWR_RATING_STATE_ROLLUP_QST],0),MATCH(G$9,MMWR_RATING_STATE_ROLLUP_QST[#Headers],0)),"ERROR"))</f>
        <v>200</v>
      </c>
      <c r="H62" s="155">
        <f>IF($B62=" ","",IFERROR(INDEX(MMWR_RATING_STATE_ROLLUP_QST[],MATCH($B62,MMWR_RATING_STATE_ROLLUP_QST[MMWR_RATING_STATE_ROLLUP_QST],0),MATCH(H$9,MMWR_RATING_STATE_ROLLUP_QST[#Headers],0)),"ERROR"))</f>
        <v>138.82758620690001</v>
      </c>
      <c r="I62" s="155">
        <f>IF($B62=" ","",IFERROR(INDEX(MMWR_RATING_STATE_ROLLUP_QST[],MATCH($B62,MMWR_RATING_STATE_ROLLUP_QST[MMWR_RATING_STATE_ROLLUP_QST],0),MATCH(I$9,MMWR_RATING_STATE_ROLLUP_QST[#Headers],0)),"ERROR"))</f>
        <v>143.56</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10</v>
      </c>
      <c r="D63" s="155">
        <f>IF($B63=" ","",IFERROR(INDEX(MMWR_RATING_STATE_ROLLUP_QST[],MATCH($B63,MMWR_RATING_STATE_ROLLUP_QST[MMWR_RATING_STATE_ROLLUP_QST],0),MATCH(D$9,MMWR_RATING_STATE_ROLLUP_QST[#Headers],0)),"ERROR"))</f>
        <v>94.1</v>
      </c>
      <c r="E63" s="156">
        <f>IF($B63=" ","",IFERROR(INDEX(MMWR_RATING_STATE_ROLLUP_QST[],MATCH($B63,MMWR_RATING_STATE_ROLLUP_QST[MMWR_RATING_STATE_ROLLUP_QST],0),MATCH(E$9,MMWR_RATING_STATE_ROLLUP_QST[#Headers],0))/$C63,"ERROR"))</f>
        <v>0.4</v>
      </c>
      <c r="F63" s="154">
        <f>IF($B63=" ","",IFERROR(INDEX(MMWR_RATING_STATE_ROLLUP_QST[],MATCH($B63,MMWR_RATING_STATE_ROLLUP_QST[MMWR_RATING_STATE_ROLLUP_QST],0),MATCH(F$9,MMWR_RATING_STATE_ROLLUP_QST[#Headers],0)),"ERROR"))</f>
        <v>2</v>
      </c>
      <c r="G63" s="154">
        <f>IF($B63=" ","",IFERROR(INDEX(MMWR_RATING_STATE_ROLLUP_QST[],MATCH($B63,MMWR_RATING_STATE_ROLLUP_QST[MMWR_RATING_STATE_ROLLUP_QST],0),MATCH(G$9,MMWR_RATING_STATE_ROLLUP_QST[#Headers],0)),"ERROR"))</f>
        <v>13</v>
      </c>
      <c r="H63" s="155">
        <f>IF($B63=" ","",IFERROR(INDEX(MMWR_RATING_STATE_ROLLUP_QST[],MATCH($B63,MMWR_RATING_STATE_ROLLUP_QST[MMWR_RATING_STATE_ROLLUP_QST],0),MATCH(H$9,MMWR_RATING_STATE_ROLLUP_QST[#Headers],0)),"ERROR"))</f>
        <v>144.5</v>
      </c>
      <c r="I63" s="155">
        <f>IF($B63=" ","",IFERROR(INDEX(MMWR_RATING_STATE_ROLLUP_QST[],MATCH($B63,MMWR_RATING_STATE_ROLLUP_QST[MMWR_RATING_STATE_ROLLUP_QST],0),MATCH(I$9,MMWR_RATING_STATE_ROLLUP_QST[#Headers],0)),"ERROR"))</f>
        <v>172.23076923080001</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4</v>
      </c>
      <c r="D64" s="155">
        <f>IF($B64=" ","",IFERROR(INDEX(MMWR_RATING_STATE_ROLLUP_QST[],MATCH($B64,MMWR_RATING_STATE_ROLLUP_QST[MMWR_RATING_STATE_ROLLUP_QST],0),MATCH(D$9,MMWR_RATING_STATE_ROLLUP_QST[#Headers],0)),"ERROR"))</f>
        <v>70</v>
      </c>
      <c r="E64" s="156">
        <f>IF($B64=" ","",IFERROR(INDEX(MMWR_RATING_STATE_ROLLUP_QST[],MATCH($B64,MMWR_RATING_STATE_ROLLUP_QST[MMWR_RATING_STATE_ROLLUP_QST],0),MATCH(E$9,MMWR_RATING_STATE_ROLLUP_QST[#Headers],0))/$C64,"ERROR"))</f>
        <v>0.25</v>
      </c>
      <c r="F64" s="154">
        <f>IF($B64=" ","",IFERROR(INDEX(MMWR_RATING_STATE_ROLLUP_QST[],MATCH($B64,MMWR_RATING_STATE_ROLLUP_QST[MMWR_RATING_STATE_ROLLUP_QST],0),MATCH(F$9,MMWR_RATING_STATE_ROLLUP_QST[#Headers],0)),"ERROR"))</f>
        <v>1</v>
      </c>
      <c r="G64" s="154">
        <f>IF($B64=" ","",IFERROR(INDEX(MMWR_RATING_STATE_ROLLUP_QST[],MATCH($B64,MMWR_RATING_STATE_ROLLUP_QST[MMWR_RATING_STATE_ROLLUP_QST],0),MATCH(G$9,MMWR_RATING_STATE_ROLLUP_QST[#Headers],0)),"ERROR"))</f>
        <v>6</v>
      </c>
      <c r="H64" s="155">
        <f>IF($B64=" ","",IFERROR(INDEX(MMWR_RATING_STATE_ROLLUP_QST[],MATCH($B64,MMWR_RATING_STATE_ROLLUP_QST[MMWR_RATING_STATE_ROLLUP_QST],0),MATCH(H$9,MMWR_RATING_STATE_ROLLUP_QST[#Headers],0)),"ERROR"))</f>
        <v>186</v>
      </c>
      <c r="I64" s="155">
        <f>IF($B64=" ","",IFERROR(INDEX(MMWR_RATING_STATE_ROLLUP_QST[],MATCH($B64,MMWR_RATING_STATE_ROLLUP_QST[MMWR_RATING_STATE_ROLLUP_QST],0),MATCH(I$9,MMWR_RATING_STATE_ROLLUP_QST[#Headers],0)),"ERROR"))</f>
        <v>135.1666666667</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614</v>
      </c>
      <c r="D65" s="155">
        <f>IF($B65=" ","",IFERROR(INDEX(MMWR_RATING_STATE_ROLLUP_QST[],MATCH($B65,MMWR_RATING_STATE_ROLLUP_QST[MMWR_RATING_STATE_ROLLUP_QST],0),MATCH(D$9,MMWR_RATING_STATE_ROLLUP_QST[#Headers],0)),"ERROR"))</f>
        <v>93.079804560300005</v>
      </c>
      <c r="E65" s="156">
        <f>IF($B65=" ","",IFERROR(INDEX(MMWR_RATING_STATE_ROLLUP_QST[],MATCH($B65,MMWR_RATING_STATE_ROLLUP_QST[MMWR_RATING_STATE_ROLLUP_QST],0),MATCH(E$9,MMWR_RATING_STATE_ROLLUP_QST[#Headers],0))/$C65,"ERROR"))</f>
        <v>0.32247557003257327</v>
      </c>
      <c r="F65" s="154">
        <f>IF($B65=" ","",IFERROR(INDEX(MMWR_RATING_STATE_ROLLUP_QST[],MATCH($B65,MMWR_RATING_STATE_ROLLUP_QST[MMWR_RATING_STATE_ROLLUP_QST],0),MATCH(F$9,MMWR_RATING_STATE_ROLLUP_QST[#Headers],0)),"ERROR"))</f>
        <v>84</v>
      </c>
      <c r="G65" s="154">
        <f>IF($B65=" ","",IFERROR(INDEX(MMWR_RATING_STATE_ROLLUP_QST[],MATCH($B65,MMWR_RATING_STATE_ROLLUP_QST[MMWR_RATING_STATE_ROLLUP_QST],0),MATCH(G$9,MMWR_RATING_STATE_ROLLUP_QST[#Headers],0)),"ERROR"))</f>
        <v>631</v>
      </c>
      <c r="H65" s="155">
        <f>IF($B65=" ","",IFERROR(INDEX(MMWR_RATING_STATE_ROLLUP_QST[],MATCH($B65,MMWR_RATING_STATE_ROLLUP_QST[MMWR_RATING_STATE_ROLLUP_QST],0),MATCH(H$9,MMWR_RATING_STATE_ROLLUP_QST[#Headers],0)),"ERROR"))</f>
        <v>153.9761904762</v>
      </c>
      <c r="I65" s="155">
        <f>IF($B65=" ","",IFERROR(INDEX(MMWR_RATING_STATE_ROLLUP_QST[],MATCH($B65,MMWR_RATING_STATE_ROLLUP_QST[MMWR_RATING_STATE_ROLLUP_QST],0),MATCH(I$9,MMWR_RATING_STATE_ROLLUP_QST[#Headers],0)),"ERROR"))</f>
        <v>164.37559429480001</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18</v>
      </c>
      <c r="D66" s="155">
        <f>IF($B66=" ","",IFERROR(INDEX(MMWR_RATING_STATE_ROLLUP_QST[],MATCH($B66,MMWR_RATING_STATE_ROLLUP_QST[MMWR_RATING_STATE_ROLLUP_QST],0),MATCH(D$9,MMWR_RATING_STATE_ROLLUP_QST[#Headers],0)),"ERROR"))</f>
        <v>89.722222222200003</v>
      </c>
      <c r="E66" s="156">
        <f>IF($B66=" ","",IFERROR(INDEX(MMWR_RATING_STATE_ROLLUP_QST[],MATCH($B66,MMWR_RATING_STATE_ROLLUP_QST[MMWR_RATING_STATE_ROLLUP_QST],0),MATCH(E$9,MMWR_RATING_STATE_ROLLUP_QST[#Headers],0))/$C66,"ERROR"))</f>
        <v>0.22222222222222221</v>
      </c>
      <c r="F66" s="154">
        <f>IF($B66=" ","",IFERROR(INDEX(MMWR_RATING_STATE_ROLLUP_QST[],MATCH($B66,MMWR_RATING_STATE_ROLLUP_QST[MMWR_RATING_STATE_ROLLUP_QST],0),MATCH(F$9,MMWR_RATING_STATE_ROLLUP_QST[#Headers],0)),"ERROR"))</f>
        <v>4</v>
      </c>
      <c r="G66" s="154">
        <f>IF($B66=" ","",IFERROR(INDEX(MMWR_RATING_STATE_ROLLUP_QST[],MATCH($B66,MMWR_RATING_STATE_ROLLUP_QST[MMWR_RATING_STATE_ROLLUP_QST],0),MATCH(G$9,MMWR_RATING_STATE_ROLLUP_QST[#Headers],0)),"ERROR"))</f>
        <v>24</v>
      </c>
      <c r="H66" s="155">
        <f>IF($B66=" ","",IFERROR(INDEX(MMWR_RATING_STATE_ROLLUP_QST[],MATCH($B66,MMWR_RATING_STATE_ROLLUP_QST[MMWR_RATING_STATE_ROLLUP_QST],0),MATCH(H$9,MMWR_RATING_STATE_ROLLUP_QST[#Headers],0)),"ERROR"))</f>
        <v>147</v>
      </c>
      <c r="I66" s="155">
        <f>IF($B66=" ","",IFERROR(INDEX(MMWR_RATING_STATE_ROLLUP_QST[],MATCH($B66,MMWR_RATING_STATE_ROLLUP_QST[MMWR_RATING_STATE_ROLLUP_QST],0),MATCH(I$9,MMWR_RATING_STATE_ROLLUP_QST[#Headers],0)),"ERROR"))</f>
        <v>147.4166666667</v>
      </c>
      <c r="J66" s="42"/>
      <c r="K66" s="42"/>
      <c r="L66" s="42"/>
      <c r="M66" s="42"/>
      <c r="N66" s="28"/>
    </row>
    <row r="67" spans="1:14" x14ac:dyDescent="0.2">
      <c r="A67" s="25"/>
      <c r="B67" s="377" t="s">
        <v>1041</v>
      </c>
      <c r="C67" s="378"/>
      <c r="D67" s="378"/>
      <c r="E67" s="378"/>
      <c r="F67" s="378"/>
      <c r="G67" s="378"/>
      <c r="H67" s="378"/>
      <c r="I67" s="378"/>
      <c r="J67" s="378"/>
      <c r="K67" s="378"/>
      <c r="L67" s="378"/>
      <c r="M67" s="387"/>
      <c r="N67" s="28"/>
    </row>
    <row r="68" spans="1:14" ht="25.5" x14ac:dyDescent="0.2">
      <c r="A68" s="25"/>
      <c r="B68" s="250" t="s">
        <v>1037</v>
      </c>
      <c r="C68" s="154">
        <f>IF($B68=" ","",IFERROR(INDEX(MMWR_RATING_STATE_ROLLUP_BDD[],MATCH($B68,MMWR_RATING_STATE_ROLLUP_BDD[MMWR_RATING_STATE_ROLLUP_BDD],0),MATCH(C$9,MMWR_RATING_STATE_ROLLUP_BDD[#Headers],0)),"ERROR"))</f>
        <v>9944</v>
      </c>
      <c r="D68" s="155">
        <f>IF($B68=" ","",IFERROR(INDEX(MMWR_RATING_STATE_ROLLUP_BDD[],MATCH($B68,MMWR_RATING_STATE_ROLLUP_BDD[MMWR_RATING_STATE_ROLLUP_BDD],0),MATCH(D$9,MMWR_RATING_STATE_ROLLUP_BDD[#Headers],0)),"ERROR"))</f>
        <v>83.997687047499994</v>
      </c>
      <c r="E68" s="156">
        <f>IF($B68=" ","",IFERROR(INDEX(MMWR_RATING_STATE_ROLLUP_BDD[],MATCH($B68,MMWR_RATING_STATE_ROLLUP_BDD[MMWR_RATING_STATE_ROLLUP_BDD],0),MATCH(E$9,MMWR_RATING_STATE_ROLLUP_BDD[#Headers],0))/$C68,"ERROR"))</f>
        <v>0.25351971037811744</v>
      </c>
      <c r="F68" s="154">
        <f>IF($B68=" ","",IFERROR(INDEX(MMWR_RATING_STATE_ROLLUP_BDD[],MATCH($B68,MMWR_RATING_STATE_ROLLUP_BDD[MMWR_RATING_STATE_ROLLUP_BDD],0),MATCH(F$9,MMWR_RATING_STATE_ROLLUP_BDD[#Headers],0)),"ERROR"))</f>
        <v>1380</v>
      </c>
      <c r="G68" s="154">
        <f>IF($B68=" ","",IFERROR(INDEX(MMWR_RATING_STATE_ROLLUP_BDD[],MATCH($B68,MMWR_RATING_STATE_ROLLUP_BDD[MMWR_RATING_STATE_ROLLUP_BDD],0),MATCH(G$9,MMWR_RATING_STATE_ROLLUP_BDD[#Headers],0)),"ERROR"))</f>
        <v>12102</v>
      </c>
      <c r="H68" s="155">
        <f>IF($B68=" ","",IFERROR(INDEX(MMWR_RATING_STATE_ROLLUP_BDD[],MATCH($B68,MMWR_RATING_STATE_ROLLUP_BDD[MMWR_RATING_STATE_ROLLUP_BDD],0),MATCH(H$9,MMWR_RATING_STATE_ROLLUP_BDD[#Headers],0)),"ERROR"))</f>
        <v>138.47898550720001</v>
      </c>
      <c r="I68" s="155">
        <f>IF($B68=" ","",IFERROR(INDEX(MMWR_RATING_STATE_ROLLUP_BDD[],MATCH($B68,MMWR_RATING_STATE_ROLLUP_BDD[MMWR_RATING_STATE_ROLLUP_BDD],0),MATCH(I$9,MMWR_RATING_STATE_ROLLUP_BDD[#Headers],0)),"ERROR"))</f>
        <v>139.4174035204</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2924</v>
      </c>
      <c r="D69" s="155">
        <f>IF($B69=" ","",IFERROR(INDEX(MMWR_RATING_STATE_ROLLUP_BDD[],MATCH($B69,MMWR_RATING_STATE_ROLLUP_BDD[MMWR_RATING_STATE_ROLLUP_BDD],0),MATCH(D$9,MMWR_RATING_STATE_ROLLUP_BDD[#Headers],0)),"ERROR"))</f>
        <v>88.7274281806</v>
      </c>
      <c r="E69" s="156">
        <f>IF($B69=" ","",IFERROR(INDEX(MMWR_RATING_STATE_ROLLUP_BDD[],MATCH($B69,MMWR_RATING_STATE_ROLLUP_BDD[MMWR_RATING_STATE_ROLLUP_BDD],0),MATCH(E$9,MMWR_RATING_STATE_ROLLUP_BDD[#Headers],0))/$C69,"ERROR"))</f>
        <v>0.28556771545827636</v>
      </c>
      <c r="F69" s="154">
        <f>IF($B69=" ","",IFERROR(INDEX(MMWR_RATING_STATE_ROLLUP_BDD[],MATCH($B69,MMWR_RATING_STATE_ROLLUP_BDD[MMWR_RATING_STATE_ROLLUP_BDD],0),MATCH(F$9,MMWR_RATING_STATE_ROLLUP_BDD[#Headers],0)),"ERROR"))</f>
        <v>343</v>
      </c>
      <c r="G69" s="154">
        <f>IF($B69=" ","",IFERROR(INDEX(MMWR_RATING_STATE_ROLLUP_BDD[],MATCH($B69,MMWR_RATING_STATE_ROLLUP_BDD[MMWR_RATING_STATE_ROLLUP_BDD],0),MATCH(G$9,MMWR_RATING_STATE_ROLLUP_BDD[#Headers],0)),"ERROR"))</f>
        <v>3160</v>
      </c>
      <c r="H69" s="155">
        <f>IF($B69=" ","",IFERROR(INDEX(MMWR_RATING_STATE_ROLLUP_BDD[],MATCH($B69,MMWR_RATING_STATE_ROLLUP_BDD[MMWR_RATING_STATE_ROLLUP_BDD],0),MATCH(H$9,MMWR_RATING_STATE_ROLLUP_BDD[#Headers],0)),"ERROR"))</f>
        <v>149.81049562679999</v>
      </c>
      <c r="I69" s="155">
        <f>IF($B69=" ","",IFERROR(INDEX(MMWR_RATING_STATE_ROLLUP_BDD[],MATCH($B69,MMWR_RATING_STATE_ROLLUP_BDD[MMWR_RATING_STATE_ROLLUP_BDD],0),MATCH(I$9,MMWR_RATING_STATE_ROLLUP_BDD[#Headers],0)),"ERROR"))</f>
        <v>148.86898734179999</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50</v>
      </c>
      <c r="D70" s="155">
        <f>IF($B70=" ","",IFERROR(INDEX(MMWR_RATING_STATE_ROLLUP_BDD[],MATCH($B70,MMWR_RATING_STATE_ROLLUP_BDD[MMWR_RATING_STATE_ROLLUP_BDD],0),MATCH(D$9,MMWR_RATING_STATE_ROLLUP_BDD[#Headers],0)),"ERROR"))</f>
        <v>87.26</v>
      </c>
      <c r="E70" s="156">
        <f>IF($B70=" ","",IFERROR(INDEX(MMWR_RATING_STATE_ROLLUP_BDD[],MATCH($B70,MMWR_RATING_STATE_ROLLUP_BDD[MMWR_RATING_STATE_ROLLUP_BDD],0),MATCH(E$9,MMWR_RATING_STATE_ROLLUP_BDD[#Headers],0))/$C70,"ERROR"))</f>
        <v>0.28000000000000003</v>
      </c>
      <c r="F70" s="154">
        <f>IF($B70=" ","",IFERROR(INDEX(MMWR_RATING_STATE_ROLLUP_BDD[],MATCH($B70,MMWR_RATING_STATE_ROLLUP_BDD[MMWR_RATING_STATE_ROLLUP_BDD],0),MATCH(F$9,MMWR_RATING_STATE_ROLLUP_BDD[#Headers],0)),"ERROR"))</f>
        <v>8</v>
      </c>
      <c r="G70" s="154">
        <f>IF($B70=" ","",IFERROR(INDEX(MMWR_RATING_STATE_ROLLUP_BDD[],MATCH($B70,MMWR_RATING_STATE_ROLLUP_BDD[MMWR_RATING_STATE_ROLLUP_BDD],0),MATCH(G$9,MMWR_RATING_STATE_ROLLUP_BDD[#Headers],0)),"ERROR"))</f>
        <v>72</v>
      </c>
      <c r="H70" s="155">
        <f>IF($B70=" ","",IFERROR(INDEX(MMWR_RATING_STATE_ROLLUP_BDD[],MATCH($B70,MMWR_RATING_STATE_ROLLUP_BDD[MMWR_RATING_STATE_ROLLUP_BDD],0),MATCH(H$9,MMWR_RATING_STATE_ROLLUP_BDD[#Headers],0)),"ERROR"))</f>
        <v>135.875</v>
      </c>
      <c r="I70" s="155">
        <f>IF($B70=" ","",IFERROR(INDEX(MMWR_RATING_STATE_ROLLUP_BDD[],MATCH($B70,MMWR_RATING_STATE_ROLLUP_BDD[MMWR_RATING_STATE_ROLLUP_BDD],0),MATCH(I$9,MMWR_RATING_STATE_ROLLUP_BDD[#Headers],0)),"ERROR"))</f>
        <v>144.625</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23</v>
      </c>
      <c r="D71" s="155">
        <f>IF($B71=" ","",IFERROR(INDEX(MMWR_RATING_STATE_ROLLUP_BDD[],MATCH($B71,MMWR_RATING_STATE_ROLLUP_BDD[MMWR_RATING_STATE_ROLLUP_BDD],0),MATCH(D$9,MMWR_RATING_STATE_ROLLUP_BDD[#Headers],0)),"ERROR"))</f>
        <v>105.6086956522</v>
      </c>
      <c r="E71" s="156">
        <f>IF($B71=" ","",IFERROR(INDEX(MMWR_RATING_STATE_ROLLUP_BDD[],MATCH($B71,MMWR_RATING_STATE_ROLLUP_BDD[MMWR_RATING_STATE_ROLLUP_BDD],0),MATCH(E$9,MMWR_RATING_STATE_ROLLUP_BDD[#Headers],0))/$C71,"ERROR"))</f>
        <v>0.43478260869565216</v>
      </c>
      <c r="F71" s="154">
        <f>IF($B71=" ","",IFERROR(INDEX(MMWR_RATING_STATE_ROLLUP_BDD[],MATCH($B71,MMWR_RATING_STATE_ROLLUP_BDD[MMWR_RATING_STATE_ROLLUP_BDD],0),MATCH(F$9,MMWR_RATING_STATE_ROLLUP_BDD[#Headers],0)),"ERROR"))</f>
        <v>4</v>
      </c>
      <c r="G71" s="154">
        <f>IF($B71=" ","",IFERROR(INDEX(MMWR_RATING_STATE_ROLLUP_BDD[],MATCH($B71,MMWR_RATING_STATE_ROLLUP_BDD[MMWR_RATING_STATE_ROLLUP_BDD],0),MATCH(G$9,MMWR_RATING_STATE_ROLLUP_BDD[#Headers],0)),"ERROR"))</f>
        <v>23</v>
      </c>
      <c r="H71" s="155">
        <f>IF($B71=" ","",IFERROR(INDEX(MMWR_RATING_STATE_ROLLUP_BDD[],MATCH($B71,MMWR_RATING_STATE_ROLLUP_BDD[MMWR_RATING_STATE_ROLLUP_BDD],0),MATCH(H$9,MMWR_RATING_STATE_ROLLUP_BDD[#Headers],0)),"ERROR"))</f>
        <v>131.5</v>
      </c>
      <c r="I71" s="155">
        <f>IF($B71=" ","",IFERROR(INDEX(MMWR_RATING_STATE_ROLLUP_BDD[],MATCH($B71,MMWR_RATING_STATE_ROLLUP_BDD[MMWR_RATING_STATE_ROLLUP_BDD],0),MATCH(I$9,MMWR_RATING_STATE_ROLLUP_BDD[#Headers],0)),"ERROR"))</f>
        <v>155.13043478259999</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23</v>
      </c>
      <c r="D72" s="155">
        <f>IF($B72=" ","",IFERROR(INDEX(MMWR_RATING_STATE_ROLLUP_BDD[],MATCH($B72,MMWR_RATING_STATE_ROLLUP_BDD[MMWR_RATING_STATE_ROLLUP_BDD],0),MATCH(D$9,MMWR_RATING_STATE_ROLLUP_BDD[#Headers],0)),"ERROR"))</f>
        <v>79.304347826099999</v>
      </c>
      <c r="E72" s="156">
        <f>IF($B72=" ","",IFERROR(INDEX(MMWR_RATING_STATE_ROLLUP_BDD[],MATCH($B72,MMWR_RATING_STATE_ROLLUP_BDD[MMWR_RATING_STATE_ROLLUP_BDD],0),MATCH(E$9,MMWR_RATING_STATE_ROLLUP_BDD[#Headers],0))/$C72,"ERROR"))</f>
        <v>0.21739130434782608</v>
      </c>
      <c r="F72" s="154">
        <f>IF($B72=" ","",IFERROR(INDEX(MMWR_RATING_STATE_ROLLUP_BDD[],MATCH($B72,MMWR_RATING_STATE_ROLLUP_BDD[MMWR_RATING_STATE_ROLLUP_BDD],0),MATCH(F$9,MMWR_RATING_STATE_ROLLUP_BDD[#Headers],0)),"ERROR"))</f>
        <v>1</v>
      </c>
      <c r="G72" s="154">
        <f>IF($B72=" ","",IFERROR(INDEX(MMWR_RATING_STATE_ROLLUP_BDD[],MATCH($B72,MMWR_RATING_STATE_ROLLUP_BDD[MMWR_RATING_STATE_ROLLUP_BDD],0),MATCH(G$9,MMWR_RATING_STATE_ROLLUP_BDD[#Headers],0)),"ERROR"))</f>
        <v>27</v>
      </c>
      <c r="H72" s="155">
        <f>IF($B72=" ","",IFERROR(INDEX(MMWR_RATING_STATE_ROLLUP_BDD[],MATCH($B72,MMWR_RATING_STATE_ROLLUP_BDD[MMWR_RATING_STATE_ROLLUP_BDD],0),MATCH(H$9,MMWR_RATING_STATE_ROLLUP_BDD[#Headers],0)),"ERROR"))</f>
        <v>75</v>
      </c>
      <c r="I72" s="155">
        <f>IF($B72=" ","",IFERROR(INDEX(MMWR_RATING_STATE_ROLLUP_BDD[],MATCH($B72,MMWR_RATING_STATE_ROLLUP_BDD[MMWR_RATING_STATE_ROLLUP_BDD],0),MATCH(I$9,MMWR_RATING_STATE_ROLLUP_BDD[#Headers],0)),"ERROR"))</f>
        <v>143.74074074070001</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16</v>
      </c>
      <c r="D73" s="155">
        <f>IF($B73=" ","",IFERROR(INDEX(MMWR_RATING_STATE_ROLLUP_BDD[],MATCH($B73,MMWR_RATING_STATE_ROLLUP_BDD[MMWR_RATING_STATE_ROLLUP_BDD],0),MATCH(D$9,MMWR_RATING_STATE_ROLLUP_BDD[#Headers],0)),"ERROR"))</f>
        <v>90.5625</v>
      </c>
      <c r="E73" s="156">
        <f>IF($B73=" ","",IFERROR(INDEX(MMWR_RATING_STATE_ROLLUP_BDD[],MATCH($B73,MMWR_RATING_STATE_ROLLUP_BDD[MMWR_RATING_STATE_ROLLUP_BDD],0),MATCH(E$9,MMWR_RATING_STATE_ROLLUP_BDD[#Headers],0))/$C73,"ERROR"))</f>
        <v>0.3125</v>
      </c>
      <c r="F73" s="154">
        <f>IF($B73=" ","",IFERROR(INDEX(MMWR_RATING_STATE_ROLLUP_BDD[],MATCH($B73,MMWR_RATING_STATE_ROLLUP_BDD[MMWR_RATING_STATE_ROLLUP_BDD],0),MATCH(F$9,MMWR_RATING_STATE_ROLLUP_BDD[#Headers],0)),"ERROR"))</f>
        <v>1</v>
      </c>
      <c r="G73" s="154">
        <f>IF($B73=" ","",IFERROR(INDEX(MMWR_RATING_STATE_ROLLUP_BDD[],MATCH($B73,MMWR_RATING_STATE_ROLLUP_BDD[MMWR_RATING_STATE_ROLLUP_BDD],0),MATCH(G$9,MMWR_RATING_STATE_ROLLUP_BDD[#Headers],0)),"ERROR"))</f>
        <v>24</v>
      </c>
      <c r="H73" s="155">
        <f>IF($B73=" ","",IFERROR(INDEX(MMWR_RATING_STATE_ROLLUP_BDD[],MATCH($B73,MMWR_RATING_STATE_ROLLUP_BDD[MMWR_RATING_STATE_ROLLUP_BDD],0),MATCH(H$9,MMWR_RATING_STATE_ROLLUP_BDD[#Headers],0)),"ERROR"))</f>
        <v>126</v>
      </c>
      <c r="I73" s="155">
        <f>IF($B73=" ","",IFERROR(INDEX(MMWR_RATING_STATE_ROLLUP_BDD[],MATCH($B73,MMWR_RATING_STATE_ROLLUP_BDD[MMWR_RATING_STATE_ROLLUP_BDD],0),MATCH(I$9,MMWR_RATING_STATE_ROLLUP_BDD[#Headers],0)),"ERROR"))</f>
        <v>162.9583333333</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309</v>
      </c>
      <c r="D74" s="155">
        <f>IF($B74=" ","",IFERROR(INDEX(MMWR_RATING_STATE_ROLLUP_BDD[],MATCH($B74,MMWR_RATING_STATE_ROLLUP_BDD[MMWR_RATING_STATE_ROLLUP_BDD],0),MATCH(D$9,MMWR_RATING_STATE_ROLLUP_BDD[#Headers],0)),"ERROR"))</f>
        <v>88.961165048500007</v>
      </c>
      <c r="E74" s="156">
        <f>IF($B74=" ","",IFERROR(INDEX(MMWR_RATING_STATE_ROLLUP_BDD[],MATCH($B74,MMWR_RATING_STATE_ROLLUP_BDD[MMWR_RATING_STATE_ROLLUP_BDD],0),MATCH(E$9,MMWR_RATING_STATE_ROLLUP_BDD[#Headers],0))/$C74,"ERROR"))</f>
        <v>0.29449838187702265</v>
      </c>
      <c r="F74" s="154">
        <f>IF($B74=" ","",IFERROR(INDEX(MMWR_RATING_STATE_ROLLUP_BDD[],MATCH($B74,MMWR_RATING_STATE_ROLLUP_BDD[MMWR_RATING_STATE_ROLLUP_BDD],0),MATCH(F$9,MMWR_RATING_STATE_ROLLUP_BDD[#Headers],0)),"ERROR"))</f>
        <v>38</v>
      </c>
      <c r="G74" s="154">
        <f>IF($B74=" ","",IFERROR(INDEX(MMWR_RATING_STATE_ROLLUP_BDD[],MATCH($B74,MMWR_RATING_STATE_ROLLUP_BDD[MMWR_RATING_STATE_ROLLUP_BDD],0),MATCH(G$9,MMWR_RATING_STATE_ROLLUP_BDD[#Headers],0)),"ERROR"))</f>
        <v>333</v>
      </c>
      <c r="H74" s="155">
        <f>IF($B74=" ","",IFERROR(INDEX(MMWR_RATING_STATE_ROLLUP_BDD[],MATCH($B74,MMWR_RATING_STATE_ROLLUP_BDD[MMWR_RATING_STATE_ROLLUP_BDD],0),MATCH(H$9,MMWR_RATING_STATE_ROLLUP_BDD[#Headers],0)),"ERROR"))</f>
        <v>148.2894736842</v>
      </c>
      <c r="I74" s="155">
        <f>IF($B74=" ","",IFERROR(INDEX(MMWR_RATING_STATE_ROLLUP_BDD[],MATCH($B74,MMWR_RATING_STATE_ROLLUP_BDD[MMWR_RATING_STATE_ROLLUP_BDD],0),MATCH(I$9,MMWR_RATING_STATE_ROLLUP_BDD[#Headers],0)),"ERROR"))</f>
        <v>152.18318318319999</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36</v>
      </c>
      <c r="D75" s="155">
        <f>IF($B75=" ","",IFERROR(INDEX(MMWR_RATING_STATE_ROLLUP_BDD[],MATCH($B75,MMWR_RATING_STATE_ROLLUP_BDD[MMWR_RATING_STATE_ROLLUP_BDD],0),MATCH(D$9,MMWR_RATING_STATE_ROLLUP_BDD[#Headers],0)),"ERROR"))</f>
        <v>78.833333333300004</v>
      </c>
      <c r="E75" s="156">
        <f>IF($B75=" ","",IFERROR(INDEX(MMWR_RATING_STATE_ROLLUP_BDD[],MATCH($B75,MMWR_RATING_STATE_ROLLUP_BDD[MMWR_RATING_STATE_ROLLUP_BDD],0),MATCH(E$9,MMWR_RATING_STATE_ROLLUP_BDD[#Headers],0))/$C75,"ERROR"))</f>
        <v>0.16666666666666666</v>
      </c>
      <c r="F75" s="154">
        <f>IF($B75=" ","",IFERROR(INDEX(MMWR_RATING_STATE_ROLLUP_BDD[],MATCH($B75,MMWR_RATING_STATE_ROLLUP_BDD[MMWR_RATING_STATE_ROLLUP_BDD],0),MATCH(F$9,MMWR_RATING_STATE_ROLLUP_BDD[#Headers],0)),"ERROR"))</f>
        <v>5</v>
      </c>
      <c r="G75" s="154">
        <f>IF($B75=" ","",IFERROR(INDEX(MMWR_RATING_STATE_ROLLUP_BDD[],MATCH($B75,MMWR_RATING_STATE_ROLLUP_BDD[MMWR_RATING_STATE_ROLLUP_BDD],0),MATCH(G$9,MMWR_RATING_STATE_ROLLUP_BDD[#Headers],0)),"ERROR"))</f>
        <v>64</v>
      </c>
      <c r="H75" s="155">
        <f>IF($B75=" ","",IFERROR(INDEX(MMWR_RATING_STATE_ROLLUP_BDD[],MATCH($B75,MMWR_RATING_STATE_ROLLUP_BDD[MMWR_RATING_STATE_ROLLUP_BDD],0),MATCH(H$9,MMWR_RATING_STATE_ROLLUP_BDD[#Headers],0)),"ERROR"))</f>
        <v>152.6</v>
      </c>
      <c r="I75" s="155">
        <f>IF($B75=" ","",IFERROR(INDEX(MMWR_RATING_STATE_ROLLUP_BDD[],MATCH($B75,MMWR_RATING_STATE_ROLLUP_BDD[MMWR_RATING_STATE_ROLLUP_BDD],0),MATCH(I$9,MMWR_RATING_STATE_ROLLUP_BDD[#Headers],0)),"ERROR"))</f>
        <v>134.078125</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15</v>
      </c>
      <c r="D76" s="155">
        <f>IF($B76=" ","",IFERROR(INDEX(MMWR_RATING_STATE_ROLLUP_BDD[],MATCH($B76,MMWR_RATING_STATE_ROLLUP_BDD[MMWR_RATING_STATE_ROLLUP_BDD],0),MATCH(D$9,MMWR_RATING_STATE_ROLLUP_BDD[#Headers],0)),"ERROR"))</f>
        <v>96.8</v>
      </c>
      <c r="E76" s="156">
        <f>IF($B76=" ","",IFERROR(INDEX(MMWR_RATING_STATE_ROLLUP_BDD[],MATCH($B76,MMWR_RATING_STATE_ROLLUP_BDD[MMWR_RATING_STATE_ROLLUP_BDD],0),MATCH(E$9,MMWR_RATING_STATE_ROLLUP_BDD[#Headers],0))/$C76,"ERROR"))</f>
        <v>0.4</v>
      </c>
      <c r="F76" s="154">
        <f>IF($B76=" ","",IFERROR(INDEX(MMWR_RATING_STATE_ROLLUP_BDD[],MATCH($B76,MMWR_RATING_STATE_ROLLUP_BDD[MMWR_RATING_STATE_ROLLUP_BDD],0),MATCH(F$9,MMWR_RATING_STATE_ROLLUP_BDD[#Headers],0)),"ERROR"))</f>
        <v>2</v>
      </c>
      <c r="G76" s="154">
        <f>IF($B76=" ","",IFERROR(INDEX(MMWR_RATING_STATE_ROLLUP_BDD[],MATCH($B76,MMWR_RATING_STATE_ROLLUP_BDD[MMWR_RATING_STATE_ROLLUP_BDD],0),MATCH(G$9,MMWR_RATING_STATE_ROLLUP_BDD[#Headers],0)),"ERROR"))</f>
        <v>28</v>
      </c>
      <c r="H76" s="155">
        <f>IF($B76=" ","",IFERROR(INDEX(MMWR_RATING_STATE_ROLLUP_BDD[],MATCH($B76,MMWR_RATING_STATE_ROLLUP_BDD[MMWR_RATING_STATE_ROLLUP_BDD],0),MATCH(H$9,MMWR_RATING_STATE_ROLLUP_BDD[#Headers],0)),"ERROR"))</f>
        <v>196.5</v>
      </c>
      <c r="I76" s="155">
        <f>IF($B76=" ","",IFERROR(INDEX(MMWR_RATING_STATE_ROLLUP_BDD[],MATCH($B76,MMWR_RATING_STATE_ROLLUP_BDD[MMWR_RATING_STATE_ROLLUP_BDD],0),MATCH(I$9,MMWR_RATING_STATE_ROLLUP_BDD[#Headers],0)),"ERROR"))</f>
        <v>135.46428571429999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69</v>
      </c>
      <c r="D77" s="155">
        <f>IF($B77=" ","",IFERROR(INDEX(MMWR_RATING_STATE_ROLLUP_BDD[],MATCH($B77,MMWR_RATING_STATE_ROLLUP_BDD[MMWR_RATING_STATE_ROLLUP_BDD],0),MATCH(D$9,MMWR_RATING_STATE_ROLLUP_BDD[#Headers],0)),"ERROR"))</f>
        <v>80.405797101399997</v>
      </c>
      <c r="E77" s="156">
        <f>IF($B77=" ","",IFERROR(INDEX(MMWR_RATING_STATE_ROLLUP_BDD[],MATCH($B77,MMWR_RATING_STATE_ROLLUP_BDD[MMWR_RATING_STATE_ROLLUP_BDD],0),MATCH(E$9,MMWR_RATING_STATE_ROLLUP_BDD[#Headers],0))/$C77,"ERROR"))</f>
        <v>0.24637681159420291</v>
      </c>
      <c r="F77" s="154">
        <f>IF($B77=" ","",IFERROR(INDEX(MMWR_RATING_STATE_ROLLUP_BDD[],MATCH($B77,MMWR_RATING_STATE_ROLLUP_BDD[MMWR_RATING_STATE_ROLLUP_BDD],0),MATCH(F$9,MMWR_RATING_STATE_ROLLUP_BDD[#Headers],0)),"ERROR"))</f>
        <v>10</v>
      </c>
      <c r="G77" s="154">
        <f>IF($B77=" ","",IFERROR(INDEX(MMWR_RATING_STATE_ROLLUP_BDD[],MATCH($B77,MMWR_RATING_STATE_ROLLUP_BDD[MMWR_RATING_STATE_ROLLUP_BDD],0),MATCH(G$9,MMWR_RATING_STATE_ROLLUP_BDD[#Headers],0)),"ERROR"))</f>
        <v>103</v>
      </c>
      <c r="H77" s="155">
        <f>IF($B77=" ","",IFERROR(INDEX(MMWR_RATING_STATE_ROLLUP_BDD[],MATCH($B77,MMWR_RATING_STATE_ROLLUP_BDD[MMWR_RATING_STATE_ROLLUP_BDD],0),MATCH(H$9,MMWR_RATING_STATE_ROLLUP_BDD[#Headers],0)),"ERROR"))</f>
        <v>142</v>
      </c>
      <c r="I77" s="155">
        <f>IF($B77=" ","",IFERROR(INDEX(MMWR_RATING_STATE_ROLLUP_BDD[],MATCH($B77,MMWR_RATING_STATE_ROLLUP_BDD[MMWR_RATING_STATE_ROLLUP_BDD],0),MATCH(I$9,MMWR_RATING_STATE_ROLLUP_BDD[#Headers],0)),"ERROR"))</f>
        <v>139.21359223300001</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139</v>
      </c>
      <c r="D78" s="155">
        <f>IF($B78=" ","",IFERROR(INDEX(MMWR_RATING_STATE_ROLLUP_BDD[],MATCH($B78,MMWR_RATING_STATE_ROLLUP_BDD[MMWR_RATING_STATE_ROLLUP_BDD],0),MATCH(D$9,MMWR_RATING_STATE_ROLLUP_BDD[#Headers],0)),"ERROR"))</f>
        <v>89.115107913700001</v>
      </c>
      <c r="E78" s="156">
        <f>IF($B78=" ","",IFERROR(INDEX(MMWR_RATING_STATE_ROLLUP_BDD[],MATCH($B78,MMWR_RATING_STATE_ROLLUP_BDD[MMWR_RATING_STATE_ROLLUP_BDD],0),MATCH(E$9,MMWR_RATING_STATE_ROLLUP_BDD[#Headers],0))/$C78,"ERROR"))</f>
        <v>0.25899280575539568</v>
      </c>
      <c r="F78" s="154">
        <f>IF($B78=" ","",IFERROR(INDEX(MMWR_RATING_STATE_ROLLUP_BDD[],MATCH($B78,MMWR_RATING_STATE_ROLLUP_BDD[MMWR_RATING_STATE_ROLLUP_BDD],0),MATCH(F$9,MMWR_RATING_STATE_ROLLUP_BDD[#Headers],0)),"ERROR"))</f>
        <v>20</v>
      </c>
      <c r="G78" s="154">
        <f>IF($B78=" ","",IFERROR(INDEX(MMWR_RATING_STATE_ROLLUP_BDD[],MATCH($B78,MMWR_RATING_STATE_ROLLUP_BDD[MMWR_RATING_STATE_ROLLUP_BDD],0),MATCH(G$9,MMWR_RATING_STATE_ROLLUP_BDD[#Headers],0)),"ERROR"))</f>
        <v>189</v>
      </c>
      <c r="H78" s="155">
        <f>IF($B78=" ","",IFERROR(INDEX(MMWR_RATING_STATE_ROLLUP_BDD[],MATCH($B78,MMWR_RATING_STATE_ROLLUP_BDD[MMWR_RATING_STATE_ROLLUP_BDD],0),MATCH(H$9,MMWR_RATING_STATE_ROLLUP_BDD[#Headers],0)),"ERROR"))</f>
        <v>113.2</v>
      </c>
      <c r="I78" s="155">
        <f>IF($B78=" ","",IFERROR(INDEX(MMWR_RATING_STATE_ROLLUP_BDD[],MATCH($B78,MMWR_RATING_STATE_ROLLUP_BDD[MMWR_RATING_STATE_ROLLUP_BDD],0),MATCH(I$9,MMWR_RATING_STATE_ROLLUP_BDD[#Headers],0)),"ERROR"))</f>
        <v>138.44444444440001</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1060</v>
      </c>
      <c r="D79" s="155">
        <f>IF($B79=" ","",IFERROR(INDEX(MMWR_RATING_STATE_ROLLUP_BDD[],MATCH($B79,MMWR_RATING_STATE_ROLLUP_BDD[MMWR_RATING_STATE_ROLLUP_BDD],0),MATCH(D$9,MMWR_RATING_STATE_ROLLUP_BDD[#Headers],0)),"ERROR"))</f>
        <v>85.491509433999994</v>
      </c>
      <c r="E79" s="156">
        <f>IF($B79=" ","",IFERROR(INDEX(MMWR_RATING_STATE_ROLLUP_BDD[],MATCH($B79,MMWR_RATING_STATE_ROLLUP_BDD[MMWR_RATING_STATE_ROLLUP_BDD],0),MATCH(E$9,MMWR_RATING_STATE_ROLLUP_BDD[#Headers],0))/$C79,"ERROR"))</f>
        <v>0.25660377358490566</v>
      </c>
      <c r="F79" s="154">
        <f>IF($B79=" ","",IFERROR(INDEX(MMWR_RATING_STATE_ROLLUP_BDD[],MATCH($B79,MMWR_RATING_STATE_ROLLUP_BDD[MMWR_RATING_STATE_ROLLUP_BDD],0),MATCH(F$9,MMWR_RATING_STATE_ROLLUP_BDD[#Headers],0)),"ERROR"))</f>
        <v>109</v>
      </c>
      <c r="G79" s="154">
        <f>IF($B79=" ","",IFERROR(INDEX(MMWR_RATING_STATE_ROLLUP_BDD[],MATCH($B79,MMWR_RATING_STATE_ROLLUP_BDD[MMWR_RATING_STATE_ROLLUP_BDD],0),MATCH(G$9,MMWR_RATING_STATE_ROLLUP_BDD[#Headers],0)),"ERROR"))</f>
        <v>1002</v>
      </c>
      <c r="H79" s="155">
        <f>IF($B79=" ","",IFERROR(INDEX(MMWR_RATING_STATE_ROLLUP_BDD[],MATCH($B79,MMWR_RATING_STATE_ROLLUP_BDD[MMWR_RATING_STATE_ROLLUP_BDD],0),MATCH(H$9,MMWR_RATING_STATE_ROLLUP_BDD[#Headers],0)),"ERROR"))</f>
        <v>144.2293577982</v>
      </c>
      <c r="I79" s="155">
        <f>IF($B79=" ","",IFERROR(INDEX(MMWR_RATING_STATE_ROLLUP_BDD[],MATCH($B79,MMWR_RATING_STATE_ROLLUP_BDD[MMWR_RATING_STATE_ROLLUP_BDD],0),MATCH(I$9,MMWR_RATING_STATE_ROLLUP_BDD[#Headers],0)),"ERROR"))</f>
        <v>147.07984031940001</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112</v>
      </c>
      <c r="D80" s="155">
        <f>IF($B80=" ","",IFERROR(INDEX(MMWR_RATING_STATE_ROLLUP_BDD[],MATCH($B80,MMWR_RATING_STATE_ROLLUP_BDD[MMWR_RATING_STATE_ROLLUP_BDD],0),MATCH(D$9,MMWR_RATING_STATE_ROLLUP_BDD[#Headers],0)),"ERROR"))</f>
        <v>81.160714285699996</v>
      </c>
      <c r="E80" s="156">
        <f>IF($B80=" ","",IFERROR(INDEX(MMWR_RATING_STATE_ROLLUP_BDD[],MATCH($B80,MMWR_RATING_STATE_ROLLUP_BDD[MMWR_RATING_STATE_ROLLUP_BDD],0),MATCH(E$9,MMWR_RATING_STATE_ROLLUP_BDD[#Headers],0))/$C80,"ERROR"))</f>
        <v>0.17857142857142858</v>
      </c>
      <c r="F80" s="154">
        <f>IF($B80=" ","",IFERROR(INDEX(MMWR_RATING_STATE_ROLLUP_BDD[],MATCH($B80,MMWR_RATING_STATE_ROLLUP_BDD[MMWR_RATING_STATE_ROLLUP_BDD],0),MATCH(F$9,MMWR_RATING_STATE_ROLLUP_BDD[#Headers],0)),"ERROR"))</f>
        <v>15</v>
      </c>
      <c r="G80" s="154">
        <f>IF($B80=" ","",IFERROR(INDEX(MMWR_RATING_STATE_ROLLUP_BDD[],MATCH($B80,MMWR_RATING_STATE_ROLLUP_BDD[MMWR_RATING_STATE_ROLLUP_BDD],0),MATCH(G$9,MMWR_RATING_STATE_ROLLUP_BDD[#Headers],0)),"ERROR"))</f>
        <v>190</v>
      </c>
      <c r="H80" s="155">
        <f>IF($B80=" ","",IFERROR(INDEX(MMWR_RATING_STATE_ROLLUP_BDD[],MATCH($B80,MMWR_RATING_STATE_ROLLUP_BDD[MMWR_RATING_STATE_ROLLUP_BDD],0),MATCH(H$9,MMWR_RATING_STATE_ROLLUP_BDD[#Headers],0)),"ERROR"))</f>
        <v>145.80000000000001</v>
      </c>
      <c r="I80" s="155">
        <f>IF($B80=" ","",IFERROR(INDEX(MMWR_RATING_STATE_ROLLUP_BDD[],MATCH($B80,MMWR_RATING_STATE_ROLLUP_BDD[MMWR_RATING_STATE_ROLLUP_BDD],0),MATCH(I$9,MMWR_RATING_STATE_ROLLUP_BDD[#Headers],0)),"ERROR"))</f>
        <v>134.0684210526</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9</v>
      </c>
      <c r="D81" s="155">
        <f>IF($B81=" ","",IFERROR(INDEX(MMWR_RATING_STATE_ROLLUP_BDD[],MATCH($B81,MMWR_RATING_STATE_ROLLUP_BDD[MMWR_RATING_STATE_ROLLUP_BDD],0),MATCH(D$9,MMWR_RATING_STATE_ROLLUP_BDD[#Headers],0)),"ERROR"))</f>
        <v>88.333333333300004</v>
      </c>
      <c r="E81" s="156">
        <f>IF($B81=" ","",IFERROR(INDEX(MMWR_RATING_STATE_ROLLUP_BDD[],MATCH($B81,MMWR_RATING_STATE_ROLLUP_BDD[MMWR_RATING_STATE_ROLLUP_BDD],0),MATCH(E$9,MMWR_RATING_STATE_ROLLUP_BDD[#Headers],0))/$C81,"ERROR"))</f>
        <v>0.33333333333333331</v>
      </c>
      <c r="F81" s="154">
        <f>IF($B81=" ","",IFERROR(INDEX(MMWR_RATING_STATE_ROLLUP_BDD[],MATCH($B81,MMWR_RATING_STATE_ROLLUP_BDD[MMWR_RATING_STATE_ROLLUP_BDD],0),MATCH(F$9,MMWR_RATING_STATE_ROLLUP_BDD[#Headers],0)),"ERROR"))</f>
        <v>1</v>
      </c>
      <c r="G81" s="154">
        <f>IF($B81=" ","",IFERROR(INDEX(MMWR_RATING_STATE_ROLLUP_BDD[],MATCH($B81,MMWR_RATING_STATE_ROLLUP_BDD[MMWR_RATING_STATE_ROLLUP_BDD],0),MATCH(G$9,MMWR_RATING_STATE_ROLLUP_BDD[#Headers],0)),"ERROR"))</f>
        <v>14</v>
      </c>
      <c r="H81" s="155">
        <f>IF($B81=" ","",IFERROR(INDEX(MMWR_RATING_STATE_ROLLUP_BDD[],MATCH($B81,MMWR_RATING_STATE_ROLLUP_BDD[MMWR_RATING_STATE_ROLLUP_BDD],0),MATCH(H$9,MMWR_RATING_STATE_ROLLUP_BDD[#Headers],0)),"ERROR"))</f>
        <v>125</v>
      </c>
      <c r="I81" s="155">
        <f>IF($B81=" ","",IFERROR(INDEX(MMWR_RATING_STATE_ROLLUP_BDD[],MATCH($B81,MMWR_RATING_STATE_ROLLUP_BDD[MMWR_RATING_STATE_ROLLUP_BDD],0),MATCH(I$9,MMWR_RATING_STATE_ROLLUP_BDD[#Headers],0)),"ERROR"))</f>
        <v>124.8571428571</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3</v>
      </c>
      <c r="D82" s="155">
        <f>IF($B82=" ","",IFERROR(INDEX(MMWR_RATING_STATE_ROLLUP_BDD[],MATCH($B82,MMWR_RATING_STATE_ROLLUP_BDD[MMWR_RATING_STATE_ROLLUP_BDD],0),MATCH(D$9,MMWR_RATING_STATE_ROLLUP_BDD[#Headers],0)),"ERROR"))</f>
        <v>88.333333333300004</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9</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112.6666666667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1038</v>
      </c>
      <c r="D83" s="155">
        <f>IF($B83=" ","",IFERROR(INDEX(MMWR_RATING_STATE_ROLLUP_BDD[],MATCH($B83,MMWR_RATING_STATE_ROLLUP_BDD[MMWR_RATING_STATE_ROLLUP_BDD],0),MATCH(D$9,MMWR_RATING_STATE_ROLLUP_BDD[#Headers],0)),"ERROR"))</f>
        <v>93.408477841999996</v>
      </c>
      <c r="E83" s="156">
        <f>IF($B83=" ","",IFERROR(INDEX(MMWR_RATING_STATE_ROLLUP_BDD[],MATCH($B83,MMWR_RATING_STATE_ROLLUP_BDD[MMWR_RATING_STATE_ROLLUP_BDD],0),MATCH(E$9,MMWR_RATING_STATE_ROLLUP_BDD[#Headers],0))/$C83,"ERROR"))</f>
        <v>0.33140655105973027</v>
      </c>
      <c r="F83" s="154">
        <f>IF($B83=" ","",IFERROR(INDEX(MMWR_RATING_STATE_ROLLUP_BDD[],MATCH($B83,MMWR_RATING_STATE_ROLLUP_BDD[MMWR_RATING_STATE_ROLLUP_BDD],0),MATCH(F$9,MMWR_RATING_STATE_ROLLUP_BDD[#Headers],0)),"ERROR"))</f>
        <v>123</v>
      </c>
      <c r="G83" s="154">
        <f>IF($B83=" ","",IFERROR(INDEX(MMWR_RATING_STATE_ROLLUP_BDD[],MATCH($B83,MMWR_RATING_STATE_ROLLUP_BDD[MMWR_RATING_STATE_ROLLUP_BDD],0),MATCH(G$9,MMWR_RATING_STATE_ROLLUP_BDD[#Headers],0)),"ERROR"))</f>
        <v>1045</v>
      </c>
      <c r="H83" s="155">
        <f>IF($B83=" ","",IFERROR(INDEX(MMWR_RATING_STATE_ROLLUP_BDD[],MATCH($B83,MMWR_RATING_STATE_ROLLUP_BDD[MMWR_RATING_STATE_ROLLUP_BDD],0),MATCH(H$9,MMWR_RATING_STATE_ROLLUP_BDD[#Headers],0)),"ERROR"))</f>
        <v>163.61788617889999</v>
      </c>
      <c r="I83" s="155">
        <f>IF($B83=" ","",IFERROR(INDEX(MMWR_RATING_STATE_ROLLUP_BDD[],MATCH($B83,MMWR_RATING_STATE_ROLLUP_BDD[MMWR_RATING_STATE_ROLLUP_BDD],0),MATCH(I$9,MMWR_RATING_STATE_ROLLUP_BDD[#Headers],0)),"ERROR"))</f>
        <v>156.9578947368</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22</v>
      </c>
      <c r="D84" s="155">
        <f>IF($B84=" ","",IFERROR(INDEX(MMWR_RATING_STATE_ROLLUP_BDD[],MATCH($B84,MMWR_RATING_STATE_ROLLUP_BDD[MMWR_RATING_STATE_ROLLUP_BDD],0),MATCH(D$9,MMWR_RATING_STATE_ROLLUP_BDD[#Headers],0)),"ERROR"))</f>
        <v>87.772727272699996</v>
      </c>
      <c r="E84" s="156">
        <f>IF($B84=" ","",IFERROR(INDEX(MMWR_RATING_STATE_ROLLUP_BDD[],MATCH($B84,MMWR_RATING_STATE_ROLLUP_BDD[MMWR_RATING_STATE_ROLLUP_BDD],0),MATCH(E$9,MMWR_RATING_STATE_ROLLUP_BDD[#Headers],0))/$C84,"ERROR"))</f>
        <v>0.27272727272727271</v>
      </c>
      <c r="F84" s="154">
        <f>IF($B84=" ","",IFERROR(INDEX(MMWR_RATING_STATE_ROLLUP_BDD[],MATCH($B84,MMWR_RATING_STATE_ROLLUP_BDD[MMWR_RATING_STATE_ROLLUP_BDD],0),MATCH(F$9,MMWR_RATING_STATE_ROLLUP_BDD[#Headers],0)),"ERROR"))</f>
        <v>6</v>
      </c>
      <c r="G84" s="154">
        <f>IF($B84=" ","",IFERROR(INDEX(MMWR_RATING_STATE_ROLLUP_BDD[],MATCH($B84,MMWR_RATING_STATE_ROLLUP_BDD[MMWR_RATING_STATE_ROLLUP_BDD],0),MATCH(G$9,MMWR_RATING_STATE_ROLLUP_BDD[#Headers],0)),"ERROR"))</f>
        <v>37</v>
      </c>
      <c r="H84" s="155">
        <f>IF($B84=" ","",IFERROR(INDEX(MMWR_RATING_STATE_ROLLUP_BDD[],MATCH($B84,MMWR_RATING_STATE_ROLLUP_BDD[MMWR_RATING_STATE_ROLLUP_BDD],0),MATCH(H$9,MMWR_RATING_STATE_ROLLUP_BDD[#Headers],0)),"ERROR"))</f>
        <v>156.3333333333</v>
      </c>
      <c r="I84" s="155">
        <f>IF($B84=" ","",IFERROR(INDEX(MMWR_RATING_STATE_ROLLUP_BDD[],MATCH($B84,MMWR_RATING_STATE_ROLLUP_BDD[MMWR_RATING_STATE_ROLLUP_BDD],0),MATCH(I$9,MMWR_RATING_STATE_ROLLUP_BDD[#Headers],0)),"ERROR"))</f>
        <v>147.7567567568</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296</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311</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March 12, 2016</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239</v>
      </c>
      <c r="C5" s="429"/>
      <c r="D5" s="429"/>
      <c r="E5" s="429"/>
      <c r="F5" s="429"/>
      <c r="G5" s="429"/>
      <c r="H5" s="430"/>
      <c r="I5" s="55"/>
      <c r="J5" s="428" t="s">
        <v>236</v>
      </c>
      <c r="K5" s="429"/>
      <c r="L5" s="429"/>
      <c r="M5" s="429"/>
      <c r="N5" s="430"/>
      <c r="O5" s="56"/>
      <c r="P5" s="431" t="s">
        <v>11</v>
      </c>
      <c r="Q5" s="432"/>
      <c r="R5" s="432"/>
      <c r="S5" s="432"/>
      <c r="T5" s="432"/>
      <c r="U5" s="433"/>
      <c r="V5" s="25"/>
    </row>
    <row r="6" spans="1:22" s="1" customFormat="1" ht="65.25" customHeight="1" thickBot="1" x14ac:dyDescent="0.25">
      <c r="A6" s="25"/>
      <c r="B6" s="418" t="s">
        <v>279</v>
      </c>
      <c r="C6" s="419"/>
      <c r="D6" s="419"/>
      <c r="E6" s="420"/>
      <c r="F6" s="57" t="s">
        <v>12</v>
      </c>
      <c r="G6" s="58" t="s">
        <v>3</v>
      </c>
      <c r="H6" s="59" t="s">
        <v>4</v>
      </c>
      <c r="I6" s="25"/>
      <c r="J6" s="407" t="s">
        <v>279</v>
      </c>
      <c r="K6" s="408"/>
      <c r="L6" s="60" t="s">
        <v>12</v>
      </c>
      <c r="M6" s="61" t="s">
        <v>3</v>
      </c>
      <c r="N6" s="62" t="s">
        <v>4</v>
      </c>
      <c r="O6" s="63"/>
      <c r="P6" s="434" t="s">
        <v>279</v>
      </c>
      <c r="Q6" s="435"/>
      <c r="R6" s="64" t="s">
        <v>489</v>
      </c>
      <c r="S6" s="436" t="s">
        <v>279</v>
      </c>
      <c r="T6" s="437"/>
      <c r="U6" s="65" t="s">
        <v>134</v>
      </c>
      <c r="V6" s="25"/>
    </row>
    <row r="7" spans="1:22" s="1" customFormat="1" ht="32.25" customHeight="1" thickBot="1" x14ac:dyDescent="0.25">
      <c r="A7" s="25"/>
      <c r="B7" s="401" t="s">
        <v>298</v>
      </c>
      <c r="C7" s="402"/>
      <c r="D7" s="402"/>
      <c r="E7" s="402"/>
      <c r="F7" s="166">
        <f>SUM(F8:F10)</f>
        <v>114646</v>
      </c>
      <c r="G7" s="167">
        <f>SUM(G8:G10)</f>
        <v>34515</v>
      </c>
      <c r="H7" s="168">
        <f t="shared" ref="H7:H44" si="0">IF(G7="--", 0, G7/F7)</f>
        <v>0.30105716728014931</v>
      </c>
      <c r="I7" s="25"/>
      <c r="J7" s="401" t="s">
        <v>264</v>
      </c>
      <c r="K7" s="402"/>
      <c r="L7" s="167">
        <f>SUM(L8:L10)</f>
        <v>31429</v>
      </c>
      <c r="M7" s="167">
        <f>SUM(M8:M10)</f>
        <v>5976</v>
      </c>
      <c r="N7" s="178">
        <f>IF(M7="--", 0, M7/L7)</f>
        <v>0.1901428616882497</v>
      </c>
      <c r="O7" s="66"/>
      <c r="P7" s="401" t="s">
        <v>967</v>
      </c>
      <c r="Q7" s="402"/>
      <c r="R7" s="179">
        <f>R8+R9+R10+R11+R12</f>
        <v>326472</v>
      </c>
      <c r="S7" s="401"/>
      <c r="T7" s="402"/>
      <c r="U7" s="67"/>
      <c r="V7" s="25"/>
    </row>
    <row r="8" spans="1:22" s="1" customFormat="1" ht="51" customHeight="1" x14ac:dyDescent="0.2">
      <c r="A8" s="25"/>
      <c r="B8" s="285" t="s">
        <v>249</v>
      </c>
      <c r="C8" s="286"/>
      <c r="D8" s="286"/>
      <c r="E8" s="427"/>
      <c r="F8" s="169">
        <f>IFERROR(VLOOKUP(MID(B8,4,3),MMWR_TRAD_AGG_NATIONAL[],2,0),"--")</f>
        <v>289</v>
      </c>
      <c r="G8" s="170">
        <f>IFERROR(VLOOKUP(MID(B8,4,3),MMWR_TRAD_AGG_NATIONAL[],3,0),"--")</f>
        <v>160</v>
      </c>
      <c r="H8" s="171">
        <f t="shared" si="0"/>
        <v>0.55363321799307963</v>
      </c>
      <c r="I8" s="25"/>
      <c r="J8" s="403" t="s">
        <v>266</v>
      </c>
      <c r="K8" s="404"/>
      <c r="L8" s="169">
        <f>IFERROR(VLOOKUP(MID(J8,4,3),MMWR_TRAD_AGG_NATIONAL[],2,0),"--")</f>
        <v>7587</v>
      </c>
      <c r="M8" s="170">
        <f>IFERROR(VLOOKUP(MID(J8,4,3),MMWR_TRAD_AGG_NATIONAL[],3,0),"--")</f>
        <v>788</v>
      </c>
      <c r="N8" s="171">
        <f>IF(M8="--", 0, M8/L8)</f>
        <v>0.10386186898642415</v>
      </c>
      <c r="O8" s="68" t="s">
        <v>310</v>
      </c>
      <c r="P8" s="438" t="s">
        <v>240</v>
      </c>
      <c r="Q8" s="439"/>
      <c r="R8" s="180">
        <f>VLOOKUP(P8,MMWR_APP_NATIONAL[],2,0)</f>
        <v>237379</v>
      </c>
      <c r="S8" s="406" t="s">
        <v>229</v>
      </c>
      <c r="T8" s="405"/>
      <c r="U8" s="181">
        <f>VLOOKUP(P8,MMWR_APP_NATIONAL[],3,0)</f>
        <v>406.4166315594</v>
      </c>
      <c r="V8" s="25"/>
    </row>
    <row r="9" spans="1:22" s="1" customFormat="1" ht="45" customHeight="1" x14ac:dyDescent="0.2">
      <c r="A9" s="25"/>
      <c r="B9" s="285" t="s">
        <v>247</v>
      </c>
      <c r="C9" s="286"/>
      <c r="D9" s="286"/>
      <c r="E9" s="427"/>
      <c r="F9" s="169">
        <f>IFERROR(VLOOKUP(MID(B9,4,3),MMWR_TRAD_AGG_NATIONAL[],2,0),"--")</f>
        <v>37942</v>
      </c>
      <c r="G9" s="170">
        <f>IFERROR(VLOOKUP(MID(B9,4,3),MMWR_TRAD_AGG_NATIONAL[],3,0),"--")</f>
        <v>13487</v>
      </c>
      <c r="H9" s="171">
        <f t="shared" si="0"/>
        <v>0.3554636023404143</v>
      </c>
      <c r="I9" s="68" t="s">
        <v>310</v>
      </c>
      <c r="J9" s="285" t="s">
        <v>265</v>
      </c>
      <c r="K9" s="286"/>
      <c r="L9" s="169">
        <f>IFERROR(VLOOKUP(MID(J9,4,3),MMWR_TRAD_AGG_NATIONAL[],2,0),"--")</f>
        <v>7798</v>
      </c>
      <c r="M9" s="170">
        <f>IFERROR(VLOOKUP(MID(J9,4,3),MMWR_TRAD_AGG_NATIONAL[],3,0),"--")</f>
        <v>525</v>
      </c>
      <c r="N9" s="171">
        <f>IF(M9="--", 0, M9/L9)</f>
        <v>6.7324955116696589E-2</v>
      </c>
      <c r="O9" s="68" t="s">
        <v>310</v>
      </c>
      <c r="P9" s="449" t="s">
        <v>241</v>
      </c>
      <c r="Q9" s="450"/>
      <c r="R9" s="182">
        <f>VLOOKUP(P9,MMWR_APP_NATIONAL[],2,0)</f>
        <v>53325</v>
      </c>
      <c r="S9" s="451" t="s">
        <v>230</v>
      </c>
      <c r="T9" s="396"/>
      <c r="U9" s="183">
        <f>VLOOKUP(P9,MMWR_APP_NATIONAL[],3,0)</f>
        <v>593.46038443509997</v>
      </c>
      <c r="V9" s="25"/>
    </row>
    <row r="10" spans="1:22" s="1" customFormat="1" ht="63" customHeight="1" thickBot="1" x14ac:dyDescent="0.25">
      <c r="A10" s="25"/>
      <c r="B10" s="285" t="s">
        <v>248</v>
      </c>
      <c r="C10" s="286"/>
      <c r="D10" s="286"/>
      <c r="E10" s="427"/>
      <c r="F10" s="169">
        <f>IFERROR(VLOOKUP(MID(B10,4,3),MMWR_TRAD_AGG_NATIONAL[],2,0),"--")</f>
        <v>76415</v>
      </c>
      <c r="G10" s="170">
        <f>IFERROR(VLOOKUP(MID(B10,4,3),MMWR_TRAD_AGG_NATIONAL[],3,0),"--")</f>
        <v>20868</v>
      </c>
      <c r="H10" s="171">
        <f t="shared" si="0"/>
        <v>0.27308774455277107</v>
      </c>
      <c r="I10" s="68" t="s">
        <v>310</v>
      </c>
      <c r="J10" s="287" t="s">
        <v>267</v>
      </c>
      <c r="K10" s="288"/>
      <c r="L10" s="169">
        <f>IFERROR(VLOOKUP(MID(J10,4,3),MMWR_TRAD_AGG_NATIONAL[],2,0),"--")</f>
        <v>16044</v>
      </c>
      <c r="M10" s="170">
        <f>IFERROR(VLOOKUP(MID(J10,4,3),MMWR_TRAD_AGG_NATIONAL[],3,0),"--")</f>
        <v>4663</v>
      </c>
      <c r="N10" s="171">
        <f>IF(M10="--", 0, M10/L10)</f>
        <v>0.29063824482672651</v>
      </c>
      <c r="O10" s="69"/>
      <c r="P10" s="449" t="s">
        <v>242</v>
      </c>
      <c r="Q10" s="450"/>
      <c r="R10" s="182">
        <f>VLOOKUP(P10,MMWR_APP_NATIONAL[],2,0)</f>
        <v>24680</v>
      </c>
      <c r="S10" s="451" t="s">
        <v>231</v>
      </c>
      <c r="T10" s="396"/>
      <c r="U10" s="183">
        <f>VLOOKUP(P10,MMWR_APP_NATIONAL[],3,0)</f>
        <v>525.64513252819995</v>
      </c>
      <c r="V10" s="25"/>
    </row>
    <row r="11" spans="1:22" s="1" customFormat="1" ht="45" customHeight="1" thickBot="1" x14ac:dyDescent="0.25">
      <c r="A11" s="25"/>
      <c r="B11" s="401" t="s">
        <v>299</v>
      </c>
      <c r="C11" s="402"/>
      <c r="D11" s="402"/>
      <c r="E11" s="402"/>
      <c r="F11" s="166">
        <f>SUM(F12:F13)</f>
        <v>10064</v>
      </c>
      <c r="G11" s="167">
        <f>SUM(G12:G13)</f>
        <v>2512</v>
      </c>
      <c r="H11" s="168">
        <f t="shared" si="0"/>
        <v>0.24960254372019078</v>
      </c>
      <c r="I11" s="25"/>
      <c r="J11" s="401" t="s">
        <v>237</v>
      </c>
      <c r="K11" s="402"/>
      <c r="L11" s="166">
        <f>SUM(L12:L17)</f>
        <v>33529</v>
      </c>
      <c r="M11" s="166">
        <f>SUM(M12:M17)</f>
        <v>6486</v>
      </c>
      <c r="N11" s="159">
        <f>IF(M11="--", 0, M11/L11)</f>
        <v>0.19344448089713381</v>
      </c>
      <c r="O11" s="69"/>
      <c r="P11" s="449" t="s">
        <v>968</v>
      </c>
      <c r="Q11" s="450"/>
      <c r="R11" s="182">
        <f>VLOOKUP(P11,MMWR_APP_NATIONAL[],2,0)</f>
        <v>10553</v>
      </c>
      <c r="S11" s="451" t="s">
        <v>232</v>
      </c>
      <c r="T11" s="396"/>
      <c r="U11" s="183">
        <f>VLOOKUP(P11,MMWR_APP_NATIONAL[],3,0)</f>
        <v>178.54601459579999</v>
      </c>
      <c r="V11" s="25"/>
    </row>
    <row r="12" spans="1:22" s="1" customFormat="1" ht="46.5" customHeight="1" thickBot="1" x14ac:dyDescent="0.25">
      <c r="A12" s="25"/>
      <c r="B12" s="397" t="s">
        <v>269</v>
      </c>
      <c r="C12" s="398"/>
      <c r="D12" s="398"/>
      <c r="E12" s="399"/>
      <c r="F12" s="169">
        <f>IFERROR(VLOOKUP(MID(B12,4,3),MMWR_TRAD_AGG_NATIONAL[],2,0),"--")</f>
        <v>8852</v>
      </c>
      <c r="G12" s="170">
        <f>IFERROR(VLOOKUP(MID(B12,4,3),MMWR_TRAD_AGG_NATIONAL[],3,0),"--")</f>
        <v>1696</v>
      </c>
      <c r="H12" s="171">
        <f t="shared" si="0"/>
        <v>0.19159511974694984</v>
      </c>
      <c r="I12" s="68" t="s">
        <v>310</v>
      </c>
      <c r="J12" s="287" t="s">
        <v>259</v>
      </c>
      <c r="K12" s="396"/>
      <c r="L12" s="169">
        <f>IFERROR(VLOOKUP(MID(J12,4,3)&amp;"p",MMWR_TRAD_AGG_NATIONAL[],2,0),"--")</f>
        <v>1634</v>
      </c>
      <c r="M12" s="170">
        <f>IFERROR(VLOOKUP(MID(J12,4,3)&amp;"p",MMWR_TRAD_AGG_NATIONAL[],3,0),"--")</f>
        <v>297</v>
      </c>
      <c r="N12" s="171">
        <f t="shared" ref="N12:N17" si="1">IF(L12="--", 0,M12/L12)</f>
        <v>0.18176254589963281</v>
      </c>
      <c r="O12" s="69"/>
      <c r="P12" s="449" t="s">
        <v>949</v>
      </c>
      <c r="Q12" s="450"/>
      <c r="R12" s="182">
        <f>VLOOKUP(P12,MMWR_APP_NATIONAL[],2,0)</f>
        <v>535</v>
      </c>
      <c r="S12" s="452" t="s">
        <v>966</v>
      </c>
      <c r="T12" s="400"/>
      <c r="U12" s="183">
        <f>VLOOKUP(P12,MMWR_APP_NATIONAL[],3,0)</f>
        <v>464.05233644859999</v>
      </c>
      <c r="V12" s="25"/>
    </row>
    <row r="13" spans="1:22" s="1" customFormat="1" ht="49.5" customHeight="1" thickBot="1" x14ac:dyDescent="0.25">
      <c r="A13" s="25"/>
      <c r="B13" s="397" t="s">
        <v>1058</v>
      </c>
      <c r="C13" s="398"/>
      <c r="D13" s="398"/>
      <c r="E13" s="399"/>
      <c r="F13" s="169">
        <f>IFERROR(VLOOKUP(MID(B13,4,3),MMWR_TRAD_AGG_NATIONAL[],2,0),"--")</f>
        <v>1212</v>
      </c>
      <c r="G13" s="170">
        <f>IFERROR(VLOOKUP(MID(B13,4,3),MMWR_TRAD_AGG_NATIONAL[],3,0),"--")</f>
        <v>816</v>
      </c>
      <c r="H13" s="171">
        <f t="shared" si="0"/>
        <v>0.67326732673267331</v>
      </c>
      <c r="I13" s="25"/>
      <c r="J13" s="287" t="s">
        <v>268</v>
      </c>
      <c r="K13" s="396"/>
      <c r="L13" s="169">
        <f>IFERROR(VLOOKUP(MID(J13,4,3),MMWR_TRAD_AGG_NATIONAL[],2,0),"--")</f>
        <v>4903</v>
      </c>
      <c r="M13" s="170">
        <f>IFERROR(VLOOKUP(MID(J13,4,3),MMWR_TRAD_AGG_NATIONAL[],3,0),"--")</f>
        <v>832</v>
      </c>
      <c r="N13" s="171">
        <f t="shared" si="1"/>
        <v>0.16969202529063837</v>
      </c>
      <c r="O13" s="69"/>
      <c r="P13" s="401" t="s">
        <v>977</v>
      </c>
      <c r="Q13" s="402"/>
      <c r="R13" s="445"/>
      <c r="S13" s="446">
        <f>VLOOKUP(P13,MMWR_APP_NATIONAL[],2,0)</f>
        <v>23832</v>
      </c>
      <c r="T13" s="447"/>
      <c r="U13" s="448"/>
      <c r="V13" s="25"/>
    </row>
    <row r="14" spans="1:22" s="1" customFormat="1" ht="45" customHeight="1" thickBot="1" x14ac:dyDescent="0.25">
      <c r="A14" s="25"/>
      <c r="B14" s="401" t="s">
        <v>1</v>
      </c>
      <c r="C14" s="402"/>
      <c r="D14" s="402"/>
      <c r="E14" s="402"/>
      <c r="F14" s="166">
        <f>SUM(F15:F21)</f>
        <v>194561</v>
      </c>
      <c r="G14" s="167">
        <f>SUM(G15:G21)</f>
        <v>42649</v>
      </c>
      <c r="H14" s="168">
        <f t="shared" si="0"/>
        <v>0.21920631575701194</v>
      </c>
      <c r="I14" s="25"/>
      <c r="J14" s="287" t="s">
        <v>270</v>
      </c>
      <c r="K14" s="396"/>
      <c r="L14" s="169">
        <f>IFERROR(VLOOKUP(MID(J14,4,3),MMWR_TRAD_AGG_NATIONAL[],2,0),"--")</f>
        <v>17893</v>
      </c>
      <c r="M14" s="170">
        <f>IFERROR(VLOOKUP(MID(J14,4,3),MMWR_TRAD_AGG_NATIONAL[],3,0),"--")</f>
        <v>3017</v>
      </c>
      <c r="N14" s="171">
        <f t="shared" si="1"/>
        <v>0.16861342424411782</v>
      </c>
      <c r="O14" s="69"/>
      <c r="P14" s="21"/>
      <c r="Q14" s="21"/>
      <c r="R14" s="21"/>
      <c r="S14" s="28"/>
      <c r="T14" s="28"/>
      <c r="U14" s="70"/>
      <c r="V14" s="25"/>
    </row>
    <row r="15" spans="1:22" s="1" customFormat="1" ht="44.25" customHeight="1" thickBot="1" x14ac:dyDescent="0.25">
      <c r="A15" s="25"/>
      <c r="B15" s="285" t="s">
        <v>250</v>
      </c>
      <c r="C15" s="286"/>
      <c r="D15" s="286"/>
      <c r="E15" s="427"/>
      <c r="F15" s="169">
        <f>IFERROR(VLOOKUP(MID(B15,4,3),MMWR_TRAD_AGG_NATIONAL[],2,0),"--")</f>
        <v>193741</v>
      </c>
      <c r="G15" s="170">
        <f>IFERROR(VLOOKUP(MID(B15,4,3),MMWR_TRAD_AGG_NATIONAL[],3,0),"--")</f>
        <v>42406</v>
      </c>
      <c r="H15" s="171">
        <f t="shared" si="0"/>
        <v>0.21887984474117508</v>
      </c>
      <c r="I15" s="68" t="s">
        <v>310</v>
      </c>
      <c r="J15" s="287" t="s">
        <v>271</v>
      </c>
      <c r="K15" s="396"/>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287" t="s">
        <v>251</v>
      </c>
      <c r="C16" s="288"/>
      <c r="D16" s="288"/>
      <c r="E16" s="396"/>
      <c r="F16" s="169">
        <f>IFERROR(VLOOKUP(MID(B16,4,3),MMWR_TRAD_AGG_NATIONAL[],2,0),"--")</f>
        <v>579</v>
      </c>
      <c r="G16" s="170">
        <f>IFERROR(VLOOKUP(MID(B16,4,3),MMWR_TRAD_AGG_NATIONAL[],3,0),"--")</f>
        <v>67</v>
      </c>
      <c r="H16" s="171">
        <f t="shared" si="0"/>
        <v>0.1157167530224525</v>
      </c>
      <c r="I16" s="68" t="s">
        <v>310</v>
      </c>
      <c r="J16" s="287" t="s">
        <v>272</v>
      </c>
      <c r="K16" s="396"/>
      <c r="L16" s="169">
        <f>IFERROR(VLOOKUP(MID(J16,4,3),MMWR_TRAD_AGG_NATIONAL[],2,0),"--")</f>
        <v>3582</v>
      </c>
      <c r="M16" s="170">
        <f>IFERROR(VLOOKUP(MID(J16,4,3),MMWR_TRAD_AGG_NATIONAL[],3,0),"--")</f>
        <v>872</v>
      </c>
      <c r="N16" s="171">
        <f t="shared" si="1"/>
        <v>0.2434394193188163</v>
      </c>
      <c r="O16" s="69"/>
      <c r="P16" s="431" t="s">
        <v>950</v>
      </c>
      <c r="Q16" s="432"/>
      <c r="R16" s="432"/>
      <c r="S16" s="433"/>
      <c r="T16" s="28"/>
      <c r="U16" s="71"/>
      <c r="V16" s="25"/>
    </row>
    <row r="17" spans="1:22" s="1" customFormat="1" ht="31.5" customHeight="1" thickBot="1" x14ac:dyDescent="0.25">
      <c r="A17" s="25"/>
      <c r="B17" s="287" t="s">
        <v>252</v>
      </c>
      <c r="C17" s="288"/>
      <c r="D17" s="288"/>
      <c r="E17" s="396"/>
      <c r="F17" s="169">
        <f>IFERROR(VLOOKUP(MID(B17,4,3),MMWR_TRAD_AGG_NATIONAL[],2,0),"--")</f>
        <v>227</v>
      </c>
      <c r="G17" s="170">
        <f>IFERROR(VLOOKUP(MID(B17,4,3),MMWR_TRAD_AGG_NATIONAL[],3,0),"--")</f>
        <v>172</v>
      </c>
      <c r="H17" s="171">
        <f t="shared" si="0"/>
        <v>0.75770925110132159</v>
      </c>
      <c r="I17" s="25"/>
      <c r="J17" s="287" t="s">
        <v>273</v>
      </c>
      <c r="K17" s="396"/>
      <c r="L17" s="169">
        <f>IFERROR(VLOOKUP(MID(J17,4,3),MMWR_TRAD_AGG_NATIONAL[],2,0),"--")</f>
        <v>5516</v>
      </c>
      <c r="M17" s="170">
        <f>IFERROR(VLOOKUP(MID(J17,4,3),MMWR_TRAD_AGG_NATIONAL[],3,0),"--")</f>
        <v>1467</v>
      </c>
      <c r="N17" s="171">
        <f t="shared" si="1"/>
        <v>0.26595358955765047</v>
      </c>
      <c r="O17" s="72"/>
      <c r="P17" s="440" t="s">
        <v>245</v>
      </c>
      <c r="Q17" s="441"/>
      <c r="R17" s="441"/>
      <c r="S17" s="184">
        <f>IFERROR(VLOOKUP("160",MMWR_TRAD_AGG_NATIONAL[],2,0),"--")</f>
        <v>29415</v>
      </c>
      <c r="T17" s="28"/>
      <c r="U17" s="71"/>
      <c r="V17" s="25"/>
    </row>
    <row r="18" spans="1:22" s="1" customFormat="1" ht="32.25" customHeight="1" thickBot="1" x14ac:dyDescent="0.25">
      <c r="A18" s="25"/>
      <c r="B18" s="287" t="s">
        <v>253</v>
      </c>
      <c r="C18" s="288"/>
      <c r="D18" s="288"/>
      <c r="E18" s="396"/>
      <c r="F18" s="169">
        <f>IFERROR(VLOOKUP(MID(B18,4,3),MMWR_TRAD_AGG_NATIONAL[],2,0),"--")</f>
        <v>12</v>
      </c>
      <c r="G18" s="170">
        <f>IFERROR(VLOOKUP(MID(B18,4,3),MMWR_TRAD_AGG_NATIONAL[],3,0),"--")</f>
        <v>3</v>
      </c>
      <c r="H18" s="171">
        <f t="shared" si="0"/>
        <v>0.25</v>
      </c>
      <c r="I18" s="68" t="s">
        <v>310</v>
      </c>
      <c r="J18" s="401" t="s">
        <v>15</v>
      </c>
      <c r="K18" s="402"/>
      <c r="L18" s="166">
        <f>SUM(L19:L21)</f>
        <v>354</v>
      </c>
      <c r="M18" s="166">
        <f>SUM(M19:M21)</f>
        <v>324</v>
      </c>
      <c r="N18" s="159">
        <f t="shared" ref="N18:N26" si="2">IF(M18="--", 0, M18/L18)</f>
        <v>0.9152542372881356</v>
      </c>
      <c r="O18" s="73"/>
      <c r="P18" s="442" t="s">
        <v>246</v>
      </c>
      <c r="Q18" s="443"/>
      <c r="R18" s="443"/>
      <c r="S18" s="185">
        <f>IFERROR(VLOOKUP("165",MMWR_TRAD_AGG_NATIONAL[],2,0),"--")</f>
        <v>10227</v>
      </c>
      <c r="T18" s="28"/>
      <c r="U18" s="71"/>
      <c r="V18" s="25"/>
    </row>
    <row r="19" spans="1:22" s="1" customFormat="1" ht="41.25" customHeight="1" x14ac:dyDescent="0.4">
      <c r="A19" s="25"/>
      <c r="B19" s="287" t="s">
        <v>254</v>
      </c>
      <c r="C19" s="288"/>
      <c r="D19" s="288"/>
      <c r="E19" s="396"/>
      <c r="F19" s="169">
        <f>IFERROR(VLOOKUP(MID(B19,4,3),MMWR_TRAD_AGG_NATIONAL[],2,0),"--")</f>
        <v>1</v>
      </c>
      <c r="G19" s="170">
        <f>IFERROR(VLOOKUP(MID(B19,4,3),MMWR_TRAD_AGG_NATIONAL[],3,0),"--")</f>
        <v>1</v>
      </c>
      <c r="H19" s="171">
        <f t="shared" si="0"/>
        <v>1</v>
      </c>
      <c r="I19" s="68" t="s">
        <v>310</v>
      </c>
      <c r="J19" s="287" t="s">
        <v>274</v>
      </c>
      <c r="K19" s="396"/>
      <c r="L19" s="169">
        <f>IFERROR(VLOOKUP(MID(J19,4,3),MMWR_TRAD_AGG_NATIONAL[],2,0),"--")</f>
        <v>261</v>
      </c>
      <c r="M19" s="170">
        <f>IFERROR(VLOOKUP(MID(J19,4,3),MMWR_TRAD_AGG_NATIONAL[],3,0),"--")</f>
        <v>259</v>
      </c>
      <c r="N19" s="171">
        <f t="shared" si="2"/>
        <v>0.9923371647509579</v>
      </c>
      <c r="O19" s="56"/>
      <c r="P19" s="25"/>
      <c r="Q19" s="25"/>
      <c r="R19" s="25"/>
      <c r="S19" s="25"/>
      <c r="T19" s="28"/>
      <c r="U19" s="71"/>
      <c r="V19" s="25"/>
    </row>
    <row r="20" spans="1:22" s="1" customFormat="1" ht="40.5" customHeight="1" x14ac:dyDescent="0.4">
      <c r="A20" s="25"/>
      <c r="B20" s="287" t="s">
        <v>255</v>
      </c>
      <c r="C20" s="288"/>
      <c r="D20" s="288"/>
      <c r="E20" s="396"/>
      <c r="F20" s="169">
        <f>IFERROR(VLOOKUP(MID(B20,4,3),MMWR_TRAD_AGG_NATIONAL[],2,0),"--")</f>
        <v>1</v>
      </c>
      <c r="G20" s="170">
        <f>IFERROR(VLOOKUP(MID(B20,4,3),MMWR_TRAD_AGG_NATIONAL[],3,0),"--")</f>
        <v>0</v>
      </c>
      <c r="H20" s="171">
        <f t="shared" si="0"/>
        <v>0</v>
      </c>
      <c r="I20" s="68" t="s">
        <v>310</v>
      </c>
      <c r="J20" s="287" t="s">
        <v>297</v>
      </c>
      <c r="K20" s="396"/>
      <c r="L20" s="169">
        <f>IFERROR(VLOOKUP(MID(J20,4,3),MMWR_TRAD_AGG_NATIONAL[],2,0),"--")</f>
        <v>65</v>
      </c>
      <c r="M20" s="170">
        <f>IFERROR(VLOOKUP(MID(J20,4,3),MMWR_TRAD_AGG_NATIONAL[],3,0),"--")</f>
        <v>49</v>
      </c>
      <c r="N20" s="171">
        <f t="shared" si="2"/>
        <v>0.75384615384615383</v>
      </c>
      <c r="O20" s="56"/>
      <c r="P20" s="56"/>
      <c r="Q20" s="56"/>
      <c r="R20" s="56"/>
      <c r="S20" s="56"/>
      <c r="T20" s="56"/>
      <c r="U20" s="74"/>
      <c r="V20" s="25"/>
    </row>
    <row r="21" spans="1:22" s="1" customFormat="1" ht="39" customHeight="1" thickBot="1" x14ac:dyDescent="0.45">
      <c r="A21" s="25"/>
      <c r="B21" s="287" t="s">
        <v>256</v>
      </c>
      <c r="C21" s="288"/>
      <c r="D21" s="288"/>
      <c r="E21" s="396"/>
      <c r="F21" s="169" t="str">
        <f>IFERROR(VLOOKUP(MID(B21,4,3),MMWR_TRAD_AGG_NATIONAL[],2,0),"--")</f>
        <v>--</v>
      </c>
      <c r="G21" s="170" t="str">
        <f>IFERROR(VLOOKUP(MID(B21,4,3),MMWR_TRAD_AGG_NATIONAL[],3,0),"--")</f>
        <v>--</v>
      </c>
      <c r="H21" s="171">
        <f t="shared" si="0"/>
        <v>0</v>
      </c>
      <c r="I21" s="68" t="s">
        <v>310</v>
      </c>
      <c r="J21" s="287" t="s">
        <v>275</v>
      </c>
      <c r="K21" s="396"/>
      <c r="L21" s="169">
        <f>IFERROR(VLOOKUP(MID(J21,4,3),MMWR_TRAD_AGG_NATIONAL[],2,0),"--")</f>
        <v>28</v>
      </c>
      <c r="M21" s="170">
        <f>IFERROR(VLOOKUP(MID(J21,4,3),MMWR_TRAD_AGG_NATIONAL[],3,0),"--")</f>
        <v>16</v>
      </c>
      <c r="N21" s="171">
        <f t="shared" si="2"/>
        <v>0.5714285714285714</v>
      </c>
      <c r="O21" s="56"/>
      <c r="P21" s="56"/>
      <c r="Q21" s="56"/>
      <c r="R21" s="56"/>
      <c r="S21" s="56"/>
      <c r="T21" s="56"/>
      <c r="U21" s="74"/>
      <c r="V21" s="25"/>
    </row>
    <row r="22" spans="1:22" s="1" customFormat="1" ht="32.25" customHeight="1" thickBot="1" x14ac:dyDescent="0.45">
      <c r="A22" s="25"/>
      <c r="B22" s="401" t="s">
        <v>13</v>
      </c>
      <c r="C22" s="402"/>
      <c r="D22" s="402"/>
      <c r="E22" s="402"/>
      <c r="F22" s="166">
        <f>SUM(F23:F29)</f>
        <v>424913</v>
      </c>
      <c r="G22" s="167">
        <f>SUM(G23:G29)</f>
        <v>287150</v>
      </c>
      <c r="H22" s="168">
        <f t="shared" si="0"/>
        <v>0.67578539606931298</v>
      </c>
      <c r="I22" s="25"/>
      <c r="J22" s="401" t="s">
        <v>224</v>
      </c>
      <c r="K22" s="402"/>
      <c r="L22" s="166">
        <f>SUM(L23:L26)</f>
        <v>1734</v>
      </c>
      <c r="M22" s="166">
        <f>SUM(M23:M26)</f>
        <v>518</v>
      </c>
      <c r="N22" s="159">
        <f t="shared" si="2"/>
        <v>0.29873125720876587</v>
      </c>
      <c r="O22" s="56"/>
      <c r="P22" s="25"/>
      <c r="Q22" s="25"/>
      <c r="R22" s="25"/>
      <c r="S22" s="25"/>
      <c r="T22" s="56"/>
      <c r="U22" s="74"/>
      <c r="V22" s="25"/>
    </row>
    <row r="23" spans="1:22" s="1" customFormat="1" ht="26.25" customHeight="1" x14ac:dyDescent="0.4">
      <c r="A23" s="25"/>
      <c r="B23" s="397" t="s">
        <v>257</v>
      </c>
      <c r="C23" s="398"/>
      <c r="D23" s="398"/>
      <c r="E23" s="399"/>
      <c r="F23" s="169">
        <f>IFERROR(VLOOKUP(MID(B23,4,3),MMWR_TRAD_AGG_NATIONAL[],2,0),"--")</f>
        <v>189834</v>
      </c>
      <c r="G23" s="170">
        <f>IFERROR(VLOOKUP(MID(B23,4,3),MMWR_TRAD_AGG_NATIONAL[],3,0),"--")</f>
        <v>134140</v>
      </c>
      <c r="H23" s="171">
        <f t="shared" si="0"/>
        <v>0.70661736043069212</v>
      </c>
      <c r="I23" s="25"/>
      <c r="J23" s="403" t="s">
        <v>278</v>
      </c>
      <c r="K23" s="405"/>
      <c r="L23" s="172">
        <f>IFERROR(VLOOKUP(MID(J23,4,3),MMWR_TRAD_AGG_NATIONAL[],2,0),"--")</f>
        <v>291</v>
      </c>
      <c r="M23" s="173">
        <f>IFERROR(VLOOKUP(MID(J23,4,3),MMWR_TRAD_AGG_NATIONAL[],3,0),"--")</f>
        <v>117</v>
      </c>
      <c r="N23" s="174">
        <f t="shared" si="2"/>
        <v>0.40206185567010311</v>
      </c>
      <c r="O23" s="56"/>
      <c r="P23" s="25"/>
      <c r="Q23" s="25"/>
      <c r="R23" s="25"/>
      <c r="S23" s="25"/>
      <c r="T23" s="56"/>
      <c r="U23" s="74"/>
      <c r="V23" s="25"/>
    </row>
    <row r="24" spans="1:22" s="1" customFormat="1" ht="39.75" customHeight="1" x14ac:dyDescent="0.4">
      <c r="A24" s="25"/>
      <c r="B24" s="397" t="s">
        <v>258</v>
      </c>
      <c r="C24" s="398"/>
      <c r="D24" s="398"/>
      <c r="E24" s="399"/>
      <c r="F24" s="169">
        <f>IFERROR(VLOOKUP(MID(B24,4,3),MMWR_TRAD_AGG_NATIONAL[],2,0),"--")</f>
        <v>194</v>
      </c>
      <c r="G24" s="170">
        <f>IFERROR(VLOOKUP(MID(B24,4,3),MMWR_TRAD_AGG_NATIONAL[],3,0),"--")</f>
        <v>123</v>
      </c>
      <c r="H24" s="171">
        <f t="shared" si="0"/>
        <v>0.634020618556701</v>
      </c>
      <c r="I24" s="25"/>
      <c r="J24" s="287" t="s">
        <v>277</v>
      </c>
      <c r="K24" s="396"/>
      <c r="L24" s="169">
        <f>IFERROR(VLOOKUP(MID(J24,4,3),MMWR_TRAD_AGG_NATIONAL[],2,0),"--")</f>
        <v>699</v>
      </c>
      <c r="M24" s="170">
        <f>IFERROR(VLOOKUP(MID(J24,4,3),MMWR_TRAD_AGG_NATIONAL[],3,0),"--")</f>
        <v>18</v>
      </c>
      <c r="N24" s="171">
        <f t="shared" si="2"/>
        <v>2.575107296137339E-2</v>
      </c>
      <c r="O24" s="56"/>
      <c r="P24" s="25"/>
      <c r="Q24" s="25"/>
      <c r="R24" s="25"/>
      <c r="S24" s="25"/>
      <c r="T24" s="56"/>
      <c r="U24" s="74"/>
      <c r="V24" s="25"/>
    </row>
    <row r="25" spans="1:22" s="1" customFormat="1" ht="37.5" customHeight="1" x14ac:dyDescent="0.4">
      <c r="A25" s="25"/>
      <c r="B25" s="397" t="s">
        <v>259</v>
      </c>
      <c r="C25" s="398"/>
      <c r="D25" s="398"/>
      <c r="E25" s="399"/>
      <c r="F25" s="169">
        <f>IFERROR(VLOOKUP(MID(B25,4,3),MMWR_TRAD_AGG_NATIONAL[],2,0),"--")</f>
        <v>287</v>
      </c>
      <c r="G25" s="170">
        <f>IFERROR(VLOOKUP(MID(B25,4,3),MMWR_TRAD_AGG_NATIONAL[],3,0),"--")</f>
        <v>225</v>
      </c>
      <c r="H25" s="171">
        <f t="shared" si="0"/>
        <v>0.78397212543554007</v>
      </c>
      <c r="I25" s="25"/>
      <c r="J25" s="287" t="s">
        <v>276</v>
      </c>
      <c r="K25" s="396"/>
      <c r="L25" s="169">
        <f>IFERROR(VLOOKUP(MID(J25,4,3),MMWR_TRAD_AGG_NATIONAL[],2,0),"--")</f>
        <v>702</v>
      </c>
      <c r="M25" s="170">
        <f>IFERROR(VLOOKUP(MID(J25,4,3),MMWR_TRAD_AGG_NATIONAL[],3,0),"--")</f>
        <v>352</v>
      </c>
      <c r="N25" s="171">
        <f t="shared" si="2"/>
        <v>0.50142450142450146</v>
      </c>
      <c r="O25" s="56"/>
      <c r="P25" s="56"/>
      <c r="Q25" s="56"/>
      <c r="R25" s="56"/>
      <c r="S25" s="56"/>
      <c r="T25" s="56"/>
      <c r="U25" s="74"/>
      <c r="V25" s="25"/>
    </row>
    <row r="26" spans="1:22" s="1" customFormat="1" ht="37.5" customHeight="1" thickBot="1" x14ac:dyDescent="0.45">
      <c r="A26" s="25"/>
      <c r="B26" s="397" t="s">
        <v>260</v>
      </c>
      <c r="C26" s="398"/>
      <c r="D26" s="398"/>
      <c r="E26" s="399"/>
      <c r="F26" s="169">
        <f>IFERROR(VLOOKUP(MID(B26,4,3),MMWR_TRAD_AGG_NATIONAL[],2,0),"--")</f>
        <v>101658</v>
      </c>
      <c r="G26" s="170">
        <f>IFERROR(VLOOKUP(MID(B26,4,3),MMWR_TRAD_AGG_NATIONAL[],3,0),"--")</f>
        <v>80303</v>
      </c>
      <c r="H26" s="171">
        <f t="shared" si="0"/>
        <v>0.78993291231383655</v>
      </c>
      <c r="I26" s="56"/>
      <c r="J26" s="292" t="s">
        <v>313</v>
      </c>
      <c r="K26" s="400"/>
      <c r="L26" s="175">
        <f>IFERROR(VLOOKUP(MID(J26,4,3),MMWR_TRAD_AGG_NATIONAL[],2,0),"--")</f>
        <v>42</v>
      </c>
      <c r="M26" s="176">
        <f>IFERROR(VLOOKUP(MID(J26,4,3),MMWR_TRAD_AGG_NATIONAL[],3,0),"--")</f>
        <v>31</v>
      </c>
      <c r="N26" s="177">
        <f t="shared" si="2"/>
        <v>0.73809523809523814</v>
      </c>
      <c r="O26" s="56"/>
      <c r="P26" s="56"/>
      <c r="Q26" s="56"/>
      <c r="R26" s="56"/>
      <c r="S26" s="56"/>
      <c r="T26" s="56"/>
      <c r="U26" s="74"/>
      <c r="V26" s="25"/>
    </row>
    <row r="27" spans="1:22" s="1" customFormat="1" ht="26.25" customHeight="1" thickBot="1" x14ac:dyDescent="0.45">
      <c r="A27" s="25"/>
      <c r="B27" s="397" t="s">
        <v>261</v>
      </c>
      <c r="C27" s="398"/>
      <c r="D27" s="398"/>
      <c r="E27" s="399"/>
      <c r="F27" s="169">
        <f>IFERROR(VLOOKUP(MID(B27,4,3),MMWR_TRAD_AGG_NATIONAL[],2,0),"--")</f>
        <v>320</v>
      </c>
      <c r="G27" s="170">
        <f>IFERROR(VLOOKUP(MID(B27,4,3),MMWR_TRAD_AGG_NATIONAL[],3,0),"--")</f>
        <v>158</v>
      </c>
      <c r="H27" s="171">
        <f t="shared" si="0"/>
        <v>0.49375000000000002</v>
      </c>
      <c r="I27" s="56"/>
      <c r="J27" s="56"/>
      <c r="K27" s="56"/>
      <c r="L27" s="56"/>
      <c r="M27" s="56"/>
      <c r="N27" s="56"/>
      <c r="O27" s="56"/>
      <c r="P27" s="56"/>
      <c r="Q27" s="56"/>
      <c r="R27" s="56"/>
      <c r="S27" s="56"/>
      <c r="T27" s="56"/>
      <c r="U27" s="74"/>
      <c r="V27" s="25"/>
    </row>
    <row r="28" spans="1:22" s="1" customFormat="1" ht="32.25" customHeight="1" x14ac:dyDescent="0.4">
      <c r="A28" s="25"/>
      <c r="B28" s="397" t="s">
        <v>262</v>
      </c>
      <c r="C28" s="398"/>
      <c r="D28" s="398"/>
      <c r="E28" s="399"/>
      <c r="F28" s="169">
        <f>IFERROR(VLOOKUP(MID(B28,4,3),MMWR_TRAD_AGG_NATIONAL[],2,0),"--")</f>
        <v>15730</v>
      </c>
      <c r="G28" s="170">
        <f>IFERROR(VLOOKUP(MID(B28,4,3),MMWR_TRAD_AGG_NATIONAL[],3,0),"--")</f>
        <v>3337</v>
      </c>
      <c r="H28" s="171">
        <f t="shared" si="0"/>
        <v>0.21214240305149396</v>
      </c>
      <c r="I28" s="68" t="s">
        <v>310</v>
      </c>
      <c r="J28" s="409" t="s">
        <v>312</v>
      </c>
      <c r="K28" s="410"/>
      <c r="L28" s="410"/>
      <c r="M28" s="410"/>
      <c r="N28" s="411"/>
      <c r="O28" s="444" t="s">
        <v>310</v>
      </c>
      <c r="P28" s="75"/>
      <c r="Q28" s="56"/>
      <c r="R28" s="56"/>
      <c r="S28" s="56"/>
      <c r="T28" s="56"/>
      <c r="U28" s="74"/>
      <c r="V28" s="25"/>
    </row>
    <row r="29" spans="1:22" s="1" customFormat="1" ht="27" customHeight="1" thickBot="1" x14ac:dyDescent="0.45">
      <c r="A29" s="25"/>
      <c r="B29" s="397" t="s">
        <v>263</v>
      </c>
      <c r="C29" s="398"/>
      <c r="D29" s="398"/>
      <c r="E29" s="399"/>
      <c r="F29" s="169">
        <f>IFERROR(VLOOKUP(MID(B29,4,3),MMWR_TRAD_AGG_NATIONAL[],2,0),"--")</f>
        <v>116890</v>
      </c>
      <c r="G29" s="170">
        <f>IFERROR(VLOOKUP(MID(B29,4,3),MMWR_TRAD_AGG_NATIONAL[],3,0),"--")</f>
        <v>68864</v>
      </c>
      <c r="H29" s="171">
        <f t="shared" si="0"/>
        <v>0.5891350842672598</v>
      </c>
      <c r="I29" s="56"/>
      <c r="J29" s="412"/>
      <c r="K29" s="413"/>
      <c r="L29" s="413"/>
      <c r="M29" s="413"/>
      <c r="N29" s="414"/>
      <c r="O29" s="444"/>
      <c r="P29" s="76"/>
      <c r="Q29" s="56"/>
      <c r="R29" s="56"/>
      <c r="S29" s="56"/>
      <c r="T29" s="56"/>
      <c r="U29" s="74"/>
      <c r="V29" s="25"/>
    </row>
    <row r="30" spans="1:22" s="1" customFormat="1" ht="32.25" customHeight="1" thickBot="1" x14ac:dyDescent="0.45">
      <c r="A30" s="25"/>
      <c r="B30" s="401" t="s">
        <v>29</v>
      </c>
      <c r="C30" s="402"/>
      <c r="D30" s="402"/>
      <c r="E30" s="402"/>
      <c r="F30" s="167">
        <f>SUM(F31:F37)</f>
        <v>119770</v>
      </c>
      <c r="G30" s="167">
        <f>SUM(G31:G37)</f>
        <v>95662</v>
      </c>
      <c r="H30" s="159">
        <f t="shared" si="0"/>
        <v>0.79871420222092349</v>
      </c>
      <c r="I30" s="56"/>
      <c r="J30" s="28"/>
      <c r="K30" s="28"/>
      <c r="L30" s="28"/>
      <c r="M30" s="28"/>
      <c r="N30" s="28"/>
      <c r="O30" s="28"/>
      <c r="P30" s="56"/>
      <c r="Q30" s="56"/>
      <c r="R30" s="56"/>
      <c r="S30" s="56"/>
      <c r="T30" s="56"/>
      <c r="U30" s="74"/>
      <c r="V30" s="25"/>
    </row>
    <row r="31" spans="1:22" s="1" customFormat="1" ht="33.75" customHeight="1" x14ac:dyDescent="0.4">
      <c r="A31" s="25"/>
      <c r="B31" s="287" t="s">
        <v>280</v>
      </c>
      <c r="C31" s="288"/>
      <c r="D31" s="288"/>
      <c r="E31" s="396"/>
      <c r="F31" s="169">
        <f>IFERROR(VLOOKUP(MID(B31,4,3),MMWR_TRAD_AGG_NATIONAL[],2,0),"--")</f>
        <v>40</v>
      </c>
      <c r="G31" s="170">
        <f>IFERROR(VLOOKUP(MID(B31,4,3),MMWR_TRAD_AGG_NATIONAL[],3,0),"--")</f>
        <v>38</v>
      </c>
      <c r="H31" s="171">
        <f t="shared" si="0"/>
        <v>0.95</v>
      </c>
      <c r="I31" s="56"/>
      <c r="J31" s="56"/>
      <c r="K31" s="56"/>
      <c r="L31" s="56"/>
      <c r="M31" s="56"/>
      <c r="N31" s="56"/>
      <c r="O31" s="56"/>
      <c r="P31" s="56"/>
      <c r="Q31" s="56"/>
      <c r="R31" s="56"/>
      <c r="S31" s="56"/>
      <c r="T31" s="56"/>
      <c r="U31" s="74"/>
      <c r="V31" s="25"/>
    </row>
    <row r="32" spans="1:22" s="1" customFormat="1" ht="32.25" customHeight="1" x14ac:dyDescent="0.4">
      <c r="A32" s="25"/>
      <c r="B32" s="287" t="s">
        <v>281</v>
      </c>
      <c r="C32" s="288"/>
      <c r="D32" s="288"/>
      <c r="E32" s="396"/>
      <c r="F32" s="169">
        <f>IFERROR(VLOOKUP(MID(B32,4,3),MMWR_TRAD_AGG_NATIONAL[],2,0),"--")</f>
        <v>36738</v>
      </c>
      <c r="G32" s="170">
        <f>IFERROR(VLOOKUP(MID(B32,4,3),MMWR_TRAD_AGG_NATIONAL[],3,0),"--")</f>
        <v>26262</v>
      </c>
      <c r="H32" s="171">
        <f t="shared" si="0"/>
        <v>0.71484566389024984</v>
      </c>
      <c r="I32" s="56"/>
      <c r="J32" s="56"/>
      <c r="K32" s="56"/>
      <c r="L32" s="56"/>
      <c r="M32" s="56"/>
      <c r="N32" s="56"/>
      <c r="O32" s="56"/>
      <c r="P32" s="56"/>
      <c r="Q32" s="56"/>
      <c r="R32" s="56"/>
      <c r="S32" s="56"/>
      <c r="T32" s="56"/>
      <c r="U32" s="74"/>
      <c r="V32" s="25"/>
    </row>
    <row r="33" spans="1:22" s="1" customFormat="1" ht="32.25" customHeight="1" x14ac:dyDescent="0.4">
      <c r="A33" s="25"/>
      <c r="B33" s="287" t="s">
        <v>282</v>
      </c>
      <c r="C33" s="288"/>
      <c r="D33" s="288"/>
      <c r="E33" s="396"/>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7" t="s">
        <v>283</v>
      </c>
      <c r="C34" s="288"/>
      <c r="D34" s="288"/>
      <c r="E34" s="396"/>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7" t="s">
        <v>284</v>
      </c>
      <c r="C35" s="288"/>
      <c r="D35" s="288"/>
      <c r="E35" s="396"/>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7" t="s">
        <v>285</v>
      </c>
      <c r="C36" s="288"/>
      <c r="D36" s="288"/>
      <c r="E36" s="396"/>
      <c r="F36" s="169">
        <f>IFERROR(VLOOKUP(MID(B36,4,3),MMWR_TRAD_AGG_NATIONAL[],2,0),"--")</f>
        <v>20042</v>
      </c>
      <c r="G36" s="170">
        <f>IFERROR(VLOOKUP(MID(B36,4,3),MMWR_TRAD_AGG_NATIONAL[],3,0),"--")</f>
        <v>14666</v>
      </c>
      <c r="H36" s="171">
        <f t="shared" si="0"/>
        <v>0.73176329707614007</v>
      </c>
      <c r="I36" s="56"/>
      <c r="J36" s="56"/>
      <c r="K36" s="56"/>
      <c r="L36" s="56"/>
      <c r="M36" s="56"/>
      <c r="N36" s="56"/>
      <c r="O36" s="56"/>
      <c r="P36" s="56"/>
      <c r="Q36" s="56"/>
      <c r="R36" s="56"/>
      <c r="S36" s="56"/>
      <c r="T36" s="56"/>
      <c r="U36" s="74"/>
      <c r="V36" s="25"/>
    </row>
    <row r="37" spans="1:22" s="1" customFormat="1" ht="27" customHeight="1" thickBot="1" x14ac:dyDescent="0.45">
      <c r="A37" s="25"/>
      <c r="B37" s="287" t="s">
        <v>286</v>
      </c>
      <c r="C37" s="288"/>
      <c r="D37" s="288"/>
      <c r="E37" s="396"/>
      <c r="F37" s="169">
        <f>IFERROR(VLOOKUP(MID(B37,4,3)&amp;"G",MMWR_TRAD_AGG_NATIONAL[],2,0),"--")</f>
        <v>62950</v>
      </c>
      <c r="G37" s="170">
        <f>IFERROR(VLOOKUP(MID(B37,4,3)&amp;"G",MMWR_TRAD_AGG_NATIONAL[],3,0),"--")</f>
        <v>54696</v>
      </c>
      <c r="H37" s="171">
        <f t="shared" si="0"/>
        <v>0.86888006354249403</v>
      </c>
      <c r="I37" s="56"/>
      <c r="J37" s="56"/>
      <c r="K37" s="56"/>
      <c r="L37" s="56"/>
      <c r="M37" s="56"/>
      <c r="N37" s="56"/>
      <c r="O37" s="56"/>
      <c r="P37" s="56"/>
      <c r="Q37" s="56"/>
      <c r="R37" s="56"/>
      <c r="S37" s="56"/>
      <c r="T37" s="56"/>
      <c r="U37" s="74"/>
      <c r="V37" s="25"/>
    </row>
    <row r="38" spans="1:22" s="1" customFormat="1" ht="32.25" customHeight="1" thickBot="1" x14ac:dyDescent="0.45">
      <c r="A38" s="25"/>
      <c r="B38" s="401" t="s">
        <v>238</v>
      </c>
      <c r="C38" s="402"/>
      <c r="D38" s="402"/>
      <c r="E38" s="402"/>
      <c r="F38" s="166">
        <f>SUM(F39:F44)</f>
        <v>159694</v>
      </c>
      <c r="G38" s="167">
        <f>SUM(G39:G44)</f>
        <v>105419</v>
      </c>
      <c r="H38" s="168">
        <f t="shared" si="0"/>
        <v>0.66013125101757109</v>
      </c>
      <c r="I38" s="56"/>
      <c r="J38" s="56"/>
      <c r="K38" s="75"/>
      <c r="L38" s="75"/>
      <c r="M38" s="75"/>
      <c r="N38" s="75"/>
      <c r="O38" s="75"/>
      <c r="P38" s="56"/>
      <c r="Q38" s="56"/>
      <c r="R38" s="56"/>
      <c r="S38" s="56"/>
      <c r="T38" s="56"/>
      <c r="U38" s="74"/>
      <c r="V38" s="25"/>
    </row>
    <row r="39" spans="1:22" s="1" customFormat="1" ht="26.25" customHeight="1" x14ac:dyDescent="0.4">
      <c r="A39" s="25"/>
      <c r="B39" s="403" t="s">
        <v>287</v>
      </c>
      <c r="C39" s="404"/>
      <c r="D39" s="404"/>
      <c r="E39" s="405"/>
      <c r="F39" s="172">
        <f>IFERROR(VLOOKUP(MID(B39,4,3),MMWR_TRAD_AGG_NATIONAL[],2,0),"--")</f>
        <v>7393</v>
      </c>
      <c r="G39" s="173">
        <f>IFERROR(VLOOKUP(MID(B39,4,3),MMWR_TRAD_AGG_NATIONAL[],3,0),"--")</f>
        <v>5871</v>
      </c>
      <c r="H39" s="174">
        <f t="shared" si="0"/>
        <v>0.79412958203706208</v>
      </c>
      <c r="I39" s="56"/>
      <c r="J39" s="56"/>
      <c r="K39" s="75"/>
      <c r="L39" s="75"/>
      <c r="M39" s="75"/>
      <c r="N39" s="75"/>
      <c r="O39" s="75"/>
      <c r="P39" s="56"/>
      <c r="Q39" s="56"/>
      <c r="R39" s="56"/>
      <c r="S39" s="56"/>
      <c r="T39" s="56"/>
      <c r="U39" s="74"/>
      <c r="V39" s="25"/>
    </row>
    <row r="40" spans="1:22" s="1" customFormat="1" ht="26.25" customHeight="1" x14ac:dyDescent="0.4">
      <c r="A40" s="25"/>
      <c r="B40" s="287" t="s">
        <v>288</v>
      </c>
      <c r="C40" s="288"/>
      <c r="D40" s="288"/>
      <c r="E40" s="396"/>
      <c r="F40" s="169">
        <f>IFERROR(VLOOKUP(MID(B40,4,3),MMWR_TRAD_AGG_NATIONAL[],2,0),"--")</f>
        <v>67947</v>
      </c>
      <c r="G40" s="170">
        <f>IFERROR(VLOOKUP(MID(B40,4,3),MMWR_TRAD_AGG_NATIONAL[],3,0),"--")</f>
        <v>51357</v>
      </c>
      <c r="H40" s="171">
        <f t="shared" si="0"/>
        <v>0.75583910989447656</v>
      </c>
      <c r="I40" s="56"/>
      <c r="J40" s="56"/>
      <c r="K40" s="56"/>
      <c r="L40" s="56"/>
      <c r="M40" s="56"/>
      <c r="N40" s="56"/>
      <c r="O40" s="56"/>
      <c r="P40" s="56"/>
      <c r="Q40" s="56"/>
      <c r="R40" s="56"/>
      <c r="S40" s="56"/>
      <c r="T40" s="56"/>
      <c r="U40" s="74"/>
      <c r="V40" s="25"/>
    </row>
    <row r="41" spans="1:22" s="1" customFormat="1" ht="26.25" customHeight="1" x14ac:dyDescent="0.4">
      <c r="A41" s="25"/>
      <c r="B41" s="287" t="s">
        <v>289</v>
      </c>
      <c r="C41" s="288"/>
      <c r="D41" s="288"/>
      <c r="E41" s="396"/>
      <c r="F41" s="169">
        <f>IFERROR(VLOOKUP(MID(B41,4,3),MMWR_TRAD_AGG_NATIONAL[],2,0),"--")</f>
        <v>1162</v>
      </c>
      <c r="G41" s="170">
        <f>IFERROR(VLOOKUP(MID(B41,4,3),MMWR_TRAD_AGG_NATIONAL[],3,0),"--")</f>
        <v>307</v>
      </c>
      <c r="H41" s="171">
        <f t="shared" si="0"/>
        <v>0.2641996557659208</v>
      </c>
      <c r="I41" s="56"/>
      <c r="J41" s="56"/>
      <c r="K41" s="56"/>
      <c r="L41" s="56"/>
      <c r="M41" s="56"/>
      <c r="N41" s="56"/>
      <c r="O41" s="56"/>
      <c r="P41" s="56"/>
      <c r="Q41" s="56"/>
      <c r="R41" s="56"/>
      <c r="S41" s="56"/>
      <c r="T41" s="56"/>
      <c r="U41" s="74"/>
      <c r="V41" s="25"/>
    </row>
    <row r="42" spans="1:22" s="1" customFormat="1" ht="36" customHeight="1" x14ac:dyDescent="0.4">
      <c r="A42" s="25"/>
      <c r="B42" s="287" t="s">
        <v>290</v>
      </c>
      <c r="C42" s="288"/>
      <c r="D42" s="288"/>
      <c r="E42" s="396"/>
      <c r="F42" s="169">
        <f>IFERROR(VLOOKUP(MID(B42,4,3),MMWR_TRAD_AGG_NATIONAL[],2,0),"--")</f>
        <v>62545</v>
      </c>
      <c r="G42" s="170">
        <f>IFERROR(VLOOKUP(MID(B42,4,3),MMWR_TRAD_AGG_NATIONAL[],3,0),"--")</f>
        <v>35627</v>
      </c>
      <c r="H42" s="171">
        <f t="shared" si="0"/>
        <v>0.56962187225197858</v>
      </c>
      <c r="I42" s="56"/>
      <c r="J42" s="56"/>
      <c r="K42" s="56"/>
      <c r="L42" s="56"/>
      <c r="M42" s="56"/>
      <c r="N42" s="56"/>
      <c r="O42" s="56"/>
      <c r="P42" s="56"/>
      <c r="Q42" s="56"/>
      <c r="R42" s="56"/>
      <c r="S42" s="56"/>
      <c r="T42" s="56"/>
      <c r="U42" s="74"/>
      <c r="V42" s="25"/>
    </row>
    <row r="43" spans="1:22" s="1" customFormat="1" ht="33" customHeight="1" x14ac:dyDescent="0.4">
      <c r="A43" s="25"/>
      <c r="B43" s="287" t="s">
        <v>291</v>
      </c>
      <c r="C43" s="288"/>
      <c r="D43" s="288"/>
      <c r="E43" s="396"/>
      <c r="F43" s="169">
        <f>IFERROR(VLOOKUP(MID(B43,4,3),MMWR_TRAD_AGG_NATIONAL[],2,0),"--")</f>
        <v>20118</v>
      </c>
      <c r="G43" s="170">
        <f>IFERROR(VLOOKUP(MID(B43,4,3),MMWR_TRAD_AGG_NATIONAL[],3,0),"--")</f>
        <v>11811</v>
      </c>
      <c r="H43" s="171">
        <f t="shared" si="0"/>
        <v>0.58708619147032504</v>
      </c>
      <c r="I43" s="56"/>
      <c r="J43" s="56"/>
      <c r="K43" s="56"/>
      <c r="L43" s="56"/>
      <c r="M43" s="56"/>
      <c r="N43" s="56"/>
      <c r="O43" s="56"/>
      <c r="P43" s="56"/>
      <c r="Q43" s="56"/>
      <c r="R43" s="56"/>
      <c r="S43" s="56"/>
      <c r="T43" s="56"/>
      <c r="U43" s="74"/>
      <c r="V43" s="25"/>
    </row>
    <row r="44" spans="1:22" s="1" customFormat="1" ht="27" customHeight="1" thickBot="1" x14ac:dyDescent="0.45">
      <c r="A44" s="25"/>
      <c r="B44" s="292" t="s">
        <v>292</v>
      </c>
      <c r="C44" s="293"/>
      <c r="D44" s="293"/>
      <c r="E44" s="400"/>
      <c r="F44" s="175">
        <f>IFERROR(VLOOKUP(MID(B44,4,3),MMWR_TRAD_AGG_NATIONAL[],2,0),"--")</f>
        <v>529</v>
      </c>
      <c r="G44" s="176">
        <f>IFERROR(VLOOKUP(MID(B44,4,3),MMWR_TRAD_AGG_NATIONAL[],3,0),"--")</f>
        <v>446</v>
      </c>
      <c r="H44" s="177">
        <f t="shared" si="0"/>
        <v>0.84310018903591677</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MARCH 12, 2016</v>
      </c>
      <c r="D2" s="454"/>
      <c r="E2" s="454"/>
      <c r="F2" s="454"/>
      <c r="G2" s="454"/>
      <c r="H2" s="454"/>
      <c r="I2" s="454"/>
      <c r="J2" s="454"/>
      <c r="K2" s="454"/>
      <c r="L2" s="454"/>
      <c r="M2" s="454"/>
      <c r="N2" s="454"/>
      <c r="O2" s="454"/>
      <c r="P2" s="454"/>
      <c r="Q2" s="454"/>
      <c r="R2" s="454"/>
      <c r="S2" s="455"/>
      <c r="T2" s="25"/>
    </row>
    <row r="3" spans="1:20" x14ac:dyDescent="0.2">
      <c r="A3" s="25"/>
      <c r="B3" s="26"/>
      <c r="C3" s="456" t="s">
        <v>225</v>
      </c>
      <c r="D3" s="457"/>
      <c r="E3" s="458" t="s">
        <v>205</v>
      </c>
      <c r="F3" s="459"/>
      <c r="G3" s="460"/>
      <c r="H3" s="458" t="s">
        <v>7</v>
      </c>
      <c r="I3" s="459"/>
      <c r="J3" s="460"/>
      <c r="K3" s="458" t="s">
        <v>30</v>
      </c>
      <c r="L3" s="459"/>
      <c r="M3" s="460"/>
      <c r="N3" s="458" t="s">
        <v>8</v>
      </c>
      <c r="O3" s="459"/>
      <c r="P3" s="460"/>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489</v>
      </c>
      <c r="T4" s="91"/>
    </row>
    <row r="5" spans="1:20" ht="26.25" x14ac:dyDescent="0.4">
      <c r="A5" s="25"/>
      <c r="B5" s="26"/>
      <c r="C5" s="453" t="s">
        <v>487</v>
      </c>
      <c r="D5" s="454"/>
      <c r="E5" s="454"/>
      <c r="F5" s="454"/>
      <c r="G5" s="454"/>
      <c r="H5" s="454"/>
      <c r="I5" s="454"/>
      <c r="J5" s="454"/>
      <c r="K5" s="454"/>
      <c r="L5" s="454"/>
      <c r="M5" s="454"/>
      <c r="N5" s="454"/>
      <c r="O5" s="454"/>
      <c r="P5" s="454"/>
      <c r="Q5" s="454"/>
      <c r="R5" s="454"/>
      <c r="S5" s="455"/>
      <c r="T5" s="25"/>
    </row>
    <row r="6" spans="1:20" x14ac:dyDescent="0.2">
      <c r="A6" s="92"/>
      <c r="B6" s="93" t="s">
        <v>462</v>
      </c>
      <c r="C6" s="208">
        <f>IFERROR(VLOOKUP($B6,MMWR_TRAD_AGG_DISTRICT_COMP[],C$1,0),"ERROR")</f>
        <v>291714</v>
      </c>
      <c r="D6" s="186">
        <f>IFERROR(VLOOKUP($B6,MMWR_TRAD_AGG_DISTRICT_COMP[],D$1,0),"ERROR")</f>
        <v>391.22387681079999</v>
      </c>
      <c r="E6" s="194">
        <f>IFERROR(VLOOKUP($B6,MMWR_TRAD_AGG_DISTRICT_COMP[],E$1,0),"ERROR")</f>
        <v>319271</v>
      </c>
      <c r="F6" s="188">
        <f>IFERROR(VLOOKUP($B6,MMWR_TRAD_AGG_DISTRICT_COMP[],F$1,0),"ERROR")</f>
        <v>79676</v>
      </c>
      <c r="G6" s="211">
        <f t="shared" ref="G6:G69" si="0">IFERROR(F6/E6,"0%")</f>
        <v>0.24955601980762424</v>
      </c>
      <c r="H6" s="187">
        <f>IFERROR(VLOOKUP($B6,MMWR_TRAD_AGG_DISTRICT_COMP[],H$1,0),"ERROR")</f>
        <v>424913</v>
      </c>
      <c r="I6" s="188">
        <f>IFERROR(VLOOKUP($B6,MMWR_TRAD_AGG_DISTRICT_COMP[],I$1,0),"ERROR")</f>
        <v>287150</v>
      </c>
      <c r="J6" s="211">
        <f t="shared" ref="J6:J69" si="1">IFERROR(I6/H6,"0%")</f>
        <v>0.67578539606931298</v>
      </c>
      <c r="K6" s="187">
        <f>IFERROR(VLOOKUP($B6,MMWR_TRAD_AGG_DISTRICT_COMP[],K$1,0),"ERROR")</f>
        <v>123651</v>
      </c>
      <c r="L6" s="188">
        <f>IFERROR(VLOOKUP($B6,MMWR_TRAD_AGG_DISTRICT_COMP[],L$1,0),"ERROR")</f>
        <v>99341</v>
      </c>
      <c r="M6" s="211">
        <f t="shared" ref="M6:M69" si="2">IFERROR(L6/K6,"0%")</f>
        <v>0.80339827417489551</v>
      </c>
      <c r="N6" s="187">
        <f>IFERROR(VLOOKUP($B6,MMWR_TRAD_AGG_DISTRICT_COMP[],N$1,0),"ERROR")</f>
        <v>161029</v>
      </c>
      <c r="O6" s="188">
        <f>IFERROR(VLOOKUP($B6,MMWR_TRAD_AGG_DISTRICT_COMP[],O$1,0),"ERROR")</f>
        <v>106203</v>
      </c>
      <c r="P6" s="211">
        <f t="shared" ref="P6:P69" si="3">IFERROR(O6/N6,"0%")</f>
        <v>0.65952716591421423</v>
      </c>
      <c r="Q6" s="200">
        <f>IFERROR(VLOOKUP($B6,MMWR_TRAD_AGG_DISTRICT_COMP[],Q$1,0),"ERROR")</f>
        <v>20066</v>
      </c>
      <c r="R6" s="200">
        <f>IFERROR(VLOOKUP($B6,MMWR_TRAD_AGG_DISTRICT_COMP[],R$1,0),"ERROR")</f>
        <v>4152</v>
      </c>
      <c r="S6" s="203">
        <f>S7+S25+S38+S49+S62+S70</f>
        <v>319570</v>
      </c>
      <c r="T6" s="25"/>
    </row>
    <row r="7" spans="1:20" x14ac:dyDescent="0.2">
      <c r="A7" s="92"/>
      <c r="B7" s="101" t="s">
        <v>370</v>
      </c>
      <c r="C7" s="212">
        <f>IFERROR(VLOOKUP($B7,MMWR_TRAD_AGG_DISTRICT_COMP[],C$1,0),"ERROR")</f>
        <v>87694</v>
      </c>
      <c r="D7" s="197">
        <f>IFERROR(VLOOKUP($B7,MMWR_TRAD_AGG_DISTRICT_COMP[],D$1,0),"ERROR")</f>
        <v>458.93973361920001</v>
      </c>
      <c r="E7" s="213">
        <f>IFERROR(VLOOKUP($B7,MMWR_TRAD_AGG_DISTRICT_COMP[],E$1,0),"ERROR")</f>
        <v>76042</v>
      </c>
      <c r="F7" s="212">
        <f>IFERROR(VLOOKUP($B7,MMWR_TRAD_AGG_DISTRICT_COMP[],F$1,0),"ERROR")</f>
        <v>20019</v>
      </c>
      <c r="G7" s="214">
        <f t="shared" si="0"/>
        <v>0.26326240761684333</v>
      </c>
      <c r="H7" s="212">
        <f>IFERROR(VLOOKUP($B7,MMWR_TRAD_AGG_DISTRICT_COMP[],H$1,0),"ERROR")</f>
        <v>120514</v>
      </c>
      <c r="I7" s="212">
        <f>IFERROR(VLOOKUP($B7,MMWR_TRAD_AGG_DISTRICT_COMP[],I$1,0),"ERROR")</f>
        <v>87670</v>
      </c>
      <c r="J7" s="214">
        <f t="shared" si="1"/>
        <v>0.72746734819191128</v>
      </c>
      <c r="K7" s="212">
        <f>IFERROR(VLOOKUP($B7,MMWR_TRAD_AGG_DISTRICT_COMP[],K$1,0),"ERROR")</f>
        <v>40062</v>
      </c>
      <c r="L7" s="212">
        <f>IFERROR(VLOOKUP($B7,MMWR_TRAD_AGG_DISTRICT_COMP[],L$1,0),"ERROR")</f>
        <v>32594</v>
      </c>
      <c r="M7" s="214">
        <f t="shared" si="2"/>
        <v>0.81358893714742153</v>
      </c>
      <c r="N7" s="212">
        <f>IFERROR(VLOOKUP($B7,MMWR_TRAD_AGG_DISTRICT_COMP[],N$1,0),"ERROR")</f>
        <v>27756</v>
      </c>
      <c r="O7" s="212">
        <f>IFERROR(VLOOKUP($B7,MMWR_TRAD_AGG_DISTRICT_COMP[],O$1,0),"ERROR")</f>
        <v>19937</v>
      </c>
      <c r="P7" s="214">
        <f t="shared" si="3"/>
        <v>0.71829514339241962</v>
      </c>
      <c r="Q7" s="212">
        <f>IFERROR(VLOOKUP($B7,MMWR_TRAD_AGG_DISTRICT_COMP[],Q$1,0),"ERROR")</f>
        <v>12576</v>
      </c>
      <c r="R7" s="215">
        <f>IFERROR(VLOOKUP($B7,MMWR_TRAD_AGG_DISTRICT_COMP[],R$1,0),"ERROR")</f>
        <v>54</v>
      </c>
      <c r="S7" s="215">
        <f>IFERROR(VLOOKUP($B7,MMWR_APP_RO[],S$1,0),"ERROR")</f>
        <v>56673</v>
      </c>
      <c r="T7" s="25"/>
    </row>
    <row r="8" spans="1:20" x14ac:dyDescent="0.2">
      <c r="A8" s="107"/>
      <c r="B8" s="108" t="s">
        <v>33</v>
      </c>
      <c r="C8" s="209">
        <f>IFERROR(VLOOKUP($B8,MMWR_TRAD_AGG_RO_COMP[],C$1,0),"ERROR")</f>
        <v>7878</v>
      </c>
      <c r="D8" s="198">
        <f>IFERROR(VLOOKUP($B8,MMWR_TRAD_AGG_RO_COMP[],D$1,0),"ERROR")</f>
        <v>744.74930185330004</v>
      </c>
      <c r="E8" s="195">
        <f>IFERROR(VLOOKUP($B8,MMWR_TRAD_AGG_RO_COMP[],E$1,0),"ERROR")</f>
        <v>4559</v>
      </c>
      <c r="F8" s="191">
        <f>IFERROR(VLOOKUP($B8,MMWR_TRAD_AGG_RO_COMP[],F$1,0),"ERROR")</f>
        <v>1266</v>
      </c>
      <c r="G8" s="216">
        <f t="shared" si="0"/>
        <v>0.27769247642026762</v>
      </c>
      <c r="H8" s="190">
        <f>IFERROR(VLOOKUP($B8,MMWR_TRAD_AGG_RO_COMP[],H$1,0),"ERROR")</f>
        <v>9391</v>
      </c>
      <c r="I8" s="191">
        <f>IFERROR(VLOOKUP($B8,MMWR_TRAD_AGG_RO_COMP[],I$1,0),"ERROR")</f>
        <v>7861</v>
      </c>
      <c r="J8" s="216">
        <f t="shared" si="1"/>
        <v>0.83707805345543607</v>
      </c>
      <c r="K8" s="204">
        <f>IFERROR(VLOOKUP($B8,MMWR_TRAD_AGG_RO_COMP[],K$1,0),"ERROR")</f>
        <v>1844</v>
      </c>
      <c r="L8" s="205">
        <f>IFERROR(VLOOKUP($B8,MMWR_TRAD_AGG_RO_COMP[],L$1,0),"ERROR")</f>
        <v>1671</v>
      </c>
      <c r="M8" s="216">
        <f t="shared" si="2"/>
        <v>0.9061822125813449</v>
      </c>
      <c r="N8" s="204">
        <f>IFERROR(VLOOKUP($B8,MMWR_TRAD_AGG_RO_COMP[],N$1,0),"ERROR")</f>
        <v>1429</v>
      </c>
      <c r="O8" s="205">
        <f>IFERROR(VLOOKUP($B8,MMWR_TRAD_AGG_RO_COMP[],O$1,0),"ERROR")</f>
        <v>1074</v>
      </c>
      <c r="P8" s="216">
        <f t="shared" si="3"/>
        <v>0.75157452764170751</v>
      </c>
      <c r="Q8" s="201">
        <f>IFERROR(VLOOKUP($B8,MMWR_TRAD_AGG_RO_COMP[],Q$1,0),"ERROR")</f>
        <v>0</v>
      </c>
      <c r="R8" s="201">
        <f>IFERROR(VLOOKUP($B8,MMWR_TRAD_AGG_RO_COMP[],R$1,0),"ERROR")</f>
        <v>5</v>
      </c>
      <c r="S8" s="201">
        <f>IFERROR(VLOOKUP($B8,MMWR_APP_RO[],S$1,0),"ERROR")</f>
        <v>5740</v>
      </c>
      <c r="T8" s="25"/>
    </row>
    <row r="9" spans="1:20" x14ac:dyDescent="0.2">
      <c r="A9" s="107"/>
      <c r="B9" s="108" t="s">
        <v>35</v>
      </c>
      <c r="C9" s="209">
        <f>IFERROR(VLOOKUP($B9,MMWR_TRAD_AGG_RO_COMP[],C$1,0),"ERROR")</f>
        <v>4215</v>
      </c>
      <c r="D9" s="198">
        <f>IFERROR(VLOOKUP($B9,MMWR_TRAD_AGG_RO_COMP[],D$1,0),"ERROR")</f>
        <v>621.90581257409997</v>
      </c>
      <c r="E9" s="195">
        <f>IFERROR(VLOOKUP($B9,MMWR_TRAD_AGG_RO_COMP[],E$1,0),"ERROR")</f>
        <v>3590</v>
      </c>
      <c r="F9" s="191">
        <f>IFERROR(VLOOKUP($B9,MMWR_TRAD_AGG_RO_COMP[],F$1,0),"ERROR")</f>
        <v>869</v>
      </c>
      <c r="G9" s="216">
        <f t="shared" si="0"/>
        <v>0.24206128133704735</v>
      </c>
      <c r="H9" s="190">
        <f>IFERROR(VLOOKUP($B9,MMWR_TRAD_AGG_RO_COMP[],H$1,0),"ERROR")</f>
        <v>5738</v>
      </c>
      <c r="I9" s="191">
        <f>IFERROR(VLOOKUP($B9,MMWR_TRAD_AGG_RO_COMP[],I$1,0),"ERROR")</f>
        <v>4431</v>
      </c>
      <c r="J9" s="216">
        <f t="shared" si="1"/>
        <v>0.77222028581387248</v>
      </c>
      <c r="K9" s="204">
        <f>IFERROR(VLOOKUP($B9,MMWR_TRAD_AGG_RO_COMP[],K$1,0),"ERROR")</f>
        <v>2739</v>
      </c>
      <c r="L9" s="205">
        <f>IFERROR(VLOOKUP($B9,MMWR_TRAD_AGG_RO_COMP[],L$1,0),"ERROR")</f>
        <v>2209</v>
      </c>
      <c r="M9" s="216">
        <f t="shared" si="2"/>
        <v>0.80649872216137275</v>
      </c>
      <c r="N9" s="204">
        <f>IFERROR(VLOOKUP($B9,MMWR_TRAD_AGG_RO_COMP[],N$1,0),"ERROR")</f>
        <v>688</v>
      </c>
      <c r="O9" s="205">
        <f>IFERROR(VLOOKUP($B9,MMWR_TRAD_AGG_RO_COMP[],O$1,0),"ERROR")</f>
        <v>577</v>
      </c>
      <c r="P9" s="216">
        <f t="shared" si="3"/>
        <v>0.83866279069767447</v>
      </c>
      <c r="Q9" s="201">
        <f>IFERROR(VLOOKUP($B9,MMWR_TRAD_AGG_RO_COMP[],Q$1,0),"ERROR")</f>
        <v>0</v>
      </c>
      <c r="R9" s="201">
        <f>IFERROR(VLOOKUP($B9,MMWR_TRAD_AGG_RO_COMP[],R$1,0),"ERROR")</f>
        <v>1</v>
      </c>
      <c r="S9" s="201">
        <f>IFERROR(VLOOKUP($B9,MMWR_APP_RO[],S$1,0),"ERROR")</f>
        <v>3260</v>
      </c>
      <c r="T9" s="25"/>
    </row>
    <row r="10" spans="1:20" x14ac:dyDescent="0.2">
      <c r="A10" s="107"/>
      <c r="B10" s="108" t="s">
        <v>24</v>
      </c>
      <c r="C10" s="209">
        <f>IFERROR(VLOOKUP($B10,MMWR_TRAD_AGG_RO_COMP[],C$1,0),"ERROR")</f>
        <v>1016</v>
      </c>
      <c r="D10" s="198">
        <f>IFERROR(VLOOKUP($B10,MMWR_TRAD_AGG_RO_COMP[],D$1,0),"ERROR")</f>
        <v>158.65452755909999</v>
      </c>
      <c r="E10" s="195">
        <f>IFERROR(VLOOKUP($B10,MMWR_TRAD_AGG_RO_COMP[],E$1,0),"ERROR")</f>
        <v>3995</v>
      </c>
      <c r="F10" s="191">
        <f>IFERROR(VLOOKUP($B10,MMWR_TRAD_AGG_RO_COMP[],F$1,0),"ERROR")</f>
        <v>753</v>
      </c>
      <c r="G10" s="216">
        <f t="shared" si="0"/>
        <v>0.18848560700876096</v>
      </c>
      <c r="H10" s="190">
        <f>IFERROR(VLOOKUP($B10,MMWR_TRAD_AGG_RO_COMP[],H$1,0),"ERROR")</f>
        <v>2150</v>
      </c>
      <c r="I10" s="191">
        <f>IFERROR(VLOOKUP($B10,MMWR_TRAD_AGG_RO_COMP[],I$1,0),"ERROR")</f>
        <v>847</v>
      </c>
      <c r="J10" s="216">
        <f t="shared" si="1"/>
        <v>0.39395348837209304</v>
      </c>
      <c r="K10" s="204">
        <f>IFERROR(VLOOKUP($B10,MMWR_TRAD_AGG_RO_COMP[],K$1,0),"ERROR")</f>
        <v>972</v>
      </c>
      <c r="L10" s="205">
        <f>IFERROR(VLOOKUP($B10,MMWR_TRAD_AGG_RO_COMP[],L$1,0),"ERROR")</f>
        <v>592</v>
      </c>
      <c r="M10" s="216">
        <f t="shared" si="2"/>
        <v>0.60905349794238683</v>
      </c>
      <c r="N10" s="204">
        <f>IFERROR(VLOOKUP($B10,MMWR_TRAD_AGG_RO_COMP[],N$1,0),"ERROR")</f>
        <v>301</v>
      </c>
      <c r="O10" s="205">
        <f>IFERROR(VLOOKUP($B10,MMWR_TRAD_AGG_RO_COMP[],O$1,0),"ERROR")</f>
        <v>123</v>
      </c>
      <c r="P10" s="216">
        <f t="shared" si="3"/>
        <v>0.40863787375415284</v>
      </c>
      <c r="Q10" s="201">
        <f>IFERROR(VLOOKUP($B10,MMWR_TRAD_AGG_RO_COMP[],Q$1,0),"ERROR")</f>
        <v>0</v>
      </c>
      <c r="R10" s="201">
        <f>IFERROR(VLOOKUP($B10,MMWR_TRAD_AGG_RO_COMP[],R$1,0),"ERROR")</f>
        <v>0</v>
      </c>
      <c r="S10" s="201">
        <f>IFERROR(VLOOKUP($B10,MMWR_APP_RO[],S$1,0),"ERROR")</f>
        <v>1849</v>
      </c>
      <c r="T10" s="25"/>
    </row>
    <row r="11" spans="1:20" x14ac:dyDescent="0.2">
      <c r="A11" s="107"/>
      <c r="B11" s="108" t="s">
        <v>44</v>
      </c>
      <c r="C11" s="209">
        <f>IFERROR(VLOOKUP($B11,MMWR_TRAD_AGG_RO_COMP[],C$1,0),"ERROR")</f>
        <v>1029</v>
      </c>
      <c r="D11" s="198">
        <f>IFERROR(VLOOKUP($B11,MMWR_TRAD_AGG_RO_COMP[],D$1,0),"ERROR")</f>
        <v>308.31098153549999</v>
      </c>
      <c r="E11" s="195">
        <f>IFERROR(VLOOKUP($B11,MMWR_TRAD_AGG_RO_COMP[],E$1,0),"ERROR")</f>
        <v>1741</v>
      </c>
      <c r="F11" s="191">
        <f>IFERROR(VLOOKUP($B11,MMWR_TRAD_AGG_RO_COMP[],F$1,0),"ERROR")</f>
        <v>487</v>
      </c>
      <c r="G11" s="216">
        <f t="shared" si="0"/>
        <v>0.27972429638139001</v>
      </c>
      <c r="H11" s="190">
        <f>IFERROR(VLOOKUP($B11,MMWR_TRAD_AGG_RO_COMP[],H$1,0),"ERROR")</f>
        <v>2679</v>
      </c>
      <c r="I11" s="191">
        <f>IFERROR(VLOOKUP($B11,MMWR_TRAD_AGG_RO_COMP[],I$1,0),"ERROR")</f>
        <v>1845</v>
      </c>
      <c r="J11" s="216">
        <f t="shared" si="1"/>
        <v>0.68868980963045912</v>
      </c>
      <c r="K11" s="204">
        <f>IFERROR(VLOOKUP($B11,MMWR_TRAD_AGG_RO_COMP[],K$1,0),"ERROR")</f>
        <v>509</v>
      </c>
      <c r="L11" s="205">
        <f>IFERROR(VLOOKUP($B11,MMWR_TRAD_AGG_RO_COMP[],L$1,0),"ERROR")</f>
        <v>380</v>
      </c>
      <c r="M11" s="216">
        <f t="shared" si="2"/>
        <v>0.74656188605108054</v>
      </c>
      <c r="N11" s="204">
        <f>IFERROR(VLOOKUP($B11,MMWR_TRAD_AGG_RO_COMP[],N$1,0),"ERROR")</f>
        <v>827</v>
      </c>
      <c r="O11" s="205">
        <f>IFERROR(VLOOKUP($B11,MMWR_TRAD_AGG_RO_COMP[],O$1,0),"ERROR")</f>
        <v>617</v>
      </c>
      <c r="P11" s="216">
        <f t="shared" si="3"/>
        <v>0.74607013301088276</v>
      </c>
      <c r="Q11" s="201">
        <f>IFERROR(VLOOKUP($B11,MMWR_TRAD_AGG_RO_COMP[],Q$1,0),"ERROR")</f>
        <v>0</v>
      </c>
      <c r="R11" s="201">
        <f>IFERROR(VLOOKUP($B11,MMWR_TRAD_AGG_RO_COMP[],R$1,0),"ERROR")</f>
        <v>6</v>
      </c>
      <c r="S11" s="201">
        <f>IFERROR(VLOOKUP($B11,MMWR_APP_RO[],S$1,0),"ERROR")</f>
        <v>1116</v>
      </c>
      <c r="T11" s="25"/>
    </row>
    <row r="12" spans="1:20" x14ac:dyDescent="0.2">
      <c r="A12" s="107"/>
      <c r="B12" s="108" t="s">
        <v>47</v>
      </c>
      <c r="C12" s="209">
        <f>IFERROR(VLOOKUP($B12,MMWR_TRAD_AGG_RO_COMP[],C$1,0),"ERROR")</f>
        <v>1965</v>
      </c>
      <c r="D12" s="198">
        <f>IFERROR(VLOOKUP($B12,MMWR_TRAD_AGG_RO_COMP[],D$1,0),"ERROR")</f>
        <v>238.00050890590001</v>
      </c>
      <c r="E12" s="195">
        <f>IFERROR(VLOOKUP($B12,MMWR_TRAD_AGG_RO_COMP[],E$1,0),"ERROR")</f>
        <v>2296</v>
      </c>
      <c r="F12" s="191">
        <f>IFERROR(VLOOKUP($B12,MMWR_TRAD_AGG_RO_COMP[],F$1,0),"ERROR")</f>
        <v>516</v>
      </c>
      <c r="G12" s="216">
        <f t="shared" si="0"/>
        <v>0.22473867595818817</v>
      </c>
      <c r="H12" s="190">
        <f>IFERROR(VLOOKUP($B12,MMWR_TRAD_AGG_RO_COMP[],H$1,0),"ERROR")</f>
        <v>3222</v>
      </c>
      <c r="I12" s="191">
        <f>IFERROR(VLOOKUP($B12,MMWR_TRAD_AGG_RO_COMP[],I$1,0),"ERROR")</f>
        <v>2124</v>
      </c>
      <c r="J12" s="216">
        <f t="shared" si="1"/>
        <v>0.65921787709497204</v>
      </c>
      <c r="K12" s="204">
        <f>IFERROR(VLOOKUP($B12,MMWR_TRAD_AGG_RO_COMP[],K$1,0),"ERROR")</f>
        <v>479</v>
      </c>
      <c r="L12" s="205">
        <f>IFERROR(VLOOKUP($B12,MMWR_TRAD_AGG_RO_COMP[],L$1,0),"ERROR")</f>
        <v>432</v>
      </c>
      <c r="M12" s="216">
        <f t="shared" si="2"/>
        <v>0.90187891440501045</v>
      </c>
      <c r="N12" s="204">
        <f>IFERROR(VLOOKUP($B12,MMWR_TRAD_AGG_RO_COMP[],N$1,0),"ERROR")</f>
        <v>1265</v>
      </c>
      <c r="O12" s="205">
        <f>IFERROR(VLOOKUP($B12,MMWR_TRAD_AGG_RO_COMP[],O$1,0),"ERROR")</f>
        <v>922</v>
      </c>
      <c r="P12" s="216">
        <f t="shared" si="3"/>
        <v>0.72885375494071147</v>
      </c>
      <c r="Q12" s="201">
        <f>IFERROR(VLOOKUP($B12,MMWR_TRAD_AGG_RO_COMP[],Q$1,0),"ERROR")</f>
        <v>0</v>
      </c>
      <c r="R12" s="201">
        <f>IFERROR(VLOOKUP($B12,MMWR_TRAD_AGG_RO_COMP[],R$1,0),"ERROR")</f>
        <v>10</v>
      </c>
      <c r="S12" s="201">
        <f>IFERROR(VLOOKUP($B12,MMWR_APP_RO[],S$1,0),"ERROR")</f>
        <v>2026</v>
      </c>
      <c r="T12" s="25"/>
    </row>
    <row r="13" spans="1:20" x14ac:dyDescent="0.2">
      <c r="A13" s="107"/>
      <c r="B13" s="108" t="s">
        <v>54</v>
      </c>
      <c r="C13" s="209">
        <f>IFERROR(VLOOKUP($B13,MMWR_TRAD_AGG_RO_COMP[],C$1,0),"ERROR")</f>
        <v>1284</v>
      </c>
      <c r="D13" s="198">
        <f>IFERROR(VLOOKUP($B13,MMWR_TRAD_AGG_RO_COMP[],D$1,0),"ERROR")</f>
        <v>343.82165109030001</v>
      </c>
      <c r="E13" s="195">
        <f>IFERROR(VLOOKUP($B13,MMWR_TRAD_AGG_RO_COMP[],E$1,0),"ERROR")</f>
        <v>935</v>
      </c>
      <c r="F13" s="191">
        <f>IFERROR(VLOOKUP($B13,MMWR_TRAD_AGG_RO_COMP[],F$1,0),"ERROR")</f>
        <v>199</v>
      </c>
      <c r="G13" s="216">
        <f t="shared" si="0"/>
        <v>0.21283422459893048</v>
      </c>
      <c r="H13" s="190">
        <f>IFERROR(VLOOKUP($B13,MMWR_TRAD_AGG_RO_COMP[],H$1,0),"ERROR")</f>
        <v>1816</v>
      </c>
      <c r="I13" s="191">
        <f>IFERROR(VLOOKUP($B13,MMWR_TRAD_AGG_RO_COMP[],I$1,0),"ERROR")</f>
        <v>1145</v>
      </c>
      <c r="J13" s="216">
        <f t="shared" si="1"/>
        <v>0.63050660792951541</v>
      </c>
      <c r="K13" s="204">
        <f>IFERROR(VLOOKUP($B13,MMWR_TRAD_AGG_RO_COMP[],K$1,0),"ERROR")</f>
        <v>329</v>
      </c>
      <c r="L13" s="205">
        <f>IFERROR(VLOOKUP($B13,MMWR_TRAD_AGG_RO_COMP[],L$1,0),"ERROR")</f>
        <v>302</v>
      </c>
      <c r="M13" s="216">
        <f t="shared" si="2"/>
        <v>0.91793313069908811</v>
      </c>
      <c r="N13" s="204">
        <f>IFERROR(VLOOKUP($B13,MMWR_TRAD_AGG_RO_COMP[],N$1,0),"ERROR")</f>
        <v>84</v>
      </c>
      <c r="O13" s="205">
        <f>IFERROR(VLOOKUP($B13,MMWR_TRAD_AGG_RO_COMP[],O$1,0),"ERROR")</f>
        <v>47</v>
      </c>
      <c r="P13" s="216">
        <f t="shared" si="3"/>
        <v>0.55952380952380953</v>
      </c>
      <c r="Q13" s="201">
        <f>IFERROR(VLOOKUP($B13,MMWR_TRAD_AGG_RO_COMP[],Q$1,0),"ERROR")</f>
        <v>0</v>
      </c>
      <c r="R13" s="201">
        <f>IFERROR(VLOOKUP($B13,MMWR_TRAD_AGG_RO_COMP[],R$1,0),"ERROR")</f>
        <v>1</v>
      </c>
      <c r="S13" s="201">
        <f>IFERROR(VLOOKUP($B13,MMWR_APP_RO[],S$1,0),"ERROR")</f>
        <v>577</v>
      </c>
      <c r="T13" s="25"/>
    </row>
    <row r="14" spans="1:20" x14ac:dyDescent="0.2">
      <c r="A14" s="107"/>
      <c r="B14" s="108" t="s">
        <v>60</v>
      </c>
      <c r="C14" s="209">
        <f>IFERROR(VLOOKUP($B14,MMWR_TRAD_AGG_RO_COMP[],C$1,0),"ERROR")</f>
        <v>3272</v>
      </c>
      <c r="D14" s="198">
        <f>IFERROR(VLOOKUP($B14,MMWR_TRAD_AGG_RO_COMP[],D$1,0),"ERROR")</f>
        <v>317.95507334960001</v>
      </c>
      <c r="E14" s="195">
        <f>IFERROR(VLOOKUP($B14,MMWR_TRAD_AGG_RO_COMP[],E$1,0),"ERROR")</f>
        <v>4468</v>
      </c>
      <c r="F14" s="191">
        <f>IFERROR(VLOOKUP($B14,MMWR_TRAD_AGG_RO_COMP[],F$1,0),"ERROR")</f>
        <v>1320</v>
      </c>
      <c r="G14" s="216">
        <f t="shared" si="0"/>
        <v>0.29543419874664278</v>
      </c>
      <c r="H14" s="190">
        <f>IFERROR(VLOOKUP($B14,MMWR_TRAD_AGG_RO_COMP[],H$1,0),"ERROR")</f>
        <v>4706</v>
      </c>
      <c r="I14" s="191">
        <f>IFERROR(VLOOKUP($B14,MMWR_TRAD_AGG_RO_COMP[],I$1,0),"ERROR")</f>
        <v>3176</v>
      </c>
      <c r="J14" s="216">
        <f t="shared" si="1"/>
        <v>0.67488312792180194</v>
      </c>
      <c r="K14" s="204">
        <f>IFERROR(VLOOKUP($B14,MMWR_TRAD_AGG_RO_COMP[],K$1,0),"ERROR")</f>
        <v>3103</v>
      </c>
      <c r="L14" s="205">
        <f>IFERROR(VLOOKUP($B14,MMWR_TRAD_AGG_RO_COMP[],L$1,0),"ERROR")</f>
        <v>2658</v>
      </c>
      <c r="M14" s="216">
        <f t="shared" si="2"/>
        <v>0.85659039639058976</v>
      </c>
      <c r="N14" s="204">
        <f>IFERROR(VLOOKUP($B14,MMWR_TRAD_AGG_RO_COMP[],N$1,0),"ERROR")</f>
        <v>2871</v>
      </c>
      <c r="O14" s="205">
        <f>IFERROR(VLOOKUP($B14,MMWR_TRAD_AGG_RO_COMP[],O$1,0),"ERROR")</f>
        <v>245</v>
      </c>
      <c r="P14" s="216">
        <f t="shared" si="3"/>
        <v>8.5336119818878439E-2</v>
      </c>
      <c r="Q14" s="201">
        <f>IFERROR(VLOOKUP($B14,MMWR_TRAD_AGG_RO_COMP[],Q$1,0),"ERROR")</f>
        <v>0</v>
      </c>
      <c r="R14" s="201">
        <f>IFERROR(VLOOKUP($B14,MMWR_TRAD_AGG_RO_COMP[],R$1,0),"ERROR")</f>
        <v>2</v>
      </c>
      <c r="S14" s="201">
        <f>IFERROR(VLOOKUP($B14,MMWR_APP_RO[],S$1,0),"ERROR")</f>
        <v>3088</v>
      </c>
      <c r="T14" s="25"/>
    </row>
    <row r="15" spans="1:20" x14ac:dyDescent="0.2">
      <c r="A15" s="107"/>
      <c r="B15" s="108" t="s">
        <v>61</v>
      </c>
      <c r="C15" s="209">
        <f>IFERROR(VLOOKUP($B15,MMWR_TRAD_AGG_RO_COMP[],C$1,0),"ERROR")</f>
        <v>781</v>
      </c>
      <c r="D15" s="198">
        <f>IFERROR(VLOOKUP($B15,MMWR_TRAD_AGG_RO_COMP[],D$1,0),"ERROR")</f>
        <v>165.4609475032</v>
      </c>
      <c r="E15" s="195">
        <f>IFERROR(VLOOKUP($B15,MMWR_TRAD_AGG_RO_COMP[],E$1,0),"ERROR")</f>
        <v>2523</v>
      </c>
      <c r="F15" s="191">
        <f>IFERROR(VLOOKUP($B15,MMWR_TRAD_AGG_RO_COMP[],F$1,0),"ERROR")</f>
        <v>521</v>
      </c>
      <c r="G15" s="216">
        <f t="shared" si="0"/>
        <v>0.20650019817677367</v>
      </c>
      <c r="H15" s="190">
        <f>IFERROR(VLOOKUP($B15,MMWR_TRAD_AGG_RO_COMP[],H$1,0),"ERROR")</f>
        <v>1435</v>
      </c>
      <c r="I15" s="191">
        <f>IFERROR(VLOOKUP($B15,MMWR_TRAD_AGG_RO_COMP[],I$1,0),"ERROR")</f>
        <v>727</v>
      </c>
      <c r="J15" s="216">
        <f t="shared" si="1"/>
        <v>0.50662020905923344</v>
      </c>
      <c r="K15" s="204">
        <f>IFERROR(VLOOKUP($B15,MMWR_TRAD_AGG_RO_COMP[],K$1,0),"ERROR")</f>
        <v>744</v>
      </c>
      <c r="L15" s="205">
        <f>IFERROR(VLOOKUP($B15,MMWR_TRAD_AGG_RO_COMP[],L$1,0),"ERROR")</f>
        <v>712</v>
      </c>
      <c r="M15" s="216">
        <f t="shared" si="2"/>
        <v>0.956989247311828</v>
      </c>
      <c r="N15" s="204">
        <f>IFERROR(VLOOKUP($B15,MMWR_TRAD_AGG_RO_COMP[],N$1,0),"ERROR")</f>
        <v>1530</v>
      </c>
      <c r="O15" s="205">
        <f>IFERROR(VLOOKUP($B15,MMWR_TRAD_AGG_RO_COMP[],O$1,0),"ERROR")</f>
        <v>1149</v>
      </c>
      <c r="P15" s="216">
        <f t="shared" si="3"/>
        <v>0.75098039215686274</v>
      </c>
      <c r="Q15" s="201">
        <f>IFERROR(VLOOKUP($B15,MMWR_TRAD_AGG_RO_COMP[],Q$1,0),"ERROR")</f>
        <v>0</v>
      </c>
      <c r="R15" s="201">
        <f>IFERROR(VLOOKUP($B15,MMWR_TRAD_AGG_RO_COMP[],R$1,0),"ERROR")</f>
        <v>1</v>
      </c>
      <c r="S15" s="201">
        <f>IFERROR(VLOOKUP($B15,MMWR_APP_RO[],S$1,0),"ERROR")</f>
        <v>2528</v>
      </c>
      <c r="T15" s="25"/>
    </row>
    <row r="16" spans="1:20" x14ac:dyDescent="0.2">
      <c r="A16" s="107"/>
      <c r="B16" s="108" t="s">
        <v>63</v>
      </c>
      <c r="C16" s="209">
        <f>IFERROR(VLOOKUP($B16,MMWR_TRAD_AGG_RO_COMP[],C$1,0),"ERROR")</f>
        <v>5433</v>
      </c>
      <c r="D16" s="198">
        <f>IFERROR(VLOOKUP($B16,MMWR_TRAD_AGG_RO_COMP[],D$1,0),"ERROR")</f>
        <v>413.36738450209998</v>
      </c>
      <c r="E16" s="195">
        <f>IFERROR(VLOOKUP($B16,MMWR_TRAD_AGG_RO_COMP[],E$1,0),"ERROR")</f>
        <v>11710</v>
      </c>
      <c r="F16" s="191">
        <f>IFERROR(VLOOKUP($B16,MMWR_TRAD_AGG_RO_COMP[],F$1,0),"ERROR")</f>
        <v>3125</v>
      </c>
      <c r="G16" s="216">
        <f t="shared" si="0"/>
        <v>0.266865926558497</v>
      </c>
      <c r="H16" s="190">
        <f>IFERROR(VLOOKUP($B16,MMWR_TRAD_AGG_RO_COMP[],H$1,0),"ERROR")</f>
        <v>8593</v>
      </c>
      <c r="I16" s="191">
        <f>IFERROR(VLOOKUP($B16,MMWR_TRAD_AGG_RO_COMP[],I$1,0),"ERROR")</f>
        <v>6487</v>
      </c>
      <c r="J16" s="216">
        <f t="shared" si="1"/>
        <v>0.75491679273827539</v>
      </c>
      <c r="K16" s="204">
        <f>IFERROR(VLOOKUP($B16,MMWR_TRAD_AGG_RO_COMP[],K$1,0),"ERROR")</f>
        <v>2401</v>
      </c>
      <c r="L16" s="205">
        <f>IFERROR(VLOOKUP($B16,MMWR_TRAD_AGG_RO_COMP[],L$1,0),"ERROR")</f>
        <v>1404</v>
      </c>
      <c r="M16" s="216">
        <f t="shared" si="2"/>
        <v>0.58475635152019989</v>
      </c>
      <c r="N16" s="204">
        <f>IFERROR(VLOOKUP($B16,MMWR_TRAD_AGG_RO_COMP[],N$1,0),"ERROR")</f>
        <v>7243</v>
      </c>
      <c r="O16" s="205">
        <f>IFERROR(VLOOKUP($B16,MMWR_TRAD_AGG_RO_COMP[],O$1,0),"ERROR")</f>
        <v>6355</v>
      </c>
      <c r="P16" s="216">
        <f t="shared" si="3"/>
        <v>0.8773988678724286</v>
      </c>
      <c r="Q16" s="201">
        <f>IFERROR(VLOOKUP($B16,MMWR_TRAD_AGG_RO_COMP[],Q$1,0),"ERROR")</f>
        <v>12570</v>
      </c>
      <c r="R16" s="201">
        <f>IFERROR(VLOOKUP($B16,MMWR_TRAD_AGG_RO_COMP[],R$1,0),"ERROR")</f>
        <v>0</v>
      </c>
      <c r="S16" s="201">
        <f>IFERROR(VLOOKUP($B16,MMWR_APP_RO[],S$1,0),"ERROR")</f>
        <v>5708</v>
      </c>
      <c r="T16" s="25"/>
    </row>
    <row r="17" spans="1:20" x14ac:dyDescent="0.2">
      <c r="A17" s="107"/>
      <c r="B17" s="108" t="s">
        <v>65</v>
      </c>
      <c r="C17" s="209">
        <f>IFERROR(VLOOKUP($B17,MMWR_TRAD_AGG_RO_COMP[],C$1,0),"ERROR")</f>
        <v>3965</v>
      </c>
      <c r="D17" s="198">
        <f>IFERROR(VLOOKUP($B17,MMWR_TRAD_AGG_RO_COMP[],D$1,0),"ERROR")</f>
        <v>476.82597730139997</v>
      </c>
      <c r="E17" s="195">
        <f>IFERROR(VLOOKUP($B17,MMWR_TRAD_AGG_RO_COMP[],E$1,0),"ERROR")</f>
        <v>4899</v>
      </c>
      <c r="F17" s="191">
        <f>IFERROR(VLOOKUP($B17,MMWR_TRAD_AGG_RO_COMP[],F$1,0),"ERROR")</f>
        <v>1627</v>
      </c>
      <c r="G17" s="216">
        <f t="shared" si="0"/>
        <v>0.33210859359052869</v>
      </c>
      <c r="H17" s="190">
        <f>IFERROR(VLOOKUP($B17,MMWR_TRAD_AGG_RO_COMP[],H$1,0),"ERROR")</f>
        <v>5470</v>
      </c>
      <c r="I17" s="191">
        <f>IFERROR(VLOOKUP($B17,MMWR_TRAD_AGG_RO_COMP[],I$1,0),"ERROR")</f>
        <v>4121</v>
      </c>
      <c r="J17" s="216">
        <f t="shared" si="1"/>
        <v>0.75338208409506402</v>
      </c>
      <c r="K17" s="204">
        <f>IFERROR(VLOOKUP($B17,MMWR_TRAD_AGG_RO_COMP[],K$1,0),"ERROR")</f>
        <v>788</v>
      </c>
      <c r="L17" s="205">
        <f>IFERROR(VLOOKUP($B17,MMWR_TRAD_AGG_RO_COMP[],L$1,0),"ERROR")</f>
        <v>681</v>
      </c>
      <c r="M17" s="216">
        <f t="shared" si="2"/>
        <v>0.8642131979695431</v>
      </c>
      <c r="N17" s="204">
        <f>IFERROR(VLOOKUP($B17,MMWR_TRAD_AGG_RO_COMP[],N$1,0),"ERROR")</f>
        <v>895</v>
      </c>
      <c r="O17" s="205">
        <f>IFERROR(VLOOKUP($B17,MMWR_TRAD_AGG_RO_COMP[],O$1,0),"ERROR")</f>
        <v>586</v>
      </c>
      <c r="P17" s="216">
        <f t="shared" si="3"/>
        <v>0.65474860335195528</v>
      </c>
      <c r="Q17" s="201">
        <f>IFERROR(VLOOKUP($B17,MMWR_TRAD_AGG_RO_COMP[],Q$1,0),"ERROR")</f>
        <v>0</v>
      </c>
      <c r="R17" s="201">
        <f>IFERROR(VLOOKUP($B17,MMWR_TRAD_AGG_RO_COMP[],R$1,0),"ERROR")</f>
        <v>2</v>
      </c>
      <c r="S17" s="201">
        <f>IFERROR(VLOOKUP($B17,MMWR_APP_RO[],S$1,0),"ERROR")</f>
        <v>5094</v>
      </c>
      <c r="T17" s="25"/>
    </row>
    <row r="18" spans="1:20" x14ac:dyDescent="0.2">
      <c r="A18" s="107"/>
      <c r="B18" s="108" t="s">
        <v>67</v>
      </c>
      <c r="C18" s="209">
        <f>IFERROR(VLOOKUP($B18,MMWR_TRAD_AGG_RO_COMP[],C$1,0),"ERROR")</f>
        <v>776</v>
      </c>
      <c r="D18" s="198">
        <f>IFERROR(VLOOKUP($B18,MMWR_TRAD_AGG_RO_COMP[],D$1,0),"ERROR")</f>
        <v>192.0270618557</v>
      </c>
      <c r="E18" s="195">
        <f>IFERROR(VLOOKUP($B18,MMWR_TRAD_AGG_RO_COMP[],E$1,0),"ERROR")</f>
        <v>2051</v>
      </c>
      <c r="F18" s="191">
        <f>IFERROR(VLOOKUP($B18,MMWR_TRAD_AGG_RO_COMP[],F$1,0),"ERROR")</f>
        <v>434</v>
      </c>
      <c r="G18" s="216">
        <f t="shared" si="0"/>
        <v>0.21160409556313994</v>
      </c>
      <c r="H18" s="190">
        <f>IFERROR(VLOOKUP($B18,MMWR_TRAD_AGG_RO_COMP[],H$1,0),"ERROR")</f>
        <v>3657</v>
      </c>
      <c r="I18" s="191">
        <f>IFERROR(VLOOKUP($B18,MMWR_TRAD_AGG_RO_COMP[],I$1,0),"ERROR")</f>
        <v>1464</v>
      </c>
      <c r="J18" s="216">
        <f t="shared" si="1"/>
        <v>0.40032813781788351</v>
      </c>
      <c r="K18" s="204">
        <f>IFERROR(VLOOKUP($B18,MMWR_TRAD_AGG_RO_COMP[],K$1,0),"ERROR")</f>
        <v>2842</v>
      </c>
      <c r="L18" s="205">
        <f>IFERROR(VLOOKUP($B18,MMWR_TRAD_AGG_RO_COMP[],L$1,0),"ERROR")</f>
        <v>2764</v>
      </c>
      <c r="M18" s="216">
        <f t="shared" si="2"/>
        <v>0.97255453905700207</v>
      </c>
      <c r="N18" s="204">
        <f>IFERROR(VLOOKUP($B18,MMWR_TRAD_AGG_RO_COMP[],N$1,0),"ERROR")</f>
        <v>451</v>
      </c>
      <c r="O18" s="205">
        <f>IFERROR(VLOOKUP($B18,MMWR_TRAD_AGG_RO_COMP[],O$1,0),"ERROR")</f>
        <v>248</v>
      </c>
      <c r="P18" s="216">
        <f t="shared" si="3"/>
        <v>0.54988913525498895</v>
      </c>
      <c r="Q18" s="201">
        <f>IFERROR(VLOOKUP($B18,MMWR_TRAD_AGG_RO_COMP[],Q$1,0),"ERROR")</f>
        <v>0</v>
      </c>
      <c r="R18" s="201">
        <f>IFERROR(VLOOKUP($B18,MMWR_TRAD_AGG_RO_COMP[],R$1,0),"ERROR")</f>
        <v>1</v>
      </c>
      <c r="S18" s="201">
        <f>IFERROR(VLOOKUP($B18,MMWR_APP_RO[],S$1,0),"ERROR")</f>
        <v>369</v>
      </c>
      <c r="T18" s="25"/>
    </row>
    <row r="19" spans="1:20" x14ac:dyDescent="0.2">
      <c r="A19" s="107"/>
      <c r="B19" s="108" t="s">
        <v>69</v>
      </c>
      <c r="C19" s="209">
        <f>IFERROR(VLOOKUP($B19,MMWR_TRAD_AGG_RO_COMP[],C$1,0),"ERROR")</f>
        <v>16372</v>
      </c>
      <c r="D19" s="198">
        <f>IFERROR(VLOOKUP($B19,MMWR_TRAD_AGG_RO_COMP[],D$1,0),"ERROR")</f>
        <v>412.18440019550002</v>
      </c>
      <c r="E19" s="195">
        <f>IFERROR(VLOOKUP($B19,MMWR_TRAD_AGG_RO_COMP[],E$1,0),"ERROR")</f>
        <v>11369</v>
      </c>
      <c r="F19" s="191">
        <f>IFERROR(VLOOKUP($B19,MMWR_TRAD_AGG_RO_COMP[],F$1,0),"ERROR")</f>
        <v>2963</v>
      </c>
      <c r="G19" s="216">
        <f t="shared" si="0"/>
        <v>0.26062098689418595</v>
      </c>
      <c r="H19" s="190">
        <f>IFERROR(VLOOKUP($B19,MMWR_TRAD_AGG_RO_COMP[],H$1,0),"ERROR")</f>
        <v>19008</v>
      </c>
      <c r="I19" s="191">
        <f>IFERROR(VLOOKUP($B19,MMWR_TRAD_AGG_RO_COMP[],I$1,0),"ERROR")</f>
        <v>13040</v>
      </c>
      <c r="J19" s="216">
        <f t="shared" si="1"/>
        <v>0.68602693602693599</v>
      </c>
      <c r="K19" s="204">
        <f>IFERROR(VLOOKUP($B19,MMWR_TRAD_AGG_RO_COMP[],K$1,0),"ERROR")</f>
        <v>8890</v>
      </c>
      <c r="L19" s="205">
        <f>IFERROR(VLOOKUP($B19,MMWR_TRAD_AGG_RO_COMP[],L$1,0),"ERROR")</f>
        <v>8149</v>
      </c>
      <c r="M19" s="216">
        <f t="shared" si="2"/>
        <v>0.91664791901012377</v>
      </c>
      <c r="N19" s="204">
        <f>IFERROR(VLOOKUP($B19,MMWR_TRAD_AGG_RO_COMP[],N$1,0),"ERROR")</f>
        <v>4482</v>
      </c>
      <c r="O19" s="205">
        <f>IFERROR(VLOOKUP($B19,MMWR_TRAD_AGG_RO_COMP[],O$1,0),"ERROR")</f>
        <v>3842</v>
      </c>
      <c r="P19" s="216">
        <f t="shared" si="3"/>
        <v>0.85720660419455597</v>
      </c>
      <c r="Q19" s="201">
        <f>IFERROR(VLOOKUP($B19,MMWR_TRAD_AGG_RO_COMP[],Q$1,0),"ERROR")</f>
        <v>5</v>
      </c>
      <c r="R19" s="201">
        <f>IFERROR(VLOOKUP($B19,MMWR_TRAD_AGG_RO_COMP[],R$1,0),"ERROR")</f>
        <v>5</v>
      </c>
      <c r="S19" s="201">
        <f>IFERROR(VLOOKUP($B19,MMWR_APP_RO[],S$1,0),"ERROR")</f>
        <v>15516</v>
      </c>
      <c r="T19" s="25"/>
    </row>
    <row r="20" spans="1:20" x14ac:dyDescent="0.2">
      <c r="A20" s="107"/>
      <c r="B20" s="108" t="s">
        <v>78</v>
      </c>
      <c r="C20" s="209">
        <f>IFERROR(VLOOKUP($B20,MMWR_TRAD_AGG_RO_COMP[],C$1,0),"ERROR")</f>
        <v>1203</v>
      </c>
      <c r="D20" s="198">
        <f>IFERROR(VLOOKUP($B20,MMWR_TRAD_AGG_RO_COMP[],D$1,0),"ERROR")</f>
        <v>266.81296758100001</v>
      </c>
      <c r="E20" s="195">
        <f>IFERROR(VLOOKUP($B20,MMWR_TRAD_AGG_RO_COMP[],E$1,0),"ERROR")</f>
        <v>1341</v>
      </c>
      <c r="F20" s="191">
        <f>IFERROR(VLOOKUP($B20,MMWR_TRAD_AGG_RO_COMP[],F$1,0),"ERROR")</f>
        <v>199</v>
      </c>
      <c r="G20" s="216">
        <f t="shared" si="0"/>
        <v>0.14839671886651754</v>
      </c>
      <c r="H20" s="190">
        <f>IFERROR(VLOOKUP($B20,MMWR_TRAD_AGG_RO_COMP[],H$1,0),"ERROR")</f>
        <v>1975</v>
      </c>
      <c r="I20" s="191">
        <f>IFERROR(VLOOKUP($B20,MMWR_TRAD_AGG_RO_COMP[],I$1,0),"ERROR")</f>
        <v>1099</v>
      </c>
      <c r="J20" s="216">
        <f t="shared" si="1"/>
        <v>0.55645569620253166</v>
      </c>
      <c r="K20" s="204">
        <f>IFERROR(VLOOKUP($B20,MMWR_TRAD_AGG_RO_COMP[],K$1,0),"ERROR")</f>
        <v>1021</v>
      </c>
      <c r="L20" s="205">
        <f>IFERROR(VLOOKUP($B20,MMWR_TRAD_AGG_RO_COMP[],L$1,0),"ERROR")</f>
        <v>838</v>
      </c>
      <c r="M20" s="216">
        <f t="shared" si="2"/>
        <v>0.82076395690499515</v>
      </c>
      <c r="N20" s="204">
        <f>IFERROR(VLOOKUP($B20,MMWR_TRAD_AGG_RO_COMP[],N$1,0),"ERROR")</f>
        <v>348</v>
      </c>
      <c r="O20" s="205">
        <f>IFERROR(VLOOKUP($B20,MMWR_TRAD_AGG_RO_COMP[],O$1,0),"ERROR")</f>
        <v>173</v>
      </c>
      <c r="P20" s="216">
        <f t="shared" si="3"/>
        <v>0.49712643678160917</v>
      </c>
      <c r="Q20" s="201">
        <f>IFERROR(VLOOKUP($B20,MMWR_TRAD_AGG_RO_COMP[],Q$1,0),"ERROR")</f>
        <v>1</v>
      </c>
      <c r="R20" s="201">
        <f>IFERROR(VLOOKUP($B20,MMWR_TRAD_AGG_RO_COMP[],R$1,0),"ERROR")</f>
        <v>0</v>
      </c>
      <c r="S20" s="201">
        <f>IFERROR(VLOOKUP($B20,MMWR_APP_RO[],S$1,0),"ERROR")</f>
        <v>409</v>
      </c>
      <c r="T20" s="25"/>
    </row>
    <row r="21" spans="1:20" x14ac:dyDescent="0.2">
      <c r="A21" s="107"/>
      <c r="B21" s="108" t="s">
        <v>431</v>
      </c>
      <c r="C21" s="209">
        <f>IFERROR(VLOOKUP($B21,MMWR_TRAD_AGG_RO_COMP[],C$1,0),"ERROR")</f>
        <v>18995</v>
      </c>
      <c r="D21" s="198">
        <f>IFERROR(VLOOKUP($B21,MMWR_TRAD_AGG_RO_COMP[],D$1,0),"ERROR")</f>
        <v>603.96883390369999</v>
      </c>
      <c r="E21" s="195">
        <f>IFERROR(VLOOKUP($B21,MMWR_TRAD_AGG_RO_COMP[],E$1,0),"ERROR")</f>
        <v>1086</v>
      </c>
      <c r="F21" s="191">
        <f>IFERROR(VLOOKUP($B21,MMWR_TRAD_AGG_RO_COMP[],F$1,0),"ERROR")</f>
        <v>452</v>
      </c>
      <c r="G21" s="216">
        <f t="shared" si="0"/>
        <v>0.41620626151012891</v>
      </c>
      <c r="H21" s="190">
        <f>IFERROR(VLOOKUP($B21,MMWR_TRAD_AGG_RO_COMP[],H$1,0),"ERROR")</f>
        <v>19416</v>
      </c>
      <c r="I21" s="191">
        <f>IFERROR(VLOOKUP($B21,MMWR_TRAD_AGG_RO_COMP[],I$1,0),"ERROR")</f>
        <v>18446</v>
      </c>
      <c r="J21" s="216">
        <f t="shared" si="1"/>
        <v>0.95004120313143803</v>
      </c>
      <c r="K21" s="204">
        <f>IFERROR(VLOOKUP($B21,MMWR_TRAD_AGG_RO_COMP[],K$1,0),"ERROR")</f>
        <v>1066</v>
      </c>
      <c r="L21" s="205">
        <f>IFERROR(VLOOKUP($B21,MMWR_TRAD_AGG_RO_COMP[],L$1,0),"ERROR")</f>
        <v>751</v>
      </c>
      <c r="M21" s="216">
        <f t="shared" si="2"/>
        <v>0.70450281425891181</v>
      </c>
      <c r="N21" s="204">
        <f>IFERROR(VLOOKUP($B21,MMWR_TRAD_AGG_RO_COMP[],N$1,0),"ERROR")</f>
        <v>1293</v>
      </c>
      <c r="O21" s="205">
        <f>IFERROR(VLOOKUP($B21,MMWR_TRAD_AGG_RO_COMP[],O$1,0),"ERROR")</f>
        <v>1213</v>
      </c>
      <c r="P21" s="216">
        <f t="shared" si="3"/>
        <v>0.93812838360402162</v>
      </c>
      <c r="Q21" s="201">
        <f>IFERROR(VLOOKUP($B21,MMWR_TRAD_AGG_RO_COMP[],Q$1,0),"ERROR")</f>
        <v>0</v>
      </c>
      <c r="R21" s="201">
        <f>IFERROR(VLOOKUP($B21,MMWR_TRAD_AGG_RO_COMP[],R$1,0),"ERROR")</f>
        <v>0</v>
      </c>
      <c r="S21" s="201">
        <f>IFERROR(VLOOKUP($B21,MMWR_APP_RO[],S$1,0),"ERROR")</f>
        <v>21</v>
      </c>
      <c r="T21" s="25"/>
    </row>
    <row r="22" spans="1:20" x14ac:dyDescent="0.2">
      <c r="A22" s="107"/>
      <c r="B22" s="108" t="s">
        <v>135</v>
      </c>
      <c r="C22" s="209">
        <f>IFERROR(VLOOKUP($B22,MMWR_TRAD_AGG_RO_COMP[],C$1,0),"ERROR")</f>
        <v>593</v>
      </c>
      <c r="D22" s="198">
        <f>IFERROR(VLOOKUP($B22,MMWR_TRAD_AGG_RO_COMP[],D$1,0),"ERROR")</f>
        <v>380.81450252949998</v>
      </c>
      <c r="E22" s="195">
        <f>IFERROR(VLOOKUP($B22,MMWR_TRAD_AGG_RO_COMP[],E$1,0),"ERROR")</f>
        <v>522</v>
      </c>
      <c r="F22" s="191">
        <f>IFERROR(VLOOKUP($B22,MMWR_TRAD_AGG_RO_COMP[],F$1,0),"ERROR")</f>
        <v>154</v>
      </c>
      <c r="G22" s="216">
        <f t="shared" si="0"/>
        <v>0.2950191570881226</v>
      </c>
      <c r="H22" s="190">
        <f>IFERROR(VLOOKUP($B22,MMWR_TRAD_AGG_RO_COMP[],H$1,0),"ERROR")</f>
        <v>803</v>
      </c>
      <c r="I22" s="191">
        <f>IFERROR(VLOOKUP($B22,MMWR_TRAD_AGG_RO_COMP[],I$1,0),"ERROR")</f>
        <v>530</v>
      </c>
      <c r="J22" s="216">
        <f t="shared" si="1"/>
        <v>0.66002490660024904</v>
      </c>
      <c r="K22" s="204">
        <f>IFERROR(VLOOKUP($B22,MMWR_TRAD_AGG_RO_COMP[],K$1,0),"ERROR")</f>
        <v>166</v>
      </c>
      <c r="L22" s="205">
        <f>IFERROR(VLOOKUP($B22,MMWR_TRAD_AGG_RO_COMP[],L$1,0),"ERROR")</f>
        <v>100</v>
      </c>
      <c r="M22" s="216">
        <f t="shared" si="2"/>
        <v>0.60240963855421692</v>
      </c>
      <c r="N22" s="204">
        <f>IFERROR(VLOOKUP($B22,MMWR_TRAD_AGG_RO_COMP[],N$1,0),"ERROR")</f>
        <v>114</v>
      </c>
      <c r="O22" s="205">
        <f>IFERROR(VLOOKUP($B22,MMWR_TRAD_AGG_RO_COMP[],O$1,0),"ERROR")</f>
        <v>57</v>
      </c>
      <c r="P22" s="216">
        <f t="shared" si="3"/>
        <v>0.5</v>
      </c>
      <c r="Q22" s="201">
        <f>IFERROR(VLOOKUP($B22,MMWR_TRAD_AGG_RO_COMP[],Q$1,0),"ERROR")</f>
        <v>0</v>
      </c>
      <c r="R22" s="201">
        <f>IFERROR(VLOOKUP($B22,MMWR_TRAD_AGG_RO_COMP[],R$1,0),"ERROR")</f>
        <v>1</v>
      </c>
      <c r="S22" s="201">
        <f>IFERROR(VLOOKUP($B22,MMWR_APP_RO[],S$1,0),"ERROR")</f>
        <v>84</v>
      </c>
      <c r="T22" s="25"/>
    </row>
    <row r="23" spans="1:20" x14ac:dyDescent="0.2">
      <c r="A23" s="107"/>
      <c r="B23" s="108" t="s">
        <v>82</v>
      </c>
      <c r="C23" s="209">
        <f>IFERROR(VLOOKUP($B23,MMWR_TRAD_AGG_RO_COMP[],C$1,0),"ERROR")</f>
        <v>607</v>
      </c>
      <c r="D23" s="198">
        <f>IFERROR(VLOOKUP($B23,MMWR_TRAD_AGG_RO_COMP[],D$1,0),"ERROR")</f>
        <v>402.92586490939999</v>
      </c>
      <c r="E23" s="195">
        <f>IFERROR(VLOOKUP($B23,MMWR_TRAD_AGG_RO_COMP[],E$1,0),"ERROR")</f>
        <v>719</v>
      </c>
      <c r="F23" s="191">
        <f>IFERROR(VLOOKUP($B23,MMWR_TRAD_AGG_RO_COMP[],F$1,0),"ERROR")</f>
        <v>203</v>
      </c>
      <c r="G23" s="216">
        <f t="shared" si="0"/>
        <v>0.28233657858136302</v>
      </c>
      <c r="H23" s="190">
        <f>IFERROR(VLOOKUP($B23,MMWR_TRAD_AGG_RO_COMP[],H$1,0),"ERROR")</f>
        <v>677</v>
      </c>
      <c r="I23" s="191">
        <f>IFERROR(VLOOKUP($B23,MMWR_TRAD_AGG_RO_COMP[],I$1,0),"ERROR")</f>
        <v>531</v>
      </c>
      <c r="J23" s="216">
        <f t="shared" si="1"/>
        <v>0.78434268833087151</v>
      </c>
      <c r="K23" s="204">
        <f>IFERROR(VLOOKUP($B23,MMWR_TRAD_AGG_RO_COMP[],K$1,0),"ERROR")</f>
        <v>53</v>
      </c>
      <c r="L23" s="205">
        <f>IFERROR(VLOOKUP($B23,MMWR_TRAD_AGG_RO_COMP[],L$1,0),"ERROR")</f>
        <v>50</v>
      </c>
      <c r="M23" s="216">
        <f t="shared" si="2"/>
        <v>0.94339622641509435</v>
      </c>
      <c r="N23" s="204">
        <f>IFERROR(VLOOKUP($B23,MMWR_TRAD_AGG_RO_COMP[],N$1,0),"ERROR")</f>
        <v>144</v>
      </c>
      <c r="O23" s="205">
        <f>IFERROR(VLOOKUP($B23,MMWR_TRAD_AGG_RO_COMP[],O$1,0),"ERROR")</f>
        <v>76</v>
      </c>
      <c r="P23" s="216">
        <f t="shared" si="3"/>
        <v>0.52777777777777779</v>
      </c>
      <c r="Q23" s="201">
        <f>IFERROR(VLOOKUP($B23,MMWR_TRAD_AGG_RO_COMP[],Q$1,0),"ERROR")</f>
        <v>0</v>
      </c>
      <c r="R23" s="201">
        <f>IFERROR(VLOOKUP($B23,MMWR_TRAD_AGG_RO_COMP[],R$1,0),"ERROR")</f>
        <v>0</v>
      </c>
      <c r="S23" s="201">
        <f>IFERROR(VLOOKUP($B23,MMWR_APP_RO[],S$1,0),"ERROR")</f>
        <v>174</v>
      </c>
      <c r="T23" s="25"/>
    </row>
    <row r="24" spans="1:20" x14ac:dyDescent="0.2">
      <c r="A24" s="92"/>
      <c r="B24" s="116" t="s">
        <v>83</v>
      </c>
      <c r="C24" s="210">
        <f>IFERROR(VLOOKUP($B24,MMWR_TRAD_AGG_RO_COMP[],C$1,0),"ERROR")</f>
        <v>18310</v>
      </c>
      <c r="D24" s="199">
        <f>IFERROR(VLOOKUP($B24,MMWR_TRAD_AGG_RO_COMP[],D$1,0),"ERROR")</f>
        <v>322.39961769519999</v>
      </c>
      <c r="E24" s="196">
        <f>IFERROR(VLOOKUP($B24,MMWR_TRAD_AGG_RO_COMP[],E$1,0),"ERROR")</f>
        <v>18238</v>
      </c>
      <c r="F24" s="193">
        <f>IFERROR(VLOOKUP($B24,MMWR_TRAD_AGG_RO_COMP[],F$1,0),"ERROR")</f>
        <v>4931</v>
      </c>
      <c r="G24" s="217">
        <f t="shared" si="0"/>
        <v>0.27036955806557739</v>
      </c>
      <c r="H24" s="192">
        <f>IFERROR(VLOOKUP($B24,MMWR_TRAD_AGG_RO_COMP[],H$1,0),"ERROR")</f>
        <v>29778</v>
      </c>
      <c r="I24" s="193">
        <f>IFERROR(VLOOKUP($B24,MMWR_TRAD_AGG_RO_COMP[],I$1,0),"ERROR")</f>
        <v>19796</v>
      </c>
      <c r="J24" s="217">
        <f t="shared" si="1"/>
        <v>0.66478608368594261</v>
      </c>
      <c r="K24" s="206">
        <f>IFERROR(VLOOKUP($B24,MMWR_TRAD_AGG_RO_COMP[],K$1,0),"ERROR")</f>
        <v>12116</v>
      </c>
      <c r="L24" s="207">
        <f>IFERROR(VLOOKUP($B24,MMWR_TRAD_AGG_RO_COMP[],L$1,0),"ERROR")</f>
        <v>8901</v>
      </c>
      <c r="M24" s="217">
        <f t="shared" si="2"/>
        <v>0.73464839881148891</v>
      </c>
      <c r="N24" s="206">
        <f>IFERROR(VLOOKUP($B24,MMWR_TRAD_AGG_RO_COMP[],N$1,0),"ERROR")</f>
        <v>3791</v>
      </c>
      <c r="O24" s="207">
        <f>IFERROR(VLOOKUP($B24,MMWR_TRAD_AGG_RO_COMP[],O$1,0),"ERROR")</f>
        <v>2633</v>
      </c>
      <c r="P24" s="217">
        <f t="shared" si="3"/>
        <v>0.69453969928778692</v>
      </c>
      <c r="Q24" s="202">
        <f>IFERROR(VLOOKUP($B24,MMWR_TRAD_AGG_RO_COMP[],Q$1,0),"ERROR")</f>
        <v>0</v>
      </c>
      <c r="R24" s="202">
        <f>IFERROR(VLOOKUP($B24,MMWR_TRAD_AGG_RO_COMP[],R$1,0),"ERROR")</f>
        <v>19</v>
      </c>
      <c r="S24" s="201">
        <f>IFERROR(VLOOKUP($B24,MMWR_APP_RO[],S$1,0),"ERROR")</f>
        <v>9114</v>
      </c>
      <c r="T24" s="25"/>
    </row>
    <row r="25" spans="1:20" x14ac:dyDescent="0.2">
      <c r="A25" s="107"/>
      <c r="B25" s="101" t="s">
        <v>391</v>
      </c>
      <c r="C25" s="212">
        <f>IFERROR(VLOOKUP($B25,MMWR_TRAD_AGG_DISTRICT_COMP[],C$1,0),"ERROR")</f>
        <v>36239</v>
      </c>
      <c r="D25" s="197">
        <f>IFERROR(VLOOKUP($B25,MMWR_TRAD_AGG_DISTRICT_COMP[],D$1,0),"ERROR")</f>
        <v>349.17238334389998</v>
      </c>
      <c r="E25" s="213">
        <f>IFERROR(VLOOKUP($B25,MMWR_TRAD_AGG_DISTRICT_COMP[],E$1,0),"ERROR")</f>
        <v>54824</v>
      </c>
      <c r="F25" s="218">
        <f>IFERROR(VLOOKUP($B25,MMWR_TRAD_AGG_DISTRICT_COMP[],F$1,0),"ERROR")</f>
        <v>12169</v>
      </c>
      <c r="G25" s="214">
        <f t="shared" si="0"/>
        <v>0.22196483291988911</v>
      </c>
      <c r="H25" s="218">
        <f>IFERROR(VLOOKUP($B25,MMWR_TRAD_AGG_DISTRICT_COMP[],H$1,0),"ERROR")</f>
        <v>61657</v>
      </c>
      <c r="I25" s="218">
        <f>IFERROR(VLOOKUP($B25,MMWR_TRAD_AGG_DISTRICT_COMP[],I$1,0),"ERROR")</f>
        <v>34580</v>
      </c>
      <c r="J25" s="214">
        <f t="shared" si="1"/>
        <v>0.56084467294873253</v>
      </c>
      <c r="K25" s="212">
        <f>IFERROR(VLOOKUP($B25,MMWR_TRAD_AGG_DISTRICT_COMP[],K$1,0),"ERROR")</f>
        <v>13984</v>
      </c>
      <c r="L25" s="212">
        <f>IFERROR(VLOOKUP($B25,MMWR_TRAD_AGG_DISTRICT_COMP[],L$1,0),"ERROR")</f>
        <v>10360</v>
      </c>
      <c r="M25" s="214">
        <f t="shared" si="2"/>
        <v>0.74084668192219683</v>
      </c>
      <c r="N25" s="212">
        <f>IFERROR(VLOOKUP($B25,MMWR_TRAD_AGG_DISTRICT_COMP[],N$1,0),"ERROR")</f>
        <v>13862</v>
      </c>
      <c r="O25" s="212">
        <f>IFERROR(VLOOKUP($B25,MMWR_TRAD_AGG_DISTRICT_COMP[],O$1,0),"ERROR")</f>
        <v>9278</v>
      </c>
      <c r="P25" s="214">
        <f t="shared" si="3"/>
        <v>0.66931178762083399</v>
      </c>
      <c r="Q25" s="212">
        <f>IFERROR(VLOOKUP($B25,MMWR_TRAD_AGG_DISTRICT_COMP[],Q$1,0),"ERROR")</f>
        <v>6821</v>
      </c>
      <c r="R25" s="215">
        <f>IFERROR(VLOOKUP($B25,MMWR_TRAD_AGG_DISTRICT_COMP[],R$1,0),"ERROR")</f>
        <v>1016</v>
      </c>
      <c r="S25" s="215">
        <f>IFERROR(VLOOKUP($B25,MMWR_APP_RO[],S$1,0),"ERROR")</f>
        <v>50937</v>
      </c>
      <c r="T25" s="25"/>
    </row>
    <row r="26" spans="1:20" x14ac:dyDescent="0.2">
      <c r="A26" s="107"/>
      <c r="B26" s="108" t="s">
        <v>37</v>
      </c>
      <c r="C26" s="209">
        <f>IFERROR(VLOOKUP($B26,MMWR_TRAD_AGG_RO_COMP[],C$1,0),"ERROR")</f>
        <v>5446</v>
      </c>
      <c r="D26" s="198">
        <f>IFERROR(VLOOKUP($B26,MMWR_TRAD_AGG_RO_COMP[],D$1,0),"ERROR")</f>
        <v>503.19023136250001</v>
      </c>
      <c r="E26" s="195">
        <f>IFERROR(VLOOKUP($B26,MMWR_TRAD_AGG_RO_COMP[],E$1,0),"ERROR")</f>
        <v>5994</v>
      </c>
      <c r="F26" s="191">
        <f>IFERROR(VLOOKUP($B26,MMWR_TRAD_AGG_RO_COMP[],F$1,0),"ERROR")</f>
        <v>1788</v>
      </c>
      <c r="G26" s="216">
        <f t="shared" si="0"/>
        <v>0.29829829829829829</v>
      </c>
      <c r="H26" s="190">
        <f>IFERROR(VLOOKUP($B26,MMWR_TRAD_AGG_RO_COMP[],H$1,0),"ERROR")</f>
        <v>7098</v>
      </c>
      <c r="I26" s="191">
        <f>IFERROR(VLOOKUP($B26,MMWR_TRAD_AGG_RO_COMP[],I$1,0),"ERROR")</f>
        <v>5263</v>
      </c>
      <c r="J26" s="216">
        <f t="shared" si="1"/>
        <v>0.74147647224570301</v>
      </c>
      <c r="K26" s="204">
        <f>IFERROR(VLOOKUP($B26,MMWR_TRAD_AGG_RO_COMP[],K$1,0),"ERROR")</f>
        <v>1809</v>
      </c>
      <c r="L26" s="205">
        <f>IFERROR(VLOOKUP($B26,MMWR_TRAD_AGG_RO_COMP[],L$1,0),"ERROR")</f>
        <v>1676</v>
      </c>
      <c r="M26" s="216">
        <f t="shared" si="2"/>
        <v>0.92647871752349364</v>
      </c>
      <c r="N26" s="204">
        <f>IFERROR(VLOOKUP($B26,MMWR_TRAD_AGG_RO_COMP[],N$1,0),"ERROR")</f>
        <v>1409</v>
      </c>
      <c r="O26" s="205">
        <f>IFERROR(VLOOKUP($B26,MMWR_TRAD_AGG_RO_COMP[],O$1,0),"ERROR")</f>
        <v>711</v>
      </c>
      <c r="P26" s="216">
        <f t="shared" si="3"/>
        <v>0.50461320085166783</v>
      </c>
      <c r="Q26" s="201">
        <f>IFERROR(VLOOKUP($B26,MMWR_TRAD_AGG_RO_COMP[],Q$1,0),"ERROR")</f>
        <v>0</v>
      </c>
      <c r="R26" s="201">
        <f>IFERROR(VLOOKUP($B26,MMWR_TRAD_AGG_RO_COMP[],R$1,0),"ERROR")</f>
        <v>216</v>
      </c>
      <c r="S26" s="201">
        <f>IFERROR(VLOOKUP($B26,MMWR_APP_RO[],S$1,0),"ERROR")</f>
        <v>8195</v>
      </c>
      <c r="T26" s="25"/>
    </row>
    <row r="27" spans="1:20" x14ac:dyDescent="0.2">
      <c r="A27" s="107"/>
      <c r="B27" s="108" t="s">
        <v>38</v>
      </c>
      <c r="C27" s="209">
        <f>IFERROR(VLOOKUP($B27,MMWR_TRAD_AGG_RO_COMP[],C$1,0),"ERROR")</f>
        <v>4865</v>
      </c>
      <c r="D27" s="198">
        <f>IFERROR(VLOOKUP($B27,MMWR_TRAD_AGG_RO_COMP[],D$1,0),"ERROR")</f>
        <v>442.70380267209998</v>
      </c>
      <c r="E27" s="195">
        <f>IFERROR(VLOOKUP($B27,MMWR_TRAD_AGG_RO_COMP[],E$1,0),"ERROR")</f>
        <v>7245</v>
      </c>
      <c r="F27" s="191">
        <f>IFERROR(VLOOKUP($B27,MMWR_TRAD_AGG_RO_COMP[],F$1,0),"ERROR")</f>
        <v>1849</v>
      </c>
      <c r="G27" s="216">
        <f t="shared" si="0"/>
        <v>0.2552104899930987</v>
      </c>
      <c r="H27" s="190">
        <f>IFERROR(VLOOKUP($B27,MMWR_TRAD_AGG_RO_COMP[],H$1,0),"ERROR")</f>
        <v>7085</v>
      </c>
      <c r="I27" s="191">
        <f>IFERROR(VLOOKUP($B27,MMWR_TRAD_AGG_RO_COMP[],I$1,0),"ERROR")</f>
        <v>4627</v>
      </c>
      <c r="J27" s="216">
        <f t="shared" si="1"/>
        <v>0.65306986591390259</v>
      </c>
      <c r="K27" s="204">
        <f>IFERROR(VLOOKUP($B27,MMWR_TRAD_AGG_RO_COMP[],K$1,0),"ERROR")</f>
        <v>1613</v>
      </c>
      <c r="L27" s="205">
        <f>IFERROR(VLOOKUP($B27,MMWR_TRAD_AGG_RO_COMP[],L$1,0),"ERROR")</f>
        <v>1433</v>
      </c>
      <c r="M27" s="216">
        <f t="shared" si="2"/>
        <v>0.88840669559826413</v>
      </c>
      <c r="N27" s="204">
        <f>IFERROR(VLOOKUP($B27,MMWR_TRAD_AGG_RO_COMP[],N$1,0),"ERROR")</f>
        <v>2714</v>
      </c>
      <c r="O27" s="205">
        <f>IFERROR(VLOOKUP($B27,MMWR_TRAD_AGG_RO_COMP[],O$1,0),"ERROR")</f>
        <v>1969</v>
      </c>
      <c r="P27" s="216">
        <f t="shared" si="3"/>
        <v>0.72549742078113488</v>
      </c>
      <c r="Q27" s="201">
        <f>IFERROR(VLOOKUP($B27,MMWR_TRAD_AGG_RO_COMP[],Q$1,0),"ERROR")</f>
        <v>0</v>
      </c>
      <c r="R27" s="201">
        <f>IFERROR(VLOOKUP($B27,MMWR_TRAD_AGG_RO_COMP[],R$1,0),"ERROR")</f>
        <v>323</v>
      </c>
      <c r="S27" s="201">
        <f>IFERROR(VLOOKUP($B27,MMWR_APP_RO[],S$1,0),"ERROR")</f>
        <v>13456</v>
      </c>
      <c r="T27" s="25"/>
    </row>
    <row r="28" spans="1:20" x14ac:dyDescent="0.2">
      <c r="A28" s="107"/>
      <c r="B28" s="108" t="s">
        <v>41</v>
      </c>
      <c r="C28" s="209">
        <f>IFERROR(VLOOKUP($B28,MMWR_TRAD_AGG_RO_COMP[],C$1,0),"ERROR")</f>
        <v>888</v>
      </c>
      <c r="D28" s="198">
        <f>IFERROR(VLOOKUP($B28,MMWR_TRAD_AGG_RO_COMP[],D$1,0),"ERROR")</f>
        <v>117.9583333333</v>
      </c>
      <c r="E28" s="195">
        <f>IFERROR(VLOOKUP($B28,MMWR_TRAD_AGG_RO_COMP[],E$1,0),"ERROR")</f>
        <v>2523</v>
      </c>
      <c r="F28" s="191">
        <f>IFERROR(VLOOKUP($B28,MMWR_TRAD_AGG_RO_COMP[],F$1,0),"ERROR")</f>
        <v>423</v>
      </c>
      <c r="G28" s="216">
        <f t="shared" si="0"/>
        <v>0.16765755053507728</v>
      </c>
      <c r="H28" s="190">
        <f>IFERROR(VLOOKUP($B28,MMWR_TRAD_AGG_RO_COMP[],H$1,0),"ERROR")</f>
        <v>1282</v>
      </c>
      <c r="I28" s="191">
        <f>IFERROR(VLOOKUP($B28,MMWR_TRAD_AGG_RO_COMP[],I$1,0),"ERROR")</f>
        <v>423</v>
      </c>
      <c r="J28" s="216">
        <f t="shared" si="1"/>
        <v>0.32995319812792512</v>
      </c>
      <c r="K28" s="204">
        <f>IFERROR(VLOOKUP($B28,MMWR_TRAD_AGG_RO_COMP[],K$1,0),"ERROR")</f>
        <v>336</v>
      </c>
      <c r="L28" s="205">
        <f>IFERROR(VLOOKUP($B28,MMWR_TRAD_AGG_RO_COMP[],L$1,0),"ERROR")</f>
        <v>250</v>
      </c>
      <c r="M28" s="216">
        <f t="shared" si="2"/>
        <v>0.74404761904761907</v>
      </c>
      <c r="N28" s="204">
        <f>IFERROR(VLOOKUP($B28,MMWR_TRAD_AGG_RO_COMP[],N$1,0),"ERROR")</f>
        <v>215</v>
      </c>
      <c r="O28" s="205">
        <f>IFERROR(VLOOKUP($B28,MMWR_TRAD_AGG_RO_COMP[],O$1,0),"ERROR")</f>
        <v>96</v>
      </c>
      <c r="P28" s="216">
        <f t="shared" si="3"/>
        <v>0.44651162790697674</v>
      </c>
      <c r="Q28" s="201">
        <f>IFERROR(VLOOKUP($B28,MMWR_TRAD_AGG_RO_COMP[],Q$1,0),"ERROR")</f>
        <v>0</v>
      </c>
      <c r="R28" s="201">
        <f>IFERROR(VLOOKUP($B28,MMWR_TRAD_AGG_RO_COMP[],R$1,0),"ERROR")</f>
        <v>4</v>
      </c>
      <c r="S28" s="201">
        <f>IFERROR(VLOOKUP($B28,MMWR_APP_RO[],S$1,0),"ERROR")</f>
        <v>1269</v>
      </c>
      <c r="T28" s="25"/>
    </row>
    <row r="29" spans="1:20" x14ac:dyDescent="0.2">
      <c r="A29" s="107"/>
      <c r="B29" s="108" t="s">
        <v>42</v>
      </c>
      <c r="C29" s="209">
        <f>IFERROR(VLOOKUP($B29,MMWR_TRAD_AGG_RO_COMP[],C$1,0),"ERROR")</f>
        <v>2976</v>
      </c>
      <c r="D29" s="198">
        <f>IFERROR(VLOOKUP($B29,MMWR_TRAD_AGG_RO_COMP[],D$1,0),"ERROR")</f>
        <v>305.1979166667</v>
      </c>
      <c r="E29" s="195">
        <f>IFERROR(VLOOKUP($B29,MMWR_TRAD_AGG_RO_COMP[],E$1,0),"ERROR")</f>
        <v>6810</v>
      </c>
      <c r="F29" s="191">
        <f>IFERROR(VLOOKUP($B29,MMWR_TRAD_AGG_RO_COMP[],F$1,0),"ERROR")</f>
        <v>1761</v>
      </c>
      <c r="G29" s="216">
        <f t="shared" si="0"/>
        <v>0.25859030837004404</v>
      </c>
      <c r="H29" s="190">
        <f>IFERROR(VLOOKUP($B29,MMWR_TRAD_AGG_RO_COMP[],H$1,0),"ERROR")</f>
        <v>8324</v>
      </c>
      <c r="I29" s="191">
        <f>IFERROR(VLOOKUP($B29,MMWR_TRAD_AGG_RO_COMP[],I$1,0),"ERROR")</f>
        <v>3795</v>
      </c>
      <c r="J29" s="216">
        <f t="shared" si="1"/>
        <v>0.45591061989428161</v>
      </c>
      <c r="K29" s="204">
        <f>IFERROR(VLOOKUP($B29,MMWR_TRAD_AGG_RO_COMP[],K$1,0),"ERROR")</f>
        <v>1644</v>
      </c>
      <c r="L29" s="205">
        <f>IFERROR(VLOOKUP($B29,MMWR_TRAD_AGG_RO_COMP[],L$1,0),"ERROR")</f>
        <v>1256</v>
      </c>
      <c r="M29" s="216">
        <f t="shared" si="2"/>
        <v>0.76399026763990263</v>
      </c>
      <c r="N29" s="204">
        <f>IFERROR(VLOOKUP($B29,MMWR_TRAD_AGG_RO_COMP[],N$1,0),"ERROR")</f>
        <v>1012</v>
      </c>
      <c r="O29" s="205">
        <f>IFERROR(VLOOKUP($B29,MMWR_TRAD_AGG_RO_COMP[],O$1,0),"ERROR")</f>
        <v>490</v>
      </c>
      <c r="P29" s="216">
        <f t="shared" si="3"/>
        <v>0.48418972332015808</v>
      </c>
      <c r="Q29" s="201">
        <f>IFERROR(VLOOKUP($B29,MMWR_TRAD_AGG_RO_COMP[],Q$1,0),"ERROR")</f>
        <v>2</v>
      </c>
      <c r="R29" s="201">
        <f>IFERROR(VLOOKUP($B29,MMWR_TRAD_AGG_RO_COMP[],R$1,0),"ERROR")</f>
        <v>199</v>
      </c>
      <c r="S29" s="201">
        <f>IFERROR(VLOOKUP($B29,MMWR_APP_RO[],S$1,0),"ERROR")</f>
        <v>5337</v>
      </c>
      <c r="T29" s="25"/>
    </row>
    <row r="30" spans="1:20" x14ac:dyDescent="0.2">
      <c r="A30" s="107"/>
      <c r="B30" s="108" t="s">
        <v>43</v>
      </c>
      <c r="C30" s="209">
        <f>IFERROR(VLOOKUP($B30,MMWR_TRAD_AGG_RO_COMP[],C$1,0),"ERROR")</f>
        <v>80</v>
      </c>
      <c r="D30" s="198">
        <f>IFERROR(VLOOKUP($B30,MMWR_TRAD_AGG_RO_COMP[],D$1,0),"ERROR")</f>
        <v>87.162499999999994</v>
      </c>
      <c r="E30" s="195">
        <f>IFERROR(VLOOKUP($B30,MMWR_TRAD_AGG_RO_COMP[],E$1,0),"ERROR")</f>
        <v>881</v>
      </c>
      <c r="F30" s="191">
        <f>IFERROR(VLOOKUP($B30,MMWR_TRAD_AGG_RO_COMP[],F$1,0),"ERROR")</f>
        <v>160</v>
      </c>
      <c r="G30" s="216">
        <f t="shared" si="0"/>
        <v>0.18161180476730987</v>
      </c>
      <c r="H30" s="190">
        <f>IFERROR(VLOOKUP($B30,MMWR_TRAD_AGG_RO_COMP[],H$1,0),"ERROR")</f>
        <v>211</v>
      </c>
      <c r="I30" s="191">
        <f>IFERROR(VLOOKUP($B30,MMWR_TRAD_AGG_RO_COMP[],I$1,0),"ERROR")</f>
        <v>18</v>
      </c>
      <c r="J30" s="216">
        <f t="shared" si="1"/>
        <v>8.5308056872037921E-2</v>
      </c>
      <c r="K30" s="204">
        <f>IFERROR(VLOOKUP($B30,MMWR_TRAD_AGG_RO_COMP[],K$1,0),"ERROR")</f>
        <v>101</v>
      </c>
      <c r="L30" s="205">
        <f>IFERROR(VLOOKUP($B30,MMWR_TRAD_AGG_RO_COMP[],L$1,0),"ERROR")</f>
        <v>39</v>
      </c>
      <c r="M30" s="216">
        <f t="shared" si="2"/>
        <v>0.38613861386138615</v>
      </c>
      <c r="N30" s="204">
        <f>IFERROR(VLOOKUP($B30,MMWR_TRAD_AGG_RO_COMP[],N$1,0),"ERROR")</f>
        <v>73</v>
      </c>
      <c r="O30" s="205">
        <f>IFERROR(VLOOKUP($B30,MMWR_TRAD_AGG_RO_COMP[],O$1,0),"ERROR")</f>
        <v>38</v>
      </c>
      <c r="P30" s="216">
        <f t="shared" si="3"/>
        <v>0.52054794520547942</v>
      </c>
      <c r="Q30" s="201">
        <f>IFERROR(VLOOKUP($B30,MMWR_TRAD_AGG_RO_COMP[],Q$1,0),"ERROR")</f>
        <v>0</v>
      </c>
      <c r="R30" s="201">
        <f>IFERROR(VLOOKUP($B30,MMWR_TRAD_AGG_RO_COMP[],R$1,0),"ERROR")</f>
        <v>1</v>
      </c>
      <c r="S30" s="201">
        <f>IFERROR(VLOOKUP($B30,MMWR_APP_RO[],S$1,0),"ERROR")</f>
        <v>630</v>
      </c>
      <c r="T30" s="25"/>
    </row>
    <row r="31" spans="1:20" x14ac:dyDescent="0.2">
      <c r="A31" s="107"/>
      <c r="B31" s="108" t="s">
        <v>48</v>
      </c>
      <c r="C31" s="209">
        <f>IFERROR(VLOOKUP($B31,MMWR_TRAD_AGG_RO_COMP[],C$1,0),"ERROR")</f>
        <v>7003</v>
      </c>
      <c r="D31" s="198">
        <f>IFERROR(VLOOKUP($B31,MMWR_TRAD_AGG_RO_COMP[],D$1,0),"ERROR")</f>
        <v>559.38569184640005</v>
      </c>
      <c r="E31" s="195">
        <f>IFERROR(VLOOKUP($B31,MMWR_TRAD_AGG_RO_COMP[],E$1,0),"ERROR")</f>
        <v>4713</v>
      </c>
      <c r="F31" s="191">
        <f>IFERROR(VLOOKUP($B31,MMWR_TRAD_AGG_RO_COMP[],F$1,0),"ERROR")</f>
        <v>1021</v>
      </c>
      <c r="G31" s="216">
        <f t="shared" si="0"/>
        <v>0.21663483980479525</v>
      </c>
      <c r="H31" s="190">
        <f>IFERROR(VLOOKUP($B31,MMWR_TRAD_AGG_RO_COMP[],H$1,0),"ERROR")</f>
        <v>10360</v>
      </c>
      <c r="I31" s="191">
        <f>IFERROR(VLOOKUP($B31,MMWR_TRAD_AGG_RO_COMP[],I$1,0),"ERROR")</f>
        <v>8131</v>
      </c>
      <c r="J31" s="216">
        <f t="shared" si="1"/>
        <v>0.78484555984555981</v>
      </c>
      <c r="K31" s="204">
        <f>IFERROR(VLOOKUP($B31,MMWR_TRAD_AGG_RO_COMP[],K$1,0),"ERROR")</f>
        <v>1956</v>
      </c>
      <c r="L31" s="205">
        <f>IFERROR(VLOOKUP($B31,MMWR_TRAD_AGG_RO_COMP[],L$1,0),"ERROR")</f>
        <v>1463</v>
      </c>
      <c r="M31" s="216">
        <f t="shared" si="2"/>
        <v>0.74795501022494892</v>
      </c>
      <c r="N31" s="204">
        <f>IFERROR(VLOOKUP($B31,MMWR_TRAD_AGG_RO_COMP[],N$1,0),"ERROR")</f>
        <v>2002</v>
      </c>
      <c r="O31" s="205">
        <f>IFERROR(VLOOKUP($B31,MMWR_TRAD_AGG_RO_COMP[],O$1,0),"ERROR")</f>
        <v>1429</v>
      </c>
      <c r="P31" s="216">
        <f t="shared" si="3"/>
        <v>0.71378621378621376</v>
      </c>
      <c r="Q31" s="201">
        <f>IFERROR(VLOOKUP($B31,MMWR_TRAD_AGG_RO_COMP[],Q$1,0),"ERROR")</f>
        <v>1</v>
      </c>
      <c r="R31" s="201">
        <f>IFERROR(VLOOKUP($B31,MMWR_TRAD_AGG_RO_COMP[],R$1,0),"ERROR")</f>
        <v>210</v>
      </c>
      <c r="S31" s="201">
        <f>IFERROR(VLOOKUP($B31,MMWR_APP_RO[],S$1,0),"ERROR")</f>
        <v>8340</v>
      </c>
      <c r="T31" s="25"/>
    </row>
    <row r="32" spans="1:20" x14ac:dyDescent="0.2">
      <c r="A32" s="107"/>
      <c r="B32" s="108" t="s">
        <v>50</v>
      </c>
      <c r="C32" s="209">
        <f>IFERROR(VLOOKUP($B32,MMWR_TRAD_AGG_RO_COMP[],C$1,0),"ERROR")</f>
        <v>1701</v>
      </c>
      <c r="D32" s="198">
        <f>IFERROR(VLOOKUP($B32,MMWR_TRAD_AGG_RO_COMP[],D$1,0),"ERROR")</f>
        <v>137.2533803645</v>
      </c>
      <c r="E32" s="195">
        <f>IFERROR(VLOOKUP($B32,MMWR_TRAD_AGG_RO_COMP[],E$1,0),"ERROR")</f>
        <v>2239</v>
      </c>
      <c r="F32" s="191">
        <f>IFERROR(VLOOKUP($B32,MMWR_TRAD_AGG_RO_COMP[],F$1,0),"ERROR")</f>
        <v>341</v>
      </c>
      <c r="G32" s="216">
        <f t="shared" si="0"/>
        <v>0.15230013398838768</v>
      </c>
      <c r="H32" s="190">
        <f>IFERROR(VLOOKUP($B32,MMWR_TRAD_AGG_RO_COMP[],H$1,0),"ERROR")</f>
        <v>2911</v>
      </c>
      <c r="I32" s="191">
        <f>IFERROR(VLOOKUP($B32,MMWR_TRAD_AGG_RO_COMP[],I$1,0),"ERROR")</f>
        <v>1161</v>
      </c>
      <c r="J32" s="216">
        <f t="shared" si="1"/>
        <v>0.39883201648917899</v>
      </c>
      <c r="K32" s="204">
        <f>IFERROR(VLOOKUP($B32,MMWR_TRAD_AGG_RO_COMP[],K$1,0),"ERROR")</f>
        <v>865</v>
      </c>
      <c r="L32" s="205">
        <f>IFERROR(VLOOKUP($B32,MMWR_TRAD_AGG_RO_COMP[],L$1,0),"ERROR")</f>
        <v>649</v>
      </c>
      <c r="M32" s="216">
        <f t="shared" si="2"/>
        <v>0.75028901734104048</v>
      </c>
      <c r="N32" s="204">
        <f>IFERROR(VLOOKUP($B32,MMWR_TRAD_AGG_RO_COMP[],N$1,0),"ERROR")</f>
        <v>787</v>
      </c>
      <c r="O32" s="205">
        <f>IFERROR(VLOOKUP($B32,MMWR_TRAD_AGG_RO_COMP[],O$1,0),"ERROR")</f>
        <v>293</v>
      </c>
      <c r="P32" s="216">
        <f t="shared" si="3"/>
        <v>0.37229987293519695</v>
      </c>
      <c r="Q32" s="201">
        <f>IFERROR(VLOOKUP($B32,MMWR_TRAD_AGG_RO_COMP[],Q$1,0),"ERROR")</f>
        <v>2</v>
      </c>
      <c r="R32" s="201">
        <f>IFERROR(VLOOKUP($B32,MMWR_TRAD_AGG_RO_COMP[],R$1,0),"ERROR")</f>
        <v>16</v>
      </c>
      <c r="S32" s="201">
        <f>IFERROR(VLOOKUP($B32,MMWR_APP_RO[],S$1,0),"ERROR")</f>
        <v>985</v>
      </c>
      <c r="T32" s="25"/>
    </row>
    <row r="33" spans="1:20" x14ac:dyDescent="0.2">
      <c r="A33" s="107"/>
      <c r="B33" s="108" t="s">
        <v>56</v>
      </c>
      <c r="C33" s="209">
        <f>IFERROR(VLOOKUP($B33,MMWR_TRAD_AGG_RO_COMP[],C$1,0),"ERROR")</f>
        <v>4449</v>
      </c>
      <c r="D33" s="198">
        <f>IFERROR(VLOOKUP($B33,MMWR_TRAD_AGG_RO_COMP[],D$1,0),"ERROR")</f>
        <v>198.3002922005</v>
      </c>
      <c r="E33" s="195">
        <f>IFERROR(VLOOKUP($B33,MMWR_TRAD_AGG_RO_COMP[],E$1,0),"ERROR")</f>
        <v>6226</v>
      </c>
      <c r="F33" s="191">
        <f>IFERROR(VLOOKUP($B33,MMWR_TRAD_AGG_RO_COMP[],F$1,0),"ERROR")</f>
        <v>1192</v>
      </c>
      <c r="G33" s="216">
        <f t="shared" si="0"/>
        <v>0.19145518792161903</v>
      </c>
      <c r="H33" s="190">
        <f>IFERROR(VLOOKUP($B33,MMWR_TRAD_AGG_RO_COMP[],H$1,0),"ERROR")</f>
        <v>5927</v>
      </c>
      <c r="I33" s="191">
        <f>IFERROR(VLOOKUP($B33,MMWR_TRAD_AGG_RO_COMP[],I$1,0),"ERROR")</f>
        <v>2814</v>
      </c>
      <c r="J33" s="216">
        <f t="shared" si="1"/>
        <v>0.47477644676902314</v>
      </c>
      <c r="K33" s="204">
        <f>IFERROR(VLOOKUP($B33,MMWR_TRAD_AGG_RO_COMP[],K$1,0),"ERROR")</f>
        <v>606</v>
      </c>
      <c r="L33" s="205">
        <f>IFERROR(VLOOKUP($B33,MMWR_TRAD_AGG_RO_COMP[],L$1,0),"ERROR")</f>
        <v>436</v>
      </c>
      <c r="M33" s="216">
        <f t="shared" si="2"/>
        <v>0.71947194719471952</v>
      </c>
      <c r="N33" s="204">
        <f>IFERROR(VLOOKUP($B33,MMWR_TRAD_AGG_RO_COMP[],N$1,0),"ERROR")</f>
        <v>628</v>
      </c>
      <c r="O33" s="205">
        <f>IFERROR(VLOOKUP($B33,MMWR_TRAD_AGG_RO_COMP[],O$1,0),"ERROR")</f>
        <v>330</v>
      </c>
      <c r="P33" s="216">
        <f t="shared" si="3"/>
        <v>0.52547770700636942</v>
      </c>
      <c r="Q33" s="201">
        <f>IFERROR(VLOOKUP($B33,MMWR_TRAD_AGG_RO_COMP[],Q$1,0),"ERROR")</f>
        <v>6781</v>
      </c>
      <c r="R33" s="201">
        <f>IFERROR(VLOOKUP($B33,MMWR_TRAD_AGG_RO_COMP[],R$1,0),"ERROR")</f>
        <v>0</v>
      </c>
      <c r="S33" s="201">
        <f>IFERROR(VLOOKUP($B33,MMWR_APP_RO[],S$1,0),"ERROR")</f>
        <v>3211</v>
      </c>
      <c r="T33" s="25"/>
    </row>
    <row r="34" spans="1:20" x14ac:dyDescent="0.2">
      <c r="A34" s="107"/>
      <c r="B34" s="108" t="s">
        <v>74</v>
      </c>
      <c r="C34" s="209">
        <f>IFERROR(VLOOKUP($B34,MMWR_TRAD_AGG_RO_COMP[],C$1,0),"ERROR")</f>
        <v>252</v>
      </c>
      <c r="D34" s="198">
        <f>IFERROR(VLOOKUP($B34,MMWR_TRAD_AGG_RO_COMP[],D$1,0),"ERROR")</f>
        <v>107.93650793650001</v>
      </c>
      <c r="E34" s="195">
        <f>IFERROR(VLOOKUP($B34,MMWR_TRAD_AGG_RO_COMP[],E$1,0),"ERROR")</f>
        <v>896</v>
      </c>
      <c r="F34" s="191">
        <f>IFERROR(VLOOKUP($B34,MMWR_TRAD_AGG_RO_COMP[],F$1,0),"ERROR")</f>
        <v>199</v>
      </c>
      <c r="G34" s="216">
        <f t="shared" si="0"/>
        <v>0.22209821428571427</v>
      </c>
      <c r="H34" s="190">
        <f>IFERROR(VLOOKUP($B34,MMWR_TRAD_AGG_RO_COMP[],H$1,0),"ERROR")</f>
        <v>450</v>
      </c>
      <c r="I34" s="191">
        <f>IFERROR(VLOOKUP($B34,MMWR_TRAD_AGG_RO_COMP[],I$1,0),"ERROR")</f>
        <v>92</v>
      </c>
      <c r="J34" s="216">
        <f t="shared" si="1"/>
        <v>0.20444444444444446</v>
      </c>
      <c r="K34" s="204">
        <f>IFERROR(VLOOKUP($B34,MMWR_TRAD_AGG_RO_COMP[],K$1,0),"ERROR")</f>
        <v>337</v>
      </c>
      <c r="L34" s="205">
        <f>IFERROR(VLOOKUP($B34,MMWR_TRAD_AGG_RO_COMP[],L$1,0),"ERROR")</f>
        <v>126</v>
      </c>
      <c r="M34" s="216">
        <f t="shared" si="2"/>
        <v>0.37388724035608306</v>
      </c>
      <c r="N34" s="204">
        <f>IFERROR(VLOOKUP($B34,MMWR_TRAD_AGG_RO_COMP[],N$1,0),"ERROR")</f>
        <v>39</v>
      </c>
      <c r="O34" s="205">
        <f>IFERROR(VLOOKUP($B34,MMWR_TRAD_AGG_RO_COMP[],O$1,0),"ERROR")</f>
        <v>14</v>
      </c>
      <c r="P34" s="216">
        <f t="shared" si="3"/>
        <v>0.35897435897435898</v>
      </c>
      <c r="Q34" s="201">
        <f>IFERROR(VLOOKUP($B34,MMWR_TRAD_AGG_RO_COMP[],Q$1,0),"ERROR")</f>
        <v>0</v>
      </c>
      <c r="R34" s="201">
        <f>IFERROR(VLOOKUP($B34,MMWR_TRAD_AGG_RO_COMP[],R$1,0),"ERROR")</f>
        <v>0</v>
      </c>
      <c r="S34" s="201">
        <f>IFERROR(VLOOKUP($B34,MMWR_APP_RO[],S$1,0),"ERROR")</f>
        <v>209</v>
      </c>
      <c r="T34" s="25"/>
    </row>
    <row r="35" spans="1:20" x14ac:dyDescent="0.2">
      <c r="A35" s="107"/>
      <c r="B35" s="108" t="s">
        <v>75</v>
      </c>
      <c r="C35" s="209">
        <f>IFERROR(VLOOKUP($B35,MMWR_TRAD_AGG_RO_COMP[],C$1,0),"ERROR")</f>
        <v>4114</v>
      </c>
      <c r="D35" s="198">
        <f>IFERROR(VLOOKUP($B35,MMWR_TRAD_AGG_RO_COMP[],D$1,0),"ERROR")</f>
        <v>225.32134175979999</v>
      </c>
      <c r="E35" s="195">
        <f>IFERROR(VLOOKUP($B35,MMWR_TRAD_AGG_RO_COMP[],E$1,0),"ERROR")</f>
        <v>5928</v>
      </c>
      <c r="F35" s="191">
        <f>IFERROR(VLOOKUP($B35,MMWR_TRAD_AGG_RO_COMP[],F$1,0),"ERROR")</f>
        <v>1363</v>
      </c>
      <c r="G35" s="216">
        <f t="shared" si="0"/>
        <v>0.22992577597840755</v>
      </c>
      <c r="H35" s="190">
        <f>IFERROR(VLOOKUP($B35,MMWR_TRAD_AGG_RO_COMP[],H$1,0),"ERROR")</f>
        <v>5708</v>
      </c>
      <c r="I35" s="191">
        <f>IFERROR(VLOOKUP($B35,MMWR_TRAD_AGG_RO_COMP[],I$1,0),"ERROR")</f>
        <v>3257</v>
      </c>
      <c r="J35" s="216">
        <f t="shared" si="1"/>
        <v>0.57060266292922213</v>
      </c>
      <c r="K35" s="204">
        <f>IFERROR(VLOOKUP($B35,MMWR_TRAD_AGG_RO_COMP[],K$1,0),"ERROR")</f>
        <v>2237</v>
      </c>
      <c r="L35" s="205">
        <f>IFERROR(VLOOKUP($B35,MMWR_TRAD_AGG_RO_COMP[],L$1,0),"ERROR")</f>
        <v>1987</v>
      </c>
      <c r="M35" s="216">
        <f t="shared" si="2"/>
        <v>0.88824318283415293</v>
      </c>
      <c r="N35" s="204">
        <f>IFERROR(VLOOKUP($B35,MMWR_TRAD_AGG_RO_COMP[],N$1,0),"ERROR")</f>
        <v>3648</v>
      </c>
      <c r="O35" s="205">
        <f>IFERROR(VLOOKUP($B35,MMWR_TRAD_AGG_RO_COMP[],O$1,0),"ERROR")</f>
        <v>3307</v>
      </c>
      <c r="P35" s="216">
        <f t="shared" si="3"/>
        <v>0.90652412280701755</v>
      </c>
      <c r="Q35" s="201">
        <f>IFERROR(VLOOKUP($B35,MMWR_TRAD_AGG_RO_COMP[],Q$1,0),"ERROR")</f>
        <v>0</v>
      </c>
      <c r="R35" s="201">
        <f>IFERROR(VLOOKUP($B35,MMWR_TRAD_AGG_RO_COMP[],R$1,0),"ERROR")</f>
        <v>41</v>
      </c>
      <c r="S35" s="201">
        <f>IFERROR(VLOOKUP($B35,MMWR_APP_RO[],S$1,0),"ERROR")</f>
        <v>6314</v>
      </c>
      <c r="T35" s="25"/>
    </row>
    <row r="36" spans="1:20" x14ac:dyDescent="0.2">
      <c r="A36" s="28"/>
      <c r="B36" s="108" t="s">
        <v>76</v>
      </c>
      <c r="C36" s="219">
        <f>IFERROR(VLOOKUP($B36,MMWR_TRAD_AGG_RO_COMP[],C$1,0),"ERROR")</f>
        <v>2836</v>
      </c>
      <c r="D36" s="220">
        <f>IFERROR(VLOOKUP($B36,MMWR_TRAD_AGG_RO_COMP[],D$1,0),"ERROR")</f>
        <v>156.797954866</v>
      </c>
      <c r="E36" s="221">
        <f>IFERROR(VLOOKUP($B36,MMWR_TRAD_AGG_RO_COMP[],E$1,0),"ERROR")</f>
        <v>9042</v>
      </c>
      <c r="F36" s="222">
        <f>IFERROR(VLOOKUP($B36,MMWR_TRAD_AGG_RO_COMP[],F$1,0),"ERROR")</f>
        <v>1629</v>
      </c>
      <c r="G36" s="223">
        <f t="shared" si="0"/>
        <v>0.18015925680159256</v>
      </c>
      <c r="H36" s="224">
        <f>IFERROR(VLOOKUP($B36,MMWR_TRAD_AGG_RO_COMP[],H$1,0),"ERROR")</f>
        <v>9976</v>
      </c>
      <c r="I36" s="222">
        <f>IFERROR(VLOOKUP($B36,MMWR_TRAD_AGG_RO_COMP[],I$1,0),"ERROR")</f>
        <v>3805</v>
      </c>
      <c r="J36" s="223">
        <f t="shared" si="1"/>
        <v>0.38141539695268645</v>
      </c>
      <c r="K36" s="225">
        <f>IFERROR(VLOOKUP($B36,MMWR_TRAD_AGG_RO_COMP[],K$1,0),"ERROR")</f>
        <v>1457</v>
      </c>
      <c r="L36" s="226">
        <f>IFERROR(VLOOKUP($B36,MMWR_TRAD_AGG_RO_COMP[],L$1,0),"ERROR")</f>
        <v>490</v>
      </c>
      <c r="M36" s="223">
        <f t="shared" si="2"/>
        <v>0.33630748112560055</v>
      </c>
      <c r="N36" s="225">
        <f>IFERROR(VLOOKUP($B36,MMWR_TRAD_AGG_RO_COMP[],N$1,0),"ERROR")</f>
        <v>1125</v>
      </c>
      <c r="O36" s="226">
        <f>IFERROR(VLOOKUP($B36,MMWR_TRAD_AGG_RO_COMP[],O$1,0),"ERROR")</f>
        <v>503</v>
      </c>
      <c r="P36" s="223">
        <f t="shared" si="3"/>
        <v>0.44711111111111113</v>
      </c>
      <c r="Q36" s="227">
        <f>IFERROR(VLOOKUP($B36,MMWR_TRAD_AGG_RO_COMP[],Q$1,0),"ERROR")</f>
        <v>35</v>
      </c>
      <c r="R36" s="227">
        <f>IFERROR(VLOOKUP($B36,MMWR_TRAD_AGG_RO_COMP[],R$1,0),"ERROR")</f>
        <v>0</v>
      </c>
      <c r="S36" s="201">
        <f>IFERROR(VLOOKUP($B36,MMWR_APP_RO[],S$1,0),"ERROR")</f>
        <v>1803</v>
      </c>
      <c r="T36" s="28"/>
    </row>
    <row r="37" spans="1:20" x14ac:dyDescent="0.2">
      <c r="A37" s="28"/>
      <c r="B37" s="116" t="s">
        <v>81</v>
      </c>
      <c r="C37" s="228">
        <f>IFERROR(VLOOKUP($B37,MMWR_TRAD_AGG_RO_COMP[],C$1,0),"ERROR")</f>
        <v>1629</v>
      </c>
      <c r="D37" s="229">
        <f>IFERROR(VLOOKUP($B37,MMWR_TRAD_AGG_RO_COMP[],D$1,0),"ERROR")</f>
        <v>188.8311847759</v>
      </c>
      <c r="E37" s="230">
        <f>IFERROR(VLOOKUP($B37,MMWR_TRAD_AGG_RO_COMP[],E$1,0),"ERROR")</f>
        <v>2327</v>
      </c>
      <c r="F37" s="231">
        <f>IFERROR(VLOOKUP($B37,MMWR_TRAD_AGG_RO_COMP[],F$1,0),"ERROR")</f>
        <v>443</v>
      </c>
      <c r="G37" s="232">
        <f t="shared" si="0"/>
        <v>0.19037387193811775</v>
      </c>
      <c r="H37" s="233">
        <f>IFERROR(VLOOKUP($B37,MMWR_TRAD_AGG_RO_COMP[],H$1,0),"ERROR")</f>
        <v>2325</v>
      </c>
      <c r="I37" s="231">
        <f>IFERROR(VLOOKUP($B37,MMWR_TRAD_AGG_RO_COMP[],I$1,0),"ERROR")</f>
        <v>1194</v>
      </c>
      <c r="J37" s="232">
        <f t="shared" si="1"/>
        <v>0.51354838709677419</v>
      </c>
      <c r="K37" s="234">
        <f>IFERROR(VLOOKUP($B37,MMWR_TRAD_AGG_RO_COMP[],K$1,0),"ERROR")</f>
        <v>1023</v>
      </c>
      <c r="L37" s="235">
        <f>IFERROR(VLOOKUP($B37,MMWR_TRAD_AGG_RO_COMP[],L$1,0),"ERROR")</f>
        <v>555</v>
      </c>
      <c r="M37" s="232">
        <f t="shared" si="2"/>
        <v>0.54252199413489732</v>
      </c>
      <c r="N37" s="234">
        <f>IFERROR(VLOOKUP($B37,MMWR_TRAD_AGG_RO_COMP[],N$1,0),"ERROR")</f>
        <v>210</v>
      </c>
      <c r="O37" s="235">
        <f>IFERROR(VLOOKUP($B37,MMWR_TRAD_AGG_RO_COMP[],O$1,0),"ERROR")</f>
        <v>98</v>
      </c>
      <c r="P37" s="232">
        <f t="shared" si="3"/>
        <v>0.46666666666666667</v>
      </c>
      <c r="Q37" s="236">
        <f>IFERROR(VLOOKUP($B37,MMWR_TRAD_AGG_RO_COMP[],Q$1,0),"ERROR")</f>
        <v>0</v>
      </c>
      <c r="R37" s="236">
        <f>IFERROR(VLOOKUP($B37,MMWR_TRAD_AGG_RO_COMP[],R$1,0),"ERROR")</f>
        <v>6</v>
      </c>
      <c r="S37" s="201">
        <f>IFERROR(VLOOKUP($B37,MMWR_APP_RO[],S$1,0),"ERROR")</f>
        <v>1188</v>
      </c>
      <c r="T37" s="28"/>
    </row>
    <row r="38" spans="1:20" x14ac:dyDescent="0.2">
      <c r="A38" s="28"/>
      <c r="B38" s="101" t="s">
        <v>386</v>
      </c>
      <c r="C38" s="212">
        <f>IFERROR(VLOOKUP($B38,MMWR_TRAD_AGG_DISTRICT_COMP[],C$1,0),"ERROR")</f>
        <v>51033</v>
      </c>
      <c r="D38" s="197">
        <f>IFERROR(VLOOKUP($B38,MMWR_TRAD_AGG_DISTRICT_COMP[],D$1,0),"ERROR")</f>
        <v>363.59112730980002</v>
      </c>
      <c r="E38" s="213">
        <f>IFERROR(VLOOKUP($B38,MMWR_TRAD_AGG_DISTRICT_COMP[],E$1,0),"ERROR")</f>
        <v>63449</v>
      </c>
      <c r="F38" s="218">
        <f>IFERROR(VLOOKUP($B38,MMWR_TRAD_AGG_DISTRICT_COMP[],F$1,0),"ERROR")</f>
        <v>15872</v>
      </c>
      <c r="G38" s="214">
        <f t="shared" si="0"/>
        <v>0.25015366672445588</v>
      </c>
      <c r="H38" s="218">
        <f>IFERROR(VLOOKUP($B38,MMWR_TRAD_AGG_DISTRICT_COMP[],H$1,0),"ERROR")</f>
        <v>77634</v>
      </c>
      <c r="I38" s="218">
        <f>IFERROR(VLOOKUP($B38,MMWR_TRAD_AGG_DISTRICT_COMP[],I$1,0),"ERROR")</f>
        <v>50901</v>
      </c>
      <c r="J38" s="214">
        <f t="shared" si="1"/>
        <v>0.65565345080763582</v>
      </c>
      <c r="K38" s="212">
        <f>IFERROR(VLOOKUP($B38,MMWR_TRAD_AGG_DISTRICT_COMP[],K$1,0),"ERROR")</f>
        <v>19239</v>
      </c>
      <c r="L38" s="212">
        <f>IFERROR(VLOOKUP($B38,MMWR_TRAD_AGG_DISTRICT_COMP[],L$1,0),"ERROR")</f>
        <v>14684</v>
      </c>
      <c r="M38" s="214">
        <f t="shared" si="2"/>
        <v>0.76324133270960026</v>
      </c>
      <c r="N38" s="212">
        <f>IFERROR(VLOOKUP($B38,MMWR_TRAD_AGG_DISTRICT_COMP[],N$1,0),"ERROR")</f>
        <v>17232</v>
      </c>
      <c r="O38" s="212">
        <f>IFERROR(VLOOKUP($B38,MMWR_TRAD_AGG_DISTRICT_COMP[],O$1,0),"ERROR")</f>
        <v>9458</v>
      </c>
      <c r="P38" s="214">
        <f t="shared" si="3"/>
        <v>0.54886258124419685</v>
      </c>
      <c r="Q38" s="212">
        <f>IFERROR(VLOOKUP($B38,MMWR_TRAD_AGG_DISTRICT_COMP[],Q$1,0),"ERROR")</f>
        <v>57</v>
      </c>
      <c r="R38" s="215">
        <f>IFERROR(VLOOKUP($B38,MMWR_TRAD_AGG_DISTRICT_COMP[],R$1,0),"ERROR")</f>
        <v>1121</v>
      </c>
      <c r="S38" s="215">
        <f>IFERROR(VLOOKUP($B38,MMWR_APP_RO[],S$1,0),"ERROR")</f>
        <v>68299</v>
      </c>
      <c r="T38" s="28"/>
    </row>
    <row r="39" spans="1:20" x14ac:dyDescent="0.2">
      <c r="A39" s="28"/>
      <c r="B39" s="108" t="s">
        <v>36</v>
      </c>
      <c r="C39" s="219">
        <f>IFERROR(VLOOKUP($B39,MMWR_TRAD_AGG_RO_COMP[],C$1,0),"ERROR")</f>
        <v>310</v>
      </c>
      <c r="D39" s="220">
        <f>IFERROR(VLOOKUP($B39,MMWR_TRAD_AGG_RO_COMP[],D$1,0),"ERROR")</f>
        <v>262.19032258060003</v>
      </c>
      <c r="E39" s="221">
        <f>IFERROR(VLOOKUP($B39,MMWR_TRAD_AGG_RO_COMP[],E$1,0),"ERROR")</f>
        <v>793</v>
      </c>
      <c r="F39" s="222">
        <f>IFERROR(VLOOKUP($B39,MMWR_TRAD_AGG_RO_COMP[],F$1,0),"ERROR")</f>
        <v>104</v>
      </c>
      <c r="G39" s="223">
        <f t="shared" si="0"/>
        <v>0.13114754098360656</v>
      </c>
      <c r="H39" s="224">
        <f>IFERROR(VLOOKUP($B39,MMWR_TRAD_AGG_RO_COMP[],H$1,0),"ERROR")</f>
        <v>518</v>
      </c>
      <c r="I39" s="222">
        <f>IFERROR(VLOOKUP($B39,MMWR_TRAD_AGG_RO_COMP[],I$1,0),"ERROR")</f>
        <v>303</v>
      </c>
      <c r="J39" s="223">
        <f t="shared" si="1"/>
        <v>0.58494208494208499</v>
      </c>
      <c r="K39" s="225">
        <f>IFERROR(VLOOKUP($B39,MMWR_TRAD_AGG_RO_COMP[],K$1,0),"ERROR")</f>
        <v>135</v>
      </c>
      <c r="L39" s="226">
        <f>IFERROR(VLOOKUP($B39,MMWR_TRAD_AGG_RO_COMP[],L$1,0),"ERROR")</f>
        <v>106</v>
      </c>
      <c r="M39" s="223">
        <f t="shared" si="2"/>
        <v>0.78518518518518521</v>
      </c>
      <c r="N39" s="225">
        <f>IFERROR(VLOOKUP($B39,MMWR_TRAD_AGG_RO_COMP[],N$1,0),"ERROR")</f>
        <v>90</v>
      </c>
      <c r="O39" s="226">
        <f>IFERROR(VLOOKUP($B39,MMWR_TRAD_AGG_RO_COMP[],O$1,0),"ERROR")</f>
        <v>37</v>
      </c>
      <c r="P39" s="223">
        <f t="shared" si="3"/>
        <v>0.41111111111111109</v>
      </c>
      <c r="Q39" s="227">
        <f>IFERROR(VLOOKUP($B39,MMWR_TRAD_AGG_RO_COMP[],Q$1,0),"ERROR")</f>
        <v>2</v>
      </c>
      <c r="R39" s="227">
        <f>IFERROR(VLOOKUP($B39,MMWR_TRAD_AGG_RO_COMP[],R$1,0),"ERROR")</f>
        <v>5</v>
      </c>
      <c r="S39" s="201">
        <f>IFERROR(VLOOKUP($B39,MMWR_APP_RO[],S$1,0),"ERROR")</f>
        <v>218</v>
      </c>
      <c r="T39" s="28"/>
    </row>
    <row r="40" spans="1:20" x14ac:dyDescent="0.2">
      <c r="A40" s="28"/>
      <c r="B40" s="108" t="s">
        <v>40</v>
      </c>
      <c r="C40" s="219">
        <f>IFERROR(VLOOKUP($B40,MMWR_TRAD_AGG_RO_COMP[],C$1,0),"ERROR")</f>
        <v>7313</v>
      </c>
      <c r="D40" s="220">
        <f>IFERROR(VLOOKUP($B40,MMWR_TRAD_AGG_RO_COMP[],D$1,0),"ERROR")</f>
        <v>479.48434295089999</v>
      </c>
      <c r="E40" s="221">
        <f>IFERROR(VLOOKUP($B40,MMWR_TRAD_AGG_RO_COMP[],E$1,0),"ERROR")</f>
        <v>8179</v>
      </c>
      <c r="F40" s="222">
        <f>IFERROR(VLOOKUP($B40,MMWR_TRAD_AGG_RO_COMP[],F$1,0),"ERROR")</f>
        <v>2812</v>
      </c>
      <c r="G40" s="223">
        <f t="shared" si="0"/>
        <v>0.34380731140726251</v>
      </c>
      <c r="H40" s="224">
        <f>IFERROR(VLOOKUP($B40,MMWR_TRAD_AGG_RO_COMP[],H$1,0),"ERROR")</f>
        <v>9608</v>
      </c>
      <c r="I40" s="222">
        <f>IFERROR(VLOOKUP($B40,MMWR_TRAD_AGG_RO_COMP[],I$1,0),"ERROR")</f>
        <v>7139</v>
      </c>
      <c r="J40" s="223">
        <f t="shared" si="1"/>
        <v>0.74302664446294753</v>
      </c>
      <c r="K40" s="225">
        <f>IFERROR(VLOOKUP($B40,MMWR_TRAD_AGG_RO_COMP[],K$1,0),"ERROR")</f>
        <v>3211</v>
      </c>
      <c r="L40" s="226">
        <f>IFERROR(VLOOKUP($B40,MMWR_TRAD_AGG_RO_COMP[],L$1,0),"ERROR")</f>
        <v>2619</v>
      </c>
      <c r="M40" s="223">
        <f t="shared" si="2"/>
        <v>0.81563375895359702</v>
      </c>
      <c r="N40" s="225">
        <f>IFERROR(VLOOKUP($B40,MMWR_TRAD_AGG_RO_COMP[],N$1,0),"ERROR")</f>
        <v>847</v>
      </c>
      <c r="O40" s="226">
        <f>IFERROR(VLOOKUP($B40,MMWR_TRAD_AGG_RO_COMP[],O$1,0),"ERROR")</f>
        <v>448</v>
      </c>
      <c r="P40" s="223">
        <f t="shared" si="3"/>
        <v>0.52892561983471076</v>
      </c>
      <c r="Q40" s="227">
        <f>IFERROR(VLOOKUP($B40,MMWR_TRAD_AGG_RO_COMP[],Q$1,0),"ERROR")</f>
        <v>0</v>
      </c>
      <c r="R40" s="227">
        <f>IFERROR(VLOOKUP($B40,MMWR_TRAD_AGG_RO_COMP[],R$1,0),"ERROR")</f>
        <v>53</v>
      </c>
      <c r="S40" s="201">
        <f>IFERROR(VLOOKUP($B40,MMWR_APP_RO[],S$1,0),"ERROR")</f>
        <v>6414</v>
      </c>
      <c r="T40" s="28"/>
    </row>
    <row r="41" spans="1:20" x14ac:dyDescent="0.2">
      <c r="A41" s="28"/>
      <c r="B41" s="108" t="s">
        <v>181</v>
      </c>
      <c r="C41" s="219">
        <f>IFERROR(VLOOKUP($B41,MMWR_TRAD_AGG_RO_COMP[],C$1,0),"ERROR")</f>
        <v>431</v>
      </c>
      <c r="D41" s="220">
        <f>IFERROR(VLOOKUP($B41,MMWR_TRAD_AGG_RO_COMP[],D$1,0),"ERROR")</f>
        <v>143.3921113689</v>
      </c>
      <c r="E41" s="221">
        <f>IFERROR(VLOOKUP($B41,MMWR_TRAD_AGG_RO_COMP[],E$1,0),"ERROR")</f>
        <v>653</v>
      </c>
      <c r="F41" s="222">
        <f>IFERROR(VLOOKUP($B41,MMWR_TRAD_AGG_RO_COMP[],F$1,0),"ERROR")</f>
        <v>53</v>
      </c>
      <c r="G41" s="223">
        <f t="shared" si="0"/>
        <v>8.1163859111791734E-2</v>
      </c>
      <c r="H41" s="224">
        <f>IFERROR(VLOOKUP($B41,MMWR_TRAD_AGG_RO_COMP[],H$1,0),"ERROR")</f>
        <v>621</v>
      </c>
      <c r="I41" s="222">
        <f>IFERROR(VLOOKUP($B41,MMWR_TRAD_AGG_RO_COMP[],I$1,0),"ERROR")</f>
        <v>189</v>
      </c>
      <c r="J41" s="223">
        <f t="shared" si="1"/>
        <v>0.30434782608695654</v>
      </c>
      <c r="K41" s="225">
        <f>IFERROR(VLOOKUP($B41,MMWR_TRAD_AGG_RO_COMP[],K$1,0),"ERROR")</f>
        <v>449</v>
      </c>
      <c r="L41" s="226">
        <f>IFERROR(VLOOKUP($B41,MMWR_TRAD_AGG_RO_COMP[],L$1,0),"ERROR")</f>
        <v>273</v>
      </c>
      <c r="M41" s="223">
        <f t="shared" si="2"/>
        <v>0.60801781737193761</v>
      </c>
      <c r="N41" s="225">
        <f>IFERROR(VLOOKUP($B41,MMWR_TRAD_AGG_RO_COMP[],N$1,0),"ERROR")</f>
        <v>170</v>
      </c>
      <c r="O41" s="226">
        <f>IFERROR(VLOOKUP($B41,MMWR_TRAD_AGG_RO_COMP[],O$1,0),"ERROR")</f>
        <v>64</v>
      </c>
      <c r="P41" s="223">
        <f t="shared" si="3"/>
        <v>0.37647058823529411</v>
      </c>
      <c r="Q41" s="227">
        <f>IFERROR(VLOOKUP($B41,MMWR_TRAD_AGG_RO_COMP[],Q$1,0),"ERROR")</f>
        <v>0</v>
      </c>
      <c r="R41" s="227">
        <f>IFERROR(VLOOKUP($B41,MMWR_TRAD_AGG_RO_COMP[],R$1,0),"ERROR")</f>
        <v>4</v>
      </c>
      <c r="S41" s="201">
        <f>IFERROR(VLOOKUP($B41,MMWR_APP_RO[],S$1,0),"ERROR")</f>
        <v>343</v>
      </c>
      <c r="T41" s="28"/>
    </row>
    <row r="42" spans="1:20" x14ac:dyDescent="0.2">
      <c r="A42" s="28"/>
      <c r="B42" s="108" t="s">
        <v>46</v>
      </c>
      <c r="C42" s="219">
        <f>IFERROR(VLOOKUP($B42,MMWR_TRAD_AGG_RO_COMP[],C$1,0),"ERROR")</f>
        <v>13191</v>
      </c>
      <c r="D42" s="220">
        <f>IFERROR(VLOOKUP($B42,MMWR_TRAD_AGG_RO_COMP[],D$1,0),"ERROR")</f>
        <v>348.8215449928</v>
      </c>
      <c r="E42" s="221">
        <f>IFERROR(VLOOKUP($B42,MMWR_TRAD_AGG_RO_COMP[],E$1,0),"ERROR")</f>
        <v>15906</v>
      </c>
      <c r="F42" s="222">
        <f>IFERROR(VLOOKUP($B42,MMWR_TRAD_AGG_RO_COMP[],F$1,0),"ERROR")</f>
        <v>4067</v>
      </c>
      <c r="G42" s="223">
        <f t="shared" si="0"/>
        <v>0.25568967685150257</v>
      </c>
      <c r="H42" s="224">
        <f>IFERROR(VLOOKUP($B42,MMWR_TRAD_AGG_RO_COMP[],H$1,0),"ERROR")</f>
        <v>17356</v>
      </c>
      <c r="I42" s="222">
        <f>IFERROR(VLOOKUP($B42,MMWR_TRAD_AGG_RO_COMP[],I$1,0),"ERROR")</f>
        <v>12170</v>
      </c>
      <c r="J42" s="223">
        <f t="shared" si="1"/>
        <v>0.70119843281862182</v>
      </c>
      <c r="K42" s="225">
        <f>IFERROR(VLOOKUP($B42,MMWR_TRAD_AGG_RO_COMP[],K$1,0),"ERROR")</f>
        <v>3101</v>
      </c>
      <c r="L42" s="226">
        <f>IFERROR(VLOOKUP($B42,MMWR_TRAD_AGG_RO_COMP[],L$1,0),"ERROR")</f>
        <v>2523</v>
      </c>
      <c r="M42" s="223">
        <f t="shared" si="2"/>
        <v>0.81360851338277973</v>
      </c>
      <c r="N42" s="225">
        <f>IFERROR(VLOOKUP($B42,MMWR_TRAD_AGG_RO_COMP[],N$1,0),"ERROR")</f>
        <v>3464</v>
      </c>
      <c r="O42" s="226">
        <f>IFERROR(VLOOKUP($B42,MMWR_TRAD_AGG_RO_COMP[],O$1,0),"ERROR")</f>
        <v>2631</v>
      </c>
      <c r="P42" s="223">
        <f t="shared" si="3"/>
        <v>0.75952655889145493</v>
      </c>
      <c r="Q42" s="227">
        <f>IFERROR(VLOOKUP($B42,MMWR_TRAD_AGG_RO_COMP[],Q$1,0),"ERROR")</f>
        <v>1</v>
      </c>
      <c r="R42" s="227">
        <f>IFERROR(VLOOKUP($B42,MMWR_TRAD_AGG_RO_COMP[],R$1,0),"ERROR")</f>
        <v>234</v>
      </c>
      <c r="S42" s="201">
        <f>IFERROR(VLOOKUP($B42,MMWR_APP_RO[],S$1,0),"ERROR")</f>
        <v>20483</v>
      </c>
      <c r="T42" s="28"/>
    </row>
    <row r="43" spans="1:20" x14ac:dyDescent="0.2">
      <c r="A43" s="28"/>
      <c r="B43" s="108" t="s">
        <v>49</v>
      </c>
      <c r="C43" s="219">
        <f>IFERROR(VLOOKUP($B43,MMWR_TRAD_AGG_RO_COMP[],C$1,0),"ERROR")</f>
        <v>3786</v>
      </c>
      <c r="D43" s="220">
        <f>IFERROR(VLOOKUP($B43,MMWR_TRAD_AGG_RO_COMP[],D$1,0),"ERROR")</f>
        <v>416.50607501320002</v>
      </c>
      <c r="E43" s="221">
        <f>IFERROR(VLOOKUP($B43,MMWR_TRAD_AGG_RO_COMP[],E$1,0),"ERROR")</f>
        <v>4116</v>
      </c>
      <c r="F43" s="222">
        <f>IFERROR(VLOOKUP($B43,MMWR_TRAD_AGG_RO_COMP[],F$1,0),"ERROR")</f>
        <v>1484</v>
      </c>
      <c r="G43" s="223">
        <f t="shared" si="0"/>
        <v>0.36054421768707484</v>
      </c>
      <c r="H43" s="224">
        <f>IFERROR(VLOOKUP($B43,MMWR_TRAD_AGG_RO_COMP[],H$1,0),"ERROR")</f>
        <v>5892</v>
      </c>
      <c r="I43" s="222">
        <f>IFERROR(VLOOKUP($B43,MMWR_TRAD_AGG_RO_COMP[],I$1,0),"ERROR")</f>
        <v>4538</v>
      </c>
      <c r="J43" s="223">
        <f t="shared" si="1"/>
        <v>0.77019687712152074</v>
      </c>
      <c r="K43" s="225">
        <f>IFERROR(VLOOKUP($B43,MMWR_TRAD_AGG_RO_COMP[],K$1,0),"ERROR")</f>
        <v>2145</v>
      </c>
      <c r="L43" s="226">
        <f>IFERROR(VLOOKUP($B43,MMWR_TRAD_AGG_RO_COMP[],L$1,0),"ERROR")</f>
        <v>1878</v>
      </c>
      <c r="M43" s="223">
        <f t="shared" si="2"/>
        <v>0.87552447552447554</v>
      </c>
      <c r="N43" s="225">
        <f>IFERROR(VLOOKUP($B43,MMWR_TRAD_AGG_RO_COMP[],N$1,0),"ERROR")</f>
        <v>2060</v>
      </c>
      <c r="O43" s="226">
        <f>IFERROR(VLOOKUP($B43,MMWR_TRAD_AGG_RO_COMP[],O$1,0),"ERROR")</f>
        <v>1694</v>
      </c>
      <c r="P43" s="223">
        <f t="shared" si="3"/>
        <v>0.82233009708737859</v>
      </c>
      <c r="Q43" s="227">
        <f>IFERROR(VLOOKUP($B43,MMWR_TRAD_AGG_RO_COMP[],Q$1,0),"ERROR")</f>
        <v>46</v>
      </c>
      <c r="R43" s="227">
        <f>IFERROR(VLOOKUP($B43,MMWR_TRAD_AGG_RO_COMP[],R$1,0),"ERROR")</f>
        <v>203</v>
      </c>
      <c r="S43" s="201">
        <f>IFERROR(VLOOKUP($B43,MMWR_APP_RO[],S$1,0),"ERROR")</f>
        <v>4635</v>
      </c>
      <c r="T43" s="28"/>
    </row>
    <row r="44" spans="1:20" x14ac:dyDescent="0.2">
      <c r="A44" s="28"/>
      <c r="B44" s="108" t="s">
        <v>51</v>
      </c>
      <c r="C44" s="219">
        <f>IFERROR(VLOOKUP($B44,MMWR_TRAD_AGG_RO_COMP[],C$1,0),"ERROR")</f>
        <v>3751</v>
      </c>
      <c r="D44" s="220">
        <f>IFERROR(VLOOKUP($B44,MMWR_TRAD_AGG_RO_COMP[],D$1,0),"ERROR")</f>
        <v>357.50333244469999</v>
      </c>
      <c r="E44" s="221">
        <f>IFERROR(VLOOKUP($B44,MMWR_TRAD_AGG_RO_COMP[],E$1,0),"ERROR")</f>
        <v>3236</v>
      </c>
      <c r="F44" s="222">
        <f>IFERROR(VLOOKUP($B44,MMWR_TRAD_AGG_RO_COMP[],F$1,0),"ERROR")</f>
        <v>585</v>
      </c>
      <c r="G44" s="223">
        <f t="shared" si="0"/>
        <v>0.180778739184178</v>
      </c>
      <c r="H44" s="224">
        <f>IFERROR(VLOOKUP($B44,MMWR_TRAD_AGG_RO_COMP[],H$1,0),"ERROR")</f>
        <v>7176</v>
      </c>
      <c r="I44" s="222">
        <f>IFERROR(VLOOKUP($B44,MMWR_TRAD_AGG_RO_COMP[],I$1,0),"ERROR")</f>
        <v>4350</v>
      </c>
      <c r="J44" s="223">
        <f t="shared" si="1"/>
        <v>0.60618729096989965</v>
      </c>
      <c r="K44" s="225">
        <f>IFERROR(VLOOKUP($B44,MMWR_TRAD_AGG_RO_COMP[],K$1,0),"ERROR")</f>
        <v>3727</v>
      </c>
      <c r="L44" s="226">
        <f>IFERROR(VLOOKUP($B44,MMWR_TRAD_AGG_RO_COMP[],L$1,0),"ERROR")</f>
        <v>3380</v>
      </c>
      <c r="M44" s="223">
        <f t="shared" si="2"/>
        <v>0.90689562650925681</v>
      </c>
      <c r="N44" s="225">
        <f>IFERROR(VLOOKUP($B44,MMWR_TRAD_AGG_RO_COMP[],N$1,0),"ERROR")</f>
        <v>1505</v>
      </c>
      <c r="O44" s="226">
        <f>IFERROR(VLOOKUP($B44,MMWR_TRAD_AGG_RO_COMP[],O$1,0),"ERROR")</f>
        <v>798</v>
      </c>
      <c r="P44" s="223">
        <f t="shared" si="3"/>
        <v>0.53023255813953485</v>
      </c>
      <c r="Q44" s="227">
        <f>IFERROR(VLOOKUP($B44,MMWR_TRAD_AGG_RO_COMP[],Q$1,0),"ERROR")</f>
        <v>2</v>
      </c>
      <c r="R44" s="227">
        <f>IFERROR(VLOOKUP($B44,MMWR_TRAD_AGG_RO_COMP[],R$1,0),"ERROR")</f>
        <v>96</v>
      </c>
      <c r="S44" s="201">
        <f>IFERROR(VLOOKUP($B44,MMWR_APP_RO[],S$1,0),"ERROR")</f>
        <v>5302</v>
      </c>
      <c r="T44" s="28"/>
    </row>
    <row r="45" spans="1:20" x14ac:dyDescent="0.2">
      <c r="A45" s="28"/>
      <c r="B45" s="108" t="s">
        <v>27</v>
      </c>
      <c r="C45" s="219">
        <f>IFERROR(VLOOKUP($B45,MMWR_TRAD_AGG_RO_COMP[],C$1,0),"ERROR")</f>
        <v>1380</v>
      </c>
      <c r="D45" s="220">
        <f>IFERROR(VLOOKUP($B45,MMWR_TRAD_AGG_RO_COMP[],D$1,0),"ERROR")</f>
        <v>89.391304347800002</v>
      </c>
      <c r="E45" s="221">
        <f>IFERROR(VLOOKUP($B45,MMWR_TRAD_AGG_RO_COMP[],E$1,0),"ERROR")</f>
        <v>5714</v>
      </c>
      <c r="F45" s="222">
        <f>IFERROR(VLOOKUP($B45,MMWR_TRAD_AGG_RO_COMP[],F$1,0),"ERROR")</f>
        <v>1011</v>
      </c>
      <c r="G45" s="223">
        <f t="shared" si="0"/>
        <v>0.17693384669233461</v>
      </c>
      <c r="H45" s="224">
        <f>IFERROR(VLOOKUP($B45,MMWR_TRAD_AGG_RO_COMP[],H$1,0),"ERROR")</f>
        <v>6547</v>
      </c>
      <c r="I45" s="222">
        <f>IFERROR(VLOOKUP($B45,MMWR_TRAD_AGG_RO_COMP[],I$1,0),"ERROR")</f>
        <v>2675</v>
      </c>
      <c r="J45" s="223">
        <f t="shared" si="1"/>
        <v>0.40858408431342602</v>
      </c>
      <c r="K45" s="225">
        <f>IFERROR(VLOOKUP($B45,MMWR_TRAD_AGG_RO_COMP[],K$1,0),"ERROR")</f>
        <v>1107</v>
      </c>
      <c r="L45" s="226">
        <f>IFERROR(VLOOKUP($B45,MMWR_TRAD_AGG_RO_COMP[],L$1,0),"ERROR")</f>
        <v>406</v>
      </c>
      <c r="M45" s="223">
        <f t="shared" si="2"/>
        <v>0.36675700090334235</v>
      </c>
      <c r="N45" s="225">
        <f>IFERROR(VLOOKUP($B45,MMWR_TRAD_AGG_RO_COMP[],N$1,0),"ERROR")</f>
        <v>1376</v>
      </c>
      <c r="O45" s="226">
        <f>IFERROR(VLOOKUP($B45,MMWR_TRAD_AGG_RO_COMP[],O$1,0),"ERROR")</f>
        <v>692</v>
      </c>
      <c r="P45" s="223">
        <f t="shared" si="3"/>
        <v>0.50290697674418605</v>
      </c>
      <c r="Q45" s="227">
        <f>IFERROR(VLOOKUP($B45,MMWR_TRAD_AGG_RO_COMP[],Q$1,0),"ERROR")</f>
        <v>0</v>
      </c>
      <c r="R45" s="227">
        <f>IFERROR(VLOOKUP($B45,MMWR_TRAD_AGG_RO_COMP[],R$1,0),"ERROR")</f>
        <v>70</v>
      </c>
      <c r="S45" s="201">
        <f>IFERROR(VLOOKUP($B45,MMWR_APP_RO[],S$1,0),"ERROR")</f>
        <v>4326</v>
      </c>
      <c r="T45" s="28"/>
    </row>
    <row r="46" spans="1:20" x14ac:dyDescent="0.2">
      <c r="A46" s="28"/>
      <c r="B46" s="108" t="s">
        <v>59</v>
      </c>
      <c r="C46" s="219">
        <f>IFERROR(VLOOKUP($B46,MMWR_TRAD_AGG_RO_COMP[],C$1,0),"ERROR")</f>
        <v>4197</v>
      </c>
      <c r="D46" s="220">
        <f>IFERROR(VLOOKUP($B46,MMWR_TRAD_AGG_RO_COMP[],D$1,0),"ERROR")</f>
        <v>439.29020729090001</v>
      </c>
      <c r="E46" s="221">
        <f>IFERROR(VLOOKUP($B46,MMWR_TRAD_AGG_RO_COMP[],E$1,0),"ERROR")</f>
        <v>5726</v>
      </c>
      <c r="F46" s="222">
        <f>IFERROR(VLOOKUP($B46,MMWR_TRAD_AGG_RO_COMP[],F$1,0),"ERROR")</f>
        <v>1506</v>
      </c>
      <c r="G46" s="223">
        <f t="shared" si="0"/>
        <v>0.26301082780300383</v>
      </c>
      <c r="H46" s="224">
        <f>IFERROR(VLOOKUP($B46,MMWR_TRAD_AGG_RO_COMP[],H$1,0),"ERROR")</f>
        <v>5646</v>
      </c>
      <c r="I46" s="222">
        <f>IFERROR(VLOOKUP($B46,MMWR_TRAD_AGG_RO_COMP[],I$1,0),"ERROR")</f>
        <v>3873</v>
      </c>
      <c r="J46" s="223">
        <f t="shared" si="1"/>
        <v>0.68597236981934118</v>
      </c>
      <c r="K46" s="225">
        <f>IFERROR(VLOOKUP($B46,MMWR_TRAD_AGG_RO_COMP[],K$1,0),"ERROR")</f>
        <v>961</v>
      </c>
      <c r="L46" s="226">
        <f>IFERROR(VLOOKUP($B46,MMWR_TRAD_AGG_RO_COMP[],L$1,0),"ERROR")</f>
        <v>677</v>
      </c>
      <c r="M46" s="223">
        <f t="shared" si="2"/>
        <v>0.70447450572320502</v>
      </c>
      <c r="N46" s="225">
        <f>IFERROR(VLOOKUP($B46,MMWR_TRAD_AGG_RO_COMP[],N$1,0),"ERROR")</f>
        <v>1381</v>
      </c>
      <c r="O46" s="226">
        <f>IFERROR(VLOOKUP($B46,MMWR_TRAD_AGG_RO_COMP[],O$1,0),"ERROR")</f>
        <v>948</v>
      </c>
      <c r="P46" s="223">
        <f t="shared" si="3"/>
        <v>0.68645908761766838</v>
      </c>
      <c r="Q46" s="227">
        <f>IFERROR(VLOOKUP($B46,MMWR_TRAD_AGG_RO_COMP[],Q$1,0),"ERROR")</f>
        <v>2</v>
      </c>
      <c r="R46" s="227">
        <f>IFERROR(VLOOKUP($B46,MMWR_TRAD_AGG_RO_COMP[],R$1,0),"ERROR")</f>
        <v>259</v>
      </c>
      <c r="S46" s="201">
        <f>IFERROR(VLOOKUP($B46,MMWR_APP_RO[],S$1,0),"ERROR")</f>
        <v>5836</v>
      </c>
      <c r="T46" s="28"/>
    </row>
    <row r="47" spans="1:20" x14ac:dyDescent="0.2">
      <c r="A47" s="28"/>
      <c r="B47" s="108" t="s">
        <v>70</v>
      </c>
      <c r="C47" s="219">
        <f>IFERROR(VLOOKUP($B47,MMWR_TRAD_AGG_RO_COMP[],C$1,0),"ERROR")</f>
        <v>5300</v>
      </c>
      <c r="D47" s="220">
        <f>IFERROR(VLOOKUP($B47,MMWR_TRAD_AGG_RO_COMP[],D$1,0),"ERROR")</f>
        <v>267.7564150943</v>
      </c>
      <c r="E47" s="221">
        <f>IFERROR(VLOOKUP($B47,MMWR_TRAD_AGG_RO_COMP[],E$1,0),"ERROR")</f>
        <v>2335</v>
      </c>
      <c r="F47" s="222">
        <f>IFERROR(VLOOKUP($B47,MMWR_TRAD_AGG_RO_COMP[],F$1,0),"ERROR")</f>
        <v>619</v>
      </c>
      <c r="G47" s="223">
        <f t="shared" si="0"/>
        <v>0.26509635974304069</v>
      </c>
      <c r="H47" s="224">
        <f>IFERROR(VLOOKUP($B47,MMWR_TRAD_AGG_RO_COMP[],H$1,0),"ERROR")</f>
        <v>10672</v>
      </c>
      <c r="I47" s="222">
        <f>IFERROR(VLOOKUP($B47,MMWR_TRAD_AGG_RO_COMP[],I$1,0),"ERROR")</f>
        <v>6776</v>
      </c>
      <c r="J47" s="223">
        <f t="shared" si="1"/>
        <v>0.63493253373313341</v>
      </c>
      <c r="K47" s="225">
        <f>IFERROR(VLOOKUP($B47,MMWR_TRAD_AGG_RO_COMP[],K$1,0),"ERROR")</f>
        <v>1037</v>
      </c>
      <c r="L47" s="226">
        <f>IFERROR(VLOOKUP($B47,MMWR_TRAD_AGG_RO_COMP[],L$1,0),"ERROR")</f>
        <v>624</v>
      </c>
      <c r="M47" s="223">
        <f t="shared" si="2"/>
        <v>0.60173577627772423</v>
      </c>
      <c r="N47" s="225">
        <f>IFERROR(VLOOKUP($B47,MMWR_TRAD_AGG_RO_COMP[],N$1,0),"ERROR")</f>
        <v>297</v>
      </c>
      <c r="O47" s="226">
        <f>IFERROR(VLOOKUP($B47,MMWR_TRAD_AGG_RO_COMP[],O$1,0),"ERROR")</f>
        <v>123</v>
      </c>
      <c r="P47" s="223">
        <f t="shared" si="3"/>
        <v>0.41414141414141414</v>
      </c>
      <c r="Q47" s="227">
        <f>IFERROR(VLOOKUP($B47,MMWR_TRAD_AGG_RO_COMP[],Q$1,0),"ERROR")</f>
        <v>0</v>
      </c>
      <c r="R47" s="227">
        <f>IFERROR(VLOOKUP($B47,MMWR_TRAD_AGG_RO_COMP[],R$1,0),"ERROR")</f>
        <v>2</v>
      </c>
      <c r="S47" s="201">
        <f>IFERROR(VLOOKUP($B47,MMWR_APP_RO[],S$1,0),"ERROR")</f>
        <v>1162</v>
      </c>
      <c r="T47" s="28"/>
    </row>
    <row r="48" spans="1:20" x14ac:dyDescent="0.2">
      <c r="A48" s="28"/>
      <c r="B48" s="116" t="s">
        <v>79</v>
      </c>
      <c r="C48" s="228">
        <f>IFERROR(VLOOKUP($B48,MMWR_TRAD_AGG_RO_COMP[],C$1,0),"ERROR")</f>
        <v>11374</v>
      </c>
      <c r="D48" s="229">
        <f>IFERROR(VLOOKUP($B48,MMWR_TRAD_AGG_RO_COMP[],D$1,0),"ERROR")</f>
        <v>351.69984174429999</v>
      </c>
      <c r="E48" s="230">
        <f>IFERROR(VLOOKUP($B48,MMWR_TRAD_AGG_RO_COMP[],E$1,0),"ERROR")</f>
        <v>16791</v>
      </c>
      <c r="F48" s="231">
        <f>IFERROR(VLOOKUP($B48,MMWR_TRAD_AGG_RO_COMP[],F$1,0),"ERROR")</f>
        <v>3631</v>
      </c>
      <c r="G48" s="232">
        <f t="shared" si="0"/>
        <v>0.21624679888035256</v>
      </c>
      <c r="H48" s="233">
        <f>IFERROR(VLOOKUP($B48,MMWR_TRAD_AGG_RO_COMP[],H$1,0),"ERROR")</f>
        <v>13598</v>
      </c>
      <c r="I48" s="231">
        <f>IFERROR(VLOOKUP($B48,MMWR_TRAD_AGG_RO_COMP[],I$1,0),"ERROR")</f>
        <v>8888</v>
      </c>
      <c r="J48" s="232">
        <f t="shared" si="1"/>
        <v>0.65362553316664218</v>
      </c>
      <c r="K48" s="234">
        <f>IFERROR(VLOOKUP($B48,MMWR_TRAD_AGG_RO_COMP[],K$1,0),"ERROR")</f>
        <v>3366</v>
      </c>
      <c r="L48" s="235">
        <f>IFERROR(VLOOKUP($B48,MMWR_TRAD_AGG_RO_COMP[],L$1,0),"ERROR")</f>
        <v>2198</v>
      </c>
      <c r="M48" s="232">
        <f t="shared" si="2"/>
        <v>0.6530005941770648</v>
      </c>
      <c r="N48" s="234">
        <f>IFERROR(VLOOKUP($B48,MMWR_TRAD_AGG_RO_COMP[],N$1,0),"ERROR")</f>
        <v>6042</v>
      </c>
      <c r="O48" s="235">
        <f>IFERROR(VLOOKUP($B48,MMWR_TRAD_AGG_RO_COMP[],O$1,0),"ERROR")</f>
        <v>2023</v>
      </c>
      <c r="P48" s="232">
        <f t="shared" si="3"/>
        <v>0.3348229063224098</v>
      </c>
      <c r="Q48" s="236">
        <f>IFERROR(VLOOKUP($B48,MMWR_TRAD_AGG_RO_COMP[],Q$1,0),"ERROR")</f>
        <v>4</v>
      </c>
      <c r="R48" s="236">
        <f>IFERROR(VLOOKUP($B48,MMWR_TRAD_AGG_RO_COMP[],R$1,0),"ERROR")</f>
        <v>195</v>
      </c>
      <c r="S48" s="201">
        <f>IFERROR(VLOOKUP($B48,MMWR_APP_RO[],S$1,0),"ERROR")</f>
        <v>19580</v>
      </c>
      <c r="T48" s="28"/>
    </row>
    <row r="49" spans="1:20" x14ac:dyDescent="0.2">
      <c r="A49" s="28"/>
      <c r="B49" s="101" t="s">
        <v>405</v>
      </c>
      <c r="C49" s="212">
        <f>IFERROR(VLOOKUP($B49,MMWR_TRAD_AGG_DISTRICT_COMP[],C$1,0),"ERROR")</f>
        <v>54409</v>
      </c>
      <c r="D49" s="197">
        <f>IFERROR(VLOOKUP($B49,MMWR_TRAD_AGG_DISTRICT_COMP[],D$1,0),"ERROR")</f>
        <v>382.76196952710001</v>
      </c>
      <c r="E49" s="213">
        <f>IFERROR(VLOOKUP($B49,MMWR_TRAD_AGG_DISTRICT_COMP[],E$1,0),"ERROR")</f>
        <v>58409</v>
      </c>
      <c r="F49" s="218">
        <f>IFERROR(VLOOKUP($B49,MMWR_TRAD_AGG_DISTRICT_COMP[],F$1,0),"ERROR")</f>
        <v>13770</v>
      </c>
      <c r="G49" s="214">
        <f t="shared" si="0"/>
        <v>0.23575133969080109</v>
      </c>
      <c r="H49" s="218">
        <f>IFERROR(VLOOKUP($B49,MMWR_TRAD_AGG_DISTRICT_COMP[],H$1,0),"ERROR")</f>
        <v>79769</v>
      </c>
      <c r="I49" s="218">
        <f>IFERROR(VLOOKUP($B49,MMWR_TRAD_AGG_DISTRICT_COMP[],I$1,0),"ERROR")</f>
        <v>55489</v>
      </c>
      <c r="J49" s="214">
        <f t="shared" si="1"/>
        <v>0.69562110594341164</v>
      </c>
      <c r="K49" s="212">
        <f>IFERROR(VLOOKUP($B49,MMWR_TRAD_AGG_DISTRICT_COMP[],K$1,0),"ERROR")</f>
        <v>23879</v>
      </c>
      <c r="L49" s="212">
        <f>IFERROR(VLOOKUP($B49,MMWR_TRAD_AGG_DISTRICT_COMP[],L$1,0),"ERROR")</f>
        <v>19265</v>
      </c>
      <c r="M49" s="214">
        <f t="shared" si="2"/>
        <v>0.80677582813350646</v>
      </c>
      <c r="N49" s="212">
        <f>IFERROR(VLOOKUP($B49,MMWR_TRAD_AGG_DISTRICT_COMP[],N$1,0),"ERROR")</f>
        <v>19630</v>
      </c>
      <c r="O49" s="212">
        <f>IFERROR(VLOOKUP($B49,MMWR_TRAD_AGG_DISTRICT_COMP[],O$1,0),"ERROR")</f>
        <v>14194</v>
      </c>
      <c r="P49" s="214">
        <f t="shared" si="3"/>
        <v>0.72307692307692306</v>
      </c>
      <c r="Q49" s="212">
        <f>IFERROR(VLOOKUP($B49,MMWR_TRAD_AGG_DISTRICT_COMP[],Q$1,0),"ERROR")</f>
        <v>425</v>
      </c>
      <c r="R49" s="215">
        <f>IFERROR(VLOOKUP($B49,MMWR_TRAD_AGG_DISTRICT_COMP[],R$1,0),"ERROR")</f>
        <v>710</v>
      </c>
      <c r="S49" s="215">
        <f>IFERROR(VLOOKUP($B49,MMWR_APP_RO[],S$1,0),"ERROR")</f>
        <v>43898</v>
      </c>
      <c r="T49" s="28"/>
    </row>
    <row r="50" spans="1:20" x14ac:dyDescent="0.2">
      <c r="A50" s="28"/>
      <c r="B50" s="108" t="s">
        <v>31</v>
      </c>
      <c r="C50" s="219">
        <f>IFERROR(VLOOKUP($B50,MMWR_TRAD_AGG_RO_COMP[],C$1,0),"ERROR")</f>
        <v>886</v>
      </c>
      <c r="D50" s="220">
        <f>IFERROR(VLOOKUP($B50,MMWR_TRAD_AGG_RO_COMP[],D$1,0),"ERROR")</f>
        <v>135.5158013544</v>
      </c>
      <c r="E50" s="221">
        <f>IFERROR(VLOOKUP($B50,MMWR_TRAD_AGG_RO_COMP[],E$1,0),"ERROR")</f>
        <v>2690</v>
      </c>
      <c r="F50" s="222">
        <f>IFERROR(VLOOKUP($B50,MMWR_TRAD_AGG_RO_COMP[],F$1,0),"ERROR")</f>
        <v>664</v>
      </c>
      <c r="G50" s="223">
        <f t="shared" si="0"/>
        <v>0.24684014869888476</v>
      </c>
      <c r="H50" s="224">
        <f>IFERROR(VLOOKUP($B50,MMWR_TRAD_AGG_RO_COMP[],H$1,0),"ERROR")</f>
        <v>1342</v>
      </c>
      <c r="I50" s="222">
        <f>IFERROR(VLOOKUP($B50,MMWR_TRAD_AGG_RO_COMP[],I$1,0),"ERROR")</f>
        <v>429</v>
      </c>
      <c r="J50" s="223">
        <f t="shared" si="1"/>
        <v>0.31967213114754101</v>
      </c>
      <c r="K50" s="225">
        <f>IFERROR(VLOOKUP($B50,MMWR_TRAD_AGG_RO_COMP[],K$1,0),"ERROR")</f>
        <v>329</v>
      </c>
      <c r="L50" s="226">
        <f>IFERROR(VLOOKUP($B50,MMWR_TRAD_AGG_RO_COMP[],L$1,0),"ERROR")</f>
        <v>210</v>
      </c>
      <c r="M50" s="223">
        <f t="shared" si="2"/>
        <v>0.63829787234042556</v>
      </c>
      <c r="N50" s="225">
        <f>IFERROR(VLOOKUP($B50,MMWR_TRAD_AGG_RO_COMP[],N$1,0),"ERROR")</f>
        <v>463</v>
      </c>
      <c r="O50" s="226">
        <f>IFERROR(VLOOKUP($B50,MMWR_TRAD_AGG_RO_COMP[],O$1,0),"ERROR")</f>
        <v>286</v>
      </c>
      <c r="P50" s="223">
        <f t="shared" si="3"/>
        <v>0.6177105831533477</v>
      </c>
      <c r="Q50" s="227">
        <f>IFERROR(VLOOKUP($B50,MMWR_TRAD_AGG_RO_COMP[],Q$1,0),"ERROR")</f>
        <v>0</v>
      </c>
      <c r="R50" s="227">
        <f>IFERROR(VLOOKUP($B50,MMWR_TRAD_AGG_RO_COMP[],R$1,0),"ERROR")</f>
        <v>8</v>
      </c>
      <c r="S50" s="201">
        <f>IFERROR(VLOOKUP($B50,MMWR_APP_RO[],S$1,0),"ERROR")</f>
        <v>1709</v>
      </c>
      <c r="T50" s="28"/>
    </row>
    <row r="51" spans="1:20" x14ac:dyDescent="0.2">
      <c r="A51" s="28"/>
      <c r="B51" s="108" t="s">
        <v>32</v>
      </c>
      <c r="C51" s="219">
        <f>IFERROR(VLOOKUP($B51,MMWR_TRAD_AGG_RO_COMP[],C$1,0),"ERROR")</f>
        <v>2062</v>
      </c>
      <c r="D51" s="220">
        <f>IFERROR(VLOOKUP($B51,MMWR_TRAD_AGG_RO_COMP[],D$1,0),"ERROR")</f>
        <v>471.00193986419998</v>
      </c>
      <c r="E51" s="221">
        <f>IFERROR(VLOOKUP($B51,MMWR_TRAD_AGG_RO_COMP[],E$1,0),"ERROR")</f>
        <v>1204</v>
      </c>
      <c r="F51" s="222">
        <f>IFERROR(VLOOKUP($B51,MMWR_TRAD_AGG_RO_COMP[],F$1,0),"ERROR")</f>
        <v>378</v>
      </c>
      <c r="G51" s="223">
        <f t="shared" si="0"/>
        <v>0.31395348837209303</v>
      </c>
      <c r="H51" s="224">
        <f>IFERROR(VLOOKUP($B51,MMWR_TRAD_AGG_RO_COMP[],H$1,0),"ERROR")</f>
        <v>2797</v>
      </c>
      <c r="I51" s="222">
        <f>IFERROR(VLOOKUP($B51,MMWR_TRAD_AGG_RO_COMP[],I$1,0),"ERROR")</f>
        <v>2148</v>
      </c>
      <c r="J51" s="223">
        <f t="shared" si="1"/>
        <v>0.76796567751161959</v>
      </c>
      <c r="K51" s="225">
        <f>IFERROR(VLOOKUP($B51,MMWR_TRAD_AGG_RO_COMP[],K$1,0),"ERROR")</f>
        <v>2121</v>
      </c>
      <c r="L51" s="226">
        <f>IFERROR(VLOOKUP($B51,MMWR_TRAD_AGG_RO_COMP[],L$1,0),"ERROR")</f>
        <v>1804</v>
      </c>
      <c r="M51" s="223">
        <f t="shared" si="2"/>
        <v>0.85054219707685053</v>
      </c>
      <c r="N51" s="225">
        <f>IFERROR(VLOOKUP($B51,MMWR_TRAD_AGG_RO_COMP[],N$1,0),"ERROR")</f>
        <v>562</v>
      </c>
      <c r="O51" s="226">
        <f>IFERROR(VLOOKUP($B51,MMWR_TRAD_AGG_RO_COMP[],O$1,0),"ERROR")</f>
        <v>278</v>
      </c>
      <c r="P51" s="223">
        <f t="shared" si="3"/>
        <v>0.49466192170818507</v>
      </c>
      <c r="Q51" s="227">
        <f>IFERROR(VLOOKUP($B51,MMWR_TRAD_AGG_RO_COMP[],Q$1,0),"ERROR")</f>
        <v>0</v>
      </c>
      <c r="R51" s="227">
        <f>IFERROR(VLOOKUP($B51,MMWR_TRAD_AGG_RO_COMP[],R$1,0),"ERROR")</f>
        <v>2</v>
      </c>
      <c r="S51" s="201">
        <f>IFERROR(VLOOKUP($B51,MMWR_APP_RO[],S$1,0),"ERROR")</f>
        <v>218</v>
      </c>
      <c r="T51" s="28"/>
    </row>
    <row r="52" spans="1:20" x14ac:dyDescent="0.2">
      <c r="A52" s="28"/>
      <c r="B52" s="108" t="s">
        <v>34</v>
      </c>
      <c r="C52" s="219">
        <f>IFERROR(VLOOKUP($B52,MMWR_TRAD_AGG_RO_COMP[],C$1,0),"ERROR")</f>
        <v>174</v>
      </c>
      <c r="D52" s="220">
        <f>IFERROR(VLOOKUP($B52,MMWR_TRAD_AGG_RO_COMP[],D$1,0),"ERROR")</f>
        <v>68.436781609199997</v>
      </c>
      <c r="E52" s="221">
        <f>IFERROR(VLOOKUP($B52,MMWR_TRAD_AGG_RO_COMP[],E$1,0),"ERROR")</f>
        <v>1368</v>
      </c>
      <c r="F52" s="222">
        <f>IFERROR(VLOOKUP($B52,MMWR_TRAD_AGG_RO_COMP[],F$1,0),"ERROR")</f>
        <v>288</v>
      </c>
      <c r="G52" s="223">
        <f t="shared" si="0"/>
        <v>0.21052631578947367</v>
      </c>
      <c r="H52" s="224">
        <f>IFERROR(VLOOKUP($B52,MMWR_TRAD_AGG_RO_COMP[],H$1,0),"ERROR")</f>
        <v>350</v>
      </c>
      <c r="I52" s="222">
        <f>IFERROR(VLOOKUP($B52,MMWR_TRAD_AGG_RO_COMP[],I$1,0),"ERROR")</f>
        <v>44</v>
      </c>
      <c r="J52" s="223">
        <f t="shared" si="1"/>
        <v>0.12571428571428572</v>
      </c>
      <c r="K52" s="225">
        <f>IFERROR(VLOOKUP($B52,MMWR_TRAD_AGG_RO_COMP[],K$1,0),"ERROR")</f>
        <v>241</v>
      </c>
      <c r="L52" s="226">
        <f>IFERROR(VLOOKUP($B52,MMWR_TRAD_AGG_RO_COMP[],L$1,0),"ERROR")</f>
        <v>166</v>
      </c>
      <c r="M52" s="223">
        <f t="shared" si="2"/>
        <v>0.68879668049792531</v>
      </c>
      <c r="N52" s="225">
        <f>IFERROR(VLOOKUP($B52,MMWR_TRAD_AGG_RO_COMP[],N$1,0),"ERROR")</f>
        <v>172</v>
      </c>
      <c r="O52" s="226">
        <f>IFERROR(VLOOKUP($B52,MMWR_TRAD_AGG_RO_COMP[],O$1,0),"ERROR")</f>
        <v>59</v>
      </c>
      <c r="P52" s="223">
        <f t="shared" si="3"/>
        <v>0.34302325581395349</v>
      </c>
      <c r="Q52" s="227">
        <f>IFERROR(VLOOKUP($B52,MMWR_TRAD_AGG_RO_COMP[],Q$1,0),"ERROR")</f>
        <v>0</v>
      </c>
      <c r="R52" s="227">
        <f>IFERROR(VLOOKUP($B52,MMWR_TRAD_AGG_RO_COMP[],R$1,0),"ERROR")</f>
        <v>2</v>
      </c>
      <c r="S52" s="201">
        <f>IFERROR(VLOOKUP($B52,MMWR_APP_RO[],S$1,0),"ERROR")</f>
        <v>946</v>
      </c>
      <c r="T52" s="28"/>
    </row>
    <row r="53" spans="1:20" x14ac:dyDescent="0.2">
      <c r="A53" s="28"/>
      <c r="B53" s="108" t="s">
        <v>45</v>
      </c>
      <c r="C53" s="219">
        <f>IFERROR(VLOOKUP($B53,MMWR_TRAD_AGG_RO_COMP[],C$1,0),"ERROR")</f>
        <v>1514</v>
      </c>
      <c r="D53" s="220">
        <f>IFERROR(VLOOKUP($B53,MMWR_TRAD_AGG_RO_COMP[],D$1,0),"ERROR")</f>
        <v>263.40422721269999</v>
      </c>
      <c r="E53" s="221">
        <f>IFERROR(VLOOKUP($B53,MMWR_TRAD_AGG_RO_COMP[],E$1,0),"ERROR")</f>
        <v>2001</v>
      </c>
      <c r="F53" s="222">
        <f>IFERROR(VLOOKUP($B53,MMWR_TRAD_AGG_RO_COMP[],F$1,0),"ERROR")</f>
        <v>380</v>
      </c>
      <c r="G53" s="223">
        <f t="shared" si="0"/>
        <v>0.18990504747626186</v>
      </c>
      <c r="H53" s="224">
        <f>IFERROR(VLOOKUP($B53,MMWR_TRAD_AGG_RO_COMP[],H$1,0),"ERROR")</f>
        <v>1847</v>
      </c>
      <c r="I53" s="222">
        <f>IFERROR(VLOOKUP($B53,MMWR_TRAD_AGG_RO_COMP[],I$1,0),"ERROR")</f>
        <v>1251</v>
      </c>
      <c r="J53" s="223">
        <f t="shared" si="1"/>
        <v>0.67731456415809421</v>
      </c>
      <c r="K53" s="225">
        <f>IFERROR(VLOOKUP($B53,MMWR_TRAD_AGG_RO_COMP[],K$1,0),"ERROR")</f>
        <v>992</v>
      </c>
      <c r="L53" s="226">
        <f>IFERROR(VLOOKUP($B53,MMWR_TRAD_AGG_RO_COMP[],L$1,0),"ERROR")</f>
        <v>611</v>
      </c>
      <c r="M53" s="223">
        <f t="shared" si="2"/>
        <v>0.61592741935483875</v>
      </c>
      <c r="N53" s="225">
        <f>IFERROR(VLOOKUP($B53,MMWR_TRAD_AGG_RO_COMP[],N$1,0),"ERROR")</f>
        <v>314</v>
      </c>
      <c r="O53" s="226">
        <f>IFERROR(VLOOKUP($B53,MMWR_TRAD_AGG_RO_COMP[],O$1,0),"ERROR")</f>
        <v>98</v>
      </c>
      <c r="P53" s="223">
        <f t="shared" si="3"/>
        <v>0.31210191082802546</v>
      </c>
      <c r="Q53" s="227">
        <f>IFERROR(VLOOKUP($B53,MMWR_TRAD_AGG_RO_COMP[],Q$1,0),"ERROR")</f>
        <v>0</v>
      </c>
      <c r="R53" s="227">
        <f>IFERROR(VLOOKUP($B53,MMWR_TRAD_AGG_RO_COMP[],R$1,0),"ERROR")</f>
        <v>1</v>
      </c>
      <c r="S53" s="201">
        <f>IFERROR(VLOOKUP($B53,MMWR_APP_RO[],S$1,0),"ERROR")</f>
        <v>1493</v>
      </c>
      <c r="T53" s="28"/>
    </row>
    <row r="54" spans="1:20" x14ac:dyDescent="0.2">
      <c r="A54" s="28"/>
      <c r="B54" s="108" t="s">
        <v>52</v>
      </c>
      <c r="C54" s="219">
        <f>IFERROR(VLOOKUP($B54,MMWR_TRAD_AGG_RO_COMP[],C$1,0),"ERROR")</f>
        <v>7553</v>
      </c>
      <c r="D54" s="220">
        <f>IFERROR(VLOOKUP($B54,MMWR_TRAD_AGG_RO_COMP[],D$1,0),"ERROR")</f>
        <v>392.57566529859997</v>
      </c>
      <c r="E54" s="221">
        <f>IFERROR(VLOOKUP($B54,MMWR_TRAD_AGG_RO_COMP[],E$1,0),"ERROR")</f>
        <v>9498</v>
      </c>
      <c r="F54" s="222">
        <f>IFERROR(VLOOKUP($B54,MMWR_TRAD_AGG_RO_COMP[],F$1,0),"ERROR")</f>
        <v>2178</v>
      </c>
      <c r="G54" s="223">
        <f t="shared" si="0"/>
        <v>0.22931143398610235</v>
      </c>
      <c r="H54" s="224">
        <f>IFERROR(VLOOKUP($B54,MMWR_TRAD_AGG_RO_COMP[],H$1,0),"ERROR")</f>
        <v>9061</v>
      </c>
      <c r="I54" s="222">
        <f>IFERROR(VLOOKUP($B54,MMWR_TRAD_AGG_RO_COMP[],I$1,0),"ERROR")</f>
        <v>6733</v>
      </c>
      <c r="J54" s="223">
        <f t="shared" si="1"/>
        <v>0.74307471581503148</v>
      </c>
      <c r="K54" s="225">
        <f>IFERROR(VLOOKUP($B54,MMWR_TRAD_AGG_RO_COMP[],K$1,0),"ERROR")</f>
        <v>1044</v>
      </c>
      <c r="L54" s="226">
        <f>IFERROR(VLOOKUP($B54,MMWR_TRAD_AGG_RO_COMP[],L$1,0),"ERROR")</f>
        <v>887</v>
      </c>
      <c r="M54" s="223">
        <f t="shared" si="2"/>
        <v>0.84961685823754785</v>
      </c>
      <c r="N54" s="225">
        <f>IFERROR(VLOOKUP($B54,MMWR_TRAD_AGG_RO_COMP[],N$1,0),"ERROR")</f>
        <v>4015</v>
      </c>
      <c r="O54" s="226">
        <f>IFERROR(VLOOKUP($B54,MMWR_TRAD_AGG_RO_COMP[],O$1,0),"ERROR")</f>
        <v>3314</v>
      </c>
      <c r="P54" s="223">
        <f t="shared" si="3"/>
        <v>0.82540473225404731</v>
      </c>
      <c r="Q54" s="227">
        <f>IFERROR(VLOOKUP($B54,MMWR_TRAD_AGG_RO_COMP[],Q$1,0),"ERROR")</f>
        <v>4</v>
      </c>
      <c r="R54" s="227">
        <f>IFERROR(VLOOKUP($B54,MMWR_TRAD_AGG_RO_COMP[],R$1,0),"ERROR")</f>
        <v>30</v>
      </c>
      <c r="S54" s="201">
        <f>IFERROR(VLOOKUP($B54,MMWR_APP_RO[],S$1,0),"ERROR")</f>
        <v>4864</v>
      </c>
      <c r="T54" s="28"/>
    </row>
    <row r="55" spans="1:20" x14ac:dyDescent="0.2">
      <c r="A55" s="28"/>
      <c r="B55" s="108" t="s">
        <v>55</v>
      </c>
      <c r="C55" s="219">
        <f>IFERROR(VLOOKUP($B55,MMWR_TRAD_AGG_RO_COMP[],C$1,0),"ERROR")</f>
        <v>741</v>
      </c>
      <c r="D55" s="220">
        <f>IFERROR(VLOOKUP($B55,MMWR_TRAD_AGG_RO_COMP[],D$1,0),"ERROR")</f>
        <v>189.07692307689999</v>
      </c>
      <c r="E55" s="221">
        <f>IFERROR(VLOOKUP($B55,MMWR_TRAD_AGG_RO_COMP[],E$1,0),"ERROR")</f>
        <v>841</v>
      </c>
      <c r="F55" s="222">
        <f>IFERROR(VLOOKUP($B55,MMWR_TRAD_AGG_RO_COMP[],F$1,0),"ERROR")</f>
        <v>238</v>
      </c>
      <c r="G55" s="223">
        <f t="shared" si="0"/>
        <v>0.28299643281807374</v>
      </c>
      <c r="H55" s="224">
        <f>IFERROR(VLOOKUP($B55,MMWR_TRAD_AGG_RO_COMP[],H$1,0),"ERROR")</f>
        <v>875</v>
      </c>
      <c r="I55" s="222">
        <f>IFERROR(VLOOKUP($B55,MMWR_TRAD_AGG_RO_COMP[],I$1,0),"ERROR")</f>
        <v>510</v>
      </c>
      <c r="J55" s="223">
        <f t="shared" si="1"/>
        <v>0.58285714285714285</v>
      </c>
      <c r="K55" s="225">
        <f>IFERROR(VLOOKUP($B55,MMWR_TRAD_AGG_RO_COMP[],K$1,0),"ERROR")</f>
        <v>264</v>
      </c>
      <c r="L55" s="226">
        <f>IFERROR(VLOOKUP($B55,MMWR_TRAD_AGG_RO_COMP[],L$1,0),"ERROR")</f>
        <v>237</v>
      </c>
      <c r="M55" s="223">
        <f t="shared" si="2"/>
        <v>0.89772727272727271</v>
      </c>
      <c r="N55" s="225">
        <f>IFERROR(VLOOKUP($B55,MMWR_TRAD_AGG_RO_COMP[],N$1,0),"ERROR")</f>
        <v>773</v>
      </c>
      <c r="O55" s="226">
        <f>IFERROR(VLOOKUP($B55,MMWR_TRAD_AGG_RO_COMP[],O$1,0),"ERROR")</f>
        <v>455</v>
      </c>
      <c r="P55" s="223">
        <f t="shared" si="3"/>
        <v>0.58861578266494174</v>
      </c>
      <c r="Q55" s="227">
        <f>IFERROR(VLOOKUP($B55,MMWR_TRAD_AGG_RO_COMP[],Q$1,0),"ERROR")</f>
        <v>418</v>
      </c>
      <c r="R55" s="227">
        <f>IFERROR(VLOOKUP($B55,MMWR_TRAD_AGG_RO_COMP[],R$1,0),"ERROR")</f>
        <v>158</v>
      </c>
      <c r="S55" s="201">
        <f>IFERROR(VLOOKUP($B55,MMWR_APP_RO[],S$1,0),"ERROR")</f>
        <v>942</v>
      </c>
      <c r="T55" s="28"/>
    </row>
    <row r="56" spans="1:20" x14ac:dyDescent="0.2">
      <c r="A56" s="28"/>
      <c r="B56" s="108" t="s">
        <v>62</v>
      </c>
      <c r="C56" s="219">
        <f>IFERROR(VLOOKUP($B56,MMWR_TRAD_AGG_RO_COMP[],C$1,0),"ERROR")</f>
        <v>10793</v>
      </c>
      <c r="D56" s="220">
        <f>IFERROR(VLOOKUP($B56,MMWR_TRAD_AGG_RO_COMP[],D$1,0),"ERROR")</f>
        <v>422.89122579449997</v>
      </c>
      <c r="E56" s="221">
        <f>IFERROR(VLOOKUP($B56,MMWR_TRAD_AGG_RO_COMP[],E$1,0),"ERROR")</f>
        <v>10759</v>
      </c>
      <c r="F56" s="222">
        <f>IFERROR(VLOOKUP($B56,MMWR_TRAD_AGG_RO_COMP[],F$1,0),"ERROR")</f>
        <v>3063</v>
      </c>
      <c r="G56" s="223">
        <f t="shared" si="0"/>
        <v>0.28469188586299843</v>
      </c>
      <c r="H56" s="224">
        <f>IFERROR(VLOOKUP($B56,MMWR_TRAD_AGG_RO_COMP[],H$1,0),"ERROR")</f>
        <v>14187</v>
      </c>
      <c r="I56" s="222">
        <f>IFERROR(VLOOKUP($B56,MMWR_TRAD_AGG_RO_COMP[],I$1,0),"ERROR")</f>
        <v>11081</v>
      </c>
      <c r="J56" s="223">
        <f t="shared" si="1"/>
        <v>0.7810671741735391</v>
      </c>
      <c r="K56" s="225">
        <f>IFERROR(VLOOKUP($B56,MMWR_TRAD_AGG_RO_COMP[],K$1,0),"ERROR")</f>
        <v>4275</v>
      </c>
      <c r="L56" s="226">
        <f>IFERROR(VLOOKUP($B56,MMWR_TRAD_AGG_RO_COMP[],L$1,0),"ERROR")</f>
        <v>3811</v>
      </c>
      <c r="M56" s="223">
        <f t="shared" si="2"/>
        <v>0.89146198830409362</v>
      </c>
      <c r="N56" s="225">
        <f>IFERROR(VLOOKUP($B56,MMWR_TRAD_AGG_RO_COMP[],N$1,0),"ERROR")</f>
        <v>2342</v>
      </c>
      <c r="O56" s="226">
        <f>IFERROR(VLOOKUP($B56,MMWR_TRAD_AGG_RO_COMP[],O$1,0),"ERROR")</f>
        <v>1859</v>
      </c>
      <c r="P56" s="223">
        <f t="shared" si="3"/>
        <v>0.79376601195559349</v>
      </c>
      <c r="Q56" s="227">
        <f>IFERROR(VLOOKUP($B56,MMWR_TRAD_AGG_RO_COMP[],Q$1,0),"ERROR")</f>
        <v>0</v>
      </c>
      <c r="R56" s="227">
        <f>IFERROR(VLOOKUP($B56,MMWR_TRAD_AGG_RO_COMP[],R$1,0),"ERROR")</f>
        <v>31</v>
      </c>
      <c r="S56" s="201">
        <f>IFERROR(VLOOKUP($B56,MMWR_APP_RO[],S$1,0),"ERROR")</f>
        <v>8540</v>
      </c>
      <c r="T56" s="28"/>
    </row>
    <row r="57" spans="1:20" x14ac:dyDescent="0.2">
      <c r="A57" s="28"/>
      <c r="B57" s="108" t="s">
        <v>64</v>
      </c>
      <c r="C57" s="219">
        <f>IFERROR(VLOOKUP($B57,MMWR_TRAD_AGG_RO_COMP[],C$1,0),"ERROR")</f>
        <v>3727</v>
      </c>
      <c r="D57" s="220">
        <f>IFERROR(VLOOKUP($B57,MMWR_TRAD_AGG_RO_COMP[],D$1,0),"ERROR")</f>
        <v>247.4445935068</v>
      </c>
      <c r="E57" s="221">
        <f>IFERROR(VLOOKUP($B57,MMWR_TRAD_AGG_RO_COMP[],E$1,0),"ERROR")</f>
        <v>3802</v>
      </c>
      <c r="F57" s="222">
        <f>IFERROR(VLOOKUP($B57,MMWR_TRAD_AGG_RO_COMP[],F$1,0),"ERROR")</f>
        <v>876</v>
      </c>
      <c r="G57" s="223">
        <f t="shared" si="0"/>
        <v>0.23040504997369807</v>
      </c>
      <c r="H57" s="224">
        <f>IFERROR(VLOOKUP($B57,MMWR_TRAD_AGG_RO_COMP[],H$1,0),"ERROR")</f>
        <v>4515</v>
      </c>
      <c r="I57" s="222">
        <f>IFERROR(VLOOKUP($B57,MMWR_TRAD_AGG_RO_COMP[],I$1,0),"ERROR")</f>
        <v>2740</v>
      </c>
      <c r="J57" s="223">
        <f t="shared" si="1"/>
        <v>0.60686600221483944</v>
      </c>
      <c r="K57" s="225">
        <f>IFERROR(VLOOKUP($B57,MMWR_TRAD_AGG_RO_COMP[],K$1,0),"ERROR")</f>
        <v>930</v>
      </c>
      <c r="L57" s="226">
        <f>IFERROR(VLOOKUP($B57,MMWR_TRAD_AGG_RO_COMP[],L$1,0),"ERROR")</f>
        <v>826</v>
      </c>
      <c r="M57" s="223">
        <f t="shared" si="2"/>
        <v>0.8881720430107527</v>
      </c>
      <c r="N57" s="225">
        <f>IFERROR(VLOOKUP($B57,MMWR_TRAD_AGG_RO_COMP[],N$1,0),"ERROR")</f>
        <v>1205</v>
      </c>
      <c r="O57" s="226">
        <f>IFERROR(VLOOKUP($B57,MMWR_TRAD_AGG_RO_COMP[],O$1,0),"ERROR")</f>
        <v>649</v>
      </c>
      <c r="P57" s="223">
        <f t="shared" si="3"/>
        <v>0.53858921161825724</v>
      </c>
      <c r="Q57" s="227">
        <f>IFERROR(VLOOKUP($B57,MMWR_TRAD_AGG_RO_COMP[],Q$1,0),"ERROR")</f>
        <v>0</v>
      </c>
      <c r="R57" s="227">
        <f>IFERROR(VLOOKUP($B57,MMWR_TRAD_AGG_RO_COMP[],R$1,0),"ERROR")</f>
        <v>68</v>
      </c>
      <c r="S57" s="201">
        <f>IFERROR(VLOOKUP($B57,MMWR_APP_RO[],S$1,0),"ERROR")</f>
        <v>7237</v>
      </c>
      <c r="T57" s="28"/>
    </row>
    <row r="58" spans="1:20" x14ac:dyDescent="0.2">
      <c r="A58" s="28"/>
      <c r="B58" s="108" t="s">
        <v>66</v>
      </c>
      <c r="C58" s="219">
        <f>IFERROR(VLOOKUP($B58,MMWR_TRAD_AGG_RO_COMP[],C$1,0),"ERROR")</f>
        <v>6470</v>
      </c>
      <c r="D58" s="220">
        <f>IFERROR(VLOOKUP($B58,MMWR_TRAD_AGG_RO_COMP[],D$1,0),"ERROR")</f>
        <v>468.1372488408</v>
      </c>
      <c r="E58" s="221">
        <f>IFERROR(VLOOKUP($B58,MMWR_TRAD_AGG_RO_COMP[],E$1,0),"ERROR")</f>
        <v>4619</v>
      </c>
      <c r="F58" s="222">
        <f>IFERROR(VLOOKUP($B58,MMWR_TRAD_AGG_RO_COMP[],F$1,0),"ERROR")</f>
        <v>1148</v>
      </c>
      <c r="G58" s="223">
        <f t="shared" si="0"/>
        <v>0.24853864472829618</v>
      </c>
      <c r="H58" s="224">
        <f>IFERROR(VLOOKUP($B58,MMWR_TRAD_AGG_RO_COMP[],H$1,0),"ERROR")</f>
        <v>7970</v>
      </c>
      <c r="I58" s="222">
        <f>IFERROR(VLOOKUP($B58,MMWR_TRAD_AGG_RO_COMP[],I$1,0),"ERROR")</f>
        <v>6149</v>
      </c>
      <c r="J58" s="223">
        <f t="shared" si="1"/>
        <v>0.77151819322459225</v>
      </c>
      <c r="K58" s="225">
        <f>IFERROR(VLOOKUP($B58,MMWR_TRAD_AGG_RO_COMP[],K$1,0),"ERROR")</f>
        <v>2948</v>
      </c>
      <c r="L58" s="226">
        <f>IFERROR(VLOOKUP($B58,MMWR_TRAD_AGG_RO_COMP[],L$1,0),"ERROR")</f>
        <v>2773</v>
      </c>
      <c r="M58" s="223">
        <f t="shared" si="2"/>
        <v>0.94063772048846672</v>
      </c>
      <c r="N58" s="225">
        <f>IFERROR(VLOOKUP($B58,MMWR_TRAD_AGG_RO_COMP[],N$1,0),"ERROR")</f>
        <v>1953</v>
      </c>
      <c r="O58" s="226">
        <f>IFERROR(VLOOKUP($B58,MMWR_TRAD_AGG_RO_COMP[],O$1,0),"ERROR")</f>
        <v>1256</v>
      </c>
      <c r="P58" s="223">
        <f t="shared" si="3"/>
        <v>0.64311315924219148</v>
      </c>
      <c r="Q58" s="227">
        <f>IFERROR(VLOOKUP($B58,MMWR_TRAD_AGG_RO_COMP[],Q$1,0),"ERROR")</f>
        <v>1</v>
      </c>
      <c r="R58" s="227">
        <f>IFERROR(VLOOKUP($B58,MMWR_TRAD_AGG_RO_COMP[],R$1,0),"ERROR")</f>
        <v>80</v>
      </c>
      <c r="S58" s="201">
        <f>IFERROR(VLOOKUP($B58,MMWR_APP_RO[],S$1,0),"ERROR")</f>
        <v>5397</v>
      </c>
      <c r="T58" s="28"/>
    </row>
    <row r="59" spans="1:20" x14ac:dyDescent="0.2">
      <c r="A59" s="28"/>
      <c r="B59" s="108" t="s">
        <v>68</v>
      </c>
      <c r="C59" s="219">
        <f>IFERROR(VLOOKUP($B59,MMWR_TRAD_AGG_RO_COMP[],C$1,0),"ERROR")</f>
        <v>2948</v>
      </c>
      <c r="D59" s="220">
        <f>IFERROR(VLOOKUP($B59,MMWR_TRAD_AGG_RO_COMP[],D$1,0),"ERROR")</f>
        <v>413.76356852100002</v>
      </c>
      <c r="E59" s="221">
        <f>IFERROR(VLOOKUP($B59,MMWR_TRAD_AGG_RO_COMP[],E$1,0),"ERROR")</f>
        <v>3448</v>
      </c>
      <c r="F59" s="222">
        <f>IFERROR(VLOOKUP($B59,MMWR_TRAD_AGG_RO_COMP[],F$1,0),"ERROR")</f>
        <v>837</v>
      </c>
      <c r="G59" s="223">
        <f t="shared" si="0"/>
        <v>0.24274941995359628</v>
      </c>
      <c r="H59" s="224">
        <f>IFERROR(VLOOKUP($B59,MMWR_TRAD_AGG_RO_COMP[],H$1,0),"ERROR")</f>
        <v>3624</v>
      </c>
      <c r="I59" s="222">
        <f>IFERROR(VLOOKUP($B59,MMWR_TRAD_AGG_RO_COMP[],I$1,0),"ERROR")</f>
        <v>2503</v>
      </c>
      <c r="J59" s="223">
        <f t="shared" si="1"/>
        <v>0.6906732891832229</v>
      </c>
      <c r="K59" s="225">
        <f>IFERROR(VLOOKUP($B59,MMWR_TRAD_AGG_RO_COMP[],K$1,0),"ERROR")</f>
        <v>609</v>
      </c>
      <c r="L59" s="226">
        <f>IFERROR(VLOOKUP($B59,MMWR_TRAD_AGG_RO_COMP[],L$1,0),"ERROR")</f>
        <v>495</v>
      </c>
      <c r="M59" s="223">
        <f t="shared" si="2"/>
        <v>0.81280788177339902</v>
      </c>
      <c r="N59" s="225">
        <f>IFERROR(VLOOKUP($B59,MMWR_TRAD_AGG_RO_COMP[],N$1,0),"ERROR")</f>
        <v>1172</v>
      </c>
      <c r="O59" s="226">
        <f>IFERROR(VLOOKUP($B59,MMWR_TRAD_AGG_RO_COMP[],O$1,0),"ERROR")</f>
        <v>885</v>
      </c>
      <c r="P59" s="223">
        <f t="shared" si="3"/>
        <v>0.75511945392491464</v>
      </c>
      <c r="Q59" s="227">
        <f>IFERROR(VLOOKUP($B59,MMWR_TRAD_AGG_RO_COMP[],Q$1,0),"ERROR")</f>
        <v>0</v>
      </c>
      <c r="R59" s="227">
        <f>IFERROR(VLOOKUP($B59,MMWR_TRAD_AGG_RO_COMP[],R$1,0),"ERROR")</f>
        <v>121</v>
      </c>
      <c r="S59" s="201">
        <f>IFERROR(VLOOKUP($B59,MMWR_APP_RO[],S$1,0),"ERROR")</f>
        <v>3099</v>
      </c>
      <c r="T59" s="28"/>
    </row>
    <row r="60" spans="1:20" x14ac:dyDescent="0.2">
      <c r="A60" s="28"/>
      <c r="B60" s="108" t="s">
        <v>71</v>
      </c>
      <c r="C60" s="219">
        <f>IFERROR(VLOOKUP($B60,MMWR_TRAD_AGG_RO_COMP[],C$1,0),"ERROR")</f>
        <v>6595</v>
      </c>
      <c r="D60" s="220">
        <f>IFERROR(VLOOKUP($B60,MMWR_TRAD_AGG_RO_COMP[],D$1,0),"ERROR")</f>
        <v>345.66974981049998</v>
      </c>
      <c r="E60" s="221">
        <f>IFERROR(VLOOKUP($B60,MMWR_TRAD_AGG_RO_COMP[],E$1,0),"ERROR")</f>
        <v>10918</v>
      </c>
      <c r="F60" s="222">
        <f>IFERROR(VLOOKUP($B60,MMWR_TRAD_AGG_RO_COMP[],F$1,0),"ERROR")</f>
        <v>2409</v>
      </c>
      <c r="G60" s="223">
        <f t="shared" si="0"/>
        <v>0.22064480674116138</v>
      </c>
      <c r="H60" s="224">
        <f>IFERROR(VLOOKUP($B60,MMWR_TRAD_AGG_RO_COMP[],H$1,0),"ERROR")</f>
        <v>17286</v>
      </c>
      <c r="I60" s="222">
        <f>IFERROR(VLOOKUP($B60,MMWR_TRAD_AGG_RO_COMP[],I$1,0),"ERROR")</f>
        <v>10559</v>
      </c>
      <c r="J60" s="223">
        <f t="shared" si="1"/>
        <v>0.61084114312160132</v>
      </c>
      <c r="K60" s="225">
        <f>IFERROR(VLOOKUP($B60,MMWR_TRAD_AGG_RO_COMP[],K$1,0),"ERROR")</f>
        <v>5383</v>
      </c>
      <c r="L60" s="226">
        <f>IFERROR(VLOOKUP($B60,MMWR_TRAD_AGG_RO_COMP[],L$1,0),"ERROR")</f>
        <v>3776</v>
      </c>
      <c r="M60" s="223">
        <f t="shared" si="2"/>
        <v>0.70146758313208246</v>
      </c>
      <c r="N60" s="225">
        <f>IFERROR(VLOOKUP($B60,MMWR_TRAD_AGG_RO_COMP[],N$1,0),"ERROR")</f>
        <v>2363</v>
      </c>
      <c r="O60" s="226">
        <f>IFERROR(VLOOKUP($B60,MMWR_TRAD_AGG_RO_COMP[],O$1,0),"ERROR")</f>
        <v>1514</v>
      </c>
      <c r="P60" s="223">
        <f t="shared" si="3"/>
        <v>0.64071096064325006</v>
      </c>
      <c r="Q60" s="227">
        <f>IFERROR(VLOOKUP($B60,MMWR_TRAD_AGG_RO_COMP[],Q$1,0),"ERROR")</f>
        <v>0</v>
      </c>
      <c r="R60" s="227">
        <f>IFERROR(VLOOKUP($B60,MMWR_TRAD_AGG_RO_COMP[],R$1,0),"ERROR")</f>
        <v>60</v>
      </c>
      <c r="S60" s="201">
        <f>IFERROR(VLOOKUP($B60,MMWR_APP_RO[],S$1,0),"ERROR")</f>
        <v>4319</v>
      </c>
      <c r="T60" s="28"/>
    </row>
    <row r="61" spans="1:20" x14ac:dyDescent="0.2">
      <c r="A61" s="28"/>
      <c r="B61" s="116" t="s">
        <v>73</v>
      </c>
      <c r="C61" s="228">
        <f>IFERROR(VLOOKUP($B61,MMWR_TRAD_AGG_RO_COMP[],C$1,0),"ERROR")</f>
        <v>10946</v>
      </c>
      <c r="D61" s="229">
        <f>IFERROR(VLOOKUP($B61,MMWR_TRAD_AGG_RO_COMP[],D$1,0),"ERROR")</f>
        <v>384.03846153849997</v>
      </c>
      <c r="E61" s="230">
        <f>IFERROR(VLOOKUP($B61,MMWR_TRAD_AGG_RO_COMP[],E$1,0),"ERROR")</f>
        <v>7261</v>
      </c>
      <c r="F61" s="231">
        <f>IFERROR(VLOOKUP($B61,MMWR_TRAD_AGG_RO_COMP[],F$1,0),"ERROR")</f>
        <v>1311</v>
      </c>
      <c r="G61" s="232">
        <f t="shared" si="0"/>
        <v>0.18055364274893265</v>
      </c>
      <c r="H61" s="233">
        <f>IFERROR(VLOOKUP($B61,MMWR_TRAD_AGG_RO_COMP[],H$1,0),"ERROR")</f>
        <v>15915</v>
      </c>
      <c r="I61" s="231">
        <f>IFERROR(VLOOKUP($B61,MMWR_TRAD_AGG_RO_COMP[],I$1,0),"ERROR")</f>
        <v>11342</v>
      </c>
      <c r="J61" s="232">
        <f t="shared" si="1"/>
        <v>0.71266101162425388</v>
      </c>
      <c r="K61" s="234">
        <f>IFERROR(VLOOKUP($B61,MMWR_TRAD_AGG_RO_COMP[],K$1,0),"ERROR")</f>
        <v>4743</v>
      </c>
      <c r="L61" s="235">
        <f>IFERROR(VLOOKUP($B61,MMWR_TRAD_AGG_RO_COMP[],L$1,0),"ERROR")</f>
        <v>3669</v>
      </c>
      <c r="M61" s="232">
        <f t="shared" si="2"/>
        <v>0.77356103731815307</v>
      </c>
      <c r="N61" s="234">
        <f>IFERROR(VLOOKUP($B61,MMWR_TRAD_AGG_RO_COMP[],N$1,0),"ERROR")</f>
        <v>4296</v>
      </c>
      <c r="O61" s="235">
        <f>IFERROR(VLOOKUP($B61,MMWR_TRAD_AGG_RO_COMP[],O$1,0),"ERROR")</f>
        <v>3541</v>
      </c>
      <c r="P61" s="232">
        <f t="shared" si="3"/>
        <v>0.8242551210428305</v>
      </c>
      <c r="Q61" s="236">
        <f>IFERROR(VLOOKUP($B61,MMWR_TRAD_AGG_RO_COMP[],Q$1,0),"ERROR")</f>
        <v>2</v>
      </c>
      <c r="R61" s="236">
        <f>IFERROR(VLOOKUP($B61,MMWR_TRAD_AGG_RO_COMP[],R$1,0),"ERROR")</f>
        <v>149</v>
      </c>
      <c r="S61" s="201">
        <f>IFERROR(VLOOKUP($B61,MMWR_APP_RO[],S$1,0),"ERROR")</f>
        <v>5134</v>
      </c>
      <c r="T61" s="28"/>
    </row>
    <row r="62" spans="1:20" x14ac:dyDescent="0.2">
      <c r="A62" s="28"/>
      <c r="B62" s="101" t="s">
        <v>381</v>
      </c>
      <c r="C62" s="212">
        <f>IFERROR(VLOOKUP($B62,MMWR_TRAD_AGG_DISTRICT_COMP[],C$1,0),"ERROR")</f>
        <v>62280</v>
      </c>
      <c r="D62" s="197">
        <f>IFERROR(VLOOKUP($B62,MMWR_TRAD_AGG_DISTRICT_COMP[],D$1,0),"ERROR")</f>
        <v>349.74425176620002</v>
      </c>
      <c r="E62" s="213">
        <f>IFERROR(VLOOKUP($B62,MMWR_TRAD_AGG_DISTRICT_COMP[],E$1,0),"ERROR")</f>
        <v>66530</v>
      </c>
      <c r="F62" s="218">
        <f>IFERROR(VLOOKUP($B62,MMWR_TRAD_AGG_DISTRICT_COMP[],F$1,0),"ERROR")</f>
        <v>17840</v>
      </c>
      <c r="G62" s="214">
        <f t="shared" si="0"/>
        <v>0.26814970689914325</v>
      </c>
      <c r="H62" s="218">
        <f>IFERROR(VLOOKUP($B62,MMWR_TRAD_AGG_DISTRICT_COMP[],H$1,0),"ERROR")</f>
        <v>85275</v>
      </c>
      <c r="I62" s="218">
        <f>IFERROR(VLOOKUP($B62,MMWR_TRAD_AGG_DISTRICT_COMP[],I$1,0),"ERROR")</f>
        <v>58452</v>
      </c>
      <c r="J62" s="214">
        <f t="shared" si="1"/>
        <v>0.68545294635004395</v>
      </c>
      <c r="K62" s="212">
        <f>IFERROR(VLOOKUP($B62,MMWR_TRAD_AGG_DISTRICT_COMP[],K$1,0),"ERROR")</f>
        <v>26475</v>
      </c>
      <c r="L62" s="212">
        <f>IFERROR(VLOOKUP($B62,MMWR_TRAD_AGG_DISTRICT_COMP[],L$1,0),"ERROR")</f>
        <v>22429</v>
      </c>
      <c r="M62" s="214">
        <f t="shared" si="2"/>
        <v>0.84717658168083099</v>
      </c>
      <c r="N62" s="212">
        <f>IFERROR(VLOOKUP($B62,MMWR_TRAD_AGG_DISTRICT_COMP[],N$1,0),"ERROR")</f>
        <v>29927</v>
      </c>
      <c r="O62" s="212">
        <f>IFERROR(VLOOKUP($B62,MMWR_TRAD_AGG_DISTRICT_COMP[],O$1,0),"ERROR")</f>
        <v>22076</v>
      </c>
      <c r="P62" s="214">
        <f t="shared" si="3"/>
        <v>0.73766164333210815</v>
      </c>
      <c r="Q62" s="212">
        <f>IFERROR(VLOOKUP($B62,MMWR_TRAD_AGG_DISTRICT_COMP[],Q$1,0),"ERROR")</f>
        <v>187</v>
      </c>
      <c r="R62" s="215">
        <f>IFERROR(VLOOKUP($B62,MMWR_TRAD_AGG_DISTRICT_COMP[],R$1,0),"ERROR")</f>
        <v>1250</v>
      </c>
      <c r="S62" s="215">
        <f>IFERROR(VLOOKUP($B62,MMWR_APP_RO[],S$1,0),"ERROR")</f>
        <v>89210</v>
      </c>
      <c r="T62" s="28"/>
    </row>
    <row r="63" spans="1:20" x14ac:dyDescent="0.2">
      <c r="A63" s="28"/>
      <c r="B63" s="108" t="s">
        <v>25</v>
      </c>
      <c r="C63" s="219">
        <f>IFERROR(VLOOKUP($B63,MMWR_TRAD_AGG_RO_COMP[],C$1,0),"ERROR")</f>
        <v>12609</v>
      </c>
      <c r="D63" s="220">
        <f>IFERROR(VLOOKUP($B63,MMWR_TRAD_AGG_RO_COMP[],D$1,0),"ERROR")</f>
        <v>348.06582599730001</v>
      </c>
      <c r="E63" s="221">
        <f>IFERROR(VLOOKUP($B63,MMWR_TRAD_AGG_RO_COMP[],E$1,0),"ERROR")</f>
        <v>16296</v>
      </c>
      <c r="F63" s="222">
        <f>IFERROR(VLOOKUP($B63,MMWR_TRAD_AGG_RO_COMP[],F$1,0),"ERROR")</f>
        <v>4686</v>
      </c>
      <c r="G63" s="223">
        <f t="shared" si="0"/>
        <v>0.28755522827687774</v>
      </c>
      <c r="H63" s="224">
        <f>IFERROR(VLOOKUP($B63,MMWR_TRAD_AGG_RO_COMP[],H$1,0),"ERROR")</f>
        <v>18015</v>
      </c>
      <c r="I63" s="222">
        <f>IFERROR(VLOOKUP($B63,MMWR_TRAD_AGG_RO_COMP[],I$1,0),"ERROR")</f>
        <v>12947</v>
      </c>
      <c r="J63" s="223">
        <f t="shared" si="1"/>
        <v>0.71867887871218428</v>
      </c>
      <c r="K63" s="225">
        <f>IFERROR(VLOOKUP($B63,MMWR_TRAD_AGG_RO_COMP[],K$1,0),"ERROR")</f>
        <v>7432</v>
      </c>
      <c r="L63" s="226">
        <f>IFERROR(VLOOKUP($B63,MMWR_TRAD_AGG_RO_COMP[],L$1,0),"ERROR")</f>
        <v>6038</v>
      </c>
      <c r="M63" s="223">
        <f t="shared" si="2"/>
        <v>0.81243272335844996</v>
      </c>
      <c r="N63" s="225">
        <f>IFERROR(VLOOKUP($B63,MMWR_TRAD_AGG_RO_COMP[],N$1,0),"ERROR")</f>
        <v>10332</v>
      </c>
      <c r="O63" s="226">
        <f>IFERROR(VLOOKUP($B63,MMWR_TRAD_AGG_RO_COMP[],O$1,0),"ERROR")</f>
        <v>9503</v>
      </c>
      <c r="P63" s="223">
        <f t="shared" si="3"/>
        <v>0.91976384049554782</v>
      </c>
      <c r="Q63" s="227">
        <f>IFERROR(VLOOKUP($B63,MMWR_TRAD_AGG_RO_COMP[],Q$1,0),"ERROR")</f>
        <v>68</v>
      </c>
      <c r="R63" s="227">
        <f>IFERROR(VLOOKUP($B63,MMWR_TRAD_AGG_RO_COMP[],R$1,0),"ERROR")</f>
        <v>11</v>
      </c>
      <c r="S63" s="201">
        <f>IFERROR(VLOOKUP($B63,MMWR_APP_RO[],S$1,0),"ERROR")</f>
        <v>18380</v>
      </c>
      <c r="T63" s="28"/>
    </row>
    <row r="64" spans="1:20" x14ac:dyDescent="0.2">
      <c r="A64" s="28"/>
      <c r="B64" s="108" t="s">
        <v>39</v>
      </c>
      <c r="C64" s="219">
        <f>IFERROR(VLOOKUP($B64,MMWR_TRAD_AGG_RO_COMP[],C$1,0),"ERROR")</f>
        <v>9001</v>
      </c>
      <c r="D64" s="220">
        <f>IFERROR(VLOOKUP($B64,MMWR_TRAD_AGG_RO_COMP[],D$1,0),"ERROR")</f>
        <v>296.67070325520001</v>
      </c>
      <c r="E64" s="221">
        <f>IFERROR(VLOOKUP($B64,MMWR_TRAD_AGG_RO_COMP[],E$1,0),"ERROR")</f>
        <v>8674</v>
      </c>
      <c r="F64" s="222">
        <f>IFERROR(VLOOKUP($B64,MMWR_TRAD_AGG_RO_COMP[],F$1,0),"ERROR")</f>
        <v>2411</v>
      </c>
      <c r="G64" s="223">
        <f t="shared" si="0"/>
        <v>0.27795711321189764</v>
      </c>
      <c r="H64" s="224">
        <f>IFERROR(VLOOKUP($B64,MMWR_TRAD_AGG_RO_COMP[],H$1,0),"ERROR")</f>
        <v>14610</v>
      </c>
      <c r="I64" s="222">
        <f>IFERROR(VLOOKUP($B64,MMWR_TRAD_AGG_RO_COMP[],I$1,0),"ERROR")</f>
        <v>10019</v>
      </c>
      <c r="J64" s="223">
        <f t="shared" si="1"/>
        <v>0.68576317590691305</v>
      </c>
      <c r="K64" s="225">
        <f>IFERROR(VLOOKUP($B64,MMWR_TRAD_AGG_RO_COMP[],K$1,0),"ERROR")</f>
        <v>2865</v>
      </c>
      <c r="L64" s="226">
        <f>IFERROR(VLOOKUP($B64,MMWR_TRAD_AGG_RO_COMP[],L$1,0),"ERROR")</f>
        <v>2405</v>
      </c>
      <c r="M64" s="223">
        <f t="shared" si="2"/>
        <v>0.83944153577661429</v>
      </c>
      <c r="N64" s="225">
        <f>IFERROR(VLOOKUP($B64,MMWR_TRAD_AGG_RO_COMP[],N$1,0),"ERROR")</f>
        <v>1434</v>
      </c>
      <c r="O64" s="226">
        <f>IFERROR(VLOOKUP($B64,MMWR_TRAD_AGG_RO_COMP[],O$1,0),"ERROR")</f>
        <v>583</v>
      </c>
      <c r="P64" s="223">
        <f t="shared" si="3"/>
        <v>0.40655509065550904</v>
      </c>
      <c r="Q64" s="227">
        <f>IFERROR(VLOOKUP($B64,MMWR_TRAD_AGG_RO_COMP[],Q$1,0),"ERROR")</f>
        <v>1</v>
      </c>
      <c r="R64" s="227">
        <f>IFERROR(VLOOKUP($B64,MMWR_TRAD_AGG_RO_COMP[],R$1,0),"ERROR")</f>
        <v>55</v>
      </c>
      <c r="S64" s="201">
        <f>IFERROR(VLOOKUP($B64,MMWR_APP_RO[],S$1,0),"ERROR")</f>
        <v>13125</v>
      </c>
      <c r="T64" s="28"/>
    </row>
    <row r="65" spans="1:20" x14ac:dyDescent="0.2">
      <c r="A65" s="28"/>
      <c r="B65" s="108" t="s">
        <v>53</v>
      </c>
      <c r="C65" s="219">
        <f>IFERROR(VLOOKUP($B65,MMWR_TRAD_AGG_RO_COMP[],C$1,0),"ERROR")</f>
        <v>7762</v>
      </c>
      <c r="D65" s="220">
        <f>IFERROR(VLOOKUP($B65,MMWR_TRAD_AGG_RO_COMP[],D$1,0),"ERROR")</f>
        <v>496.64931718629998</v>
      </c>
      <c r="E65" s="221">
        <f>IFERROR(VLOOKUP($B65,MMWR_TRAD_AGG_RO_COMP[],E$1,0),"ERROR")</f>
        <v>3644</v>
      </c>
      <c r="F65" s="222">
        <f>IFERROR(VLOOKUP($B65,MMWR_TRAD_AGG_RO_COMP[],F$1,0),"ERROR")</f>
        <v>974</v>
      </c>
      <c r="G65" s="223">
        <f t="shared" si="0"/>
        <v>0.2672886937431394</v>
      </c>
      <c r="H65" s="224">
        <f>IFERROR(VLOOKUP($B65,MMWR_TRAD_AGG_RO_COMP[],H$1,0),"ERROR")</f>
        <v>11202</v>
      </c>
      <c r="I65" s="222">
        <f>IFERROR(VLOOKUP($B65,MMWR_TRAD_AGG_RO_COMP[],I$1,0),"ERROR")</f>
        <v>7969</v>
      </c>
      <c r="J65" s="223">
        <f t="shared" si="1"/>
        <v>0.71139082306730939</v>
      </c>
      <c r="K65" s="225">
        <f>IFERROR(VLOOKUP($B65,MMWR_TRAD_AGG_RO_COMP[],K$1,0),"ERROR")</f>
        <v>3232</v>
      </c>
      <c r="L65" s="226">
        <f>IFERROR(VLOOKUP($B65,MMWR_TRAD_AGG_RO_COMP[],L$1,0),"ERROR")</f>
        <v>3026</v>
      </c>
      <c r="M65" s="223">
        <f t="shared" si="2"/>
        <v>0.93626237623762376</v>
      </c>
      <c r="N65" s="225">
        <f>IFERROR(VLOOKUP($B65,MMWR_TRAD_AGG_RO_COMP[],N$1,0),"ERROR")</f>
        <v>1393</v>
      </c>
      <c r="O65" s="226">
        <f>IFERROR(VLOOKUP($B65,MMWR_TRAD_AGG_RO_COMP[],O$1,0),"ERROR")</f>
        <v>675</v>
      </c>
      <c r="P65" s="223">
        <f t="shared" si="3"/>
        <v>0.48456568557071067</v>
      </c>
      <c r="Q65" s="227">
        <f>IFERROR(VLOOKUP($B65,MMWR_TRAD_AGG_RO_COMP[],Q$1,0),"ERROR")</f>
        <v>109</v>
      </c>
      <c r="R65" s="227">
        <f>IFERROR(VLOOKUP($B65,MMWR_TRAD_AGG_RO_COMP[],R$1,0),"ERROR")</f>
        <v>284</v>
      </c>
      <c r="S65" s="201">
        <f>IFERROR(VLOOKUP($B65,MMWR_APP_RO[],S$1,0),"ERROR")</f>
        <v>4792</v>
      </c>
      <c r="T65" s="28"/>
    </row>
    <row r="66" spans="1:20" x14ac:dyDescent="0.2">
      <c r="A66" s="28"/>
      <c r="B66" s="108" t="s">
        <v>57</v>
      </c>
      <c r="C66" s="219">
        <f>IFERROR(VLOOKUP($B66,MMWR_TRAD_AGG_RO_COMP[],C$1,0),"ERROR")</f>
        <v>11932</v>
      </c>
      <c r="D66" s="220">
        <f>IFERROR(VLOOKUP($B66,MMWR_TRAD_AGG_RO_COMP[],D$1,0),"ERROR")</f>
        <v>384.29240697279999</v>
      </c>
      <c r="E66" s="221">
        <f>IFERROR(VLOOKUP($B66,MMWR_TRAD_AGG_RO_COMP[],E$1,0),"ERROR")</f>
        <v>7040</v>
      </c>
      <c r="F66" s="222">
        <f>IFERROR(VLOOKUP($B66,MMWR_TRAD_AGG_RO_COMP[],F$1,0),"ERROR")</f>
        <v>1651</v>
      </c>
      <c r="G66" s="223">
        <f t="shared" si="0"/>
        <v>0.23451704545454546</v>
      </c>
      <c r="H66" s="224">
        <f>IFERROR(VLOOKUP($B66,MMWR_TRAD_AGG_RO_COMP[],H$1,0),"ERROR")</f>
        <v>13257</v>
      </c>
      <c r="I66" s="222">
        <f>IFERROR(VLOOKUP($B66,MMWR_TRAD_AGG_RO_COMP[],I$1,0),"ERROR")</f>
        <v>9906</v>
      </c>
      <c r="J66" s="223">
        <f t="shared" si="1"/>
        <v>0.74722787961077164</v>
      </c>
      <c r="K66" s="225">
        <f>IFERROR(VLOOKUP($B66,MMWR_TRAD_AGG_RO_COMP[],K$1,0),"ERROR")</f>
        <v>4564</v>
      </c>
      <c r="L66" s="226">
        <f>IFERROR(VLOOKUP($B66,MMWR_TRAD_AGG_RO_COMP[],L$1,0),"ERROR")</f>
        <v>4226</v>
      </c>
      <c r="M66" s="223">
        <f t="shared" si="2"/>
        <v>0.92594215600350571</v>
      </c>
      <c r="N66" s="225">
        <f>IFERROR(VLOOKUP($B66,MMWR_TRAD_AGG_RO_COMP[],N$1,0),"ERROR")</f>
        <v>1792</v>
      </c>
      <c r="O66" s="226">
        <f>IFERROR(VLOOKUP($B66,MMWR_TRAD_AGG_RO_COMP[],O$1,0),"ERROR")</f>
        <v>1103</v>
      </c>
      <c r="P66" s="223">
        <f t="shared" si="3"/>
        <v>0.6155133928571429</v>
      </c>
      <c r="Q66" s="227">
        <f>IFERROR(VLOOKUP($B66,MMWR_TRAD_AGG_RO_COMP[],Q$1,0),"ERROR")</f>
        <v>0</v>
      </c>
      <c r="R66" s="227">
        <f>IFERROR(VLOOKUP($B66,MMWR_TRAD_AGG_RO_COMP[],R$1,0),"ERROR")</f>
        <v>376</v>
      </c>
      <c r="S66" s="201">
        <f>IFERROR(VLOOKUP($B66,MMWR_APP_RO[],S$1,0),"ERROR")</f>
        <v>10149</v>
      </c>
      <c r="T66" s="28"/>
    </row>
    <row r="67" spans="1:20" x14ac:dyDescent="0.2">
      <c r="A67" s="28"/>
      <c r="B67" s="108" t="s">
        <v>58</v>
      </c>
      <c r="C67" s="219">
        <f>IFERROR(VLOOKUP($B67,MMWR_TRAD_AGG_RO_COMP[],C$1,0),"ERROR")</f>
        <v>4141</v>
      </c>
      <c r="D67" s="220">
        <f>IFERROR(VLOOKUP($B67,MMWR_TRAD_AGG_RO_COMP[],D$1,0),"ERROR")</f>
        <v>217.7285679787</v>
      </c>
      <c r="E67" s="221">
        <f>IFERROR(VLOOKUP($B67,MMWR_TRAD_AGG_RO_COMP[],E$1,0),"ERROR")</f>
        <v>8896</v>
      </c>
      <c r="F67" s="222">
        <f>IFERROR(VLOOKUP($B67,MMWR_TRAD_AGG_RO_COMP[],F$1,0),"ERROR")</f>
        <v>1981</v>
      </c>
      <c r="G67" s="223">
        <f t="shared" si="0"/>
        <v>0.2226843525179856</v>
      </c>
      <c r="H67" s="224">
        <f>IFERROR(VLOOKUP($B67,MMWR_TRAD_AGG_RO_COMP[],H$1,0),"ERROR")</f>
        <v>7004</v>
      </c>
      <c r="I67" s="222">
        <f>IFERROR(VLOOKUP($B67,MMWR_TRAD_AGG_RO_COMP[],I$1,0),"ERROR")</f>
        <v>3363</v>
      </c>
      <c r="J67" s="223">
        <f t="shared" si="1"/>
        <v>0.48015419760137062</v>
      </c>
      <c r="K67" s="225">
        <f>IFERROR(VLOOKUP($B67,MMWR_TRAD_AGG_RO_COMP[],K$1,0),"ERROR")</f>
        <v>2965</v>
      </c>
      <c r="L67" s="226">
        <f>IFERROR(VLOOKUP($B67,MMWR_TRAD_AGG_RO_COMP[],L$1,0),"ERROR")</f>
        <v>2341</v>
      </c>
      <c r="M67" s="223">
        <f t="shared" si="2"/>
        <v>0.78954468802698141</v>
      </c>
      <c r="N67" s="225">
        <f>IFERROR(VLOOKUP($B67,MMWR_TRAD_AGG_RO_COMP[],N$1,0),"ERROR")</f>
        <v>1627</v>
      </c>
      <c r="O67" s="226">
        <f>IFERROR(VLOOKUP($B67,MMWR_TRAD_AGG_RO_COMP[],O$1,0),"ERROR")</f>
        <v>1070</v>
      </c>
      <c r="P67" s="223">
        <f t="shared" si="3"/>
        <v>0.65765212046711741</v>
      </c>
      <c r="Q67" s="227">
        <f>IFERROR(VLOOKUP($B67,MMWR_TRAD_AGG_RO_COMP[],Q$1,0),"ERROR")</f>
        <v>1</v>
      </c>
      <c r="R67" s="227">
        <f>IFERROR(VLOOKUP($B67,MMWR_TRAD_AGG_RO_COMP[],R$1,0),"ERROR")</f>
        <v>263</v>
      </c>
      <c r="S67" s="201">
        <f>IFERROR(VLOOKUP($B67,MMWR_APP_RO[],S$1,0),"ERROR")</f>
        <v>6575</v>
      </c>
      <c r="T67" s="28"/>
    </row>
    <row r="68" spans="1:20" x14ac:dyDescent="0.2">
      <c r="A68" s="28"/>
      <c r="B68" s="108" t="s">
        <v>72</v>
      </c>
      <c r="C68" s="219">
        <f>IFERROR(VLOOKUP($B68,MMWR_TRAD_AGG_RO_COMP[],C$1,0),"ERROR")</f>
        <v>1445</v>
      </c>
      <c r="D68" s="220">
        <f>IFERROR(VLOOKUP($B68,MMWR_TRAD_AGG_RO_COMP[],D$1,0),"ERROR")</f>
        <v>312.16816609</v>
      </c>
      <c r="E68" s="221">
        <f>IFERROR(VLOOKUP($B68,MMWR_TRAD_AGG_RO_COMP[],E$1,0),"ERROR")</f>
        <v>2794</v>
      </c>
      <c r="F68" s="222">
        <f>IFERROR(VLOOKUP($B68,MMWR_TRAD_AGG_RO_COMP[],F$1,0),"ERROR")</f>
        <v>875</v>
      </c>
      <c r="G68" s="223">
        <f t="shared" si="0"/>
        <v>0.3131710808876163</v>
      </c>
      <c r="H68" s="224">
        <f>IFERROR(VLOOKUP($B68,MMWR_TRAD_AGG_RO_COMP[],H$1,0),"ERROR")</f>
        <v>2375</v>
      </c>
      <c r="I68" s="222">
        <f>IFERROR(VLOOKUP($B68,MMWR_TRAD_AGG_RO_COMP[],I$1,0),"ERROR")</f>
        <v>1684</v>
      </c>
      <c r="J68" s="223">
        <f t="shared" si="1"/>
        <v>0.70905263157894738</v>
      </c>
      <c r="K68" s="225">
        <f>IFERROR(VLOOKUP($B68,MMWR_TRAD_AGG_RO_COMP[],K$1,0),"ERROR")</f>
        <v>845</v>
      </c>
      <c r="L68" s="226">
        <f>IFERROR(VLOOKUP($B68,MMWR_TRAD_AGG_RO_COMP[],L$1,0),"ERROR")</f>
        <v>776</v>
      </c>
      <c r="M68" s="223">
        <f t="shared" si="2"/>
        <v>0.91834319526627217</v>
      </c>
      <c r="N68" s="225">
        <f>IFERROR(VLOOKUP($B68,MMWR_TRAD_AGG_RO_COMP[],N$1,0),"ERROR")</f>
        <v>1128</v>
      </c>
      <c r="O68" s="226">
        <f>IFERROR(VLOOKUP($B68,MMWR_TRAD_AGG_RO_COMP[],O$1,0),"ERROR")</f>
        <v>836</v>
      </c>
      <c r="P68" s="223">
        <f t="shared" si="3"/>
        <v>0.74113475177304966</v>
      </c>
      <c r="Q68" s="227">
        <f>IFERROR(VLOOKUP($B68,MMWR_TRAD_AGG_RO_COMP[],Q$1,0),"ERROR")</f>
        <v>0</v>
      </c>
      <c r="R68" s="227">
        <f>IFERROR(VLOOKUP($B68,MMWR_TRAD_AGG_RO_COMP[],R$1,0),"ERROR")</f>
        <v>3</v>
      </c>
      <c r="S68" s="201">
        <f>IFERROR(VLOOKUP($B68,MMWR_APP_RO[],S$1,0),"ERROR")</f>
        <v>5708</v>
      </c>
      <c r="T68" s="28"/>
    </row>
    <row r="69" spans="1:20" x14ac:dyDescent="0.2">
      <c r="A69" s="28"/>
      <c r="B69" s="116" t="s">
        <v>77</v>
      </c>
      <c r="C69" s="228">
        <f>IFERROR(VLOOKUP($B69,MMWR_TRAD_AGG_RO_COMP[],C$1,0),"ERROR")</f>
        <v>15390</v>
      </c>
      <c r="D69" s="229">
        <f>IFERROR(VLOOKUP($B69,MMWR_TRAD_AGG_RO_COMP[],D$1,0),"ERROR")</f>
        <v>320.33209876540002</v>
      </c>
      <c r="E69" s="230">
        <f>IFERROR(VLOOKUP($B69,MMWR_TRAD_AGG_RO_COMP[],E$1,0),"ERROR")</f>
        <v>19186</v>
      </c>
      <c r="F69" s="231">
        <f>IFERROR(VLOOKUP($B69,MMWR_TRAD_AGG_RO_COMP[],F$1,0),"ERROR")</f>
        <v>5262</v>
      </c>
      <c r="G69" s="232">
        <f t="shared" si="0"/>
        <v>0.274262483060565</v>
      </c>
      <c r="H69" s="233">
        <f>IFERROR(VLOOKUP($B69,MMWR_TRAD_AGG_RO_COMP[],H$1,0),"ERROR")</f>
        <v>18812</v>
      </c>
      <c r="I69" s="231">
        <f>IFERROR(VLOOKUP($B69,MMWR_TRAD_AGG_RO_COMP[],I$1,0),"ERROR")</f>
        <v>12564</v>
      </c>
      <c r="J69" s="232">
        <f t="shared" si="1"/>
        <v>0.66787157133744424</v>
      </c>
      <c r="K69" s="234">
        <f>IFERROR(VLOOKUP($B69,MMWR_TRAD_AGG_RO_COMP[],K$1,0),"ERROR")</f>
        <v>4572</v>
      </c>
      <c r="L69" s="235">
        <f>IFERROR(VLOOKUP($B69,MMWR_TRAD_AGG_RO_COMP[],L$1,0),"ERROR")</f>
        <v>3617</v>
      </c>
      <c r="M69" s="232">
        <f t="shared" si="2"/>
        <v>0.79111986001749779</v>
      </c>
      <c r="N69" s="234">
        <f>IFERROR(VLOOKUP($B69,MMWR_TRAD_AGG_RO_COMP[],N$1,0),"ERROR")</f>
        <v>12221</v>
      </c>
      <c r="O69" s="235">
        <f>IFERROR(VLOOKUP($B69,MMWR_TRAD_AGG_RO_COMP[],O$1,0),"ERROR")</f>
        <v>8306</v>
      </c>
      <c r="P69" s="232">
        <f t="shared" si="3"/>
        <v>0.67964978316013425</v>
      </c>
      <c r="Q69" s="236">
        <f>IFERROR(VLOOKUP($B69,MMWR_TRAD_AGG_RO_COMP[],Q$1,0),"ERROR")</f>
        <v>8</v>
      </c>
      <c r="R69" s="236">
        <f>IFERROR(VLOOKUP($B69,MMWR_TRAD_AGG_RO_COMP[],R$1,0),"ERROR")</f>
        <v>258</v>
      </c>
      <c r="S69" s="201">
        <f>IFERROR(VLOOKUP($B69,MMWR_APP_RO[],S$1,0),"ERROR")</f>
        <v>30481</v>
      </c>
      <c r="T69" s="28"/>
    </row>
    <row r="70" spans="1:20" x14ac:dyDescent="0.2">
      <c r="A70" s="28"/>
      <c r="B70" s="101" t="s">
        <v>8</v>
      </c>
      <c r="C70" s="212">
        <f>IFERROR(VLOOKUP($B70,MMWR_TRAD_AGG_RO_COMP[],C$1,0),"ERROR")</f>
        <v>59</v>
      </c>
      <c r="D70" s="197">
        <f>IFERROR(VLOOKUP($B70,MMWR_TRAD_AGG_RO_COMP[],D$1,0),"ERROR")</f>
        <v>1061.8474576271001</v>
      </c>
      <c r="E70" s="213">
        <f>IFERROR(VLOOKUP($B70,MMWR_TRAD_AGG_RO_COMP[],E$1,0),"ERROR")</f>
        <v>17</v>
      </c>
      <c r="F70" s="218">
        <f>IFERROR(VLOOKUP($B70,MMWR_TRAD_AGG_RO_COMP[],F$1,0),"ERROR")</f>
        <v>6</v>
      </c>
      <c r="G70" s="214">
        <f>IFERROR(F70/E70,"0%")</f>
        <v>0.35294117647058826</v>
      </c>
      <c r="H70" s="218">
        <f>IFERROR(VLOOKUP($B70,MMWR_TRAD_AGG_RO_COMP[],H$1,0),"ERROR")</f>
        <v>64</v>
      </c>
      <c r="I70" s="218">
        <f>IFERROR(VLOOKUP($B70,MMWR_TRAD_AGG_RO_COMP[],I$1,0),"ERROR")</f>
        <v>58</v>
      </c>
      <c r="J70" s="214">
        <f>IFERROR(I70/H70,"0%")</f>
        <v>0.90625</v>
      </c>
      <c r="K70" s="212">
        <f>IFERROR(VLOOKUP($B70,MMWR_TRAD_AGG_RO_COMP[],K$1,0),"ERROR")</f>
        <v>12</v>
      </c>
      <c r="L70" s="212">
        <f>IFERROR(VLOOKUP($B70,MMWR_TRAD_AGG_RO_COMP[],L$1,0),"ERROR")</f>
        <v>9</v>
      </c>
      <c r="M70" s="214">
        <f>IFERROR(L70/K70,"0%")</f>
        <v>0.75</v>
      </c>
      <c r="N70" s="212">
        <f>IFERROR(VLOOKUP($B70,MMWR_TRAD_AGG_RO_COMP[],N$1,0),"ERROR")</f>
        <v>52622</v>
      </c>
      <c r="O70" s="212">
        <f>IFERROR(VLOOKUP($B70,MMWR_TRAD_AGG_RO_COMP[],O$1,0),"ERROR")</f>
        <v>31260</v>
      </c>
      <c r="P70" s="214">
        <f>IFERROR(O70/N70,"0%")</f>
        <v>0.59404811675724978</v>
      </c>
      <c r="Q70" s="212">
        <f>IFERROR(VLOOKUP($B70,MMWR_TRAD_AGG_RO_COMP[],Q$1,0),"ERROR")</f>
        <v>0</v>
      </c>
      <c r="R70" s="215">
        <f>IFERROR(VLOOKUP($B70,MMWR_TRAD_AGG_RO_COMP[],R$1,0),"ERROR")</f>
        <v>1</v>
      </c>
      <c r="S70" s="215">
        <f>IFERROR(VLOOKUP($B70,MMWR_APP_RO[],S$1,0),"ERROR")</f>
        <v>10553</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488</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225</v>
      </c>
      <c r="D73" s="457"/>
      <c r="E73" s="458" t="s">
        <v>205</v>
      </c>
      <c r="F73" s="459"/>
      <c r="G73" s="460"/>
      <c r="H73" s="458" t="s">
        <v>7</v>
      </c>
      <c r="I73" s="459"/>
      <c r="J73" s="460"/>
      <c r="K73" s="458" t="s">
        <v>30</v>
      </c>
      <c r="L73" s="459"/>
      <c r="M73" s="460"/>
      <c r="N73" s="458" t="s">
        <v>8</v>
      </c>
      <c r="O73" s="459"/>
      <c r="P73" s="460"/>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489</v>
      </c>
      <c r="T74" s="28"/>
    </row>
    <row r="75" spans="1:20" x14ac:dyDescent="0.2">
      <c r="A75" s="25"/>
      <c r="B75" s="101" t="s">
        <v>463</v>
      </c>
      <c r="C75" s="237">
        <f>IFERROR(VLOOKUP($B75,MMWR_TRAD_AGG_RO_PEN[],C$1,0),"ERROR")</f>
        <v>25968</v>
      </c>
      <c r="D75" s="238">
        <f>IFERROR(VLOOKUP($B75,MMWR_TRAD_AGG_RO_PEN[],D$1,0),"ERROR")</f>
        <v>74.977934380799994</v>
      </c>
      <c r="E75" s="237">
        <f>IFERROR(VLOOKUP($B75,MMWR_TRAD_AGG_RO_PEN[],E$1,0),"ERROR")</f>
        <v>31429</v>
      </c>
      <c r="F75" s="237">
        <f>IFERROR(VLOOKUP($B75,MMWR_TRAD_AGG_RO_PEN[],F$1,0),"ERROR")</f>
        <v>5976</v>
      </c>
      <c r="G75" s="239">
        <f>IFERROR(F75/E75,"0%")</f>
        <v>0.1901428616882497</v>
      </c>
      <c r="H75" s="237">
        <f>IFERROR(VLOOKUP($B75,MMWR_TRAD_AGG_RO_PEN[],H$1,0),"ERROR")</f>
        <v>33529</v>
      </c>
      <c r="I75" s="237">
        <f>IFERROR(VLOOKUP($B75,MMWR_TRAD_AGG_RO_PEN[],I$1,0),"ERROR")</f>
        <v>6486</v>
      </c>
      <c r="J75" s="239">
        <f>IFERROR(I75/H75,"0%")</f>
        <v>0.19344448089713381</v>
      </c>
      <c r="K75" s="237">
        <f>IFERROR(VLOOKUP($B75,MMWR_TRAD_AGG_RO_PEN[],K$1,0),"ERROR")</f>
        <v>354</v>
      </c>
      <c r="L75" s="237">
        <f>IFERROR(VLOOKUP($B75,MMWR_TRAD_AGG_RO_PEN[],L$1,0),"ERROR")</f>
        <v>324</v>
      </c>
      <c r="M75" s="239">
        <f>IFERROR(L75/K75,"0%")</f>
        <v>0.9152542372881356</v>
      </c>
      <c r="N75" s="237">
        <f>IFERROR(VLOOKUP($B75,MMWR_TRAD_AGG_RO_PEN[],N$1,0),"ERROR")</f>
        <v>1734</v>
      </c>
      <c r="O75" s="237">
        <f>IFERROR(VLOOKUP($B75,MMWR_TRAD_AGG_RO_PEN[],O$1,0),"ERROR")</f>
        <v>518</v>
      </c>
      <c r="P75" s="239">
        <f>IFERROR(O75/N75,"0%")</f>
        <v>0.29873125720876587</v>
      </c>
      <c r="Q75" s="237">
        <f>IFERROR(VLOOKUP($B75,MMWR_TRAD_AGG_RO_PEN[],Q$1,0),"ERROR")</f>
        <v>9349</v>
      </c>
      <c r="R75" s="240">
        <f>IFERROR(VLOOKUP($B75,MMWR_TRAD_AGG_RO_PEN[],R$1,0),"ERROR")</f>
        <v>6075</v>
      </c>
      <c r="S75" s="240">
        <f>IFERROR(VLOOKUP($B75,MMWR_APP_RO[],S$1,0),"ERROR")</f>
        <v>6902</v>
      </c>
      <c r="T75" s="28"/>
    </row>
    <row r="76" spans="1:20" x14ac:dyDescent="0.2">
      <c r="A76" s="107"/>
      <c r="B76" s="122" t="s">
        <v>210</v>
      </c>
      <c r="C76" s="241">
        <f>IFERROR(VLOOKUP($B76,MMWR_TRAD_AGG_RO_PEN[],C$1,0),"ERROR")</f>
        <v>15040</v>
      </c>
      <c r="D76" s="242">
        <f>IFERROR(VLOOKUP($B76,MMWR_TRAD_AGG_RO_PEN[],D$1,0),"ERROR")</f>
        <v>92.500199468100007</v>
      </c>
      <c r="E76" s="241">
        <f>IFERROR(VLOOKUP($B76,MMWR_TRAD_AGG_RO_PEN[],E$1,0),"ERROR")</f>
        <v>17992</v>
      </c>
      <c r="F76" s="241">
        <f>IFERROR(VLOOKUP($B76,MMWR_TRAD_AGG_RO_PEN[],F$1,0),"ERROR")</f>
        <v>4617</v>
      </c>
      <c r="G76" s="223">
        <f>IFERROR(F76/E76,"0%")</f>
        <v>0.25661405068919518</v>
      </c>
      <c r="H76" s="241">
        <f>IFERROR(VLOOKUP($B76,MMWR_TRAD_AGG_RO_PEN[],H$1,0),"ERROR")</f>
        <v>19113</v>
      </c>
      <c r="I76" s="241">
        <f>IFERROR(VLOOKUP($B76,MMWR_TRAD_AGG_RO_PEN[],I$1,0),"ERROR")</f>
        <v>5612</v>
      </c>
      <c r="J76" s="223">
        <f>IFERROR(I76/H76,"0%")</f>
        <v>0.29362214199759323</v>
      </c>
      <c r="K76" s="241">
        <f>IFERROR(VLOOKUP($B76,MMWR_TRAD_AGG_RO_PEN[],K$1,0),"ERROR")</f>
        <v>85</v>
      </c>
      <c r="L76" s="241">
        <f>IFERROR(VLOOKUP($B76,MMWR_TRAD_AGG_RO_PEN[],L$1,0),"ERROR")</f>
        <v>82</v>
      </c>
      <c r="M76" s="223">
        <f>IFERROR(L76/K76,"0%")</f>
        <v>0.96470588235294119</v>
      </c>
      <c r="N76" s="241">
        <f>IFERROR(VLOOKUP($B76,MMWR_TRAD_AGG_RO_PEN[],N$1,0),"ERROR")</f>
        <v>967</v>
      </c>
      <c r="O76" s="241">
        <f>IFERROR(VLOOKUP($B76,MMWR_TRAD_AGG_RO_PEN[],O$1,0),"ERROR")</f>
        <v>257</v>
      </c>
      <c r="P76" s="223">
        <f>IFERROR(O76/N76,"0%")</f>
        <v>0.26577042399172701</v>
      </c>
      <c r="Q76" s="241">
        <f>IFERROR(VLOOKUP($B76,MMWR_TRAD_AGG_RO_PEN[],Q$1,0),"ERROR")</f>
        <v>1564</v>
      </c>
      <c r="R76" s="241">
        <f>IFERROR(VLOOKUP($B76,MMWR_TRAD_AGG_RO_PEN[],R$1,0),"ERROR")</f>
        <v>4191</v>
      </c>
      <c r="S76" s="243">
        <f>IFERROR(VLOOKUP($B76,MMWR_APP_RO[],S$1,0),"ERROR")</f>
        <v>2676</v>
      </c>
      <c r="T76" s="28"/>
    </row>
    <row r="77" spans="1:20" x14ac:dyDescent="0.2">
      <c r="A77" s="107"/>
      <c r="B77" s="122" t="s">
        <v>209</v>
      </c>
      <c r="C77" s="241">
        <f>IFERROR(VLOOKUP($B77,MMWR_TRAD_AGG_RO_PEN[],C$1,0),"ERROR")</f>
        <v>6759</v>
      </c>
      <c r="D77" s="242">
        <f>IFERROR(VLOOKUP($B77,MMWR_TRAD_AGG_RO_PEN[],D$1,0),"ERROR")</f>
        <v>52.137594318700003</v>
      </c>
      <c r="E77" s="241">
        <f>IFERROR(VLOOKUP($B77,MMWR_TRAD_AGG_RO_PEN[],E$1,0),"ERROR")</f>
        <v>7311</v>
      </c>
      <c r="F77" s="241">
        <f>IFERROR(VLOOKUP($B77,MMWR_TRAD_AGG_RO_PEN[],F$1,0),"ERROR")</f>
        <v>961</v>
      </c>
      <c r="G77" s="223">
        <f>IFERROR(F77/E77,"0%")</f>
        <v>0.13144576665298865</v>
      </c>
      <c r="H77" s="241">
        <f>IFERROR(VLOOKUP($B77,MMWR_TRAD_AGG_RO_PEN[],H$1,0),"ERROR")</f>
        <v>8461</v>
      </c>
      <c r="I77" s="241">
        <f>IFERROR(VLOOKUP($B77,MMWR_TRAD_AGG_RO_PEN[],I$1,0),"ERROR")</f>
        <v>407</v>
      </c>
      <c r="J77" s="223">
        <f>IFERROR(I77/H77,"0%")</f>
        <v>4.8103061103888428E-2</v>
      </c>
      <c r="K77" s="241">
        <f>IFERROR(VLOOKUP($B77,MMWR_TRAD_AGG_RO_PEN[],K$1,0),"ERROR")</f>
        <v>3</v>
      </c>
      <c r="L77" s="241">
        <f>IFERROR(VLOOKUP($B77,MMWR_TRAD_AGG_RO_PEN[],L$1,0),"ERROR")</f>
        <v>3</v>
      </c>
      <c r="M77" s="223">
        <f>IFERROR(L77/K77,"0%")</f>
        <v>1</v>
      </c>
      <c r="N77" s="241">
        <f>IFERROR(VLOOKUP($B77,MMWR_TRAD_AGG_RO_PEN[],N$1,0),"ERROR")</f>
        <v>465</v>
      </c>
      <c r="O77" s="241">
        <f>IFERROR(VLOOKUP($B77,MMWR_TRAD_AGG_RO_PEN[],O$1,0),"ERROR")</f>
        <v>87</v>
      </c>
      <c r="P77" s="223">
        <f>IFERROR(O77/N77,"0%")</f>
        <v>0.18709677419354839</v>
      </c>
      <c r="Q77" s="241">
        <f>IFERROR(VLOOKUP($B77,MMWR_TRAD_AGG_RO_PEN[],Q$1,0),"ERROR")</f>
        <v>1051</v>
      </c>
      <c r="R77" s="241">
        <f>IFERROR(VLOOKUP($B77,MMWR_TRAD_AGG_RO_PEN[],R$1,0),"ERROR")</f>
        <v>782</v>
      </c>
      <c r="S77" s="243">
        <f>IFERROR(VLOOKUP($B77,MMWR_APP_RO[],S$1,0),"ERROR")</f>
        <v>2634</v>
      </c>
      <c r="T77" s="28"/>
    </row>
    <row r="78" spans="1:20" x14ac:dyDescent="0.2">
      <c r="A78" s="107"/>
      <c r="B78" s="122" t="s">
        <v>212</v>
      </c>
      <c r="C78" s="241">
        <f>IFERROR(VLOOKUP($B78,MMWR_TRAD_AGG_RO_PEN[],C$1,0),"ERROR")</f>
        <v>4169</v>
      </c>
      <c r="D78" s="242">
        <f>IFERROR(VLOOKUP($B78,MMWR_TRAD_AGG_RO_PEN[],D$1,0),"ERROR")</f>
        <v>48.794914847699999</v>
      </c>
      <c r="E78" s="241">
        <f>IFERROR(VLOOKUP($B78,MMWR_TRAD_AGG_RO_PEN[],E$1,0),"ERROR")</f>
        <v>5811</v>
      </c>
      <c r="F78" s="241">
        <f>IFERROR(VLOOKUP($B78,MMWR_TRAD_AGG_RO_PEN[],F$1,0),"ERROR")</f>
        <v>256</v>
      </c>
      <c r="G78" s="223">
        <f>IFERROR(F78/E78,"0%")</f>
        <v>4.4054379624849427E-2</v>
      </c>
      <c r="H78" s="241">
        <f>IFERROR(VLOOKUP($B78,MMWR_TRAD_AGG_RO_PEN[],H$1,0),"ERROR")</f>
        <v>5415</v>
      </c>
      <c r="I78" s="241">
        <f>IFERROR(VLOOKUP($B78,MMWR_TRAD_AGG_RO_PEN[],I$1,0),"ERROR")</f>
        <v>83</v>
      </c>
      <c r="J78" s="223">
        <f>IFERROR(I78/H78,"0%")</f>
        <v>1.5327793167128347E-2</v>
      </c>
      <c r="K78" s="241">
        <f>IFERROR(VLOOKUP($B78,MMWR_TRAD_AGG_RO_PEN[],K$1,0),"ERROR")</f>
        <v>47</v>
      </c>
      <c r="L78" s="241">
        <f>IFERROR(VLOOKUP($B78,MMWR_TRAD_AGG_RO_PEN[],L$1,0),"ERROR")</f>
        <v>22</v>
      </c>
      <c r="M78" s="223">
        <f>IFERROR(L78/K78,"0%")</f>
        <v>0.46808510638297873</v>
      </c>
      <c r="N78" s="241">
        <f>IFERROR(VLOOKUP($B78,MMWR_TRAD_AGG_RO_PEN[],N$1,0),"ERROR")</f>
        <v>154</v>
      </c>
      <c r="O78" s="241">
        <f>IFERROR(VLOOKUP($B78,MMWR_TRAD_AGG_RO_PEN[],O$1,0),"ERROR")</f>
        <v>57</v>
      </c>
      <c r="P78" s="223">
        <f>IFERROR(O78/N78,"0%")</f>
        <v>0.37012987012987014</v>
      </c>
      <c r="Q78" s="241">
        <f>IFERROR(VLOOKUP($B78,MMWR_TRAD_AGG_RO_PEN[],Q$1,0),"ERROR")</f>
        <v>6729</v>
      </c>
      <c r="R78" s="241">
        <f>IFERROR(VLOOKUP($B78,MMWR_TRAD_AGG_RO_PEN[],R$1,0),"ERROR")</f>
        <v>1102</v>
      </c>
      <c r="S78" s="243">
        <f>IFERROR(VLOOKUP($B78,MMWR_APP_RO[],S$1,0),"ERROR")</f>
        <v>1592</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315</v>
      </c>
      <c r="F79" s="218">
        <f>IFERROR(VLOOKUP($B79,MMWR_TRAD_AGG_RO_PEN[],F$1,0),"ERROR")</f>
        <v>142</v>
      </c>
      <c r="G79" s="214">
        <f>IFERROR(F79/E79,"0%")</f>
        <v>0.4507936507936508</v>
      </c>
      <c r="H79" s="218">
        <f>IFERROR(VLOOKUP($B79,MMWR_TRAD_AGG_RO_PEN[],H$1,0),"ERROR")</f>
        <v>540</v>
      </c>
      <c r="I79" s="218">
        <f>IFERROR(VLOOKUP($B79,MMWR_TRAD_AGG_RO_PEN[],I$1,0),"ERROR")</f>
        <v>384</v>
      </c>
      <c r="J79" s="214">
        <f>IFERROR(I79/H79,"0%")</f>
        <v>0.71111111111111114</v>
      </c>
      <c r="K79" s="218">
        <f>IFERROR(VLOOKUP($B79,MMWR_TRAD_AGG_RO_PEN[],K$1,0),"ERROR")</f>
        <v>219</v>
      </c>
      <c r="L79" s="218">
        <f>IFERROR(VLOOKUP($B79,MMWR_TRAD_AGG_RO_PEN[],L$1,0),"ERROR")</f>
        <v>217</v>
      </c>
      <c r="M79" s="214">
        <f>IFERROR(L79/K79,"0%")</f>
        <v>0.9908675799086758</v>
      </c>
      <c r="N79" s="218">
        <f>IFERROR(VLOOKUP($B79,MMWR_TRAD_AGG_RO_PEN[],N$1,0),"ERROR")</f>
        <v>148</v>
      </c>
      <c r="O79" s="218">
        <f>IFERROR(VLOOKUP($B79,MMWR_TRAD_AGG_RO_PEN[],O$1,0),"ERROR")</f>
        <v>117</v>
      </c>
      <c r="P79" s="214">
        <f>IFERROR(O79/N79,"0%")</f>
        <v>0.79054054054054057</v>
      </c>
      <c r="Q79" s="218">
        <f>IFERROR(VLOOKUP($B79,MMWR_TRAD_AGG_RO_PEN[],Q$1,0),"ERROR")</f>
        <v>5</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MARCH 12, 2016</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225</v>
      </c>
      <c r="D3" s="461"/>
      <c r="E3" s="458" t="s">
        <v>205</v>
      </c>
      <c r="F3" s="459"/>
      <c r="G3" s="460"/>
      <c r="H3" s="458" t="s">
        <v>7</v>
      </c>
      <c r="I3" s="459"/>
      <c r="J3" s="460"/>
      <c r="K3" s="458" t="s">
        <v>30</v>
      </c>
      <c r="L3" s="459"/>
      <c r="M3" s="460"/>
      <c r="N3" s="458" t="s">
        <v>8</v>
      </c>
      <c r="O3" s="459"/>
      <c r="P3" s="460"/>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489</v>
      </c>
      <c r="T4" s="28"/>
    </row>
    <row r="5" spans="1:20" s="123" customFormat="1" ht="26.25" x14ac:dyDescent="0.4">
      <c r="A5" s="25"/>
      <c r="B5" s="124"/>
      <c r="C5" s="453" t="s">
        <v>487</v>
      </c>
      <c r="D5" s="454"/>
      <c r="E5" s="454"/>
      <c r="F5" s="454"/>
      <c r="G5" s="454"/>
      <c r="H5" s="454"/>
      <c r="I5" s="454"/>
      <c r="J5" s="454"/>
      <c r="K5" s="454"/>
      <c r="L5" s="454"/>
      <c r="M5" s="454"/>
      <c r="N5" s="454"/>
      <c r="O5" s="454"/>
      <c r="P5" s="454"/>
      <c r="Q5" s="454"/>
      <c r="R5" s="454"/>
      <c r="S5" s="455"/>
      <c r="T5" s="28"/>
    </row>
    <row r="6" spans="1:20" s="123" customFormat="1" x14ac:dyDescent="0.2">
      <c r="A6" s="92"/>
      <c r="B6" s="125" t="s">
        <v>462</v>
      </c>
      <c r="C6" s="94">
        <f>IFERROR(VLOOKUP($B6,MMWR_TRAD_AGG_ST_DISTRICT_COMP[],C$1,0),"ERROR")</f>
        <v>291714</v>
      </c>
      <c r="D6" s="95">
        <f>IFERROR(VLOOKUP($B6,MMWR_TRAD_AGG_ST_DISTRICT_COMP[],D$1,0),"ERROR")</f>
        <v>391.22387681079999</v>
      </c>
      <c r="E6" s="96">
        <f>IFERROR(VLOOKUP($B6,MMWR_TRAD_AGG_ST_DISTRICT_COMP[],E$1,0),"ERROR")</f>
        <v>319271</v>
      </c>
      <c r="F6" s="97">
        <f>IFERROR(VLOOKUP($B6,MMWR_TRAD_AGG_ST_DISTRICT_COMP[],F$1,0),"ERROR")</f>
        <v>79676</v>
      </c>
      <c r="G6" s="98">
        <f t="shared" ref="G6:G37" si="0">IFERROR(F6/E6,"0%")</f>
        <v>0.24955601980762424</v>
      </c>
      <c r="H6" s="96">
        <f>IFERROR(VLOOKUP($B6,MMWR_TRAD_AGG_ST_DISTRICT_COMP[],H$1,0),"ERROR")</f>
        <v>424913</v>
      </c>
      <c r="I6" s="97">
        <f>IFERROR(VLOOKUP($B6,MMWR_TRAD_AGG_ST_DISTRICT_COMP[],I$1,0),"ERROR")</f>
        <v>287150</v>
      </c>
      <c r="J6" s="99">
        <f t="shared" ref="J6:J37" si="1">IFERROR(I6/H6,"0%")</f>
        <v>0.67578539606931298</v>
      </c>
      <c r="K6" s="96">
        <f>IFERROR(VLOOKUP($B6,MMWR_TRAD_AGG_ST_DISTRICT_COMP[],K$1,0),"ERROR")</f>
        <v>123651</v>
      </c>
      <c r="L6" s="97">
        <f>IFERROR(VLOOKUP($B6,MMWR_TRAD_AGG_ST_DISTRICT_COMP[],L$1,0),"ERROR")</f>
        <v>99341</v>
      </c>
      <c r="M6" s="99">
        <f t="shared" ref="M6:M37" si="2">IFERROR(L6/K6,"0%")</f>
        <v>0.80339827417489551</v>
      </c>
      <c r="N6" s="96">
        <f>IFERROR(VLOOKUP($B6,MMWR_TRAD_AGG_ST_DISTRICT_COMP[],N$1,0),"ERROR")</f>
        <v>161029</v>
      </c>
      <c r="O6" s="97">
        <f>IFERROR(VLOOKUP($B6,MMWR_TRAD_AGG_ST_DISTRICT_COMP[],O$1,0),"ERROR")</f>
        <v>106203</v>
      </c>
      <c r="P6" s="99">
        <f t="shared" ref="P6:P37" si="3">IFERROR(O6/N6,"0%")</f>
        <v>0.65952716591421423</v>
      </c>
      <c r="Q6" s="100">
        <f>IFERROR(VLOOKUP($B6,MMWR_TRAD_AGG_ST_DISTRICT_COMP[],Q$1,0),"ERROR")</f>
        <v>20066</v>
      </c>
      <c r="R6" s="100">
        <f>IFERROR(VLOOKUP($B6,MMWR_TRAD_AGG_ST_DISTRICT_COMP[],R$1,0),"ERROR")</f>
        <v>4152</v>
      </c>
      <c r="S6" s="100">
        <f>S7+S23+S36+S46+S56+S64</f>
        <v>314979</v>
      </c>
      <c r="T6" s="28"/>
    </row>
    <row r="7" spans="1:20" s="123" customFormat="1" x14ac:dyDescent="0.2">
      <c r="A7" s="92"/>
      <c r="B7" s="126" t="s">
        <v>370</v>
      </c>
      <c r="C7" s="102">
        <f>IF(SUM(C8:C22)&lt;&gt;VLOOKUP($B7,MMWR_TRAD_AGG_ST_DISTRICT_COMP[],C$1,0),"ERROR",
VLOOKUP($B7,MMWR_TRAD_AGG_ST_DISTRICT_COMP[],C$1,0))</f>
        <v>67648</v>
      </c>
      <c r="D7" s="103">
        <f>IFERROR(VLOOKUP($B7,MMWR_TRAD_AGG_ST_DISTRICT_COMP[],D$1,0),"ERROR")</f>
        <v>427.01812322609999</v>
      </c>
      <c r="E7" s="102">
        <f>IF(SUM(E8:E22)&lt;&gt;VLOOKUP($B7,MMWR_TRAD_AGG_ST_DISTRICT_COMP[],E$1,0),"ERROR",
VLOOKUP($B7,MMWR_TRAD_AGG_ST_DISTRICT_COMP[],E$1,0))</f>
        <v>70159</v>
      </c>
      <c r="F7" s="102">
        <f>IFERROR(VLOOKUP($B7,MMWR_TRAD_AGG_ST_DISTRICT_COMP[],F$1,0),"ERROR")</f>
        <v>18093</v>
      </c>
      <c r="G7" s="104">
        <f t="shared" si="0"/>
        <v>0.25788565971578842</v>
      </c>
      <c r="H7" s="102">
        <f>IF(SUM(H8:H22)&lt;&gt;VLOOKUP($B7,MMWR_TRAD_AGG_ST_DISTRICT_COMP[],H$1,0),"ERROR",
VLOOKUP($B7,MMWR_TRAD_AGG_ST_DISTRICT_COMP[],H$1,0))</f>
        <v>97991</v>
      </c>
      <c r="I7" s="102">
        <f>IF(SUM(I8:I22)&lt;&gt;VLOOKUP($B7,MMWR_TRAD_AGG_ST_DISTRICT_COMP[],I$1,0),"ERROR",
VLOOKUP($B7,MMWR_TRAD_AGG_ST_DISTRICT_COMP[],I$1,0))</f>
        <v>67381</v>
      </c>
      <c r="J7" s="105">
        <f t="shared" si="1"/>
        <v>0.68762437366696938</v>
      </c>
      <c r="K7" s="102">
        <f>IF(SUM(K8:K22)&lt;&gt;VLOOKUP($B7,MMWR_TRAD_AGG_ST_DISTRICT_COMP[],K$1,0),"ERROR",
VLOOKUP($B7,MMWR_TRAD_AGG_ST_DISTRICT_COMP[],K$1,0))</f>
        <v>36316</v>
      </c>
      <c r="L7" s="102">
        <f>IF(SUM(L8:L22)&lt;&gt;VLOOKUP($B7,MMWR_TRAD_AGG_ST_DISTRICT_COMP[],L$1,0),"ERROR",
VLOOKUP($B7,MMWR_TRAD_AGG_ST_DISTRICT_COMP[],L$1,0))</f>
        <v>29968</v>
      </c>
      <c r="M7" s="105">
        <f t="shared" si="2"/>
        <v>0.82520101332745899</v>
      </c>
      <c r="N7" s="102">
        <f>IF(SUM(N8:N22)&lt;&gt;VLOOKUP($B7,MMWR_TRAD_AGG_ST_DISTRICT_COMP[],N$1,0),"ERROR",
VLOOKUP($B7,MMWR_TRAD_AGG_ST_DISTRICT_COMP[],N$1,0))</f>
        <v>35586</v>
      </c>
      <c r="O7" s="102">
        <f>IF(SUM(O8:O22)&lt;&gt;VLOOKUP($B7,MMWR_TRAD_AGG_ST_DISTRICT_COMP[],O$1,0),"ERROR",
VLOOKUP($B7,MMWR_TRAD_AGG_ST_DISTRICT_COMP[],O$1,0))</f>
        <v>23870</v>
      </c>
      <c r="P7" s="105">
        <f t="shared" si="3"/>
        <v>0.67076940369808347</v>
      </c>
      <c r="Q7" s="102">
        <f>IF(SUM(Q8:Q22)&lt;&gt;VLOOKUP($B7,MMWR_TRAD_AGG_ST_DISTRICT_COMP[],Q$1,0),"ERROR",
VLOOKUP($B7,MMWR_TRAD_AGG_ST_DISTRICT_COMP[],Q$1,0))</f>
        <v>8464</v>
      </c>
      <c r="R7" s="106">
        <f>IFERROR(VLOOKUP($B7,MMWR_TRAD_AGG_ST_DISTRICT_COMP[],R$1,0),"ERROR")</f>
        <v>137</v>
      </c>
      <c r="S7" s="106">
        <f>SUM(S8:S22)</f>
        <v>57341</v>
      </c>
      <c r="T7" s="28"/>
    </row>
    <row r="8" spans="1:20" s="123" customFormat="1" x14ac:dyDescent="0.2">
      <c r="A8" s="107"/>
      <c r="B8" s="127" t="s">
        <v>374</v>
      </c>
      <c r="C8" s="109">
        <f>IFERROR(VLOOKUP($B8,MMWR_TRAD_AGG_STATE_COMP[],C$1,0),"ERROR")</f>
        <v>1175</v>
      </c>
      <c r="D8" s="110">
        <f>IFERROR(VLOOKUP($B8,MMWR_TRAD_AGG_STATE_COMP[],D$1,0),"ERROR")</f>
        <v>317.10297872339999</v>
      </c>
      <c r="E8" s="111">
        <f>IFERROR(VLOOKUP($B8,MMWR_TRAD_AGG_STATE_COMP[],E$1,0),"ERROR")</f>
        <v>1855</v>
      </c>
      <c r="F8" s="112">
        <f>IFERROR(VLOOKUP($B8,MMWR_TRAD_AGG_STATE_COMP[],F$1,0),"ERROR")</f>
        <v>498</v>
      </c>
      <c r="G8" s="113">
        <f t="shared" si="0"/>
        <v>0.2684636118598383</v>
      </c>
      <c r="H8" s="111">
        <f>IFERROR(VLOOKUP($B8,MMWR_TRAD_AGG_STATE_COMP[],H$1,0),"ERROR")</f>
        <v>2805</v>
      </c>
      <c r="I8" s="112">
        <f>IFERROR(VLOOKUP($B8,MMWR_TRAD_AGG_STATE_COMP[],I$1,0),"ERROR")</f>
        <v>1922</v>
      </c>
      <c r="J8" s="114">
        <f t="shared" si="1"/>
        <v>0.68520499108734401</v>
      </c>
      <c r="K8" s="111">
        <f>IFERROR(VLOOKUP($B8,MMWR_TRAD_AGG_STATE_COMP[],K$1,0),"ERROR")</f>
        <v>598</v>
      </c>
      <c r="L8" s="112">
        <f>IFERROR(VLOOKUP($B8,MMWR_TRAD_AGG_STATE_COMP[],L$1,0),"ERROR")</f>
        <v>443</v>
      </c>
      <c r="M8" s="114">
        <f t="shared" si="2"/>
        <v>0.74080267558528423</v>
      </c>
      <c r="N8" s="111">
        <f>IFERROR(VLOOKUP($B8,MMWR_TRAD_AGG_STATE_COMP[],N$1,0),"ERROR")</f>
        <v>1048</v>
      </c>
      <c r="O8" s="112">
        <f>IFERROR(VLOOKUP($B8,MMWR_TRAD_AGG_STATE_COMP[],O$1,0),"ERROR")</f>
        <v>764</v>
      </c>
      <c r="P8" s="114">
        <f t="shared" si="3"/>
        <v>0.72900763358778631</v>
      </c>
      <c r="Q8" s="115">
        <f>IFERROR(VLOOKUP($B8,MMWR_TRAD_AGG_STATE_COMP[],Q$1,0),"ERROR")</f>
        <v>285</v>
      </c>
      <c r="R8" s="115">
        <f>IFERROR(VLOOKUP($B8,MMWR_TRAD_AGG_STATE_COMP[],R$1,0),"ERROR")</f>
        <v>6</v>
      </c>
      <c r="S8" s="115">
        <f>IFERROR(VLOOKUP($B8,MMWR_APP_STATE_COMP[],S$1,0),"ERROR")</f>
        <v>1231</v>
      </c>
      <c r="T8" s="28"/>
    </row>
    <row r="9" spans="1:20" s="123" customFormat="1" x14ac:dyDescent="0.2">
      <c r="A9" s="107"/>
      <c r="B9" s="127" t="s">
        <v>424</v>
      </c>
      <c r="C9" s="109">
        <f>IFERROR(VLOOKUP($B9,MMWR_TRAD_AGG_STATE_COMP[],C$1,0),"ERROR")</f>
        <v>806</v>
      </c>
      <c r="D9" s="110">
        <f>IFERROR(VLOOKUP($B9,MMWR_TRAD_AGG_STATE_COMP[],D$1,0),"ERROR")</f>
        <v>418.28411910670002</v>
      </c>
      <c r="E9" s="111">
        <f>IFERROR(VLOOKUP($B9,MMWR_TRAD_AGG_STATE_COMP[],E$1,0),"ERROR")</f>
        <v>891</v>
      </c>
      <c r="F9" s="112">
        <f>IFERROR(VLOOKUP($B9,MMWR_TRAD_AGG_STATE_COMP[],F$1,0),"ERROR")</f>
        <v>248</v>
      </c>
      <c r="G9" s="113">
        <f t="shared" si="0"/>
        <v>0.27833894500561168</v>
      </c>
      <c r="H9" s="111">
        <f>IFERROR(VLOOKUP($B9,MMWR_TRAD_AGG_STATE_COMP[],H$1,0),"ERROR")</f>
        <v>1066</v>
      </c>
      <c r="I9" s="112">
        <f>IFERROR(VLOOKUP($B9,MMWR_TRAD_AGG_STATE_COMP[],I$1,0),"ERROR")</f>
        <v>790</v>
      </c>
      <c r="J9" s="114">
        <f t="shared" si="1"/>
        <v>0.74108818011257038</v>
      </c>
      <c r="K9" s="111">
        <f>IFERROR(VLOOKUP($B9,MMWR_TRAD_AGG_STATE_COMP[],K$1,0),"ERROR")</f>
        <v>233</v>
      </c>
      <c r="L9" s="112">
        <f>IFERROR(VLOOKUP($B9,MMWR_TRAD_AGG_STATE_COMP[],L$1,0),"ERROR")</f>
        <v>190</v>
      </c>
      <c r="M9" s="114">
        <f t="shared" si="2"/>
        <v>0.81545064377682408</v>
      </c>
      <c r="N9" s="111">
        <f>IFERROR(VLOOKUP($B9,MMWR_TRAD_AGG_STATE_COMP[],N$1,0),"ERROR")</f>
        <v>369</v>
      </c>
      <c r="O9" s="112">
        <f>IFERROR(VLOOKUP($B9,MMWR_TRAD_AGG_STATE_COMP[],O$1,0),"ERROR")</f>
        <v>218</v>
      </c>
      <c r="P9" s="114">
        <f t="shared" si="3"/>
        <v>0.59078590785907859</v>
      </c>
      <c r="Q9" s="115">
        <f>IFERROR(VLOOKUP($B9,MMWR_TRAD_AGG_STATE_COMP[],Q$1,0),"ERROR")</f>
        <v>75</v>
      </c>
      <c r="R9" s="115">
        <f>IFERROR(VLOOKUP($B9,MMWR_TRAD_AGG_STATE_COMP[],R$1,0),"ERROR")</f>
        <v>1</v>
      </c>
      <c r="S9" s="115">
        <f>IFERROR(VLOOKUP($B9,MMWR_APP_STATE_COMP[],S$1,0),"ERROR")</f>
        <v>608</v>
      </c>
      <c r="T9" s="28"/>
    </row>
    <row r="10" spans="1:20" s="123" customFormat="1" x14ac:dyDescent="0.2">
      <c r="A10" s="107"/>
      <c r="B10" s="127" t="s">
        <v>415</v>
      </c>
      <c r="C10" s="109">
        <f>IFERROR(VLOOKUP($B10,MMWR_TRAD_AGG_STATE_COMP[],C$1,0),"ERROR")</f>
        <v>472</v>
      </c>
      <c r="D10" s="110">
        <f>IFERROR(VLOOKUP($B10,MMWR_TRAD_AGG_STATE_COMP[],D$1,0),"ERROR")</f>
        <v>516.57415254240004</v>
      </c>
      <c r="E10" s="111">
        <f>IFERROR(VLOOKUP($B10,MMWR_TRAD_AGG_STATE_COMP[],E$1,0),"ERROR")</f>
        <v>419</v>
      </c>
      <c r="F10" s="112">
        <f>IFERROR(VLOOKUP($B10,MMWR_TRAD_AGG_STATE_COMP[],F$1,0),"ERROR")</f>
        <v>104</v>
      </c>
      <c r="G10" s="113">
        <f t="shared" si="0"/>
        <v>0.24821002386634844</v>
      </c>
      <c r="H10" s="111">
        <f>IFERROR(VLOOKUP($B10,MMWR_TRAD_AGG_STATE_COMP[],H$1,0),"ERROR")</f>
        <v>663</v>
      </c>
      <c r="I10" s="112">
        <f>IFERROR(VLOOKUP($B10,MMWR_TRAD_AGG_STATE_COMP[],I$1,0),"ERROR")</f>
        <v>486</v>
      </c>
      <c r="J10" s="114">
        <f t="shared" si="1"/>
        <v>0.73303167420814475</v>
      </c>
      <c r="K10" s="111">
        <f>IFERROR(VLOOKUP($B10,MMWR_TRAD_AGG_STATE_COMP[],K$1,0),"ERROR")</f>
        <v>219</v>
      </c>
      <c r="L10" s="112">
        <f>IFERROR(VLOOKUP($B10,MMWR_TRAD_AGG_STATE_COMP[],L$1,0),"ERROR")</f>
        <v>195</v>
      </c>
      <c r="M10" s="114">
        <f t="shared" si="2"/>
        <v>0.8904109589041096</v>
      </c>
      <c r="N10" s="111">
        <f>IFERROR(VLOOKUP($B10,MMWR_TRAD_AGG_STATE_COMP[],N$1,0),"ERROR")</f>
        <v>358</v>
      </c>
      <c r="O10" s="112">
        <f>IFERROR(VLOOKUP($B10,MMWR_TRAD_AGG_STATE_COMP[],O$1,0),"ERROR")</f>
        <v>262</v>
      </c>
      <c r="P10" s="114">
        <f t="shared" si="3"/>
        <v>0.73184357541899436</v>
      </c>
      <c r="Q10" s="115">
        <f>IFERROR(VLOOKUP($B10,MMWR_TRAD_AGG_STATE_COMP[],Q$1,0),"ERROR")</f>
        <v>37</v>
      </c>
      <c r="R10" s="115">
        <f>IFERROR(VLOOKUP($B10,MMWR_TRAD_AGG_STATE_COMP[],R$1,0),"ERROR")</f>
        <v>0</v>
      </c>
      <c r="S10" s="115">
        <f>IFERROR(VLOOKUP($B10,MMWR_APP_STATE_COMP[],S$1,0),"ERROR")</f>
        <v>597</v>
      </c>
      <c r="T10" s="28"/>
    </row>
    <row r="11" spans="1:20" s="123" customFormat="1" x14ac:dyDescent="0.2">
      <c r="A11" s="107"/>
      <c r="B11" s="127" t="s">
        <v>417</v>
      </c>
      <c r="C11" s="109">
        <f>IFERROR(VLOOKUP($B11,MMWR_TRAD_AGG_STATE_COMP[],C$1,0),"ERROR")</f>
        <v>1171</v>
      </c>
      <c r="D11" s="110">
        <f>IFERROR(VLOOKUP($B11,MMWR_TRAD_AGG_STATE_COMP[],D$1,0),"ERROR")</f>
        <v>312.20239111870001</v>
      </c>
      <c r="E11" s="111">
        <f>IFERROR(VLOOKUP($B11,MMWR_TRAD_AGG_STATE_COMP[],E$1,0),"ERROR")</f>
        <v>1429</v>
      </c>
      <c r="F11" s="112">
        <f>IFERROR(VLOOKUP($B11,MMWR_TRAD_AGG_STATE_COMP[],F$1,0),"ERROR")</f>
        <v>226</v>
      </c>
      <c r="G11" s="113">
        <f t="shared" si="0"/>
        <v>0.15815255423372987</v>
      </c>
      <c r="H11" s="111">
        <f>IFERROR(VLOOKUP($B11,MMWR_TRAD_AGG_STATE_COMP[],H$1,0),"ERROR")</f>
        <v>1966</v>
      </c>
      <c r="I11" s="112">
        <f>IFERROR(VLOOKUP($B11,MMWR_TRAD_AGG_STATE_COMP[],I$1,0),"ERROR")</f>
        <v>1024</v>
      </c>
      <c r="J11" s="114">
        <f t="shared" si="1"/>
        <v>0.52085452695829093</v>
      </c>
      <c r="K11" s="111">
        <f>IFERROR(VLOOKUP($B11,MMWR_TRAD_AGG_STATE_COMP[],K$1,0),"ERROR")</f>
        <v>994</v>
      </c>
      <c r="L11" s="112">
        <f>IFERROR(VLOOKUP($B11,MMWR_TRAD_AGG_STATE_COMP[],L$1,0),"ERROR")</f>
        <v>772</v>
      </c>
      <c r="M11" s="114">
        <f t="shared" si="2"/>
        <v>0.77665995975855129</v>
      </c>
      <c r="N11" s="111">
        <f>IFERROR(VLOOKUP($B11,MMWR_TRAD_AGG_STATE_COMP[],N$1,0),"ERROR")</f>
        <v>387</v>
      </c>
      <c r="O11" s="112">
        <f>IFERROR(VLOOKUP($B11,MMWR_TRAD_AGG_STATE_COMP[],O$1,0),"ERROR")</f>
        <v>243</v>
      </c>
      <c r="P11" s="114">
        <f t="shared" si="3"/>
        <v>0.62790697674418605</v>
      </c>
      <c r="Q11" s="115">
        <f>IFERROR(VLOOKUP($B11,MMWR_TRAD_AGG_STATE_COMP[],Q$1,0),"ERROR")</f>
        <v>344</v>
      </c>
      <c r="R11" s="115">
        <f>IFERROR(VLOOKUP($B11,MMWR_TRAD_AGG_STATE_COMP[],R$1,0),"ERROR")</f>
        <v>2</v>
      </c>
      <c r="S11" s="115">
        <f>IFERROR(VLOOKUP($B11,MMWR_APP_STATE_COMP[],S$1,0),"ERROR")</f>
        <v>448</v>
      </c>
      <c r="T11" s="28"/>
    </row>
    <row r="12" spans="1:20" s="123" customFormat="1" x14ac:dyDescent="0.2">
      <c r="A12" s="107"/>
      <c r="B12" s="127" t="s">
        <v>377</v>
      </c>
      <c r="C12" s="109">
        <f>IFERROR(VLOOKUP($B12,MMWR_TRAD_AGG_STATE_COMP[],C$1,0),"ERROR")</f>
        <v>8108</v>
      </c>
      <c r="D12" s="110">
        <f>IFERROR(VLOOKUP($B12,MMWR_TRAD_AGG_STATE_COMP[],D$1,0),"ERROR")</f>
        <v>665.4933399112</v>
      </c>
      <c r="E12" s="111">
        <f>IFERROR(VLOOKUP($B12,MMWR_TRAD_AGG_STATE_COMP[],E$1,0),"ERROR")</f>
        <v>5437</v>
      </c>
      <c r="F12" s="112">
        <f>IFERROR(VLOOKUP($B12,MMWR_TRAD_AGG_STATE_COMP[],F$1,0),"ERROR")</f>
        <v>1526</v>
      </c>
      <c r="G12" s="113">
        <f t="shared" si="0"/>
        <v>0.28066948684936543</v>
      </c>
      <c r="H12" s="111">
        <f>IFERROR(VLOOKUP($B12,MMWR_TRAD_AGG_STATE_COMP[],H$1,0),"ERROR")</f>
        <v>11217</v>
      </c>
      <c r="I12" s="112">
        <f>IFERROR(VLOOKUP($B12,MMWR_TRAD_AGG_STATE_COMP[],I$1,0),"ERROR")</f>
        <v>8585</v>
      </c>
      <c r="J12" s="114">
        <f t="shared" si="1"/>
        <v>0.76535615583489347</v>
      </c>
      <c r="K12" s="111">
        <f>IFERROR(VLOOKUP($B12,MMWR_TRAD_AGG_STATE_COMP[],K$1,0),"ERROR")</f>
        <v>3374</v>
      </c>
      <c r="L12" s="112">
        <f>IFERROR(VLOOKUP($B12,MMWR_TRAD_AGG_STATE_COMP[],L$1,0),"ERROR")</f>
        <v>2960</v>
      </c>
      <c r="M12" s="114">
        <f t="shared" si="2"/>
        <v>0.87729697688203911</v>
      </c>
      <c r="N12" s="111">
        <f>IFERROR(VLOOKUP($B12,MMWR_TRAD_AGG_STATE_COMP[],N$1,0),"ERROR")</f>
        <v>2954</v>
      </c>
      <c r="O12" s="112">
        <f>IFERROR(VLOOKUP($B12,MMWR_TRAD_AGG_STATE_COMP[],O$1,0),"ERROR")</f>
        <v>2011</v>
      </c>
      <c r="P12" s="114">
        <f t="shared" si="3"/>
        <v>0.68077183480027081</v>
      </c>
      <c r="Q12" s="115">
        <f>IFERROR(VLOOKUP($B12,MMWR_TRAD_AGG_STATE_COMP[],Q$1,0),"ERROR")</f>
        <v>406</v>
      </c>
      <c r="R12" s="115">
        <f>IFERROR(VLOOKUP($B12,MMWR_TRAD_AGG_STATE_COMP[],R$1,0),"ERROR")</f>
        <v>6</v>
      </c>
      <c r="S12" s="115">
        <f>IFERROR(VLOOKUP($B12,MMWR_APP_STATE_COMP[],S$1,0),"ERROR")</f>
        <v>5719</v>
      </c>
      <c r="T12" s="28"/>
    </row>
    <row r="13" spans="1:20" s="123" customFormat="1" x14ac:dyDescent="0.2">
      <c r="A13" s="107"/>
      <c r="B13" s="127" t="s">
        <v>372</v>
      </c>
      <c r="C13" s="109">
        <f>IFERROR(VLOOKUP($B13,MMWR_TRAD_AGG_STATE_COMP[],C$1,0),"ERROR")</f>
        <v>4315</v>
      </c>
      <c r="D13" s="110">
        <f>IFERROR(VLOOKUP($B13,MMWR_TRAD_AGG_STATE_COMP[],D$1,0),"ERROR")</f>
        <v>733.64843568950005</v>
      </c>
      <c r="E13" s="111">
        <f>IFERROR(VLOOKUP($B13,MMWR_TRAD_AGG_STATE_COMP[],E$1,0),"ERROR")</f>
        <v>4574</v>
      </c>
      <c r="F13" s="112">
        <f>IFERROR(VLOOKUP($B13,MMWR_TRAD_AGG_STATE_COMP[],F$1,0),"ERROR")</f>
        <v>1100</v>
      </c>
      <c r="G13" s="113">
        <f t="shared" si="0"/>
        <v>0.2404897245299519</v>
      </c>
      <c r="H13" s="111">
        <f>IFERROR(VLOOKUP($B13,MMWR_TRAD_AGG_STATE_COMP[],H$1,0),"ERROR")</f>
        <v>6411</v>
      </c>
      <c r="I13" s="112">
        <f>IFERROR(VLOOKUP($B13,MMWR_TRAD_AGG_STATE_COMP[],I$1,0),"ERROR")</f>
        <v>4871</v>
      </c>
      <c r="J13" s="114">
        <f t="shared" si="1"/>
        <v>0.75978786460770553</v>
      </c>
      <c r="K13" s="111">
        <f>IFERROR(VLOOKUP($B13,MMWR_TRAD_AGG_STATE_COMP[],K$1,0),"ERROR")</f>
        <v>2998</v>
      </c>
      <c r="L13" s="112">
        <f>IFERROR(VLOOKUP($B13,MMWR_TRAD_AGG_STATE_COMP[],L$1,0),"ERROR")</f>
        <v>2476</v>
      </c>
      <c r="M13" s="114">
        <f t="shared" si="2"/>
        <v>0.8258839226150767</v>
      </c>
      <c r="N13" s="111">
        <f>IFERROR(VLOOKUP($B13,MMWR_TRAD_AGG_STATE_COMP[],N$1,0),"ERROR")</f>
        <v>1358</v>
      </c>
      <c r="O13" s="112">
        <f>IFERROR(VLOOKUP($B13,MMWR_TRAD_AGG_STATE_COMP[],O$1,0),"ERROR")</f>
        <v>993</v>
      </c>
      <c r="P13" s="114">
        <f t="shared" si="3"/>
        <v>0.73122238586156107</v>
      </c>
      <c r="Q13" s="115">
        <f>IFERROR(VLOOKUP($B13,MMWR_TRAD_AGG_STATE_COMP[],Q$1,0),"ERROR")</f>
        <v>716</v>
      </c>
      <c r="R13" s="115">
        <f>IFERROR(VLOOKUP($B13,MMWR_TRAD_AGG_STATE_COMP[],R$1,0),"ERROR")</f>
        <v>11</v>
      </c>
      <c r="S13" s="115">
        <f>IFERROR(VLOOKUP($B13,MMWR_APP_STATE_COMP[],S$1,0),"ERROR")</f>
        <v>3369</v>
      </c>
      <c r="T13" s="28"/>
    </row>
    <row r="14" spans="1:20" s="123" customFormat="1" x14ac:dyDescent="0.2">
      <c r="A14" s="107"/>
      <c r="B14" s="127" t="s">
        <v>416</v>
      </c>
      <c r="C14" s="109">
        <f>IFERROR(VLOOKUP($B14,MMWR_TRAD_AGG_STATE_COMP[],C$1,0),"ERROR")</f>
        <v>1355</v>
      </c>
      <c r="D14" s="110">
        <f>IFERROR(VLOOKUP($B14,MMWR_TRAD_AGG_STATE_COMP[],D$1,0),"ERROR")</f>
        <v>354.32472324719998</v>
      </c>
      <c r="E14" s="111">
        <f>IFERROR(VLOOKUP($B14,MMWR_TRAD_AGG_STATE_COMP[],E$1,0),"ERROR")</f>
        <v>1088</v>
      </c>
      <c r="F14" s="112">
        <f>IFERROR(VLOOKUP($B14,MMWR_TRAD_AGG_STATE_COMP[],F$1,0),"ERROR")</f>
        <v>249</v>
      </c>
      <c r="G14" s="113">
        <f t="shared" si="0"/>
        <v>0.22886029411764705</v>
      </c>
      <c r="H14" s="111">
        <f>IFERROR(VLOOKUP($B14,MMWR_TRAD_AGG_STATE_COMP[],H$1,0),"ERROR")</f>
        <v>2040</v>
      </c>
      <c r="I14" s="112">
        <f>IFERROR(VLOOKUP($B14,MMWR_TRAD_AGG_STATE_COMP[],I$1,0),"ERROR")</f>
        <v>1294</v>
      </c>
      <c r="J14" s="114">
        <f t="shared" si="1"/>
        <v>0.63431372549019605</v>
      </c>
      <c r="K14" s="111">
        <f>IFERROR(VLOOKUP($B14,MMWR_TRAD_AGG_STATE_COMP[],K$1,0),"ERROR")</f>
        <v>464</v>
      </c>
      <c r="L14" s="112">
        <f>IFERROR(VLOOKUP($B14,MMWR_TRAD_AGG_STATE_COMP[],L$1,0),"ERROR")</f>
        <v>397</v>
      </c>
      <c r="M14" s="114">
        <f t="shared" si="2"/>
        <v>0.8556034482758621</v>
      </c>
      <c r="N14" s="111">
        <f>IFERROR(VLOOKUP($B14,MMWR_TRAD_AGG_STATE_COMP[],N$1,0),"ERROR")</f>
        <v>244</v>
      </c>
      <c r="O14" s="112">
        <f>IFERROR(VLOOKUP($B14,MMWR_TRAD_AGG_STATE_COMP[],O$1,0),"ERROR")</f>
        <v>154</v>
      </c>
      <c r="P14" s="114">
        <f t="shared" si="3"/>
        <v>0.63114754098360659</v>
      </c>
      <c r="Q14" s="115">
        <f>IFERROR(VLOOKUP($B14,MMWR_TRAD_AGG_STATE_COMP[],Q$1,0),"ERROR")</f>
        <v>163</v>
      </c>
      <c r="R14" s="115">
        <f>IFERROR(VLOOKUP($B14,MMWR_TRAD_AGG_STATE_COMP[],R$1,0),"ERROR")</f>
        <v>4</v>
      </c>
      <c r="S14" s="115">
        <f>IFERROR(VLOOKUP($B14,MMWR_APP_STATE_COMP[],S$1,0),"ERROR")</f>
        <v>639</v>
      </c>
      <c r="T14" s="28"/>
    </row>
    <row r="15" spans="1:20" s="123" customFormat="1" x14ac:dyDescent="0.2">
      <c r="A15" s="107"/>
      <c r="B15" s="127" t="s">
        <v>375</v>
      </c>
      <c r="C15" s="109">
        <f>IFERROR(VLOOKUP($B15,MMWR_TRAD_AGG_STATE_COMP[],C$1,0),"ERROR")</f>
        <v>2222</v>
      </c>
      <c r="D15" s="110">
        <f>IFERROR(VLOOKUP($B15,MMWR_TRAD_AGG_STATE_COMP[],D$1,0),"ERROR")</f>
        <v>323.80198019800002</v>
      </c>
      <c r="E15" s="111">
        <f>IFERROR(VLOOKUP($B15,MMWR_TRAD_AGG_STATE_COMP[],E$1,0),"ERROR")</f>
        <v>4010</v>
      </c>
      <c r="F15" s="112">
        <f>IFERROR(VLOOKUP($B15,MMWR_TRAD_AGG_STATE_COMP[],F$1,0),"ERROR")</f>
        <v>969</v>
      </c>
      <c r="G15" s="113">
        <f t="shared" si="0"/>
        <v>0.24164588528678305</v>
      </c>
      <c r="H15" s="111">
        <f>IFERROR(VLOOKUP($B15,MMWR_TRAD_AGG_STATE_COMP[],H$1,0),"ERROR")</f>
        <v>3711</v>
      </c>
      <c r="I15" s="112">
        <f>IFERROR(VLOOKUP($B15,MMWR_TRAD_AGG_STATE_COMP[],I$1,0),"ERROR")</f>
        <v>2306</v>
      </c>
      <c r="J15" s="114">
        <f t="shared" si="1"/>
        <v>0.62139585017515497</v>
      </c>
      <c r="K15" s="111">
        <f>IFERROR(VLOOKUP($B15,MMWR_TRAD_AGG_STATE_COMP[],K$1,0),"ERROR")</f>
        <v>1322</v>
      </c>
      <c r="L15" s="112">
        <f>IFERROR(VLOOKUP($B15,MMWR_TRAD_AGG_STATE_COMP[],L$1,0),"ERROR")</f>
        <v>1155</v>
      </c>
      <c r="M15" s="114">
        <f t="shared" si="2"/>
        <v>0.87367624810892586</v>
      </c>
      <c r="N15" s="111">
        <f>IFERROR(VLOOKUP($B15,MMWR_TRAD_AGG_STATE_COMP[],N$1,0),"ERROR")</f>
        <v>2216</v>
      </c>
      <c r="O15" s="112">
        <f>IFERROR(VLOOKUP($B15,MMWR_TRAD_AGG_STATE_COMP[],O$1,0),"ERROR")</f>
        <v>1597</v>
      </c>
      <c r="P15" s="114">
        <f t="shared" si="3"/>
        <v>0.72066787003610111</v>
      </c>
      <c r="Q15" s="115">
        <f>IFERROR(VLOOKUP($B15,MMWR_TRAD_AGG_STATE_COMP[],Q$1,0),"ERROR")</f>
        <v>708</v>
      </c>
      <c r="R15" s="115">
        <f>IFERROR(VLOOKUP($B15,MMWR_TRAD_AGG_STATE_COMP[],R$1,0),"ERROR")</f>
        <v>4</v>
      </c>
      <c r="S15" s="115">
        <f>IFERROR(VLOOKUP($B15,MMWR_APP_STATE_COMP[],S$1,0),"ERROR")</f>
        <v>4071</v>
      </c>
      <c r="T15" s="28"/>
    </row>
    <row r="16" spans="1:20" s="123" customFormat="1" x14ac:dyDescent="0.2">
      <c r="A16" s="107"/>
      <c r="B16" s="127" t="s">
        <v>60</v>
      </c>
      <c r="C16" s="109">
        <f>IFERROR(VLOOKUP($B16,MMWR_TRAD_AGG_STATE_COMP[],C$1,0),"ERROR")</f>
        <v>4777</v>
      </c>
      <c r="D16" s="110">
        <f>IFERROR(VLOOKUP($B16,MMWR_TRAD_AGG_STATE_COMP[],D$1,0),"ERROR")</f>
        <v>304.57358174590001</v>
      </c>
      <c r="E16" s="111">
        <f>IFERROR(VLOOKUP($B16,MMWR_TRAD_AGG_STATE_COMP[],E$1,0),"ERROR")</f>
        <v>8815</v>
      </c>
      <c r="F16" s="112">
        <f>IFERROR(VLOOKUP($B16,MMWR_TRAD_AGG_STATE_COMP[],F$1,0),"ERROR")</f>
        <v>2129</v>
      </c>
      <c r="G16" s="113">
        <f t="shared" si="0"/>
        <v>0.24152013613159387</v>
      </c>
      <c r="H16" s="111">
        <f>IFERROR(VLOOKUP($B16,MMWR_TRAD_AGG_STATE_COMP[],H$1,0),"ERROR")</f>
        <v>8425</v>
      </c>
      <c r="I16" s="112">
        <f>IFERROR(VLOOKUP($B16,MMWR_TRAD_AGG_STATE_COMP[],I$1,0),"ERROR")</f>
        <v>4820</v>
      </c>
      <c r="J16" s="114">
        <f t="shared" si="1"/>
        <v>0.57210682492581599</v>
      </c>
      <c r="K16" s="111">
        <f>IFERROR(VLOOKUP($B16,MMWR_TRAD_AGG_STATE_COMP[],K$1,0),"ERROR")</f>
        <v>4031</v>
      </c>
      <c r="L16" s="112">
        <f>IFERROR(VLOOKUP($B16,MMWR_TRAD_AGG_STATE_COMP[],L$1,0),"ERROR")</f>
        <v>3191</v>
      </c>
      <c r="M16" s="114">
        <f t="shared" si="2"/>
        <v>0.79161498387496898</v>
      </c>
      <c r="N16" s="111">
        <f>IFERROR(VLOOKUP($B16,MMWR_TRAD_AGG_STATE_COMP[],N$1,0),"ERROR")</f>
        <v>4645</v>
      </c>
      <c r="O16" s="112">
        <f>IFERROR(VLOOKUP($B16,MMWR_TRAD_AGG_STATE_COMP[],O$1,0),"ERROR")</f>
        <v>1596</v>
      </c>
      <c r="P16" s="114">
        <f t="shared" si="3"/>
        <v>0.34359526372443489</v>
      </c>
      <c r="Q16" s="115">
        <f>IFERROR(VLOOKUP($B16,MMWR_TRAD_AGG_STATE_COMP[],Q$1,0),"ERROR")</f>
        <v>1532</v>
      </c>
      <c r="R16" s="115">
        <f>IFERROR(VLOOKUP($B16,MMWR_TRAD_AGG_STATE_COMP[],R$1,0),"ERROR")</f>
        <v>10</v>
      </c>
      <c r="S16" s="115">
        <f>IFERROR(VLOOKUP($B16,MMWR_APP_STATE_COMP[],S$1,0),"ERROR")</f>
        <v>5326</v>
      </c>
      <c r="T16" s="28"/>
    </row>
    <row r="17" spans="1:20" s="123" customFormat="1" x14ac:dyDescent="0.2">
      <c r="A17" s="107"/>
      <c r="B17" s="127" t="s">
        <v>383</v>
      </c>
      <c r="C17" s="109">
        <f>IFERROR(VLOOKUP($B17,MMWR_TRAD_AGG_STATE_COMP[],C$1,0),"ERROR")</f>
        <v>15645</v>
      </c>
      <c r="D17" s="110">
        <f>IFERROR(VLOOKUP($B17,MMWR_TRAD_AGG_STATE_COMP[],D$1,0),"ERROR")</f>
        <v>313.90028763179998</v>
      </c>
      <c r="E17" s="111">
        <f>IFERROR(VLOOKUP($B17,MMWR_TRAD_AGG_STATE_COMP[],E$1,0),"ERROR")</f>
        <v>17170</v>
      </c>
      <c r="F17" s="112">
        <f>IFERROR(VLOOKUP($B17,MMWR_TRAD_AGG_STATE_COMP[],F$1,0),"ERROR")</f>
        <v>4550</v>
      </c>
      <c r="G17" s="113">
        <f t="shared" si="0"/>
        <v>0.26499708794408855</v>
      </c>
      <c r="H17" s="111">
        <f>IFERROR(VLOOKUP($B17,MMWR_TRAD_AGG_STATE_COMP[],H$1,0),"ERROR")</f>
        <v>21171</v>
      </c>
      <c r="I17" s="112">
        <f>IFERROR(VLOOKUP($B17,MMWR_TRAD_AGG_STATE_COMP[],I$1,0),"ERROR")</f>
        <v>14271</v>
      </c>
      <c r="J17" s="114">
        <f t="shared" si="1"/>
        <v>0.67408247130508714</v>
      </c>
      <c r="K17" s="111">
        <f>IFERROR(VLOOKUP($B17,MMWR_TRAD_AGG_STATE_COMP[],K$1,0),"ERROR")</f>
        <v>9546</v>
      </c>
      <c r="L17" s="112">
        <f>IFERROR(VLOOKUP($B17,MMWR_TRAD_AGG_STATE_COMP[],L$1,0),"ERROR")</f>
        <v>7290</v>
      </c>
      <c r="M17" s="114">
        <f t="shared" si="2"/>
        <v>0.76367064739157764</v>
      </c>
      <c r="N17" s="111">
        <f>IFERROR(VLOOKUP($B17,MMWR_TRAD_AGG_STATE_COMP[],N$1,0),"ERROR")</f>
        <v>6844</v>
      </c>
      <c r="O17" s="112">
        <f>IFERROR(VLOOKUP($B17,MMWR_TRAD_AGG_STATE_COMP[],O$1,0),"ERROR")</f>
        <v>4402</v>
      </c>
      <c r="P17" s="114">
        <f t="shared" si="3"/>
        <v>0.6431911163062537</v>
      </c>
      <c r="Q17" s="115">
        <f>IFERROR(VLOOKUP($B17,MMWR_TRAD_AGG_STATE_COMP[],Q$1,0),"ERROR")</f>
        <v>1207</v>
      </c>
      <c r="R17" s="115">
        <f>IFERROR(VLOOKUP($B17,MMWR_TRAD_AGG_STATE_COMP[],R$1,0),"ERROR")</f>
        <v>48</v>
      </c>
      <c r="S17" s="115">
        <f>IFERROR(VLOOKUP($B17,MMWR_APP_STATE_COMP[],S$1,0),"ERROR")</f>
        <v>10078</v>
      </c>
      <c r="T17" s="28"/>
    </row>
    <row r="18" spans="1:20" s="123" customFormat="1" x14ac:dyDescent="0.2">
      <c r="A18" s="107"/>
      <c r="B18" s="127" t="s">
        <v>376</v>
      </c>
      <c r="C18" s="109">
        <f>IFERROR(VLOOKUP($B18,MMWR_TRAD_AGG_STATE_COMP[],C$1,0),"ERROR")</f>
        <v>7009</v>
      </c>
      <c r="D18" s="110">
        <f>IFERROR(VLOOKUP($B18,MMWR_TRAD_AGG_STATE_COMP[],D$1,0),"ERROR")</f>
        <v>461.08531887570001</v>
      </c>
      <c r="E18" s="111">
        <f>IFERROR(VLOOKUP($B18,MMWR_TRAD_AGG_STATE_COMP[],E$1,0),"ERROR")</f>
        <v>8757</v>
      </c>
      <c r="F18" s="112">
        <f>IFERROR(VLOOKUP($B18,MMWR_TRAD_AGG_STATE_COMP[],F$1,0),"ERROR")</f>
        <v>2509</v>
      </c>
      <c r="G18" s="113">
        <f t="shared" si="0"/>
        <v>0.28651364622587644</v>
      </c>
      <c r="H18" s="111">
        <f>IFERROR(VLOOKUP($B18,MMWR_TRAD_AGG_STATE_COMP[],H$1,0),"ERROR")</f>
        <v>10948</v>
      </c>
      <c r="I18" s="112">
        <f>IFERROR(VLOOKUP($B18,MMWR_TRAD_AGG_STATE_COMP[],I$1,0),"ERROR")</f>
        <v>8237</v>
      </c>
      <c r="J18" s="114">
        <f t="shared" si="1"/>
        <v>0.75237486298867373</v>
      </c>
      <c r="K18" s="111">
        <f>IFERROR(VLOOKUP($B18,MMWR_TRAD_AGG_STATE_COMP[],K$1,0),"ERROR")</f>
        <v>2037</v>
      </c>
      <c r="L18" s="112">
        <f>IFERROR(VLOOKUP($B18,MMWR_TRAD_AGG_STATE_COMP[],L$1,0),"ERROR")</f>
        <v>1692</v>
      </c>
      <c r="M18" s="114">
        <f t="shared" si="2"/>
        <v>0.83063328424153171</v>
      </c>
      <c r="N18" s="111">
        <f>IFERROR(VLOOKUP($B18,MMWR_TRAD_AGG_STATE_COMP[],N$1,0),"ERROR")</f>
        <v>6369</v>
      </c>
      <c r="O18" s="112">
        <f>IFERROR(VLOOKUP($B18,MMWR_TRAD_AGG_STATE_COMP[],O$1,0),"ERROR")</f>
        <v>5069</v>
      </c>
      <c r="P18" s="114">
        <f t="shared" si="3"/>
        <v>0.79588632438373375</v>
      </c>
      <c r="Q18" s="115">
        <f>IFERROR(VLOOKUP($B18,MMWR_TRAD_AGG_STATE_COMP[],Q$1,0),"ERROR")</f>
        <v>1489</v>
      </c>
      <c r="R18" s="115">
        <f>IFERROR(VLOOKUP($B18,MMWR_TRAD_AGG_STATE_COMP[],R$1,0),"ERROR")</f>
        <v>13</v>
      </c>
      <c r="S18" s="115">
        <f>IFERROR(VLOOKUP($B18,MMWR_APP_STATE_COMP[],S$1,0),"ERROR")</f>
        <v>7238</v>
      </c>
      <c r="T18" s="28"/>
    </row>
    <row r="19" spans="1:20" s="123" customFormat="1" x14ac:dyDescent="0.2">
      <c r="A19" s="107"/>
      <c r="B19" s="127" t="s">
        <v>373</v>
      </c>
      <c r="C19" s="109">
        <f>IFERROR(VLOOKUP($B19,MMWR_TRAD_AGG_STATE_COMP[],C$1,0),"ERROR")</f>
        <v>263</v>
      </c>
      <c r="D19" s="110">
        <f>IFERROR(VLOOKUP($B19,MMWR_TRAD_AGG_STATE_COMP[],D$1,0),"ERROR")</f>
        <v>260.82129277569999</v>
      </c>
      <c r="E19" s="111">
        <f>IFERROR(VLOOKUP($B19,MMWR_TRAD_AGG_STATE_COMP[],E$1,0),"ERROR")</f>
        <v>841</v>
      </c>
      <c r="F19" s="112">
        <f>IFERROR(VLOOKUP($B19,MMWR_TRAD_AGG_STATE_COMP[],F$1,0),"ERROR")</f>
        <v>198</v>
      </c>
      <c r="G19" s="113">
        <f t="shared" si="0"/>
        <v>0.23543400713436385</v>
      </c>
      <c r="H19" s="111">
        <f>IFERROR(VLOOKUP($B19,MMWR_TRAD_AGG_STATE_COMP[],H$1,0),"ERROR")</f>
        <v>582</v>
      </c>
      <c r="I19" s="112">
        <f>IFERROR(VLOOKUP($B19,MMWR_TRAD_AGG_STATE_COMP[],I$1,0),"ERROR")</f>
        <v>304</v>
      </c>
      <c r="J19" s="114">
        <f t="shared" si="1"/>
        <v>0.5223367697594502</v>
      </c>
      <c r="K19" s="111">
        <f>IFERROR(VLOOKUP($B19,MMWR_TRAD_AGG_STATE_COMP[],K$1,0),"ERROR")</f>
        <v>261</v>
      </c>
      <c r="L19" s="112">
        <f>IFERROR(VLOOKUP($B19,MMWR_TRAD_AGG_STATE_COMP[],L$1,0),"ERROR")</f>
        <v>220</v>
      </c>
      <c r="M19" s="114">
        <f t="shared" si="2"/>
        <v>0.84291187739463602</v>
      </c>
      <c r="N19" s="111">
        <f>IFERROR(VLOOKUP($B19,MMWR_TRAD_AGG_STATE_COMP[],N$1,0),"ERROR")</f>
        <v>205</v>
      </c>
      <c r="O19" s="112">
        <f>IFERROR(VLOOKUP($B19,MMWR_TRAD_AGG_STATE_COMP[],O$1,0),"ERROR")</f>
        <v>112</v>
      </c>
      <c r="P19" s="114">
        <f t="shared" si="3"/>
        <v>0.54634146341463419</v>
      </c>
      <c r="Q19" s="115">
        <f>IFERROR(VLOOKUP($B19,MMWR_TRAD_AGG_STATE_COMP[],Q$1,0),"ERROR")</f>
        <v>186</v>
      </c>
      <c r="R19" s="115">
        <f>IFERROR(VLOOKUP($B19,MMWR_TRAD_AGG_STATE_COMP[],R$1,0),"ERROR")</f>
        <v>2</v>
      </c>
      <c r="S19" s="115">
        <f>IFERROR(VLOOKUP($B19,MMWR_APP_STATE_COMP[],S$1,0),"ERROR")</f>
        <v>273</v>
      </c>
      <c r="T19" s="28"/>
    </row>
    <row r="20" spans="1:20" s="123" customFormat="1" x14ac:dyDescent="0.2">
      <c r="A20" s="107"/>
      <c r="B20" s="127" t="s">
        <v>418</v>
      </c>
      <c r="C20" s="109">
        <f>IFERROR(VLOOKUP($B20,MMWR_TRAD_AGG_STATE_COMP[],C$1,0),"ERROR")</f>
        <v>506</v>
      </c>
      <c r="D20" s="110">
        <f>IFERROR(VLOOKUP($B20,MMWR_TRAD_AGG_STATE_COMP[],D$1,0),"ERROR")</f>
        <v>372.1501976285</v>
      </c>
      <c r="E20" s="111">
        <f>IFERROR(VLOOKUP($B20,MMWR_TRAD_AGG_STATE_COMP[],E$1,0),"ERROR")</f>
        <v>518</v>
      </c>
      <c r="F20" s="112">
        <f>IFERROR(VLOOKUP($B20,MMWR_TRAD_AGG_STATE_COMP[],F$1,0),"ERROR")</f>
        <v>144</v>
      </c>
      <c r="G20" s="113">
        <f t="shared" si="0"/>
        <v>0.27799227799227799</v>
      </c>
      <c r="H20" s="111">
        <f>IFERROR(VLOOKUP($B20,MMWR_TRAD_AGG_STATE_COMP[],H$1,0),"ERROR")</f>
        <v>942</v>
      </c>
      <c r="I20" s="112">
        <f>IFERROR(VLOOKUP($B20,MMWR_TRAD_AGG_STATE_COMP[],I$1,0),"ERROR")</f>
        <v>532</v>
      </c>
      <c r="J20" s="114">
        <f t="shared" si="1"/>
        <v>0.56475583864118895</v>
      </c>
      <c r="K20" s="111">
        <f>IFERROR(VLOOKUP($B20,MMWR_TRAD_AGG_STATE_COMP[],K$1,0),"ERROR")</f>
        <v>248</v>
      </c>
      <c r="L20" s="112">
        <f>IFERROR(VLOOKUP($B20,MMWR_TRAD_AGG_STATE_COMP[],L$1,0),"ERROR")</f>
        <v>169</v>
      </c>
      <c r="M20" s="114">
        <f t="shared" si="2"/>
        <v>0.68145161290322576</v>
      </c>
      <c r="N20" s="111">
        <f>IFERROR(VLOOKUP($B20,MMWR_TRAD_AGG_STATE_COMP[],N$1,0),"ERROR")</f>
        <v>123</v>
      </c>
      <c r="O20" s="112">
        <f>IFERROR(VLOOKUP($B20,MMWR_TRAD_AGG_STATE_COMP[],O$1,0),"ERROR")</f>
        <v>79</v>
      </c>
      <c r="P20" s="114">
        <f t="shared" si="3"/>
        <v>0.64227642276422769</v>
      </c>
      <c r="Q20" s="115">
        <f>IFERROR(VLOOKUP($B20,MMWR_TRAD_AGG_STATE_COMP[],Q$1,0),"ERROR")</f>
        <v>70</v>
      </c>
      <c r="R20" s="115">
        <f>IFERROR(VLOOKUP($B20,MMWR_TRAD_AGG_STATE_COMP[],R$1,0),"ERROR")</f>
        <v>1</v>
      </c>
      <c r="S20" s="115">
        <f>IFERROR(VLOOKUP($B20,MMWR_APP_STATE_COMP[],S$1,0),"ERROR")</f>
        <v>102</v>
      </c>
      <c r="T20" s="28"/>
    </row>
    <row r="21" spans="1:20" s="123" customFormat="1" x14ac:dyDescent="0.2">
      <c r="A21" s="107"/>
      <c r="B21" s="127" t="s">
        <v>379</v>
      </c>
      <c r="C21" s="109">
        <f>IFERROR(VLOOKUP($B21,MMWR_TRAD_AGG_STATE_COMP[],C$1,0),"ERROR")</f>
        <v>17771</v>
      </c>
      <c r="D21" s="110">
        <f>IFERROR(VLOOKUP($B21,MMWR_TRAD_AGG_STATE_COMP[],D$1,0),"ERROR")</f>
        <v>416.36210680319999</v>
      </c>
      <c r="E21" s="111">
        <f>IFERROR(VLOOKUP($B21,MMWR_TRAD_AGG_STATE_COMP[],E$1,0),"ERROR")</f>
        <v>11767</v>
      </c>
      <c r="F21" s="112">
        <f>IFERROR(VLOOKUP($B21,MMWR_TRAD_AGG_STATE_COMP[],F$1,0),"ERROR")</f>
        <v>3068</v>
      </c>
      <c r="G21" s="113">
        <f t="shared" si="0"/>
        <v>0.26072915781422623</v>
      </c>
      <c r="H21" s="111">
        <f>IFERROR(VLOOKUP($B21,MMWR_TRAD_AGG_STATE_COMP[],H$1,0),"ERROR")</f>
        <v>22607</v>
      </c>
      <c r="I21" s="112">
        <f>IFERROR(VLOOKUP($B21,MMWR_TRAD_AGG_STATE_COMP[],I$1,0),"ERROR")</f>
        <v>15649</v>
      </c>
      <c r="J21" s="114">
        <f t="shared" si="1"/>
        <v>0.69221922413411774</v>
      </c>
      <c r="K21" s="111">
        <f>IFERROR(VLOOKUP($B21,MMWR_TRAD_AGG_STATE_COMP[],K$1,0),"ERROR")</f>
        <v>9526</v>
      </c>
      <c r="L21" s="112">
        <f>IFERROR(VLOOKUP($B21,MMWR_TRAD_AGG_STATE_COMP[],L$1,0),"ERROR")</f>
        <v>8444</v>
      </c>
      <c r="M21" s="114">
        <f t="shared" si="2"/>
        <v>0.88641612429141292</v>
      </c>
      <c r="N21" s="111">
        <f>IFERROR(VLOOKUP($B21,MMWR_TRAD_AGG_STATE_COMP[],N$1,0),"ERROR")</f>
        <v>7114</v>
      </c>
      <c r="O21" s="112">
        <f>IFERROR(VLOOKUP($B21,MMWR_TRAD_AGG_STATE_COMP[],O$1,0),"ERROR")</f>
        <v>5340</v>
      </c>
      <c r="P21" s="114">
        <f t="shared" si="3"/>
        <v>0.75063255552431829</v>
      </c>
      <c r="Q21" s="115">
        <f>IFERROR(VLOOKUP($B21,MMWR_TRAD_AGG_STATE_COMP[],Q$1,0),"ERROR")</f>
        <v>912</v>
      </c>
      <c r="R21" s="115">
        <f>IFERROR(VLOOKUP($B21,MMWR_TRAD_AGG_STATE_COMP[],R$1,0),"ERROR")</f>
        <v>16</v>
      </c>
      <c r="S21" s="115">
        <f>IFERROR(VLOOKUP($B21,MMWR_APP_STATE_COMP[],S$1,0),"ERROR")</f>
        <v>15268</v>
      </c>
      <c r="T21" s="28"/>
    </row>
    <row r="22" spans="1:20" s="123" customFormat="1" x14ac:dyDescent="0.2">
      <c r="A22" s="107"/>
      <c r="B22" s="127" t="s">
        <v>380</v>
      </c>
      <c r="C22" s="109">
        <f>IFERROR(VLOOKUP($B22,MMWR_TRAD_AGG_STATE_COMP[],C$1,0),"ERROR")</f>
        <v>2053</v>
      </c>
      <c r="D22" s="110">
        <f>IFERROR(VLOOKUP($B22,MMWR_TRAD_AGG_STATE_COMP[],D$1,0),"ERROR")</f>
        <v>269.32586458840001</v>
      </c>
      <c r="E22" s="111">
        <f>IFERROR(VLOOKUP($B22,MMWR_TRAD_AGG_STATE_COMP[],E$1,0),"ERROR")</f>
        <v>2588</v>
      </c>
      <c r="F22" s="112">
        <f>IFERROR(VLOOKUP($B22,MMWR_TRAD_AGG_STATE_COMP[],F$1,0),"ERROR")</f>
        <v>575</v>
      </c>
      <c r="G22" s="113">
        <f t="shared" si="0"/>
        <v>0.22217928902627512</v>
      </c>
      <c r="H22" s="111">
        <f>IFERROR(VLOOKUP($B22,MMWR_TRAD_AGG_STATE_COMP[],H$1,0),"ERROR")</f>
        <v>3437</v>
      </c>
      <c r="I22" s="112">
        <f>IFERROR(VLOOKUP($B22,MMWR_TRAD_AGG_STATE_COMP[],I$1,0),"ERROR")</f>
        <v>2290</v>
      </c>
      <c r="J22" s="114">
        <f t="shared" si="1"/>
        <v>0.66627873145184757</v>
      </c>
      <c r="K22" s="111">
        <f>IFERROR(VLOOKUP($B22,MMWR_TRAD_AGG_STATE_COMP[],K$1,0),"ERROR")</f>
        <v>465</v>
      </c>
      <c r="L22" s="112">
        <f>IFERROR(VLOOKUP($B22,MMWR_TRAD_AGG_STATE_COMP[],L$1,0),"ERROR")</f>
        <v>374</v>
      </c>
      <c r="M22" s="114">
        <f t="shared" si="2"/>
        <v>0.80430107526881722</v>
      </c>
      <c r="N22" s="111">
        <f>IFERROR(VLOOKUP($B22,MMWR_TRAD_AGG_STATE_COMP[],N$1,0),"ERROR")</f>
        <v>1352</v>
      </c>
      <c r="O22" s="112">
        <f>IFERROR(VLOOKUP($B22,MMWR_TRAD_AGG_STATE_COMP[],O$1,0),"ERROR")</f>
        <v>1030</v>
      </c>
      <c r="P22" s="114">
        <f t="shared" si="3"/>
        <v>0.76183431952662717</v>
      </c>
      <c r="Q22" s="115">
        <f>IFERROR(VLOOKUP($B22,MMWR_TRAD_AGG_STATE_COMP[],Q$1,0),"ERROR")</f>
        <v>334</v>
      </c>
      <c r="R22" s="115">
        <f>IFERROR(VLOOKUP($B22,MMWR_TRAD_AGG_STATE_COMP[],R$1,0),"ERROR")</f>
        <v>13</v>
      </c>
      <c r="S22" s="115">
        <f>IFERROR(VLOOKUP($B22,MMWR_APP_STATE_COMP[],S$1,0),"ERROR")</f>
        <v>2374</v>
      </c>
      <c r="T22" s="28"/>
    </row>
    <row r="23" spans="1:20" s="123" customFormat="1" x14ac:dyDescent="0.2">
      <c r="A23" s="107"/>
      <c r="B23" s="126" t="s">
        <v>391</v>
      </c>
      <c r="C23" s="102">
        <f>IF(SUM(C24:C35)&lt;&gt;VLOOKUP($B23,MMWR_TRAD_AGG_ST_DISTRICT_COMP[],C$1,0),"ERROR",
VLOOKUP($B23,MMWR_TRAD_AGG_ST_DISTRICT_COMP[],C$1,0))</f>
        <v>37166</v>
      </c>
      <c r="D23" s="103">
        <f>IFERROR(VLOOKUP($B23,MMWR_TRAD_AGG_ST_DISTRICT_COMP[],D$1,0),"ERROR")</f>
        <v>383.10749071729998</v>
      </c>
      <c r="E23" s="102">
        <f>IF(SUM(E24:E35)&lt;&gt;VLOOKUP($B23,MMWR_TRAD_AGG_ST_DISTRICT_COMP[],E$1,0),"ERROR",
VLOOKUP($B23,MMWR_TRAD_AGG_ST_DISTRICT_COMP[],E$1,0))</f>
        <v>50341</v>
      </c>
      <c r="F23" s="102">
        <f>IF(SUM(F24:F35)&lt;&gt;VLOOKUP($B23,MMWR_TRAD_AGG_ST_DISTRICT_COMP[],F$1,0),"ERROR",
VLOOKUP($B23,MMWR_TRAD_AGG_ST_DISTRICT_COMP[],F$1,0))</f>
        <v>11661</v>
      </c>
      <c r="G23" s="104">
        <f t="shared" si="0"/>
        <v>0.23164021374227767</v>
      </c>
      <c r="H23" s="102">
        <f>IF(SUM(H24:H35)&lt;&gt;VLOOKUP($B23,MMWR_TRAD_AGG_ST_DISTRICT_COMP[],H$1,0),"ERROR",
VLOOKUP($B23,MMWR_TRAD_AGG_ST_DISTRICT_COMP[],H$1,0))</f>
        <v>58787</v>
      </c>
      <c r="I23" s="102">
        <f>IF(SUM(I24:I35)&lt;&gt;VLOOKUP($B23,MMWR_TRAD_AGG_ST_DISTRICT_COMP[],I$1,0),"ERROR",
VLOOKUP($B23,MMWR_TRAD_AGG_ST_DISTRICT_COMP[],I$1,0))</f>
        <v>36272</v>
      </c>
      <c r="J23" s="105">
        <f t="shared" si="1"/>
        <v>0.61700716144725876</v>
      </c>
      <c r="K23" s="102">
        <f>IF(SUM(K24:K35)&lt;&gt;VLOOKUP($B23,MMWR_TRAD_AGG_ST_DISTRICT_COMP[],K$1,0),"ERROR",
VLOOKUP($B23,MMWR_TRAD_AGG_ST_DISTRICT_COMP[],K$1,0))</f>
        <v>13768</v>
      </c>
      <c r="L23" s="102">
        <f>IF(SUM(L24:L35)&lt;&gt;VLOOKUP($B23,MMWR_TRAD_AGG_ST_DISTRICT_COMP[],L$1,0),"ERROR",
VLOOKUP($B23,MMWR_TRAD_AGG_ST_DISTRICT_COMP[],L$1,0))</f>
        <v>10702</v>
      </c>
      <c r="M23" s="105">
        <f t="shared" si="2"/>
        <v>0.77730970366066243</v>
      </c>
      <c r="N23" s="102">
        <f>IF(SUM(N24:N35)&lt;&gt;VLOOKUP($B23,MMWR_TRAD_AGG_ST_DISTRICT_COMP[],N$1,0),"ERROR",
VLOOKUP($B23,MMWR_TRAD_AGG_ST_DISTRICT_COMP[],N$1,0))</f>
        <v>22935</v>
      </c>
      <c r="O23" s="102">
        <f>IF(SUM(O24:O35)&lt;&gt;VLOOKUP($B23,MMWR_TRAD_AGG_ST_DISTRICT_COMP[],O$1,0),"ERROR",
VLOOKUP($B23,MMWR_TRAD_AGG_ST_DISTRICT_COMP[],O$1,0))</f>
        <v>15008</v>
      </c>
      <c r="P23" s="105">
        <f t="shared" si="3"/>
        <v>0.65437104861565298</v>
      </c>
      <c r="Q23" s="102">
        <f>IF(SUM(Q24:Q35)&lt;&gt;VLOOKUP($B23,MMWR_TRAD_AGG_ST_DISTRICT_COMP[],Q$1,0),"ERROR",
VLOOKUP($B23,MMWR_TRAD_AGG_ST_DISTRICT_COMP[],Q$1,0))</f>
        <v>4336</v>
      </c>
      <c r="R23" s="102">
        <f>IF(SUM(R24:R35)&lt;&gt;VLOOKUP($B23,MMWR_TRAD_AGG_ST_DISTRICT_COMP[],R$1,0),"ERROR",
VLOOKUP($B23,MMWR_TRAD_AGG_ST_DISTRICT_COMP[],R$1,0))</f>
        <v>1042</v>
      </c>
      <c r="S23" s="106">
        <f>SUM(S24:S35)</f>
        <v>52193</v>
      </c>
      <c r="T23" s="28"/>
    </row>
    <row r="24" spans="1:20" s="123" customFormat="1" x14ac:dyDescent="0.2">
      <c r="A24" s="92"/>
      <c r="B24" s="127" t="s">
        <v>395</v>
      </c>
      <c r="C24" s="109">
        <f>IFERROR(VLOOKUP($B24,MMWR_TRAD_AGG_STATE_COMP[],C$1,0),"ERROR")</f>
        <v>6435</v>
      </c>
      <c r="D24" s="110">
        <f>IFERROR(VLOOKUP($B24,MMWR_TRAD_AGG_STATE_COMP[],D$1,0),"ERROR")</f>
        <v>480.4713286713</v>
      </c>
      <c r="E24" s="111">
        <f>IFERROR(VLOOKUP($B24,MMWR_TRAD_AGG_STATE_COMP[],E$1,0),"ERROR")</f>
        <v>6718</v>
      </c>
      <c r="F24" s="112">
        <f>IFERROR(VLOOKUP($B24,MMWR_TRAD_AGG_STATE_COMP[],F$1,0),"ERROR")</f>
        <v>1965</v>
      </c>
      <c r="G24" s="113">
        <f t="shared" si="0"/>
        <v>0.29249776719261683</v>
      </c>
      <c r="H24" s="111">
        <f>IFERROR(VLOOKUP($B24,MMWR_TRAD_AGG_STATE_COMP[],H$1,0),"ERROR")</f>
        <v>9345</v>
      </c>
      <c r="I24" s="112">
        <f>IFERROR(VLOOKUP($B24,MMWR_TRAD_AGG_STATE_COMP[],I$1,0),"ERROR")</f>
        <v>6302</v>
      </c>
      <c r="J24" s="114">
        <f t="shared" si="1"/>
        <v>0.67437132156233281</v>
      </c>
      <c r="K24" s="111">
        <f>IFERROR(VLOOKUP($B24,MMWR_TRAD_AGG_STATE_COMP[],K$1,0),"ERROR")</f>
        <v>2152</v>
      </c>
      <c r="L24" s="112">
        <f>IFERROR(VLOOKUP($B24,MMWR_TRAD_AGG_STATE_COMP[],L$1,0),"ERROR")</f>
        <v>1924</v>
      </c>
      <c r="M24" s="114">
        <f t="shared" si="2"/>
        <v>0.89405204460966547</v>
      </c>
      <c r="N24" s="111">
        <f>IFERROR(VLOOKUP($B24,MMWR_TRAD_AGG_STATE_COMP[],N$1,0),"ERROR")</f>
        <v>3114</v>
      </c>
      <c r="O24" s="112">
        <f>IFERROR(VLOOKUP($B24,MMWR_TRAD_AGG_STATE_COMP[],O$1,0),"ERROR")</f>
        <v>1635</v>
      </c>
      <c r="P24" s="114">
        <f t="shared" si="3"/>
        <v>0.52504816955684008</v>
      </c>
      <c r="Q24" s="115">
        <f>IFERROR(VLOOKUP($B24,MMWR_TRAD_AGG_STATE_COMP[],Q$1,0),"ERROR")</f>
        <v>793</v>
      </c>
      <c r="R24" s="115">
        <f>IFERROR(VLOOKUP($B24,MMWR_TRAD_AGG_STATE_COMP[],R$1,0),"ERROR")</f>
        <v>214</v>
      </c>
      <c r="S24" s="115">
        <f>IFERROR(VLOOKUP($B24,MMWR_APP_STATE_COMP[],S$1,0),"ERROR")</f>
        <v>8345</v>
      </c>
      <c r="T24" s="28"/>
    </row>
    <row r="25" spans="1:20" s="123" customFormat="1" x14ac:dyDescent="0.2">
      <c r="A25" s="107"/>
      <c r="B25" s="127" t="s">
        <v>393</v>
      </c>
      <c r="C25" s="109">
        <f>IFERROR(VLOOKUP($B25,MMWR_TRAD_AGG_STATE_COMP[],C$1,0),"ERROR")</f>
        <v>6419</v>
      </c>
      <c r="D25" s="110">
        <f>IFERROR(VLOOKUP($B25,MMWR_TRAD_AGG_STATE_COMP[],D$1,0),"ERROR")</f>
        <v>612.70400373890004</v>
      </c>
      <c r="E25" s="111">
        <f>IFERROR(VLOOKUP($B25,MMWR_TRAD_AGG_STATE_COMP[],E$1,0),"ERROR")</f>
        <v>5147</v>
      </c>
      <c r="F25" s="112">
        <f>IFERROR(VLOOKUP($B25,MMWR_TRAD_AGG_STATE_COMP[],F$1,0),"ERROR")</f>
        <v>1134</v>
      </c>
      <c r="G25" s="113">
        <f t="shared" si="0"/>
        <v>0.22032251797163396</v>
      </c>
      <c r="H25" s="111">
        <f>IFERROR(VLOOKUP($B25,MMWR_TRAD_AGG_STATE_COMP[],H$1,0),"ERROR")</f>
        <v>9627</v>
      </c>
      <c r="I25" s="112">
        <f>IFERROR(VLOOKUP($B25,MMWR_TRAD_AGG_STATE_COMP[],I$1,0),"ERROR")</f>
        <v>7482</v>
      </c>
      <c r="J25" s="114">
        <f t="shared" si="1"/>
        <v>0.77718915550015577</v>
      </c>
      <c r="K25" s="111">
        <f>IFERROR(VLOOKUP($B25,MMWR_TRAD_AGG_STATE_COMP[],K$1,0),"ERROR")</f>
        <v>2068</v>
      </c>
      <c r="L25" s="112">
        <f>IFERROR(VLOOKUP($B25,MMWR_TRAD_AGG_STATE_COMP[],L$1,0),"ERROR")</f>
        <v>1732</v>
      </c>
      <c r="M25" s="114">
        <f t="shared" si="2"/>
        <v>0.8375241779497099</v>
      </c>
      <c r="N25" s="111">
        <f>IFERROR(VLOOKUP($B25,MMWR_TRAD_AGG_STATE_COMP[],N$1,0),"ERROR")</f>
        <v>2924</v>
      </c>
      <c r="O25" s="112">
        <f>IFERROR(VLOOKUP($B25,MMWR_TRAD_AGG_STATE_COMP[],O$1,0),"ERROR")</f>
        <v>2055</v>
      </c>
      <c r="P25" s="114">
        <f t="shared" si="3"/>
        <v>0.70280437756497949</v>
      </c>
      <c r="Q25" s="115">
        <f>IFERROR(VLOOKUP($B25,MMWR_TRAD_AGG_STATE_COMP[],Q$1,0),"ERROR")</f>
        <v>598</v>
      </c>
      <c r="R25" s="115">
        <f>IFERROR(VLOOKUP($B25,MMWR_TRAD_AGG_STATE_COMP[],R$1,0),"ERROR")</f>
        <v>207</v>
      </c>
      <c r="S25" s="115">
        <f>IFERROR(VLOOKUP($B25,MMWR_APP_STATE_COMP[],S$1,0),"ERROR")</f>
        <v>8191</v>
      </c>
      <c r="T25" s="28"/>
    </row>
    <row r="26" spans="1:20" s="123" customFormat="1" x14ac:dyDescent="0.2">
      <c r="A26" s="107"/>
      <c r="B26" s="127" t="s">
        <v>400</v>
      </c>
      <c r="C26" s="109">
        <f>IFERROR(VLOOKUP($B26,MMWR_TRAD_AGG_STATE_COMP[],C$1,0),"ERROR")</f>
        <v>1184</v>
      </c>
      <c r="D26" s="110">
        <f>IFERROR(VLOOKUP($B26,MMWR_TRAD_AGG_STATE_COMP[],D$1,0),"ERROR")</f>
        <v>190.85726351349999</v>
      </c>
      <c r="E26" s="111">
        <f>IFERROR(VLOOKUP($B26,MMWR_TRAD_AGG_STATE_COMP[],E$1,0),"ERROR")</f>
        <v>2710</v>
      </c>
      <c r="F26" s="112">
        <f>IFERROR(VLOOKUP($B26,MMWR_TRAD_AGG_STATE_COMP[],F$1,0),"ERROR")</f>
        <v>476</v>
      </c>
      <c r="G26" s="113">
        <f t="shared" si="0"/>
        <v>0.17564575645756458</v>
      </c>
      <c r="H26" s="111">
        <f>IFERROR(VLOOKUP($B26,MMWR_TRAD_AGG_STATE_COMP[],H$1,0),"ERROR")</f>
        <v>1697</v>
      </c>
      <c r="I26" s="112">
        <f>IFERROR(VLOOKUP($B26,MMWR_TRAD_AGG_STATE_COMP[],I$1,0),"ERROR")</f>
        <v>735</v>
      </c>
      <c r="J26" s="114">
        <f t="shared" si="1"/>
        <v>0.43311726576311138</v>
      </c>
      <c r="K26" s="111">
        <f>IFERROR(VLOOKUP($B26,MMWR_TRAD_AGG_STATE_COMP[],K$1,0),"ERROR")</f>
        <v>410</v>
      </c>
      <c r="L26" s="112">
        <f>IFERROR(VLOOKUP($B26,MMWR_TRAD_AGG_STATE_COMP[],L$1,0),"ERROR")</f>
        <v>297</v>
      </c>
      <c r="M26" s="114">
        <f t="shared" si="2"/>
        <v>0.724390243902439</v>
      </c>
      <c r="N26" s="111">
        <f>IFERROR(VLOOKUP($B26,MMWR_TRAD_AGG_STATE_COMP[],N$1,0),"ERROR")</f>
        <v>471</v>
      </c>
      <c r="O26" s="112">
        <f>IFERROR(VLOOKUP($B26,MMWR_TRAD_AGG_STATE_COMP[],O$1,0),"ERROR")</f>
        <v>281</v>
      </c>
      <c r="P26" s="114">
        <f t="shared" si="3"/>
        <v>0.59660297239915072</v>
      </c>
      <c r="Q26" s="115">
        <f>IFERROR(VLOOKUP($B26,MMWR_TRAD_AGG_STATE_COMP[],Q$1,0),"ERROR")</f>
        <v>2</v>
      </c>
      <c r="R26" s="115">
        <f>IFERROR(VLOOKUP($B26,MMWR_TRAD_AGG_STATE_COMP[],R$1,0),"ERROR")</f>
        <v>6</v>
      </c>
      <c r="S26" s="115">
        <f>IFERROR(VLOOKUP($B26,MMWR_APP_STATE_COMP[],S$1,0),"ERROR")</f>
        <v>1366</v>
      </c>
      <c r="T26" s="28"/>
    </row>
    <row r="27" spans="1:20" s="123" customFormat="1" x14ac:dyDescent="0.2">
      <c r="A27" s="107"/>
      <c r="B27" s="127" t="s">
        <v>423</v>
      </c>
      <c r="C27" s="109">
        <f>IFERROR(VLOOKUP($B27,MMWR_TRAD_AGG_STATE_COMP[],C$1,0),"ERROR")</f>
        <v>1882</v>
      </c>
      <c r="D27" s="110">
        <f>IFERROR(VLOOKUP($B27,MMWR_TRAD_AGG_STATE_COMP[],D$1,0),"ERROR")</f>
        <v>235.86609989370001</v>
      </c>
      <c r="E27" s="111">
        <f>IFERROR(VLOOKUP($B27,MMWR_TRAD_AGG_STATE_COMP[],E$1,0),"ERROR")</f>
        <v>2281</v>
      </c>
      <c r="F27" s="112">
        <f>IFERROR(VLOOKUP($B27,MMWR_TRAD_AGG_STATE_COMP[],F$1,0),"ERROR")</f>
        <v>453</v>
      </c>
      <c r="G27" s="113">
        <f t="shared" si="0"/>
        <v>0.19859710653222271</v>
      </c>
      <c r="H27" s="111">
        <f>IFERROR(VLOOKUP($B27,MMWR_TRAD_AGG_STATE_COMP[],H$1,0),"ERROR")</f>
        <v>2825</v>
      </c>
      <c r="I27" s="112">
        <f>IFERROR(VLOOKUP($B27,MMWR_TRAD_AGG_STATE_COMP[],I$1,0),"ERROR")</f>
        <v>1544</v>
      </c>
      <c r="J27" s="114">
        <f t="shared" si="1"/>
        <v>0.54654867256637163</v>
      </c>
      <c r="K27" s="111">
        <f>IFERROR(VLOOKUP($B27,MMWR_TRAD_AGG_STATE_COMP[],K$1,0),"ERROR")</f>
        <v>1017</v>
      </c>
      <c r="L27" s="112">
        <f>IFERROR(VLOOKUP($B27,MMWR_TRAD_AGG_STATE_COMP[],L$1,0),"ERROR")</f>
        <v>593</v>
      </c>
      <c r="M27" s="114">
        <f t="shared" si="2"/>
        <v>0.58308751229105216</v>
      </c>
      <c r="N27" s="111">
        <f>IFERROR(VLOOKUP($B27,MMWR_TRAD_AGG_STATE_COMP[],N$1,0),"ERROR")</f>
        <v>649</v>
      </c>
      <c r="O27" s="112">
        <f>IFERROR(VLOOKUP($B27,MMWR_TRAD_AGG_STATE_COMP[],O$1,0),"ERROR")</f>
        <v>398</v>
      </c>
      <c r="P27" s="114">
        <f t="shared" si="3"/>
        <v>0.61325115562403698</v>
      </c>
      <c r="Q27" s="115">
        <f>IFERROR(VLOOKUP($B27,MMWR_TRAD_AGG_STATE_COMP[],Q$1,0),"ERROR")</f>
        <v>11</v>
      </c>
      <c r="R27" s="115">
        <f>IFERROR(VLOOKUP($B27,MMWR_TRAD_AGG_STATE_COMP[],R$1,0),"ERROR")</f>
        <v>12</v>
      </c>
      <c r="S27" s="115">
        <f>IFERROR(VLOOKUP($B27,MMWR_APP_STATE_COMP[],S$1,0),"ERROR")</f>
        <v>1315</v>
      </c>
      <c r="T27" s="28"/>
    </row>
    <row r="28" spans="1:20" s="123" customFormat="1" x14ac:dyDescent="0.2">
      <c r="A28" s="107"/>
      <c r="B28" s="127" t="s">
        <v>396</v>
      </c>
      <c r="C28" s="109">
        <f>IFERROR(VLOOKUP($B28,MMWR_TRAD_AGG_STATE_COMP[],C$1,0),"ERROR")</f>
        <v>3634</v>
      </c>
      <c r="D28" s="110">
        <f>IFERROR(VLOOKUP($B28,MMWR_TRAD_AGG_STATE_COMP[],D$1,0),"ERROR")</f>
        <v>304.3156301596</v>
      </c>
      <c r="E28" s="111">
        <f>IFERROR(VLOOKUP($B28,MMWR_TRAD_AGG_STATE_COMP[],E$1,0),"ERROR")</f>
        <v>7391</v>
      </c>
      <c r="F28" s="112">
        <f>IFERROR(VLOOKUP($B28,MMWR_TRAD_AGG_STATE_COMP[],F$1,0),"ERROR")</f>
        <v>1912</v>
      </c>
      <c r="G28" s="113">
        <f t="shared" si="0"/>
        <v>0.25869300500608849</v>
      </c>
      <c r="H28" s="111">
        <f>IFERROR(VLOOKUP($B28,MMWR_TRAD_AGG_STATE_COMP[],H$1,0),"ERROR")</f>
        <v>6648</v>
      </c>
      <c r="I28" s="112">
        <f>IFERROR(VLOOKUP($B28,MMWR_TRAD_AGG_STATE_COMP[],I$1,0),"ERROR")</f>
        <v>4254</v>
      </c>
      <c r="J28" s="114">
        <f t="shared" si="1"/>
        <v>0.63989169675090252</v>
      </c>
      <c r="K28" s="111">
        <f>IFERROR(VLOOKUP($B28,MMWR_TRAD_AGG_STATE_COMP[],K$1,0),"ERROR")</f>
        <v>1250</v>
      </c>
      <c r="L28" s="112">
        <f>IFERROR(VLOOKUP($B28,MMWR_TRAD_AGG_STATE_COMP[],L$1,0),"ERROR")</f>
        <v>948</v>
      </c>
      <c r="M28" s="114">
        <f t="shared" si="2"/>
        <v>0.75839999999999996</v>
      </c>
      <c r="N28" s="111">
        <f>IFERROR(VLOOKUP($B28,MMWR_TRAD_AGG_STATE_COMP[],N$1,0),"ERROR")</f>
        <v>2123</v>
      </c>
      <c r="O28" s="112">
        <f>IFERROR(VLOOKUP($B28,MMWR_TRAD_AGG_STATE_COMP[],O$1,0),"ERROR")</f>
        <v>1238</v>
      </c>
      <c r="P28" s="114">
        <f t="shared" si="3"/>
        <v>0.58313707018370231</v>
      </c>
      <c r="Q28" s="115">
        <f>IFERROR(VLOOKUP($B28,MMWR_TRAD_AGG_STATE_COMP[],Q$1,0),"ERROR")</f>
        <v>849</v>
      </c>
      <c r="R28" s="115">
        <f>IFERROR(VLOOKUP($B28,MMWR_TRAD_AGG_STATE_COMP[],R$1,0),"ERROR")</f>
        <v>199</v>
      </c>
      <c r="S28" s="115">
        <f>IFERROR(VLOOKUP($B28,MMWR_APP_STATE_COMP[],S$1,0),"ERROR")</f>
        <v>5616</v>
      </c>
      <c r="T28" s="28"/>
    </row>
    <row r="29" spans="1:20" s="123" customFormat="1" x14ac:dyDescent="0.2">
      <c r="A29" s="107"/>
      <c r="B29" s="127" t="s">
        <v>402</v>
      </c>
      <c r="C29" s="109">
        <f>IFERROR(VLOOKUP($B29,MMWR_TRAD_AGG_STATE_COMP[],C$1,0),"ERROR")</f>
        <v>1592</v>
      </c>
      <c r="D29" s="110">
        <f>IFERROR(VLOOKUP($B29,MMWR_TRAD_AGG_STATE_COMP[],D$1,0),"ERROR")</f>
        <v>185.39384422110001</v>
      </c>
      <c r="E29" s="111">
        <f>IFERROR(VLOOKUP($B29,MMWR_TRAD_AGG_STATE_COMP[],E$1,0),"ERROR")</f>
        <v>4281</v>
      </c>
      <c r="F29" s="112">
        <f>IFERROR(VLOOKUP($B29,MMWR_TRAD_AGG_STATE_COMP[],F$1,0),"ERROR")</f>
        <v>812</v>
      </c>
      <c r="G29" s="113">
        <f t="shared" si="0"/>
        <v>0.1896753095071245</v>
      </c>
      <c r="H29" s="111">
        <f>IFERROR(VLOOKUP($B29,MMWR_TRAD_AGG_STATE_COMP[],H$1,0),"ERROR")</f>
        <v>2820</v>
      </c>
      <c r="I29" s="112">
        <f>IFERROR(VLOOKUP($B29,MMWR_TRAD_AGG_STATE_COMP[],I$1,0),"ERROR")</f>
        <v>1130</v>
      </c>
      <c r="J29" s="114">
        <f t="shared" si="1"/>
        <v>0.40070921985815605</v>
      </c>
      <c r="K29" s="111">
        <f>IFERROR(VLOOKUP($B29,MMWR_TRAD_AGG_STATE_COMP[],K$1,0),"ERROR")</f>
        <v>755</v>
      </c>
      <c r="L29" s="112">
        <f>IFERROR(VLOOKUP($B29,MMWR_TRAD_AGG_STATE_COMP[],L$1,0),"ERROR")</f>
        <v>310</v>
      </c>
      <c r="M29" s="114">
        <f t="shared" si="2"/>
        <v>0.41059602649006621</v>
      </c>
      <c r="N29" s="111">
        <f>IFERROR(VLOOKUP($B29,MMWR_TRAD_AGG_STATE_COMP[],N$1,0),"ERROR")</f>
        <v>1122</v>
      </c>
      <c r="O29" s="112">
        <f>IFERROR(VLOOKUP($B29,MMWR_TRAD_AGG_STATE_COMP[],O$1,0),"ERROR")</f>
        <v>677</v>
      </c>
      <c r="P29" s="114">
        <f t="shared" si="3"/>
        <v>0.60338680926916222</v>
      </c>
      <c r="Q29" s="115">
        <f>IFERROR(VLOOKUP($B29,MMWR_TRAD_AGG_STATE_COMP[],Q$1,0),"ERROR")</f>
        <v>6</v>
      </c>
      <c r="R29" s="115">
        <f>IFERROR(VLOOKUP($B29,MMWR_TRAD_AGG_STATE_COMP[],R$1,0),"ERROR")</f>
        <v>4</v>
      </c>
      <c r="S29" s="115">
        <f>IFERROR(VLOOKUP($B29,MMWR_APP_STATE_COMP[],S$1,0),"ERROR")</f>
        <v>2174</v>
      </c>
      <c r="T29" s="28"/>
    </row>
    <row r="30" spans="1:20" s="123" customFormat="1" x14ac:dyDescent="0.2">
      <c r="A30" s="107"/>
      <c r="B30" s="127" t="s">
        <v>398</v>
      </c>
      <c r="C30" s="109">
        <f>IFERROR(VLOOKUP($B30,MMWR_TRAD_AGG_STATE_COMP[],C$1,0),"ERROR")</f>
        <v>4773</v>
      </c>
      <c r="D30" s="110">
        <f>IFERROR(VLOOKUP($B30,MMWR_TRAD_AGG_STATE_COMP[],D$1,0),"ERROR")</f>
        <v>256.84202807460002</v>
      </c>
      <c r="E30" s="111">
        <f>IFERROR(VLOOKUP($B30,MMWR_TRAD_AGG_STATE_COMP[],E$1,0),"ERROR")</f>
        <v>6196</v>
      </c>
      <c r="F30" s="112">
        <f>IFERROR(VLOOKUP($B30,MMWR_TRAD_AGG_STATE_COMP[],F$1,0),"ERROR")</f>
        <v>1426</v>
      </c>
      <c r="G30" s="113">
        <f t="shared" si="0"/>
        <v>0.23014848289218851</v>
      </c>
      <c r="H30" s="111">
        <f>IFERROR(VLOOKUP($B30,MMWR_TRAD_AGG_STATE_COMP[],H$1,0),"ERROR")</f>
        <v>7058</v>
      </c>
      <c r="I30" s="112">
        <f>IFERROR(VLOOKUP($B30,MMWR_TRAD_AGG_STATE_COMP[],I$1,0),"ERROR")</f>
        <v>4016</v>
      </c>
      <c r="J30" s="114">
        <f t="shared" si="1"/>
        <v>0.56899971663360727</v>
      </c>
      <c r="K30" s="111">
        <f>IFERROR(VLOOKUP($B30,MMWR_TRAD_AGG_STATE_COMP[],K$1,0),"ERROR")</f>
        <v>2299</v>
      </c>
      <c r="L30" s="112">
        <f>IFERROR(VLOOKUP($B30,MMWR_TRAD_AGG_STATE_COMP[],L$1,0),"ERROR")</f>
        <v>1965</v>
      </c>
      <c r="M30" s="114">
        <f t="shared" si="2"/>
        <v>0.85471944323618965</v>
      </c>
      <c r="N30" s="111">
        <f>IFERROR(VLOOKUP($B30,MMWR_TRAD_AGG_STATE_COMP[],N$1,0),"ERROR")</f>
        <v>6816</v>
      </c>
      <c r="O30" s="112">
        <f>IFERROR(VLOOKUP($B30,MMWR_TRAD_AGG_STATE_COMP[],O$1,0),"ERROR")</f>
        <v>5084</v>
      </c>
      <c r="P30" s="114">
        <f t="shared" si="3"/>
        <v>0.74589201877934275</v>
      </c>
      <c r="Q30" s="115">
        <f>IFERROR(VLOOKUP($B30,MMWR_TRAD_AGG_STATE_COMP[],Q$1,0),"ERROR")</f>
        <v>753</v>
      </c>
      <c r="R30" s="115">
        <f>IFERROR(VLOOKUP($B30,MMWR_TRAD_AGG_STATE_COMP[],R$1,0),"ERROR")</f>
        <v>55</v>
      </c>
      <c r="S30" s="115">
        <f>IFERROR(VLOOKUP($B30,MMWR_APP_STATE_COMP[],S$1,0),"ERROR")</f>
        <v>6636</v>
      </c>
      <c r="T30" s="28"/>
    </row>
    <row r="31" spans="1:20" s="123" customFormat="1" x14ac:dyDescent="0.2">
      <c r="A31" s="107"/>
      <c r="B31" s="127" t="s">
        <v>401</v>
      </c>
      <c r="C31" s="109">
        <f>IFERROR(VLOOKUP($B31,MMWR_TRAD_AGG_STATE_COMP[],C$1,0),"ERROR")</f>
        <v>1157</v>
      </c>
      <c r="D31" s="110">
        <f>IFERROR(VLOOKUP($B31,MMWR_TRAD_AGG_STATE_COMP[],D$1,0),"ERROR")</f>
        <v>223.14261019880001</v>
      </c>
      <c r="E31" s="111">
        <f>IFERROR(VLOOKUP($B31,MMWR_TRAD_AGG_STATE_COMP[],E$1,0),"ERROR")</f>
        <v>2257</v>
      </c>
      <c r="F31" s="112">
        <f>IFERROR(VLOOKUP($B31,MMWR_TRAD_AGG_STATE_COMP[],F$1,0),"ERROR")</f>
        <v>350</v>
      </c>
      <c r="G31" s="113">
        <f t="shared" si="0"/>
        <v>0.15507310589277803</v>
      </c>
      <c r="H31" s="111">
        <f>IFERROR(VLOOKUP($B31,MMWR_TRAD_AGG_STATE_COMP[],H$1,0),"ERROR")</f>
        <v>1989</v>
      </c>
      <c r="I31" s="112">
        <f>IFERROR(VLOOKUP($B31,MMWR_TRAD_AGG_STATE_COMP[],I$1,0),"ERROR")</f>
        <v>1017</v>
      </c>
      <c r="J31" s="114">
        <f t="shared" si="1"/>
        <v>0.5113122171945701</v>
      </c>
      <c r="K31" s="111">
        <f>IFERROR(VLOOKUP($B31,MMWR_TRAD_AGG_STATE_COMP[],K$1,0),"ERROR")</f>
        <v>798</v>
      </c>
      <c r="L31" s="112">
        <f>IFERROR(VLOOKUP($B31,MMWR_TRAD_AGG_STATE_COMP[],L$1,0),"ERROR")</f>
        <v>595</v>
      </c>
      <c r="M31" s="114">
        <f t="shared" si="2"/>
        <v>0.74561403508771928</v>
      </c>
      <c r="N31" s="111">
        <f>IFERROR(VLOOKUP($B31,MMWR_TRAD_AGG_STATE_COMP[],N$1,0),"ERROR")</f>
        <v>594</v>
      </c>
      <c r="O31" s="112">
        <f>IFERROR(VLOOKUP($B31,MMWR_TRAD_AGG_STATE_COMP[],O$1,0),"ERROR")</f>
        <v>336</v>
      </c>
      <c r="P31" s="114">
        <f t="shared" si="3"/>
        <v>0.56565656565656564</v>
      </c>
      <c r="Q31" s="115">
        <f>IFERROR(VLOOKUP($B31,MMWR_TRAD_AGG_STATE_COMP[],Q$1,0),"ERROR")</f>
        <v>2</v>
      </c>
      <c r="R31" s="115">
        <f>IFERROR(VLOOKUP($B31,MMWR_TRAD_AGG_STATE_COMP[],R$1,0),"ERROR")</f>
        <v>13</v>
      </c>
      <c r="S31" s="115">
        <f>IFERROR(VLOOKUP($B31,MMWR_APP_STATE_COMP[],S$1,0),"ERROR")</f>
        <v>1114</v>
      </c>
      <c r="T31" s="28"/>
    </row>
    <row r="32" spans="1:20" s="123" customFormat="1" x14ac:dyDescent="0.2">
      <c r="A32" s="107"/>
      <c r="B32" s="127" t="s">
        <v>420</v>
      </c>
      <c r="C32" s="109">
        <f>IFERROR(VLOOKUP($B32,MMWR_TRAD_AGG_STATE_COMP[],C$1,0),"ERROR")</f>
        <v>153</v>
      </c>
      <c r="D32" s="110">
        <f>IFERROR(VLOOKUP($B32,MMWR_TRAD_AGG_STATE_COMP[],D$1,0),"ERROR")</f>
        <v>266.4640522876</v>
      </c>
      <c r="E32" s="111">
        <f>IFERROR(VLOOKUP($B32,MMWR_TRAD_AGG_STATE_COMP[],E$1,0),"ERROR")</f>
        <v>653</v>
      </c>
      <c r="F32" s="112">
        <f>IFERROR(VLOOKUP($B32,MMWR_TRAD_AGG_STATE_COMP[],F$1,0),"ERROR")</f>
        <v>126</v>
      </c>
      <c r="G32" s="113">
        <f t="shared" si="0"/>
        <v>0.19295558958652373</v>
      </c>
      <c r="H32" s="111">
        <f>IFERROR(VLOOKUP($B32,MMWR_TRAD_AGG_STATE_COMP[],H$1,0),"ERROR")</f>
        <v>321</v>
      </c>
      <c r="I32" s="112">
        <f>IFERROR(VLOOKUP($B32,MMWR_TRAD_AGG_STATE_COMP[],I$1,0),"ERROR")</f>
        <v>135</v>
      </c>
      <c r="J32" s="114">
        <f t="shared" si="1"/>
        <v>0.42056074766355139</v>
      </c>
      <c r="K32" s="111">
        <f>IFERROR(VLOOKUP($B32,MMWR_TRAD_AGG_STATE_COMP[],K$1,0),"ERROR")</f>
        <v>115</v>
      </c>
      <c r="L32" s="112">
        <f>IFERROR(VLOOKUP($B32,MMWR_TRAD_AGG_STATE_COMP[],L$1,0),"ERROR")</f>
        <v>62</v>
      </c>
      <c r="M32" s="114">
        <f t="shared" si="2"/>
        <v>0.53913043478260869</v>
      </c>
      <c r="N32" s="111">
        <f>IFERROR(VLOOKUP($B32,MMWR_TRAD_AGG_STATE_COMP[],N$1,0),"ERROR")</f>
        <v>152</v>
      </c>
      <c r="O32" s="112">
        <f>IFERROR(VLOOKUP($B32,MMWR_TRAD_AGG_STATE_COMP[],O$1,0),"ERROR")</f>
        <v>95</v>
      </c>
      <c r="P32" s="114">
        <f t="shared" si="3"/>
        <v>0.625</v>
      </c>
      <c r="Q32" s="115">
        <f>IFERROR(VLOOKUP($B32,MMWR_TRAD_AGG_STATE_COMP[],Q$1,0),"ERROR")</f>
        <v>2</v>
      </c>
      <c r="R32" s="115">
        <f>IFERROR(VLOOKUP($B32,MMWR_TRAD_AGG_STATE_COMP[],R$1,0),"ERROR")</f>
        <v>0</v>
      </c>
      <c r="S32" s="115">
        <f>IFERROR(VLOOKUP($B32,MMWR_APP_STATE_COMP[],S$1,0),"ERROR")</f>
        <v>487</v>
      </c>
      <c r="T32" s="28"/>
    </row>
    <row r="33" spans="1:20" s="123" customFormat="1" x14ac:dyDescent="0.2">
      <c r="A33" s="107"/>
      <c r="B33" s="127" t="s">
        <v>392</v>
      </c>
      <c r="C33" s="109">
        <f>IFERROR(VLOOKUP($B33,MMWR_TRAD_AGG_STATE_COMP[],C$1,0),"ERROR")</f>
        <v>5907</v>
      </c>
      <c r="D33" s="110">
        <f>IFERROR(VLOOKUP($B33,MMWR_TRAD_AGG_STATE_COMP[],D$1,0),"ERROR")</f>
        <v>431.2175385136</v>
      </c>
      <c r="E33" s="111">
        <f>IFERROR(VLOOKUP($B33,MMWR_TRAD_AGG_STATE_COMP[],E$1,0),"ERROR")</f>
        <v>8011</v>
      </c>
      <c r="F33" s="112">
        <f>IFERROR(VLOOKUP($B33,MMWR_TRAD_AGG_STATE_COMP[],F$1,0),"ERROR")</f>
        <v>2042</v>
      </c>
      <c r="G33" s="113">
        <f t="shared" si="0"/>
        <v>0.25489951316939208</v>
      </c>
      <c r="H33" s="111">
        <f>IFERROR(VLOOKUP($B33,MMWR_TRAD_AGG_STATE_COMP[],H$1,0),"ERROR")</f>
        <v>10375</v>
      </c>
      <c r="I33" s="112">
        <f>IFERROR(VLOOKUP($B33,MMWR_TRAD_AGG_STATE_COMP[],I$1,0),"ERROR")</f>
        <v>6119</v>
      </c>
      <c r="J33" s="114">
        <f t="shared" si="1"/>
        <v>0.58978313253012049</v>
      </c>
      <c r="K33" s="111">
        <f>IFERROR(VLOOKUP($B33,MMWR_TRAD_AGG_STATE_COMP[],K$1,0),"ERROR")</f>
        <v>1907</v>
      </c>
      <c r="L33" s="112">
        <f>IFERROR(VLOOKUP($B33,MMWR_TRAD_AGG_STATE_COMP[],L$1,0),"ERROR")</f>
        <v>1618</v>
      </c>
      <c r="M33" s="114">
        <f t="shared" si="2"/>
        <v>0.84845306764551653</v>
      </c>
      <c r="N33" s="111">
        <f>IFERROR(VLOOKUP($B33,MMWR_TRAD_AGG_STATE_COMP[],N$1,0),"ERROR")</f>
        <v>3868</v>
      </c>
      <c r="O33" s="112">
        <f>IFERROR(VLOOKUP($B33,MMWR_TRAD_AGG_STATE_COMP[],O$1,0),"ERROR")</f>
        <v>2597</v>
      </c>
      <c r="P33" s="114">
        <f t="shared" si="3"/>
        <v>0.67140641158221304</v>
      </c>
      <c r="Q33" s="115">
        <f>IFERROR(VLOOKUP($B33,MMWR_TRAD_AGG_STATE_COMP[],Q$1,0),"ERROR")</f>
        <v>883</v>
      </c>
      <c r="R33" s="115">
        <f>IFERROR(VLOOKUP($B33,MMWR_TRAD_AGG_STATE_COMP[],R$1,0),"ERROR")</f>
        <v>325</v>
      </c>
      <c r="S33" s="115">
        <f>IFERROR(VLOOKUP($B33,MMWR_APP_STATE_COMP[],S$1,0),"ERROR")</f>
        <v>13427</v>
      </c>
      <c r="T33" s="28"/>
    </row>
    <row r="34" spans="1:20" s="123" customFormat="1" x14ac:dyDescent="0.2">
      <c r="A34" s="107"/>
      <c r="B34" s="127" t="s">
        <v>421</v>
      </c>
      <c r="C34" s="109">
        <f>IFERROR(VLOOKUP($B34,MMWR_TRAD_AGG_STATE_COMP[],C$1,0),"ERROR")</f>
        <v>375</v>
      </c>
      <c r="D34" s="110">
        <f>IFERROR(VLOOKUP($B34,MMWR_TRAD_AGG_STATE_COMP[],D$1,0),"ERROR")</f>
        <v>258.34933333330002</v>
      </c>
      <c r="E34" s="111">
        <f>IFERROR(VLOOKUP($B34,MMWR_TRAD_AGG_STATE_COMP[],E$1,0),"ERROR")</f>
        <v>954</v>
      </c>
      <c r="F34" s="112">
        <f>IFERROR(VLOOKUP($B34,MMWR_TRAD_AGG_STATE_COMP[],F$1,0),"ERROR")</f>
        <v>205</v>
      </c>
      <c r="G34" s="113">
        <f t="shared" si="0"/>
        <v>0.21488469601677149</v>
      </c>
      <c r="H34" s="111">
        <f>IFERROR(VLOOKUP($B34,MMWR_TRAD_AGG_STATE_COMP[],H$1,0),"ERROR")</f>
        <v>621</v>
      </c>
      <c r="I34" s="112">
        <f>IFERROR(VLOOKUP($B34,MMWR_TRAD_AGG_STATE_COMP[],I$1,0),"ERROR")</f>
        <v>264</v>
      </c>
      <c r="J34" s="114">
        <f t="shared" si="1"/>
        <v>0.4251207729468599</v>
      </c>
      <c r="K34" s="111">
        <f>IFERROR(VLOOKUP($B34,MMWR_TRAD_AGG_STATE_COMP[],K$1,0),"ERROR")</f>
        <v>310</v>
      </c>
      <c r="L34" s="112">
        <f>IFERROR(VLOOKUP($B34,MMWR_TRAD_AGG_STATE_COMP[],L$1,0),"ERROR")</f>
        <v>122</v>
      </c>
      <c r="M34" s="114">
        <f t="shared" si="2"/>
        <v>0.3935483870967742</v>
      </c>
      <c r="N34" s="111">
        <f>IFERROR(VLOOKUP($B34,MMWR_TRAD_AGG_STATE_COMP[],N$1,0),"ERROR")</f>
        <v>126</v>
      </c>
      <c r="O34" s="112">
        <f>IFERROR(VLOOKUP($B34,MMWR_TRAD_AGG_STATE_COMP[],O$1,0),"ERROR")</f>
        <v>74</v>
      </c>
      <c r="P34" s="114">
        <f t="shared" si="3"/>
        <v>0.58730158730158732</v>
      </c>
      <c r="Q34" s="115">
        <f>IFERROR(VLOOKUP($B34,MMWR_TRAD_AGG_STATE_COMP[],Q$1,0),"ERROR")</f>
        <v>1</v>
      </c>
      <c r="R34" s="115">
        <f>IFERROR(VLOOKUP($B34,MMWR_TRAD_AGG_STATE_COMP[],R$1,0),"ERROR")</f>
        <v>1</v>
      </c>
      <c r="S34" s="115">
        <f>IFERROR(VLOOKUP($B34,MMWR_APP_STATE_COMP[],S$1,0),"ERROR")</f>
        <v>193</v>
      </c>
      <c r="T34" s="28"/>
    </row>
    <row r="35" spans="1:20" s="123" customFormat="1" x14ac:dyDescent="0.2">
      <c r="A35" s="107"/>
      <c r="B35" s="127" t="s">
        <v>397</v>
      </c>
      <c r="C35" s="109">
        <f>IFERROR(VLOOKUP($B35,MMWR_TRAD_AGG_STATE_COMP[],C$1,0),"ERROR")</f>
        <v>3655</v>
      </c>
      <c r="D35" s="110">
        <f>IFERROR(VLOOKUP($B35,MMWR_TRAD_AGG_STATE_COMP[],D$1,0),"ERROR")</f>
        <v>266.47140902870001</v>
      </c>
      <c r="E35" s="111">
        <f>IFERROR(VLOOKUP($B35,MMWR_TRAD_AGG_STATE_COMP[],E$1,0),"ERROR")</f>
        <v>3742</v>
      </c>
      <c r="F35" s="112">
        <f>IFERROR(VLOOKUP($B35,MMWR_TRAD_AGG_STATE_COMP[],F$1,0),"ERROR")</f>
        <v>760</v>
      </c>
      <c r="G35" s="113">
        <f t="shared" si="0"/>
        <v>0.20309994655264565</v>
      </c>
      <c r="H35" s="111">
        <f>IFERROR(VLOOKUP($B35,MMWR_TRAD_AGG_STATE_COMP[],H$1,0),"ERROR")</f>
        <v>5461</v>
      </c>
      <c r="I35" s="112">
        <f>IFERROR(VLOOKUP($B35,MMWR_TRAD_AGG_STATE_COMP[],I$1,0),"ERROR")</f>
        <v>3274</v>
      </c>
      <c r="J35" s="114">
        <f t="shared" si="1"/>
        <v>0.59952389672221207</v>
      </c>
      <c r="K35" s="111">
        <f>IFERROR(VLOOKUP($B35,MMWR_TRAD_AGG_STATE_COMP[],K$1,0),"ERROR")</f>
        <v>687</v>
      </c>
      <c r="L35" s="112">
        <f>IFERROR(VLOOKUP($B35,MMWR_TRAD_AGG_STATE_COMP[],L$1,0),"ERROR")</f>
        <v>536</v>
      </c>
      <c r="M35" s="114">
        <f t="shared" si="2"/>
        <v>0.7802037845705968</v>
      </c>
      <c r="N35" s="111">
        <f>IFERROR(VLOOKUP($B35,MMWR_TRAD_AGG_STATE_COMP[],N$1,0),"ERROR")</f>
        <v>976</v>
      </c>
      <c r="O35" s="112">
        <f>IFERROR(VLOOKUP($B35,MMWR_TRAD_AGG_STATE_COMP[],O$1,0),"ERROR")</f>
        <v>538</v>
      </c>
      <c r="P35" s="114">
        <f t="shared" si="3"/>
        <v>0.55122950819672134</v>
      </c>
      <c r="Q35" s="115">
        <f>IFERROR(VLOOKUP($B35,MMWR_TRAD_AGG_STATE_COMP[],Q$1,0),"ERROR")</f>
        <v>436</v>
      </c>
      <c r="R35" s="115">
        <f>IFERROR(VLOOKUP($B35,MMWR_TRAD_AGG_STATE_COMP[],R$1,0),"ERROR")</f>
        <v>6</v>
      </c>
      <c r="S35" s="115">
        <f>IFERROR(VLOOKUP($B35,MMWR_APP_STATE_COMP[],S$1,0),"ERROR")</f>
        <v>3329</v>
      </c>
      <c r="T35" s="28"/>
    </row>
    <row r="36" spans="1:20" s="123" customFormat="1" x14ac:dyDescent="0.2">
      <c r="A36" s="28"/>
      <c r="B36" s="126" t="s">
        <v>386</v>
      </c>
      <c r="C36" s="102">
        <f>IF(SUM(C37:C45)&lt;&gt;VLOOKUP($B36,MMWR_TRAD_AGG_ST_DISTRICT_COMP[],C$1,0),"ERROR",
VLOOKUP($B36,MMWR_TRAD_AGG_ST_DISTRICT_COMP[],C$1,0))</f>
        <v>53989</v>
      </c>
      <c r="D36" s="103">
        <f>IFERROR(VLOOKUP($B36,MMWR_TRAD_AGG_ST_DISTRICT_COMP[],D$1,0),"ERROR")</f>
        <v>374.03350682550001</v>
      </c>
      <c r="E36" s="102">
        <f>IFERROR(VLOOKUP($B36,MMWR_TRAD_AGG_ST_DISTRICT_COMP[],E$1,0),"ERROR")</f>
        <v>65642</v>
      </c>
      <c r="F36" s="102">
        <f>IFERROR(VLOOKUP($B36,MMWR_TRAD_AGG_ST_DISTRICT_COMP[],F$1,0),"ERROR")</f>
        <v>15618</v>
      </c>
      <c r="G36" s="104">
        <f t="shared" si="0"/>
        <v>0.23792693702202858</v>
      </c>
      <c r="H36" s="102">
        <f>IFERROR(VLOOKUP($B36,MMWR_TRAD_AGG_ST_DISTRICT_COMP[],H$1,0),"ERROR")</f>
        <v>76327</v>
      </c>
      <c r="I36" s="102">
        <f>IFERROR(VLOOKUP($B36,MMWR_TRAD_AGG_ST_DISTRICT_COMP[],I$1,0),"ERROR")</f>
        <v>50599</v>
      </c>
      <c r="J36" s="105">
        <f t="shared" si="1"/>
        <v>0.66292399806097446</v>
      </c>
      <c r="K36" s="102">
        <f>IFERROR(VLOOKUP($B36,MMWR_TRAD_AGG_ST_DISTRICT_COMP[],K$1,0),"ERROR")</f>
        <v>18607</v>
      </c>
      <c r="L36" s="102">
        <f>IFERROR(VLOOKUP($B36,MMWR_TRAD_AGG_ST_DISTRICT_COMP[],L$1,0),"ERROR")</f>
        <v>14010</v>
      </c>
      <c r="M36" s="105">
        <f t="shared" si="2"/>
        <v>0.75294244101682162</v>
      </c>
      <c r="N36" s="102">
        <f>IFERROR(VLOOKUP($B36,MMWR_TRAD_AGG_ST_DISTRICT_COMP[],N$1,0),"ERROR")</f>
        <v>27835</v>
      </c>
      <c r="O36" s="102">
        <f>IFERROR(VLOOKUP($B36,MMWR_TRAD_AGG_ST_DISTRICT_COMP[],O$1,0),"ERROR")</f>
        <v>16169</v>
      </c>
      <c r="P36" s="105">
        <f t="shared" si="3"/>
        <v>0.58088737201365193</v>
      </c>
      <c r="Q36" s="102">
        <f>IFERROR(VLOOKUP($B36,MMWR_TRAD_AGG_ST_DISTRICT_COMP[],Q$1,0),"ERROR")</f>
        <v>965</v>
      </c>
      <c r="R36" s="106">
        <f>IFERROR(VLOOKUP($B36,MMWR_TRAD_AGG_ST_DISTRICT_COMP[],R$1,0),"ERROR")</f>
        <v>1078</v>
      </c>
      <c r="S36" s="106">
        <f>SUM(S37:S45)</f>
        <v>70279</v>
      </c>
      <c r="T36" s="28"/>
    </row>
    <row r="37" spans="1:20" s="123" customFormat="1" x14ac:dyDescent="0.2">
      <c r="A37" s="28"/>
      <c r="B37" s="127" t="s">
        <v>412</v>
      </c>
      <c r="C37" s="109">
        <f>IFERROR(VLOOKUP($B37,MMWR_TRAD_AGG_STATE_COMP[],C$1,0),"ERROR")</f>
        <v>3894</v>
      </c>
      <c r="D37" s="110">
        <f>IFERROR(VLOOKUP($B37,MMWR_TRAD_AGG_STATE_COMP[],D$1,0),"ERROR")</f>
        <v>359.1951720596</v>
      </c>
      <c r="E37" s="111">
        <f>IFERROR(VLOOKUP($B37,MMWR_TRAD_AGG_STATE_COMP[],E$1,0),"ERROR")</f>
        <v>3553</v>
      </c>
      <c r="F37" s="112">
        <f>IFERROR(VLOOKUP($B37,MMWR_TRAD_AGG_STATE_COMP[],F$1,0),"ERROR")</f>
        <v>657</v>
      </c>
      <c r="G37" s="113">
        <f t="shared" si="0"/>
        <v>0.18491415705037997</v>
      </c>
      <c r="H37" s="111">
        <f>IFERROR(VLOOKUP($B37,MMWR_TRAD_AGG_STATE_COMP[],H$1,0),"ERROR")</f>
        <v>5452</v>
      </c>
      <c r="I37" s="112">
        <f>IFERROR(VLOOKUP($B37,MMWR_TRAD_AGG_STATE_COMP[],I$1,0),"ERROR")</f>
        <v>3556</v>
      </c>
      <c r="J37" s="114">
        <f t="shared" si="1"/>
        <v>0.65223771093176819</v>
      </c>
      <c r="K37" s="111">
        <f>IFERROR(VLOOKUP($B37,MMWR_TRAD_AGG_STATE_COMP[],K$1,0),"ERROR")</f>
        <v>1876</v>
      </c>
      <c r="L37" s="112">
        <f>IFERROR(VLOOKUP($B37,MMWR_TRAD_AGG_STATE_COMP[],L$1,0),"ERROR")</f>
        <v>1582</v>
      </c>
      <c r="M37" s="114">
        <f t="shared" si="2"/>
        <v>0.84328358208955223</v>
      </c>
      <c r="N37" s="111">
        <f>IFERROR(VLOOKUP($B37,MMWR_TRAD_AGG_STATE_COMP[],N$1,0),"ERROR")</f>
        <v>2333</v>
      </c>
      <c r="O37" s="112">
        <f>IFERROR(VLOOKUP($B37,MMWR_TRAD_AGG_STATE_COMP[],O$1,0),"ERROR")</f>
        <v>1402</v>
      </c>
      <c r="P37" s="114">
        <f t="shared" si="3"/>
        <v>0.60094299185597944</v>
      </c>
      <c r="Q37" s="115">
        <f>IFERROR(VLOOKUP($B37,MMWR_TRAD_AGG_STATE_COMP[],Q$1,0),"ERROR")</f>
        <v>342</v>
      </c>
      <c r="R37" s="115">
        <f>IFERROR(VLOOKUP($B37,MMWR_TRAD_AGG_STATE_COMP[],R$1,0),"ERROR")</f>
        <v>100</v>
      </c>
      <c r="S37" s="115">
        <f>IFERROR(VLOOKUP($B37,MMWR_APP_STATE_COMP[],S$1,0),"ERROR")</f>
        <v>5336</v>
      </c>
      <c r="T37" s="28"/>
    </row>
    <row r="38" spans="1:20" s="123" customFormat="1" x14ac:dyDescent="0.2">
      <c r="A38" s="28"/>
      <c r="B38" s="127" t="s">
        <v>404</v>
      </c>
      <c r="C38" s="109">
        <f>IFERROR(VLOOKUP($B38,MMWR_TRAD_AGG_STATE_COMP[],C$1,0),"ERROR")</f>
        <v>7431</v>
      </c>
      <c r="D38" s="110">
        <f>IFERROR(VLOOKUP($B38,MMWR_TRAD_AGG_STATE_COMP[],D$1,0),"ERROR")</f>
        <v>444.7713632082</v>
      </c>
      <c r="E38" s="111">
        <f>IFERROR(VLOOKUP($B38,MMWR_TRAD_AGG_STATE_COMP[],E$1,0),"ERROR")</f>
        <v>6885</v>
      </c>
      <c r="F38" s="112">
        <f>IFERROR(VLOOKUP($B38,MMWR_TRAD_AGG_STATE_COMP[],F$1,0),"ERROR")</f>
        <v>1836</v>
      </c>
      <c r="G38" s="113">
        <f t="shared" ref="G38:G64" si="4">IFERROR(F38/E38,"0%")</f>
        <v>0.26666666666666666</v>
      </c>
      <c r="H38" s="111">
        <f>IFERROR(VLOOKUP($B38,MMWR_TRAD_AGG_STATE_COMP[],H$1,0),"ERROR")</f>
        <v>10639</v>
      </c>
      <c r="I38" s="112">
        <f>IFERROR(VLOOKUP($B38,MMWR_TRAD_AGG_STATE_COMP[],I$1,0),"ERROR")</f>
        <v>7470</v>
      </c>
      <c r="J38" s="114">
        <f t="shared" ref="J38:J64" si="5">IFERROR(I38/H38,"0%")</f>
        <v>0.70213365917849424</v>
      </c>
      <c r="K38" s="111">
        <f>IFERROR(VLOOKUP($B38,MMWR_TRAD_AGG_STATE_COMP[],K$1,0),"ERROR")</f>
        <v>3226</v>
      </c>
      <c r="L38" s="112">
        <f>IFERROR(VLOOKUP($B38,MMWR_TRAD_AGG_STATE_COMP[],L$1,0),"ERROR")</f>
        <v>2585</v>
      </c>
      <c r="M38" s="114">
        <f t="shared" ref="M38:M64" si="6">IFERROR(L38/K38,"0%")</f>
        <v>0.80130192188468696</v>
      </c>
      <c r="N38" s="111">
        <f>IFERROR(VLOOKUP($B38,MMWR_TRAD_AGG_STATE_COMP[],N$1,0),"ERROR")</f>
        <v>1770</v>
      </c>
      <c r="O38" s="112">
        <f>IFERROR(VLOOKUP($B38,MMWR_TRAD_AGG_STATE_COMP[],O$1,0),"ERROR")</f>
        <v>1023</v>
      </c>
      <c r="P38" s="114">
        <f t="shared" ref="P38:P64" si="7">IFERROR(O38/N38,"0%")</f>
        <v>0.57796610169491525</v>
      </c>
      <c r="Q38" s="115">
        <f>IFERROR(VLOOKUP($B38,MMWR_TRAD_AGG_STATE_COMP[],Q$1,0),"ERROR")</f>
        <v>9</v>
      </c>
      <c r="R38" s="115">
        <f>IFERROR(VLOOKUP($B38,MMWR_TRAD_AGG_STATE_COMP[],R$1,0),"ERROR")</f>
        <v>56</v>
      </c>
      <c r="S38" s="115">
        <f>IFERROR(VLOOKUP($B38,MMWR_APP_STATE_COMP[],S$1,0),"ERROR")</f>
        <v>6522</v>
      </c>
      <c r="T38" s="28"/>
    </row>
    <row r="39" spans="1:20" s="123" customFormat="1" x14ac:dyDescent="0.2">
      <c r="A39" s="28"/>
      <c r="B39" s="127" t="s">
        <v>388</v>
      </c>
      <c r="C39" s="109">
        <f>IFERROR(VLOOKUP($B39,MMWR_TRAD_AGG_STATE_COMP[],C$1,0),"ERROR")</f>
        <v>4760</v>
      </c>
      <c r="D39" s="110">
        <f>IFERROR(VLOOKUP($B39,MMWR_TRAD_AGG_STATE_COMP[],D$1,0),"ERROR")</f>
        <v>435.17899159659999</v>
      </c>
      <c r="E39" s="111">
        <f>IFERROR(VLOOKUP($B39,MMWR_TRAD_AGG_STATE_COMP[],E$1,0),"ERROR")</f>
        <v>5892</v>
      </c>
      <c r="F39" s="112">
        <f>IFERROR(VLOOKUP($B39,MMWR_TRAD_AGG_STATE_COMP[],F$1,0),"ERROR")</f>
        <v>1527</v>
      </c>
      <c r="G39" s="113">
        <f t="shared" si="4"/>
        <v>0.25916496945010181</v>
      </c>
      <c r="H39" s="111">
        <f>IFERROR(VLOOKUP($B39,MMWR_TRAD_AGG_STATE_COMP[],H$1,0),"ERROR")</f>
        <v>7398</v>
      </c>
      <c r="I39" s="112">
        <f>IFERROR(VLOOKUP($B39,MMWR_TRAD_AGG_STATE_COMP[],I$1,0),"ERROR")</f>
        <v>4856</v>
      </c>
      <c r="J39" s="114">
        <f t="shared" si="5"/>
        <v>0.65639361989726952</v>
      </c>
      <c r="K39" s="111">
        <f>IFERROR(VLOOKUP($B39,MMWR_TRAD_AGG_STATE_COMP[],K$1,0),"ERROR")</f>
        <v>1730</v>
      </c>
      <c r="L39" s="112">
        <f>IFERROR(VLOOKUP($B39,MMWR_TRAD_AGG_STATE_COMP[],L$1,0),"ERROR")</f>
        <v>1329</v>
      </c>
      <c r="M39" s="114">
        <f t="shared" si="6"/>
        <v>0.76820809248554911</v>
      </c>
      <c r="N39" s="111">
        <f>IFERROR(VLOOKUP($B39,MMWR_TRAD_AGG_STATE_COMP[],N$1,0),"ERROR")</f>
        <v>2290</v>
      </c>
      <c r="O39" s="112">
        <f>IFERROR(VLOOKUP($B39,MMWR_TRAD_AGG_STATE_COMP[],O$1,0),"ERROR")</f>
        <v>1537</v>
      </c>
      <c r="P39" s="114">
        <f t="shared" si="7"/>
        <v>0.67117903930131007</v>
      </c>
      <c r="Q39" s="115">
        <f>IFERROR(VLOOKUP($B39,MMWR_TRAD_AGG_STATE_COMP[],Q$1,0),"ERROR")</f>
        <v>251</v>
      </c>
      <c r="R39" s="115">
        <f>IFERROR(VLOOKUP($B39,MMWR_TRAD_AGG_STATE_COMP[],R$1,0),"ERROR")</f>
        <v>257</v>
      </c>
      <c r="S39" s="115">
        <f>IFERROR(VLOOKUP($B39,MMWR_APP_STATE_COMP[],S$1,0),"ERROR")</f>
        <v>5995</v>
      </c>
      <c r="T39" s="28"/>
    </row>
    <row r="40" spans="1:20" s="123" customFormat="1" x14ac:dyDescent="0.2">
      <c r="A40" s="28"/>
      <c r="B40" s="127" t="s">
        <v>390</v>
      </c>
      <c r="C40" s="109">
        <f>IFERROR(VLOOKUP($B40,MMWR_TRAD_AGG_STATE_COMP[],C$1,0),"ERROR")</f>
        <v>4233</v>
      </c>
      <c r="D40" s="110">
        <f>IFERROR(VLOOKUP($B40,MMWR_TRAD_AGG_STATE_COMP[],D$1,0),"ERROR")</f>
        <v>404.89369241669999</v>
      </c>
      <c r="E40" s="111">
        <f>IFERROR(VLOOKUP($B40,MMWR_TRAD_AGG_STATE_COMP[],E$1,0),"ERROR")</f>
        <v>4347</v>
      </c>
      <c r="F40" s="112">
        <f>IFERROR(VLOOKUP($B40,MMWR_TRAD_AGG_STATE_COMP[],F$1,0),"ERROR")</f>
        <v>1488</v>
      </c>
      <c r="G40" s="113">
        <f t="shared" si="4"/>
        <v>0.34230503795721184</v>
      </c>
      <c r="H40" s="111">
        <f>IFERROR(VLOOKUP($B40,MMWR_TRAD_AGG_STATE_COMP[],H$1,0),"ERROR")</f>
        <v>6349</v>
      </c>
      <c r="I40" s="112">
        <f>IFERROR(VLOOKUP($B40,MMWR_TRAD_AGG_STATE_COMP[],I$1,0),"ERROR")</f>
        <v>4764</v>
      </c>
      <c r="J40" s="114">
        <f t="shared" si="5"/>
        <v>0.75035438651756181</v>
      </c>
      <c r="K40" s="111">
        <f>IFERROR(VLOOKUP($B40,MMWR_TRAD_AGG_STATE_COMP[],K$1,0),"ERROR")</f>
        <v>1444</v>
      </c>
      <c r="L40" s="112">
        <f>IFERROR(VLOOKUP($B40,MMWR_TRAD_AGG_STATE_COMP[],L$1,0),"ERROR")</f>
        <v>1183</v>
      </c>
      <c r="M40" s="114">
        <f t="shared" si="6"/>
        <v>0.81925207756232687</v>
      </c>
      <c r="N40" s="111">
        <f>IFERROR(VLOOKUP($B40,MMWR_TRAD_AGG_STATE_COMP[],N$1,0),"ERROR")</f>
        <v>2662</v>
      </c>
      <c r="O40" s="112">
        <f>IFERROR(VLOOKUP($B40,MMWR_TRAD_AGG_STATE_COMP[],O$1,0),"ERROR")</f>
        <v>1984</v>
      </c>
      <c r="P40" s="114">
        <f t="shared" si="7"/>
        <v>0.74530428249436509</v>
      </c>
      <c r="Q40" s="115">
        <f>IFERROR(VLOOKUP($B40,MMWR_TRAD_AGG_STATE_COMP[],Q$1,0),"ERROR")</f>
        <v>323</v>
      </c>
      <c r="R40" s="115">
        <f>IFERROR(VLOOKUP($B40,MMWR_TRAD_AGG_STATE_COMP[],R$1,0),"ERROR")</f>
        <v>163</v>
      </c>
      <c r="S40" s="115">
        <f>IFERROR(VLOOKUP($B40,MMWR_APP_STATE_COMP[],S$1,0),"ERROR")</f>
        <v>4851</v>
      </c>
      <c r="T40" s="28"/>
    </row>
    <row r="41" spans="1:20" s="123" customFormat="1" x14ac:dyDescent="0.2">
      <c r="A41" s="28"/>
      <c r="B41" s="127" t="s">
        <v>419</v>
      </c>
      <c r="C41" s="109">
        <f>IFERROR(VLOOKUP($B41,MMWR_TRAD_AGG_STATE_COMP[],C$1,0),"ERROR")</f>
        <v>682</v>
      </c>
      <c r="D41" s="110">
        <f>IFERROR(VLOOKUP($B41,MMWR_TRAD_AGG_STATE_COMP[],D$1,0),"ERROR")</f>
        <v>261.82697947209999</v>
      </c>
      <c r="E41" s="111">
        <f>IFERROR(VLOOKUP($B41,MMWR_TRAD_AGG_STATE_COMP[],E$1,0),"ERROR")</f>
        <v>740</v>
      </c>
      <c r="F41" s="112">
        <f>IFERROR(VLOOKUP($B41,MMWR_TRAD_AGG_STATE_COMP[],F$1,0),"ERROR")</f>
        <v>73</v>
      </c>
      <c r="G41" s="113">
        <f t="shared" si="4"/>
        <v>9.8648648648648654E-2</v>
      </c>
      <c r="H41" s="111">
        <f>IFERROR(VLOOKUP($B41,MMWR_TRAD_AGG_STATE_COMP[],H$1,0),"ERROR")</f>
        <v>1092</v>
      </c>
      <c r="I41" s="112">
        <f>IFERROR(VLOOKUP($B41,MMWR_TRAD_AGG_STATE_COMP[],I$1,0),"ERROR")</f>
        <v>594</v>
      </c>
      <c r="J41" s="114">
        <f t="shared" si="5"/>
        <v>0.54395604395604391</v>
      </c>
      <c r="K41" s="111">
        <f>IFERROR(VLOOKUP($B41,MMWR_TRAD_AGG_STATE_COMP[],K$1,0),"ERROR")</f>
        <v>452</v>
      </c>
      <c r="L41" s="112">
        <f>IFERROR(VLOOKUP($B41,MMWR_TRAD_AGG_STATE_COMP[],L$1,0),"ERROR")</f>
        <v>279</v>
      </c>
      <c r="M41" s="114">
        <f t="shared" si="6"/>
        <v>0.61725663716814161</v>
      </c>
      <c r="N41" s="111">
        <f>IFERROR(VLOOKUP($B41,MMWR_TRAD_AGG_STATE_COMP[],N$1,0),"ERROR")</f>
        <v>342</v>
      </c>
      <c r="O41" s="112">
        <f>IFERROR(VLOOKUP($B41,MMWR_TRAD_AGG_STATE_COMP[],O$1,0),"ERROR")</f>
        <v>179</v>
      </c>
      <c r="P41" s="114">
        <f t="shared" si="7"/>
        <v>0.52339181286549707</v>
      </c>
      <c r="Q41" s="115">
        <f>IFERROR(VLOOKUP($B41,MMWR_TRAD_AGG_STATE_COMP[],Q$1,0),"ERROR")</f>
        <v>1</v>
      </c>
      <c r="R41" s="115">
        <f>IFERROR(VLOOKUP($B41,MMWR_TRAD_AGG_STATE_COMP[],R$1,0),"ERROR")</f>
        <v>6</v>
      </c>
      <c r="S41" s="115">
        <f>IFERROR(VLOOKUP($B41,MMWR_APP_STATE_COMP[],S$1,0),"ERROR")</f>
        <v>436</v>
      </c>
      <c r="T41" s="28"/>
    </row>
    <row r="42" spans="1:20" s="123" customFormat="1" x14ac:dyDescent="0.2">
      <c r="A42" s="28"/>
      <c r="B42" s="127" t="s">
        <v>413</v>
      </c>
      <c r="C42" s="109">
        <f>IFERROR(VLOOKUP($B42,MMWR_TRAD_AGG_STATE_COMP[],C$1,0),"ERROR")</f>
        <v>2572</v>
      </c>
      <c r="D42" s="110">
        <f>IFERROR(VLOOKUP($B42,MMWR_TRAD_AGG_STATE_COMP[],D$1,0),"ERROR")</f>
        <v>298.018273717</v>
      </c>
      <c r="E42" s="111">
        <f>IFERROR(VLOOKUP($B42,MMWR_TRAD_AGG_STATE_COMP[],E$1,0),"ERROR")</f>
        <v>6066</v>
      </c>
      <c r="F42" s="112">
        <f>IFERROR(VLOOKUP($B42,MMWR_TRAD_AGG_STATE_COMP[],F$1,0),"ERROR")</f>
        <v>1049</v>
      </c>
      <c r="G42" s="113">
        <f t="shared" si="4"/>
        <v>0.17293109132871745</v>
      </c>
      <c r="H42" s="111">
        <f>IFERROR(VLOOKUP($B42,MMWR_TRAD_AGG_STATE_COMP[],H$1,0),"ERROR")</f>
        <v>3906</v>
      </c>
      <c r="I42" s="112">
        <f>IFERROR(VLOOKUP($B42,MMWR_TRAD_AGG_STATE_COMP[],I$1,0),"ERROR")</f>
        <v>1661</v>
      </c>
      <c r="J42" s="114">
        <f t="shared" si="5"/>
        <v>0.4252432155657962</v>
      </c>
      <c r="K42" s="111">
        <f>IFERROR(VLOOKUP($B42,MMWR_TRAD_AGG_STATE_COMP[],K$1,0),"ERROR")</f>
        <v>1159</v>
      </c>
      <c r="L42" s="112">
        <f>IFERROR(VLOOKUP($B42,MMWR_TRAD_AGG_STATE_COMP[],L$1,0),"ERROR")</f>
        <v>538</v>
      </c>
      <c r="M42" s="114">
        <f t="shared" si="6"/>
        <v>0.4641932700603969</v>
      </c>
      <c r="N42" s="111">
        <f>IFERROR(VLOOKUP($B42,MMWR_TRAD_AGG_STATE_COMP[],N$1,0),"ERROR")</f>
        <v>2615</v>
      </c>
      <c r="O42" s="112">
        <f>IFERROR(VLOOKUP($B42,MMWR_TRAD_AGG_STATE_COMP[],O$1,0),"ERROR")</f>
        <v>1451</v>
      </c>
      <c r="P42" s="114">
        <f t="shared" si="7"/>
        <v>0.55487571701720839</v>
      </c>
      <c r="Q42" s="115">
        <f>IFERROR(VLOOKUP($B42,MMWR_TRAD_AGG_STATE_COMP[],Q$1,0),"ERROR")</f>
        <v>7</v>
      </c>
      <c r="R42" s="115">
        <f>IFERROR(VLOOKUP($B42,MMWR_TRAD_AGG_STATE_COMP[],R$1,0),"ERROR")</f>
        <v>69</v>
      </c>
      <c r="S42" s="115">
        <f>IFERROR(VLOOKUP($B42,MMWR_APP_STATE_COMP[],S$1,0),"ERROR")</f>
        <v>4652</v>
      </c>
      <c r="T42" s="28"/>
    </row>
    <row r="43" spans="1:20" s="123" customFormat="1" x14ac:dyDescent="0.2">
      <c r="A43" s="28"/>
      <c r="B43" s="127" t="s">
        <v>411</v>
      </c>
      <c r="C43" s="109">
        <f>IFERROR(VLOOKUP($B43,MMWR_TRAD_AGG_STATE_COMP[],C$1,0),"ERROR")</f>
        <v>28389</v>
      </c>
      <c r="D43" s="110">
        <f>IFERROR(VLOOKUP($B43,MMWR_TRAD_AGG_STATE_COMP[],D$1,0),"ERROR")</f>
        <v>358.82563669029997</v>
      </c>
      <c r="E43" s="111">
        <f>IFERROR(VLOOKUP($B43,MMWR_TRAD_AGG_STATE_COMP[],E$1,0),"ERROR")</f>
        <v>35039</v>
      </c>
      <c r="F43" s="112">
        <f>IFERROR(VLOOKUP($B43,MMWR_TRAD_AGG_STATE_COMP[],F$1,0),"ERROR")</f>
        <v>8237</v>
      </c>
      <c r="G43" s="113">
        <f t="shared" si="4"/>
        <v>0.23508090984331745</v>
      </c>
      <c r="H43" s="111">
        <f>IFERROR(VLOOKUP($B43,MMWR_TRAD_AGG_STATE_COMP[],H$1,0),"ERROR")</f>
        <v>38628</v>
      </c>
      <c r="I43" s="112">
        <f>IFERROR(VLOOKUP($B43,MMWR_TRAD_AGG_STATE_COMP[],I$1,0),"ERROR")</f>
        <v>25950</v>
      </c>
      <c r="J43" s="114">
        <f t="shared" si="5"/>
        <v>0.67179248213730969</v>
      </c>
      <c r="K43" s="111">
        <f>IFERROR(VLOOKUP($B43,MMWR_TRAD_AGG_STATE_COMP[],K$1,0),"ERROR")</f>
        <v>8042</v>
      </c>
      <c r="L43" s="112">
        <f>IFERROR(VLOOKUP($B43,MMWR_TRAD_AGG_STATE_COMP[],L$1,0),"ERROR")</f>
        <v>6048</v>
      </c>
      <c r="M43" s="114">
        <f t="shared" si="6"/>
        <v>0.75205172842576473</v>
      </c>
      <c r="N43" s="111">
        <f>IFERROR(VLOOKUP($B43,MMWR_TRAD_AGG_STATE_COMP[],N$1,0),"ERROR")</f>
        <v>15202</v>
      </c>
      <c r="O43" s="112">
        <f>IFERROR(VLOOKUP($B43,MMWR_TRAD_AGG_STATE_COMP[],O$1,0),"ERROR")</f>
        <v>8265</v>
      </c>
      <c r="P43" s="114">
        <f t="shared" si="7"/>
        <v>0.54367846336008419</v>
      </c>
      <c r="Q43" s="115">
        <f>IFERROR(VLOOKUP($B43,MMWR_TRAD_AGG_STATE_COMP[],Q$1,0),"ERROR")</f>
        <v>29</v>
      </c>
      <c r="R43" s="115">
        <f>IFERROR(VLOOKUP($B43,MMWR_TRAD_AGG_STATE_COMP[],R$1,0),"ERROR")</f>
        <v>424</v>
      </c>
      <c r="S43" s="115">
        <f>IFERROR(VLOOKUP($B43,MMWR_APP_STATE_COMP[],S$1,0),"ERROR")</f>
        <v>41706</v>
      </c>
      <c r="T43" s="28"/>
    </row>
    <row r="44" spans="1:20" s="123" customFormat="1" x14ac:dyDescent="0.2">
      <c r="A44" s="28"/>
      <c r="B44" s="127" t="s">
        <v>407</v>
      </c>
      <c r="C44" s="109">
        <f>IFERROR(VLOOKUP($B44,MMWR_TRAD_AGG_STATE_COMP[],C$1,0),"ERROR")</f>
        <v>1605</v>
      </c>
      <c r="D44" s="110">
        <f>IFERROR(VLOOKUP($B44,MMWR_TRAD_AGG_STATE_COMP[],D$1,0),"ERROR")</f>
        <v>276.18504672900002</v>
      </c>
      <c r="E44" s="111">
        <f>IFERROR(VLOOKUP($B44,MMWR_TRAD_AGG_STATE_COMP[],E$1,0),"ERROR")</f>
        <v>2267</v>
      </c>
      <c r="F44" s="112">
        <f>IFERROR(VLOOKUP($B44,MMWR_TRAD_AGG_STATE_COMP[],F$1,0),"ERROR")</f>
        <v>632</v>
      </c>
      <c r="G44" s="113">
        <f t="shared" si="4"/>
        <v>0.27878253198059111</v>
      </c>
      <c r="H44" s="111">
        <f>IFERROR(VLOOKUP($B44,MMWR_TRAD_AGG_STATE_COMP[],H$1,0),"ERROR")</f>
        <v>2100</v>
      </c>
      <c r="I44" s="112">
        <f>IFERROR(VLOOKUP($B44,MMWR_TRAD_AGG_STATE_COMP[],I$1,0),"ERROR")</f>
        <v>1270</v>
      </c>
      <c r="J44" s="114">
        <f t="shared" si="5"/>
        <v>0.60476190476190472</v>
      </c>
      <c r="K44" s="111">
        <f>IFERROR(VLOOKUP($B44,MMWR_TRAD_AGG_STATE_COMP[],K$1,0),"ERROR")</f>
        <v>511</v>
      </c>
      <c r="L44" s="112">
        <f>IFERROR(VLOOKUP($B44,MMWR_TRAD_AGG_STATE_COMP[],L$1,0),"ERROR")</f>
        <v>339</v>
      </c>
      <c r="M44" s="114">
        <f t="shared" si="6"/>
        <v>0.66340508806262233</v>
      </c>
      <c r="N44" s="111">
        <f>IFERROR(VLOOKUP($B44,MMWR_TRAD_AGG_STATE_COMP[],N$1,0),"ERROR")</f>
        <v>449</v>
      </c>
      <c r="O44" s="112">
        <f>IFERROR(VLOOKUP($B44,MMWR_TRAD_AGG_STATE_COMP[],O$1,0),"ERROR")</f>
        <v>231</v>
      </c>
      <c r="P44" s="114">
        <f t="shared" si="7"/>
        <v>0.51447661469933181</v>
      </c>
      <c r="Q44" s="115">
        <f>IFERROR(VLOOKUP($B44,MMWR_TRAD_AGG_STATE_COMP[],Q$1,0),"ERROR")</f>
        <v>1</v>
      </c>
      <c r="R44" s="115">
        <f>IFERROR(VLOOKUP($B44,MMWR_TRAD_AGG_STATE_COMP[],R$1,0),"ERROR")</f>
        <v>1</v>
      </c>
      <c r="S44" s="115">
        <f>IFERROR(VLOOKUP($B44,MMWR_APP_STATE_COMP[],S$1,0),"ERROR")</f>
        <v>507</v>
      </c>
      <c r="T44" s="28"/>
    </row>
    <row r="45" spans="1:20" s="123" customFormat="1" x14ac:dyDescent="0.2">
      <c r="A45" s="28"/>
      <c r="B45" s="127" t="s">
        <v>422</v>
      </c>
      <c r="C45" s="109">
        <f>IFERROR(VLOOKUP($B45,MMWR_TRAD_AGG_STATE_COMP[],C$1,0),"ERROR")</f>
        <v>423</v>
      </c>
      <c r="D45" s="110">
        <f>IFERROR(VLOOKUP($B45,MMWR_TRAD_AGG_STATE_COMP[],D$1,0),"ERROR")</f>
        <v>306.09692671390002</v>
      </c>
      <c r="E45" s="111">
        <f>IFERROR(VLOOKUP($B45,MMWR_TRAD_AGG_STATE_COMP[],E$1,0),"ERROR")</f>
        <v>853</v>
      </c>
      <c r="F45" s="112">
        <f>IFERROR(VLOOKUP($B45,MMWR_TRAD_AGG_STATE_COMP[],F$1,0),"ERROR")</f>
        <v>119</v>
      </c>
      <c r="G45" s="113">
        <f t="shared" si="4"/>
        <v>0.1395076201641266</v>
      </c>
      <c r="H45" s="111">
        <f>IFERROR(VLOOKUP($B45,MMWR_TRAD_AGG_STATE_COMP[],H$1,0),"ERROR")</f>
        <v>763</v>
      </c>
      <c r="I45" s="112">
        <f>IFERROR(VLOOKUP($B45,MMWR_TRAD_AGG_STATE_COMP[],I$1,0),"ERROR")</f>
        <v>478</v>
      </c>
      <c r="J45" s="114">
        <f t="shared" si="5"/>
        <v>0.62647444298820443</v>
      </c>
      <c r="K45" s="111">
        <f>IFERROR(VLOOKUP($B45,MMWR_TRAD_AGG_STATE_COMP[],K$1,0),"ERROR")</f>
        <v>167</v>
      </c>
      <c r="L45" s="112">
        <f>IFERROR(VLOOKUP($B45,MMWR_TRAD_AGG_STATE_COMP[],L$1,0),"ERROR")</f>
        <v>127</v>
      </c>
      <c r="M45" s="114">
        <f t="shared" si="6"/>
        <v>0.76047904191616766</v>
      </c>
      <c r="N45" s="111">
        <f>IFERROR(VLOOKUP($B45,MMWR_TRAD_AGG_STATE_COMP[],N$1,0),"ERROR")</f>
        <v>172</v>
      </c>
      <c r="O45" s="112">
        <f>IFERROR(VLOOKUP($B45,MMWR_TRAD_AGG_STATE_COMP[],O$1,0),"ERROR")</f>
        <v>97</v>
      </c>
      <c r="P45" s="114">
        <f t="shared" si="7"/>
        <v>0.56395348837209303</v>
      </c>
      <c r="Q45" s="115">
        <f>IFERROR(VLOOKUP($B45,MMWR_TRAD_AGG_STATE_COMP[],Q$1,0),"ERROR")</f>
        <v>2</v>
      </c>
      <c r="R45" s="115">
        <f>IFERROR(VLOOKUP($B45,MMWR_TRAD_AGG_STATE_COMP[],R$1,0),"ERROR")</f>
        <v>2</v>
      </c>
      <c r="S45" s="115">
        <f>IFERROR(VLOOKUP($B45,MMWR_APP_STATE_COMP[],S$1,0),"ERROR")</f>
        <v>274</v>
      </c>
      <c r="T45" s="28"/>
    </row>
    <row r="46" spans="1:20" s="123" customFormat="1" x14ac:dyDescent="0.2">
      <c r="A46" s="28"/>
      <c r="B46" s="126" t="s">
        <v>405</v>
      </c>
      <c r="C46" s="102">
        <f>IFERROR(VLOOKUP($B46,MMWR_TRAD_AGG_ST_DISTRICT_COMP[],C$1,0),"ERROR")</f>
        <v>59468</v>
      </c>
      <c r="D46" s="103">
        <f>IFERROR(VLOOKUP($B46,MMWR_TRAD_AGG_ST_DISTRICT_COMP[],D$1,0),"ERROR")</f>
        <v>390.83902266770002</v>
      </c>
      <c r="E46" s="102">
        <f>IFERROR(VLOOKUP($B46,MMWR_TRAD_AGG_ST_DISTRICT_COMP[],E$1,0),"ERROR")</f>
        <v>57946</v>
      </c>
      <c r="F46" s="102">
        <f>IFERROR(VLOOKUP($B46,MMWR_TRAD_AGG_ST_DISTRICT_COMP[],F$1,0),"ERROR")</f>
        <v>13726</v>
      </c>
      <c r="G46" s="104">
        <f t="shared" si="4"/>
        <v>0.23687571186967177</v>
      </c>
      <c r="H46" s="102">
        <f>IFERROR(VLOOKUP($B46,MMWR_TRAD_AGG_ST_DISTRICT_COMP[],H$1,0),"ERROR")</f>
        <v>86125</v>
      </c>
      <c r="I46" s="102">
        <f>IFERROR(VLOOKUP($B46,MMWR_TRAD_AGG_ST_DISTRICT_COMP[],I$1,0),"ERROR")</f>
        <v>61318</v>
      </c>
      <c r="J46" s="105">
        <f t="shared" si="5"/>
        <v>0.71196516690856315</v>
      </c>
      <c r="K46" s="102">
        <f>IFERROR(VLOOKUP($B46,MMWR_TRAD_AGG_ST_DISTRICT_COMP[],K$1,0),"ERROR")</f>
        <v>23519</v>
      </c>
      <c r="L46" s="102">
        <f>IFERROR(VLOOKUP($B46,MMWR_TRAD_AGG_ST_DISTRICT_COMP[],L$1,0),"ERROR")</f>
        <v>18845</v>
      </c>
      <c r="M46" s="105">
        <f t="shared" si="6"/>
        <v>0.80126706067434839</v>
      </c>
      <c r="N46" s="102">
        <f>IFERROR(VLOOKUP($B46,MMWR_TRAD_AGG_ST_DISTRICT_COMP[],N$1,0),"ERROR")</f>
        <v>30235</v>
      </c>
      <c r="O46" s="102">
        <f>IFERROR(VLOOKUP($B46,MMWR_TRAD_AGG_ST_DISTRICT_COMP[],O$1,0),"ERROR")</f>
        <v>20033</v>
      </c>
      <c r="P46" s="105">
        <f t="shared" si="7"/>
        <v>0.66257648420704485</v>
      </c>
      <c r="Q46" s="102">
        <f>IFERROR(VLOOKUP($B46,MMWR_TRAD_AGG_ST_DISTRICT_COMP[],Q$1,0),"ERROR")</f>
        <v>100</v>
      </c>
      <c r="R46" s="106">
        <f>IFERROR(VLOOKUP($B46,MMWR_TRAD_AGG_ST_DISTRICT_COMP[],R$1,0),"ERROR")</f>
        <v>581</v>
      </c>
      <c r="S46" s="106">
        <f>SUM(S47:S55)</f>
        <v>44263</v>
      </c>
      <c r="T46" s="28"/>
    </row>
    <row r="47" spans="1:20" s="123" customFormat="1" x14ac:dyDescent="0.2">
      <c r="A47" s="28"/>
      <c r="B47" s="127" t="s">
        <v>425</v>
      </c>
      <c r="C47" s="109">
        <f>IFERROR(VLOOKUP($B47,MMWR_TRAD_AGG_STATE_COMP[],C$1,0),"ERROR")</f>
        <v>1944</v>
      </c>
      <c r="D47" s="110">
        <f>IFERROR(VLOOKUP($B47,MMWR_TRAD_AGG_STATE_COMP[],D$1,0),"ERROR")</f>
        <v>461.1111111111</v>
      </c>
      <c r="E47" s="111">
        <f>IFERROR(VLOOKUP($B47,MMWR_TRAD_AGG_STATE_COMP[],E$1,0),"ERROR")</f>
        <v>1239</v>
      </c>
      <c r="F47" s="112">
        <f>IFERROR(VLOOKUP($B47,MMWR_TRAD_AGG_STATE_COMP[],F$1,0),"ERROR")</f>
        <v>364</v>
      </c>
      <c r="G47" s="113">
        <f t="shared" si="4"/>
        <v>0.29378531073446329</v>
      </c>
      <c r="H47" s="111">
        <f>IFERROR(VLOOKUP($B47,MMWR_TRAD_AGG_STATE_COMP[],H$1,0),"ERROR")</f>
        <v>2797</v>
      </c>
      <c r="I47" s="112">
        <f>IFERROR(VLOOKUP($B47,MMWR_TRAD_AGG_STATE_COMP[],I$1,0),"ERROR")</f>
        <v>2121</v>
      </c>
      <c r="J47" s="114">
        <f t="shared" si="5"/>
        <v>0.75831247765462995</v>
      </c>
      <c r="K47" s="111">
        <f>IFERROR(VLOOKUP($B47,MMWR_TRAD_AGG_STATE_COMP[],K$1,0),"ERROR")</f>
        <v>1881</v>
      </c>
      <c r="L47" s="112">
        <f>IFERROR(VLOOKUP($B47,MMWR_TRAD_AGG_STATE_COMP[],L$1,0),"ERROR")</f>
        <v>1562</v>
      </c>
      <c r="M47" s="114">
        <f t="shared" si="6"/>
        <v>0.83040935672514615</v>
      </c>
      <c r="N47" s="111">
        <f>IFERROR(VLOOKUP($B47,MMWR_TRAD_AGG_STATE_COMP[],N$1,0),"ERROR")</f>
        <v>665</v>
      </c>
      <c r="O47" s="112">
        <f>IFERROR(VLOOKUP($B47,MMWR_TRAD_AGG_STATE_COMP[],O$1,0),"ERROR")</f>
        <v>385</v>
      </c>
      <c r="P47" s="114">
        <f t="shared" si="7"/>
        <v>0.57894736842105265</v>
      </c>
      <c r="Q47" s="115">
        <f>IFERROR(VLOOKUP($B47,MMWR_TRAD_AGG_STATE_COMP[],Q$1,0),"ERROR")</f>
        <v>1</v>
      </c>
      <c r="R47" s="115">
        <f>IFERROR(VLOOKUP($B47,MMWR_TRAD_AGG_STATE_COMP[],R$1,0),"ERROR")</f>
        <v>2</v>
      </c>
      <c r="S47" s="115">
        <f>IFERROR(VLOOKUP($B47,MMWR_APP_STATE_COMP[],S$1,0),"ERROR")</f>
        <v>309</v>
      </c>
      <c r="T47" s="28"/>
    </row>
    <row r="48" spans="1:20" s="123" customFormat="1" x14ac:dyDescent="0.2">
      <c r="A48" s="28"/>
      <c r="B48" s="127" t="s">
        <v>427</v>
      </c>
      <c r="C48" s="109">
        <f>IFERROR(VLOOKUP($B48,MMWR_TRAD_AGG_STATE_COMP[],C$1,0),"ERROR")</f>
        <v>5259</v>
      </c>
      <c r="D48" s="110">
        <f>IFERROR(VLOOKUP($B48,MMWR_TRAD_AGG_STATE_COMP[],D$1,0),"ERROR")</f>
        <v>302.96919566460002</v>
      </c>
      <c r="E48" s="111">
        <f>IFERROR(VLOOKUP($B48,MMWR_TRAD_AGG_STATE_COMP[],E$1,0),"ERROR")</f>
        <v>5428</v>
      </c>
      <c r="F48" s="112">
        <f>IFERROR(VLOOKUP($B48,MMWR_TRAD_AGG_STATE_COMP[],F$1,0),"ERROR")</f>
        <v>1334</v>
      </c>
      <c r="G48" s="113">
        <f t="shared" si="4"/>
        <v>0.24576271186440679</v>
      </c>
      <c r="H48" s="111">
        <f>IFERROR(VLOOKUP($B48,MMWR_TRAD_AGG_STATE_COMP[],H$1,0),"ERROR")</f>
        <v>7271</v>
      </c>
      <c r="I48" s="112">
        <f>IFERROR(VLOOKUP($B48,MMWR_TRAD_AGG_STATE_COMP[],I$1,0),"ERROR")</f>
        <v>4845</v>
      </c>
      <c r="J48" s="114">
        <f t="shared" si="5"/>
        <v>0.66634575711731536</v>
      </c>
      <c r="K48" s="111">
        <f>IFERROR(VLOOKUP($B48,MMWR_TRAD_AGG_STATE_COMP[],K$1,0),"ERROR")</f>
        <v>1437</v>
      </c>
      <c r="L48" s="112">
        <f>IFERROR(VLOOKUP($B48,MMWR_TRAD_AGG_STATE_COMP[],L$1,0),"ERROR")</f>
        <v>1173</v>
      </c>
      <c r="M48" s="114">
        <f t="shared" si="6"/>
        <v>0.81628392484342382</v>
      </c>
      <c r="N48" s="111">
        <f>IFERROR(VLOOKUP($B48,MMWR_TRAD_AGG_STATE_COMP[],N$1,0),"ERROR")</f>
        <v>2356</v>
      </c>
      <c r="O48" s="112">
        <f>IFERROR(VLOOKUP($B48,MMWR_TRAD_AGG_STATE_COMP[],O$1,0),"ERROR")</f>
        <v>1418</v>
      </c>
      <c r="P48" s="114">
        <f t="shared" si="7"/>
        <v>0.60186757215619691</v>
      </c>
      <c r="Q48" s="115">
        <f>IFERROR(VLOOKUP($B48,MMWR_TRAD_AGG_STATE_COMP[],Q$1,0),"ERROR")</f>
        <v>9</v>
      </c>
      <c r="R48" s="115">
        <f>IFERROR(VLOOKUP($B48,MMWR_TRAD_AGG_STATE_COMP[],R$1,0),"ERROR")</f>
        <v>74</v>
      </c>
      <c r="S48" s="115">
        <f>IFERROR(VLOOKUP($B48,MMWR_APP_STATE_COMP[],S$1,0),"ERROR")</f>
        <v>7358</v>
      </c>
      <c r="T48" s="28"/>
    </row>
    <row r="49" spans="1:20" s="123" customFormat="1" x14ac:dyDescent="0.2">
      <c r="A49" s="28"/>
      <c r="B49" s="127" t="s">
        <v>408</v>
      </c>
      <c r="C49" s="109">
        <f>IFERROR(VLOOKUP($B49,MMWR_TRAD_AGG_STATE_COMP[],C$1,0),"ERROR")</f>
        <v>27496</v>
      </c>
      <c r="D49" s="110">
        <f>IFERROR(VLOOKUP($B49,MMWR_TRAD_AGG_STATE_COMP[],D$1,0),"ERROR")</f>
        <v>396.13576520219999</v>
      </c>
      <c r="E49" s="111">
        <f>IFERROR(VLOOKUP($B49,MMWR_TRAD_AGG_STATE_COMP[],E$1,0),"ERROR")</f>
        <v>30621</v>
      </c>
      <c r="F49" s="112">
        <f>IFERROR(VLOOKUP($B49,MMWR_TRAD_AGG_STATE_COMP[],F$1,0),"ERROR")</f>
        <v>7302</v>
      </c>
      <c r="G49" s="113">
        <f t="shared" si="4"/>
        <v>0.23846379935338494</v>
      </c>
      <c r="H49" s="111">
        <f>IFERROR(VLOOKUP($B49,MMWR_TRAD_AGG_STATE_COMP[],H$1,0),"ERROR")</f>
        <v>40436</v>
      </c>
      <c r="I49" s="112">
        <f>IFERROR(VLOOKUP($B49,MMWR_TRAD_AGG_STATE_COMP[],I$1,0),"ERROR")</f>
        <v>28893</v>
      </c>
      <c r="J49" s="114">
        <f t="shared" si="5"/>
        <v>0.71453655158769414</v>
      </c>
      <c r="K49" s="111">
        <f>IFERROR(VLOOKUP($B49,MMWR_TRAD_AGG_STATE_COMP[],K$1,0),"ERROR")</f>
        <v>9976</v>
      </c>
      <c r="L49" s="112">
        <f>IFERROR(VLOOKUP($B49,MMWR_TRAD_AGG_STATE_COMP[],L$1,0),"ERROR")</f>
        <v>8065</v>
      </c>
      <c r="M49" s="114">
        <f t="shared" si="6"/>
        <v>0.80844025661587815</v>
      </c>
      <c r="N49" s="111">
        <f>IFERROR(VLOOKUP($B49,MMWR_TRAD_AGG_STATE_COMP[],N$1,0),"ERROR")</f>
        <v>14683</v>
      </c>
      <c r="O49" s="112">
        <f>IFERROR(VLOOKUP($B49,MMWR_TRAD_AGG_STATE_COMP[],O$1,0),"ERROR")</f>
        <v>9815</v>
      </c>
      <c r="P49" s="114">
        <f t="shared" si="7"/>
        <v>0.66846012395287069</v>
      </c>
      <c r="Q49" s="115">
        <f>IFERROR(VLOOKUP($B49,MMWR_TRAD_AGG_STATE_COMP[],Q$1,0),"ERROR")</f>
        <v>58</v>
      </c>
      <c r="R49" s="115">
        <f>IFERROR(VLOOKUP($B49,MMWR_TRAD_AGG_STATE_COMP[],R$1,0),"ERROR")</f>
        <v>140</v>
      </c>
      <c r="S49" s="115">
        <f>IFERROR(VLOOKUP($B49,MMWR_APP_STATE_COMP[],S$1,0),"ERROR")</f>
        <v>18518</v>
      </c>
      <c r="T49" s="28"/>
    </row>
    <row r="50" spans="1:20" s="123" customFormat="1" x14ac:dyDescent="0.2">
      <c r="A50" s="28"/>
      <c r="B50" s="127" t="s">
        <v>429</v>
      </c>
      <c r="C50" s="109">
        <f>IFERROR(VLOOKUP($B50,MMWR_TRAD_AGG_STATE_COMP[],C$1,0),"ERROR")</f>
        <v>1511</v>
      </c>
      <c r="D50" s="110">
        <f>IFERROR(VLOOKUP($B50,MMWR_TRAD_AGG_STATE_COMP[],D$1,0),"ERROR")</f>
        <v>308.45135671740002</v>
      </c>
      <c r="E50" s="111">
        <f>IFERROR(VLOOKUP($B50,MMWR_TRAD_AGG_STATE_COMP[],E$1,0),"ERROR")</f>
        <v>1774</v>
      </c>
      <c r="F50" s="112">
        <f>IFERROR(VLOOKUP($B50,MMWR_TRAD_AGG_STATE_COMP[],F$1,0),"ERROR")</f>
        <v>398</v>
      </c>
      <c r="G50" s="113">
        <f t="shared" si="4"/>
        <v>0.22435174746335965</v>
      </c>
      <c r="H50" s="111">
        <f>IFERROR(VLOOKUP($B50,MMWR_TRAD_AGG_STATE_COMP[],H$1,0),"ERROR")</f>
        <v>2118</v>
      </c>
      <c r="I50" s="112">
        <f>IFERROR(VLOOKUP($B50,MMWR_TRAD_AGG_STATE_COMP[],I$1,0),"ERROR")</f>
        <v>1448</v>
      </c>
      <c r="J50" s="114">
        <f t="shared" si="5"/>
        <v>0.68366383380547691</v>
      </c>
      <c r="K50" s="111">
        <f>IFERROR(VLOOKUP($B50,MMWR_TRAD_AGG_STATE_COMP[],K$1,0),"ERROR")</f>
        <v>1022</v>
      </c>
      <c r="L50" s="112">
        <f>IFERROR(VLOOKUP($B50,MMWR_TRAD_AGG_STATE_COMP[],L$1,0),"ERROR")</f>
        <v>633</v>
      </c>
      <c r="M50" s="114">
        <f t="shared" si="6"/>
        <v>0.61937377690802353</v>
      </c>
      <c r="N50" s="111">
        <f>IFERROR(VLOOKUP($B50,MMWR_TRAD_AGG_STATE_COMP[],N$1,0),"ERROR")</f>
        <v>637</v>
      </c>
      <c r="O50" s="112">
        <f>IFERROR(VLOOKUP($B50,MMWR_TRAD_AGG_STATE_COMP[],O$1,0),"ERROR")</f>
        <v>310</v>
      </c>
      <c r="P50" s="114">
        <f t="shared" si="7"/>
        <v>0.48665620094191525</v>
      </c>
      <c r="Q50" s="115">
        <f>IFERROR(VLOOKUP($B50,MMWR_TRAD_AGG_STATE_COMP[],Q$1,0),"ERROR")</f>
        <v>3</v>
      </c>
      <c r="R50" s="115">
        <f>IFERROR(VLOOKUP($B50,MMWR_TRAD_AGG_STATE_COMP[],R$1,0),"ERROR")</f>
        <v>5</v>
      </c>
      <c r="S50" s="115">
        <f>IFERROR(VLOOKUP($B50,MMWR_APP_STATE_COMP[],S$1,0),"ERROR")</f>
        <v>1221</v>
      </c>
      <c r="T50" s="28"/>
    </row>
    <row r="51" spans="1:20" s="123" customFormat="1" x14ac:dyDescent="0.2">
      <c r="A51" s="28"/>
      <c r="B51" s="127" t="s">
        <v>409</v>
      </c>
      <c r="C51" s="109">
        <f>IFERROR(VLOOKUP($B51,MMWR_TRAD_AGG_STATE_COMP[],C$1,0),"ERROR")</f>
        <v>612</v>
      </c>
      <c r="D51" s="110">
        <f>IFERROR(VLOOKUP($B51,MMWR_TRAD_AGG_STATE_COMP[],D$1,0),"ERROR")</f>
        <v>312.3218954248</v>
      </c>
      <c r="E51" s="111">
        <f>IFERROR(VLOOKUP($B51,MMWR_TRAD_AGG_STATE_COMP[],E$1,0),"ERROR")</f>
        <v>1512</v>
      </c>
      <c r="F51" s="112">
        <f>IFERROR(VLOOKUP($B51,MMWR_TRAD_AGG_STATE_COMP[],F$1,0),"ERROR")</f>
        <v>326</v>
      </c>
      <c r="G51" s="113">
        <f t="shared" si="4"/>
        <v>0.21560846560846561</v>
      </c>
      <c r="H51" s="111">
        <f>IFERROR(VLOOKUP($B51,MMWR_TRAD_AGG_STATE_COMP[],H$1,0),"ERROR")</f>
        <v>968</v>
      </c>
      <c r="I51" s="112">
        <f>IFERROR(VLOOKUP($B51,MMWR_TRAD_AGG_STATE_COMP[],I$1,0),"ERROR")</f>
        <v>543</v>
      </c>
      <c r="J51" s="114">
        <f t="shared" si="5"/>
        <v>0.56095041322314054</v>
      </c>
      <c r="K51" s="111">
        <f>IFERROR(VLOOKUP($B51,MMWR_TRAD_AGG_STATE_COMP[],K$1,0),"ERROR")</f>
        <v>377</v>
      </c>
      <c r="L51" s="112">
        <f>IFERROR(VLOOKUP($B51,MMWR_TRAD_AGG_STATE_COMP[],L$1,0),"ERROR")</f>
        <v>272</v>
      </c>
      <c r="M51" s="114">
        <f t="shared" si="6"/>
        <v>0.72148541114058351</v>
      </c>
      <c r="N51" s="111">
        <f>IFERROR(VLOOKUP($B51,MMWR_TRAD_AGG_STATE_COMP[],N$1,0),"ERROR")</f>
        <v>427</v>
      </c>
      <c r="O51" s="112">
        <f>IFERROR(VLOOKUP($B51,MMWR_TRAD_AGG_STATE_COMP[],O$1,0),"ERROR")</f>
        <v>248</v>
      </c>
      <c r="P51" s="114">
        <f t="shared" si="7"/>
        <v>0.58079625292740045</v>
      </c>
      <c r="Q51" s="115">
        <f>IFERROR(VLOOKUP($B51,MMWR_TRAD_AGG_STATE_COMP[],Q$1,0),"ERROR")</f>
        <v>1</v>
      </c>
      <c r="R51" s="115">
        <f>IFERROR(VLOOKUP($B51,MMWR_TRAD_AGG_STATE_COMP[],R$1,0),"ERROR")</f>
        <v>3</v>
      </c>
      <c r="S51" s="115">
        <f>IFERROR(VLOOKUP($B51,MMWR_APP_STATE_COMP[],S$1,0),"ERROR")</f>
        <v>1034</v>
      </c>
      <c r="T51" s="28"/>
    </row>
    <row r="52" spans="1:20" s="123" customFormat="1" x14ac:dyDescent="0.2">
      <c r="A52" s="28"/>
      <c r="B52" s="127" t="s">
        <v>414</v>
      </c>
      <c r="C52" s="109">
        <f>IFERROR(VLOOKUP($B52,MMWR_TRAD_AGG_STATE_COMP[],C$1,0),"ERROR")</f>
        <v>3523</v>
      </c>
      <c r="D52" s="110">
        <f>IFERROR(VLOOKUP($B52,MMWR_TRAD_AGG_STATE_COMP[],D$1,0),"ERROR")</f>
        <v>408.19954584160001</v>
      </c>
      <c r="E52" s="111">
        <f>IFERROR(VLOOKUP($B52,MMWR_TRAD_AGG_STATE_COMP[],E$1,0),"ERROR")</f>
        <v>3711</v>
      </c>
      <c r="F52" s="112">
        <f>IFERROR(VLOOKUP($B52,MMWR_TRAD_AGG_STATE_COMP[],F$1,0),"ERROR")</f>
        <v>914</v>
      </c>
      <c r="G52" s="113">
        <f t="shared" si="4"/>
        <v>0.24629479924548639</v>
      </c>
      <c r="H52" s="111">
        <f>IFERROR(VLOOKUP($B52,MMWR_TRAD_AGG_STATE_COMP[],H$1,0),"ERROR")</f>
        <v>4856</v>
      </c>
      <c r="I52" s="112">
        <f>IFERROR(VLOOKUP($B52,MMWR_TRAD_AGG_STATE_COMP[],I$1,0),"ERROR")</f>
        <v>3298</v>
      </c>
      <c r="J52" s="114">
        <f t="shared" si="5"/>
        <v>0.67915980230642503</v>
      </c>
      <c r="K52" s="111">
        <f>IFERROR(VLOOKUP($B52,MMWR_TRAD_AGG_STATE_COMP[],K$1,0),"ERROR")</f>
        <v>1024</v>
      </c>
      <c r="L52" s="112">
        <f>IFERROR(VLOOKUP($B52,MMWR_TRAD_AGG_STATE_COMP[],L$1,0),"ERROR")</f>
        <v>827</v>
      </c>
      <c r="M52" s="114">
        <f t="shared" si="6"/>
        <v>0.8076171875</v>
      </c>
      <c r="N52" s="111">
        <f>IFERROR(VLOOKUP($B52,MMWR_TRAD_AGG_STATE_COMP[],N$1,0),"ERROR")</f>
        <v>1925</v>
      </c>
      <c r="O52" s="112">
        <f>IFERROR(VLOOKUP($B52,MMWR_TRAD_AGG_STATE_COMP[],O$1,0),"ERROR")</f>
        <v>1370</v>
      </c>
      <c r="P52" s="114">
        <f t="shared" si="7"/>
        <v>0.7116883116883117</v>
      </c>
      <c r="Q52" s="115">
        <f>IFERROR(VLOOKUP($B52,MMWR_TRAD_AGG_STATE_COMP[],Q$1,0),"ERROR")</f>
        <v>6</v>
      </c>
      <c r="R52" s="115">
        <f>IFERROR(VLOOKUP($B52,MMWR_TRAD_AGG_STATE_COMP[],R$1,0),"ERROR")</f>
        <v>122</v>
      </c>
      <c r="S52" s="115">
        <f>IFERROR(VLOOKUP($B52,MMWR_APP_STATE_COMP[],S$1,0),"ERROR")</f>
        <v>3183</v>
      </c>
      <c r="T52" s="28"/>
    </row>
    <row r="53" spans="1:20" s="123" customFormat="1" x14ac:dyDescent="0.2">
      <c r="A53" s="28"/>
      <c r="B53" s="127" t="s">
        <v>406</v>
      </c>
      <c r="C53" s="109">
        <f>IFERROR(VLOOKUP($B53,MMWR_TRAD_AGG_STATE_COMP[],C$1,0),"ERROR")</f>
        <v>1280</v>
      </c>
      <c r="D53" s="110">
        <f>IFERROR(VLOOKUP($B53,MMWR_TRAD_AGG_STATE_COMP[],D$1,0),"ERROR")</f>
        <v>231.48281249999999</v>
      </c>
      <c r="E53" s="111">
        <f>IFERROR(VLOOKUP($B53,MMWR_TRAD_AGG_STATE_COMP[],E$1,0),"ERROR")</f>
        <v>2700</v>
      </c>
      <c r="F53" s="112">
        <f>IFERROR(VLOOKUP($B53,MMWR_TRAD_AGG_STATE_COMP[],F$1,0),"ERROR")</f>
        <v>596</v>
      </c>
      <c r="G53" s="113">
        <f t="shared" si="4"/>
        <v>0.22074074074074074</v>
      </c>
      <c r="H53" s="111">
        <f>IFERROR(VLOOKUP($B53,MMWR_TRAD_AGG_STATE_COMP[],H$1,0),"ERROR")</f>
        <v>2080</v>
      </c>
      <c r="I53" s="112">
        <f>IFERROR(VLOOKUP($B53,MMWR_TRAD_AGG_STATE_COMP[],I$1,0),"ERROR")</f>
        <v>968</v>
      </c>
      <c r="J53" s="114">
        <f t="shared" si="5"/>
        <v>0.4653846153846154</v>
      </c>
      <c r="K53" s="111">
        <f>IFERROR(VLOOKUP($B53,MMWR_TRAD_AGG_STATE_COMP[],K$1,0),"ERROR")</f>
        <v>578</v>
      </c>
      <c r="L53" s="112">
        <f>IFERROR(VLOOKUP($B53,MMWR_TRAD_AGG_STATE_COMP[],L$1,0),"ERROR")</f>
        <v>388</v>
      </c>
      <c r="M53" s="114">
        <f t="shared" si="6"/>
        <v>0.67128027681660896</v>
      </c>
      <c r="N53" s="111">
        <f>IFERROR(VLOOKUP($B53,MMWR_TRAD_AGG_STATE_COMP[],N$1,0),"ERROR")</f>
        <v>844</v>
      </c>
      <c r="O53" s="112">
        <f>IFERROR(VLOOKUP($B53,MMWR_TRAD_AGG_STATE_COMP[],O$1,0),"ERROR")</f>
        <v>535</v>
      </c>
      <c r="P53" s="114">
        <f t="shared" si="7"/>
        <v>0.63388625592417058</v>
      </c>
      <c r="Q53" s="115">
        <f>IFERROR(VLOOKUP($B53,MMWR_TRAD_AGG_STATE_COMP[],Q$1,0),"ERROR")</f>
        <v>5</v>
      </c>
      <c r="R53" s="115">
        <f>IFERROR(VLOOKUP($B53,MMWR_TRAD_AGG_STATE_COMP[],R$1,0),"ERROR")</f>
        <v>12</v>
      </c>
      <c r="S53" s="115">
        <f>IFERROR(VLOOKUP($B53,MMWR_APP_STATE_COMP[],S$1,0),"ERROR")</f>
        <v>1888</v>
      </c>
      <c r="T53" s="28"/>
    </row>
    <row r="54" spans="1:20" s="123" customFormat="1" x14ac:dyDescent="0.2">
      <c r="A54" s="28"/>
      <c r="B54" s="127" t="s">
        <v>410</v>
      </c>
      <c r="C54" s="109">
        <f>IFERROR(VLOOKUP($B54,MMWR_TRAD_AGG_STATE_COMP[],C$1,0),"ERROR")</f>
        <v>6962</v>
      </c>
      <c r="D54" s="110">
        <f>IFERROR(VLOOKUP($B54,MMWR_TRAD_AGG_STATE_COMP[],D$1,0),"ERROR")</f>
        <v>461.7005170928</v>
      </c>
      <c r="E54" s="111">
        <f>IFERROR(VLOOKUP($B54,MMWR_TRAD_AGG_STATE_COMP[],E$1,0),"ERROR")</f>
        <v>4780</v>
      </c>
      <c r="F54" s="112">
        <f>IFERROR(VLOOKUP($B54,MMWR_TRAD_AGG_STATE_COMP[],F$1,0),"ERROR")</f>
        <v>1223</v>
      </c>
      <c r="G54" s="113">
        <f t="shared" si="4"/>
        <v>0.25585774058577404</v>
      </c>
      <c r="H54" s="111">
        <f>IFERROR(VLOOKUP($B54,MMWR_TRAD_AGG_STATE_COMP[],H$1,0),"ERROR")</f>
        <v>9461</v>
      </c>
      <c r="I54" s="112">
        <f>IFERROR(VLOOKUP($B54,MMWR_TRAD_AGG_STATE_COMP[],I$1,0),"ERROR")</f>
        <v>7346</v>
      </c>
      <c r="J54" s="114">
        <f t="shared" si="5"/>
        <v>0.77645069231582287</v>
      </c>
      <c r="K54" s="111">
        <f>IFERROR(VLOOKUP($B54,MMWR_TRAD_AGG_STATE_COMP[],K$1,0),"ERROR")</f>
        <v>3012</v>
      </c>
      <c r="L54" s="112">
        <f>IFERROR(VLOOKUP($B54,MMWR_TRAD_AGG_STATE_COMP[],L$1,0),"ERROR")</f>
        <v>2734</v>
      </c>
      <c r="M54" s="114">
        <f t="shared" si="6"/>
        <v>0.90770252324037182</v>
      </c>
      <c r="N54" s="111">
        <f>IFERROR(VLOOKUP($B54,MMWR_TRAD_AGG_STATE_COMP[],N$1,0),"ERROR")</f>
        <v>2801</v>
      </c>
      <c r="O54" s="112">
        <f>IFERROR(VLOOKUP($B54,MMWR_TRAD_AGG_STATE_COMP[],O$1,0),"ERROR")</f>
        <v>1779</v>
      </c>
      <c r="P54" s="114">
        <f t="shared" si="7"/>
        <v>0.6351303106033559</v>
      </c>
      <c r="Q54" s="115">
        <f>IFERROR(VLOOKUP($B54,MMWR_TRAD_AGG_STATE_COMP[],Q$1,0),"ERROR")</f>
        <v>7</v>
      </c>
      <c r="R54" s="115">
        <f>IFERROR(VLOOKUP($B54,MMWR_TRAD_AGG_STATE_COMP[],R$1,0),"ERROR")</f>
        <v>82</v>
      </c>
      <c r="S54" s="115">
        <f>IFERROR(VLOOKUP($B54,MMWR_APP_STATE_COMP[],S$1,0),"ERROR")</f>
        <v>5429</v>
      </c>
      <c r="T54" s="28"/>
    </row>
    <row r="55" spans="1:20" s="123" customFormat="1" x14ac:dyDescent="0.2">
      <c r="A55" s="28"/>
      <c r="B55" s="127" t="s">
        <v>80</v>
      </c>
      <c r="C55" s="109">
        <f>IFERROR(VLOOKUP($B55,MMWR_TRAD_AGG_STATE_COMP[],C$1,0),"ERROR")</f>
        <v>10881</v>
      </c>
      <c r="D55" s="110">
        <f>IFERROR(VLOOKUP($B55,MMWR_TRAD_AGG_STATE_COMP[],D$1,0),"ERROR")</f>
        <v>391.01148791470001</v>
      </c>
      <c r="E55" s="111">
        <f>IFERROR(VLOOKUP($B55,MMWR_TRAD_AGG_STATE_COMP[],E$1,0),"ERROR")</f>
        <v>6181</v>
      </c>
      <c r="F55" s="112">
        <f>IFERROR(VLOOKUP($B55,MMWR_TRAD_AGG_STATE_COMP[],F$1,0),"ERROR")</f>
        <v>1269</v>
      </c>
      <c r="G55" s="113">
        <f t="shared" si="4"/>
        <v>0.20530658469503316</v>
      </c>
      <c r="H55" s="111">
        <f>IFERROR(VLOOKUP($B55,MMWR_TRAD_AGG_STATE_COMP[],H$1,0),"ERROR")</f>
        <v>16138</v>
      </c>
      <c r="I55" s="112">
        <f>IFERROR(VLOOKUP($B55,MMWR_TRAD_AGG_STATE_COMP[],I$1,0),"ERROR")</f>
        <v>11856</v>
      </c>
      <c r="J55" s="114">
        <f t="shared" si="5"/>
        <v>0.73466352707894411</v>
      </c>
      <c r="K55" s="111">
        <f>IFERROR(VLOOKUP($B55,MMWR_TRAD_AGG_STATE_COMP[],K$1,0),"ERROR")</f>
        <v>4212</v>
      </c>
      <c r="L55" s="112">
        <f>IFERROR(VLOOKUP($B55,MMWR_TRAD_AGG_STATE_COMP[],L$1,0),"ERROR")</f>
        <v>3191</v>
      </c>
      <c r="M55" s="114">
        <f t="shared" si="6"/>
        <v>0.75759734093067421</v>
      </c>
      <c r="N55" s="111">
        <f>IFERROR(VLOOKUP($B55,MMWR_TRAD_AGG_STATE_COMP[],N$1,0),"ERROR")</f>
        <v>5897</v>
      </c>
      <c r="O55" s="112">
        <f>IFERROR(VLOOKUP($B55,MMWR_TRAD_AGG_STATE_COMP[],O$1,0),"ERROR")</f>
        <v>4173</v>
      </c>
      <c r="P55" s="114">
        <f t="shared" si="7"/>
        <v>0.70764795658809565</v>
      </c>
      <c r="Q55" s="115">
        <f>IFERROR(VLOOKUP($B55,MMWR_TRAD_AGG_STATE_COMP[],Q$1,0),"ERROR")</f>
        <v>10</v>
      </c>
      <c r="R55" s="115">
        <f>IFERROR(VLOOKUP($B55,MMWR_TRAD_AGG_STATE_COMP[],R$1,0),"ERROR")</f>
        <v>141</v>
      </c>
      <c r="S55" s="115">
        <f>IFERROR(VLOOKUP($B55,MMWR_APP_STATE_COMP[],S$1,0),"ERROR")</f>
        <v>5323</v>
      </c>
      <c r="T55" s="28"/>
    </row>
    <row r="56" spans="1:20" s="123" customFormat="1" x14ac:dyDescent="0.2">
      <c r="A56" s="28"/>
      <c r="B56" s="126" t="s">
        <v>381</v>
      </c>
      <c r="C56" s="102">
        <f>IFERROR(VLOOKUP($B56,MMWR_TRAD_AGG_ST_DISTRICT_COMP[],C$1,0),"ERROR")</f>
        <v>69609</v>
      </c>
      <c r="D56" s="103">
        <f>IFERROR(VLOOKUP($B56,MMWR_TRAD_AGG_ST_DISTRICT_COMP[],D$1,0),"ERROR")</f>
        <v>375.18792110219999</v>
      </c>
      <c r="E56" s="102">
        <f>IFERROR(VLOOKUP($B56,MMWR_TRAD_AGG_ST_DISTRICT_COMP[],E$1,0),"ERROR")</f>
        <v>70860</v>
      </c>
      <c r="F56" s="102">
        <f>IFERROR(VLOOKUP($B56,MMWR_TRAD_AGG_ST_DISTRICT_COMP[],F$1,0),"ERROR")</f>
        <v>18665</v>
      </c>
      <c r="G56" s="104">
        <f t="shared" si="4"/>
        <v>0.2634067174710697</v>
      </c>
      <c r="H56" s="102">
        <f>IFERROR(VLOOKUP($B56,MMWR_TRAD_AGG_ST_DISTRICT_COMP[],H$1,0),"ERROR")</f>
        <v>100427</v>
      </c>
      <c r="I56" s="102">
        <f>IFERROR(VLOOKUP($B56,MMWR_TRAD_AGG_ST_DISTRICT_COMP[],I$1,0),"ERROR")</f>
        <v>67792</v>
      </c>
      <c r="J56" s="105">
        <f t="shared" si="5"/>
        <v>0.67503758949286552</v>
      </c>
      <c r="K56" s="102">
        <f>IFERROR(VLOOKUP($B56,MMWR_TRAD_AGG_ST_DISTRICT_COMP[],K$1,0),"ERROR")</f>
        <v>29965</v>
      </c>
      <c r="L56" s="102">
        <f>IFERROR(VLOOKUP($B56,MMWR_TRAD_AGG_ST_DISTRICT_COMP[],L$1,0),"ERROR")</f>
        <v>24773</v>
      </c>
      <c r="M56" s="105">
        <f t="shared" si="6"/>
        <v>0.8267311863841148</v>
      </c>
      <c r="N56" s="102">
        <f>IFERROR(VLOOKUP($B56,MMWR_TRAD_AGG_ST_DISTRICT_COMP[],N$1,0),"ERROR")</f>
        <v>42784</v>
      </c>
      <c r="O56" s="102">
        <f>IFERROR(VLOOKUP($B56,MMWR_TRAD_AGG_ST_DISTRICT_COMP[],O$1,0),"ERROR")</f>
        <v>30083</v>
      </c>
      <c r="P56" s="105">
        <f t="shared" si="7"/>
        <v>0.7031366866118175</v>
      </c>
      <c r="Q56" s="102">
        <f>IFERROR(VLOOKUP($B56,MMWR_TRAD_AGG_ST_DISTRICT_COMP[],Q$1,0),"ERROR")</f>
        <v>5743</v>
      </c>
      <c r="R56" s="106">
        <f>IFERROR(VLOOKUP($B56,MMWR_TRAD_AGG_ST_DISTRICT_COMP[],R$1,0),"ERROR")</f>
        <v>1162</v>
      </c>
      <c r="S56" s="106">
        <f>SUM(S57:S63)</f>
        <v>90476</v>
      </c>
      <c r="T56" s="28"/>
    </row>
    <row r="57" spans="1:20" s="123" customFormat="1" x14ac:dyDescent="0.2">
      <c r="A57" s="28"/>
      <c r="B57" s="127" t="s">
        <v>389</v>
      </c>
      <c r="C57" s="109">
        <f>IFERROR(VLOOKUP($B57,MMWR_TRAD_AGG_STATE_COMP[],C$1,0),"ERROR")</f>
        <v>12634</v>
      </c>
      <c r="D57" s="110">
        <f>IFERROR(VLOOKUP($B57,MMWR_TRAD_AGG_STATE_COMP[],D$1,0),"ERROR")</f>
        <v>390.83465252489998</v>
      </c>
      <c r="E57" s="111">
        <f>IFERROR(VLOOKUP($B57,MMWR_TRAD_AGG_STATE_COMP[],E$1,0),"ERROR")</f>
        <v>7410</v>
      </c>
      <c r="F57" s="112">
        <f>IFERROR(VLOOKUP($B57,MMWR_TRAD_AGG_STATE_COMP[],F$1,0),"ERROR")</f>
        <v>1856</v>
      </c>
      <c r="G57" s="113">
        <f t="shared" si="4"/>
        <v>0.25047233468286101</v>
      </c>
      <c r="H57" s="111">
        <f>IFERROR(VLOOKUP($B57,MMWR_TRAD_AGG_STATE_COMP[],H$1,0),"ERROR")</f>
        <v>16150</v>
      </c>
      <c r="I57" s="112">
        <f>IFERROR(VLOOKUP($B57,MMWR_TRAD_AGG_STATE_COMP[],I$1,0),"ERROR")</f>
        <v>11652</v>
      </c>
      <c r="J57" s="114">
        <f t="shared" si="5"/>
        <v>0.7214860681114551</v>
      </c>
      <c r="K57" s="111">
        <f>IFERROR(VLOOKUP($B57,MMWR_TRAD_AGG_STATE_COMP[],K$1,0),"ERROR")</f>
        <v>5089</v>
      </c>
      <c r="L57" s="112">
        <f>IFERROR(VLOOKUP($B57,MMWR_TRAD_AGG_STATE_COMP[],L$1,0),"ERROR")</f>
        <v>4488</v>
      </c>
      <c r="M57" s="114">
        <f t="shared" si="6"/>
        <v>0.88190214187463156</v>
      </c>
      <c r="N57" s="111">
        <f>IFERROR(VLOOKUP($B57,MMWR_TRAD_AGG_STATE_COMP[],N$1,0),"ERROR")</f>
        <v>3564</v>
      </c>
      <c r="O57" s="112">
        <f>IFERROR(VLOOKUP($B57,MMWR_TRAD_AGG_STATE_COMP[],O$1,0),"ERROR")</f>
        <v>2223</v>
      </c>
      <c r="P57" s="114">
        <f t="shared" si="7"/>
        <v>0.6237373737373737</v>
      </c>
      <c r="Q57" s="115">
        <f>IFERROR(VLOOKUP($B57,MMWR_TRAD_AGG_STATE_COMP[],Q$1,0),"ERROR")</f>
        <v>475</v>
      </c>
      <c r="R57" s="115">
        <f>IFERROR(VLOOKUP($B57,MMWR_TRAD_AGG_STATE_COMP[],R$1,0),"ERROR")</f>
        <v>375</v>
      </c>
      <c r="S57" s="115">
        <f>IFERROR(VLOOKUP($B57,MMWR_APP_STATE_COMP[],S$1,0),"ERROR")</f>
        <v>10612</v>
      </c>
      <c r="T57" s="28"/>
    </row>
    <row r="58" spans="1:20" s="123" customFormat="1" x14ac:dyDescent="0.2">
      <c r="A58" s="28"/>
      <c r="B58" s="127" t="s">
        <v>426</v>
      </c>
      <c r="C58" s="109">
        <f>IFERROR(VLOOKUP($B58,MMWR_TRAD_AGG_STATE_COMP[],C$1,0),"ERROR")</f>
        <v>19318</v>
      </c>
      <c r="D58" s="110">
        <f>IFERROR(VLOOKUP($B58,MMWR_TRAD_AGG_STATE_COMP[],D$1,0),"ERROR")</f>
        <v>339.70462780830002</v>
      </c>
      <c r="E58" s="111">
        <f>IFERROR(VLOOKUP($B58,MMWR_TRAD_AGG_STATE_COMP[],E$1,0),"ERROR")</f>
        <v>21488</v>
      </c>
      <c r="F58" s="112">
        <f>IFERROR(VLOOKUP($B58,MMWR_TRAD_AGG_STATE_COMP[],F$1,0),"ERROR")</f>
        <v>5804</v>
      </c>
      <c r="G58" s="113">
        <f t="shared" si="4"/>
        <v>0.27010424422933732</v>
      </c>
      <c r="H58" s="111">
        <f>IFERROR(VLOOKUP($B58,MMWR_TRAD_AGG_STATE_COMP[],H$1,0),"ERROR")</f>
        <v>27115</v>
      </c>
      <c r="I58" s="112">
        <f>IFERROR(VLOOKUP($B58,MMWR_TRAD_AGG_STATE_COMP[],I$1,0),"ERROR")</f>
        <v>17934</v>
      </c>
      <c r="J58" s="114">
        <f t="shared" si="5"/>
        <v>0.6614051263138484</v>
      </c>
      <c r="K58" s="111">
        <f>IFERROR(VLOOKUP($B58,MMWR_TRAD_AGG_STATE_COMP[],K$1,0),"ERROR")</f>
        <v>7116</v>
      </c>
      <c r="L58" s="112">
        <f>IFERROR(VLOOKUP($B58,MMWR_TRAD_AGG_STATE_COMP[],L$1,0),"ERROR")</f>
        <v>5464</v>
      </c>
      <c r="M58" s="114">
        <f t="shared" si="6"/>
        <v>0.76784710511523324</v>
      </c>
      <c r="N58" s="111">
        <f>IFERROR(VLOOKUP($B58,MMWR_TRAD_AGG_STATE_COMP[],N$1,0),"ERROR")</f>
        <v>16853</v>
      </c>
      <c r="O58" s="112">
        <f>IFERROR(VLOOKUP($B58,MMWR_TRAD_AGG_STATE_COMP[],O$1,0),"ERROR")</f>
        <v>11323</v>
      </c>
      <c r="P58" s="114">
        <f t="shared" si="7"/>
        <v>0.67186851005755654</v>
      </c>
      <c r="Q58" s="115">
        <f>IFERROR(VLOOKUP($B58,MMWR_TRAD_AGG_STATE_COMP[],Q$1,0),"ERROR")</f>
        <v>2030</v>
      </c>
      <c r="R58" s="115">
        <f>IFERROR(VLOOKUP($B58,MMWR_TRAD_AGG_STATE_COMP[],R$1,0),"ERROR")</f>
        <v>281</v>
      </c>
      <c r="S58" s="115">
        <f>IFERROR(VLOOKUP($B58,MMWR_APP_STATE_COMP[],S$1,0),"ERROR")</f>
        <v>31287</v>
      </c>
      <c r="T58" s="28"/>
    </row>
    <row r="59" spans="1:20" s="123" customFormat="1" x14ac:dyDescent="0.2">
      <c r="A59" s="28"/>
      <c r="B59" s="127" t="s">
        <v>382</v>
      </c>
      <c r="C59" s="109">
        <f>IFERROR(VLOOKUP($B59,MMWR_TRAD_AGG_STATE_COMP[],C$1,0),"ERROR")</f>
        <v>14893</v>
      </c>
      <c r="D59" s="110">
        <f>IFERROR(VLOOKUP($B59,MMWR_TRAD_AGG_STATE_COMP[],D$1,0),"ERROR")</f>
        <v>354.51480561339997</v>
      </c>
      <c r="E59" s="111">
        <f>IFERROR(VLOOKUP($B59,MMWR_TRAD_AGG_STATE_COMP[],E$1,0),"ERROR")</f>
        <v>17614</v>
      </c>
      <c r="F59" s="112">
        <f>IFERROR(VLOOKUP($B59,MMWR_TRAD_AGG_STATE_COMP[],F$1,0),"ERROR")</f>
        <v>4882</v>
      </c>
      <c r="G59" s="113">
        <f t="shared" si="4"/>
        <v>0.27716589076870674</v>
      </c>
      <c r="H59" s="111">
        <f>IFERROR(VLOOKUP($B59,MMWR_TRAD_AGG_STATE_COMP[],H$1,0),"ERROR")</f>
        <v>21895</v>
      </c>
      <c r="I59" s="112">
        <f>IFERROR(VLOOKUP($B59,MMWR_TRAD_AGG_STATE_COMP[],I$1,0),"ERROR")</f>
        <v>15290</v>
      </c>
      <c r="J59" s="114">
        <f t="shared" si="5"/>
        <v>0.69833295272893359</v>
      </c>
      <c r="K59" s="111">
        <f>IFERROR(VLOOKUP($B59,MMWR_TRAD_AGG_STATE_COMP[],K$1,0),"ERROR")</f>
        <v>8127</v>
      </c>
      <c r="L59" s="112">
        <f>IFERROR(VLOOKUP($B59,MMWR_TRAD_AGG_STATE_COMP[],L$1,0),"ERROR")</f>
        <v>6811</v>
      </c>
      <c r="M59" s="114">
        <f t="shared" si="6"/>
        <v>0.83807062876830318</v>
      </c>
      <c r="N59" s="111">
        <f>IFERROR(VLOOKUP($B59,MMWR_TRAD_AGG_STATE_COMP[],N$1,0),"ERROR")</f>
        <v>12869</v>
      </c>
      <c r="O59" s="112">
        <f>IFERROR(VLOOKUP($B59,MMWR_TRAD_AGG_STATE_COMP[],O$1,0),"ERROR")</f>
        <v>10715</v>
      </c>
      <c r="P59" s="114">
        <f t="shared" si="7"/>
        <v>0.83262102727484655</v>
      </c>
      <c r="Q59" s="115">
        <f>IFERROR(VLOOKUP($B59,MMWR_TRAD_AGG_STATE_COMP[],Q$1,0),"ERROR")</f>
        <v>1035</v>
      </c>
      <c r="R59" s="115">
        <f>IFERROR(VLOOKUP($B59,MMWR_TRAD_AGG_STATE_COMP[],R$1,0),"ERROR")</f>
        <v>28</v>
      </c>
      <c r="S59" s="115">
        <f>IFERROR(VLOOKUP($B59,MMWR_APP_STATE_COMP[],S$1,0),"ERROR")</f>
        <v>18955</v>
      </c>
      <c r="T59" s="28"/>
    </row>
    <row r="60" spans="1:20" s="123" customFormat="1" x14ac:dyDescent="0.2">
      <c r="A60" s="28"/>
      <c r="B60" s="127" t="s">
        <v>394</v>
      </c>
      <c r="C60" s="109">
        <f>IFERROR(VLOOKUP($B60,MMWR_TRAD_AGG_STATE_COMP[],C$1,0),"ERROR")</f>
        <v>6428</v>
      </c>
      <c r="D60" s="110">
        <f>IFERROR(VLOOKUP($B60,MMWR_TRAD_AGG_STATE_COMP[],D$1,0),"ERROR")</f>
        <v>548.38892345989996</v>
      </c>
      <c r="E60" s="111">
        <f>IFERROR(VLOOKUP($B60,MMWR_TRAD_AGG_STATE_COMP[],E$1,0),"ERROR")</f>
        <v>3410</v>
      </c>
      <c r="F60" s="112">
        <f>IFERROR(VLOOKUP($B60,MMWR_TRAD_AGG_STATE_COMP[],F$1,0),"ERROR")</f>
        <v>694</v>
      </c>
      <c r="G60" s="113">
        <f t="shared" si="4"/>
        <v>0.20351906158357772</v>
      </c>
      <c r="H60" s="111">
        <f>IFERROR(VLOOKUP($B60,MMWR_TRAD_AGG_STATE_COMP[],H$1,0),"ERROR")</f>
        <v>9136</v>
      </c>
      <c r="I60" s="112">
        <f>IFERROR(VLOOKUP($B60,MMWR_TRAD_AGG_STATE_COMP[],I$1,0),"ERROR")</f>
        <v>6576</v>
      </c>
      <c r="J60" s="114">
        <f t="shared" si="5"/>
        <v>0.71978984238178634</v>
      </c>
      <c r="K60" s="111">
        <f>IFERROR(VLOOKUP($B60,MMWR_TRAD_AGG_STATE_COMP[],K$1,0),"ERROR")</f>
        <v>2539</v>
      </c>
      <c r="L60" s="112">
        <f>IFERROR(VLOOKUP($B60,MMWR_TRAD_AGG_STATE_COMP[],L$1,0),"ERROR")</f>
        <v>2177</v>
      </c>
      <c r="M60" s="114">
        <f t="shared" si="6"/>
        <v>0.85742418274911381</v>
      </c>
      <c r="N60" s="111">
        <f>IFERROR(VLOOKUP($B60,MMWR_TRAD_AGG_STATE_COMP[],N$1,0),"ERROR")</f>
        <v>1834</v>
      </c>
      <c r="O60" s="112">
        <f>IFERROR(VLOOKUP($B60,MMWR_TRAD_AGG_STATE_COMP[],O$1,0),"ERROR")</f>
        <v>1005</v>
      </c>
      <c r="P60" s="114">
        <f t="shared" si="7"/>
        <v>0.54798255179934574</v>
      </c>
      <c r="Q60" s="115">
        <f>IFERROR(VLOOKUP($B60,MMWR_TRAD_AGG_STATE_COMP[],Q$1,0),"ERROR")</f>
        <v>559</v>
      </c>
      <c r="R60" s="115">
        <f>IFERROR(VLOOKUP($B60,MMWR_TRAD_AGG_STATE_COMP[],R$1,0),"ERROR")</f>
        <v>148</v>
      </c>
      <c r="S60" s="115">
        <f>IFERROR(VLOOKUP($B60,MMWR_APP_STATE_COMP[],S$1,0),"ERROR")</f>
        <v>3303</v>
      </c>
      <c r="T60" s="28"/>
    </row>
    <row r="61" spans="1:20" s="123" customFormat="1" x14ac:dyDescent="0.2">
      <c r="A61" s="28"/>
      <c r="B61" s="127" t="s">
        <v>428</v>
      </c>
      <c r="C61" s="109">
        <f>IFERROR(VLOOKUP($B61,MMWR_TRAD_AGG_STATE_COMP[],C$1,0),"ERROR")</f>
        <v>1686</v>
      </c>
      <c r="D61" s="110">
        <f>IFERROR(VLOOKUP($B61,MMWR_TRAD_AGG_STATE_COMP[],D$1,0),"ERROR")</f>
        <v>304.27520759190003</v>
      </c>
      <c r="E61" s="111">
        <f>IFERROR(VLOOKUP($B61,MMWR_TRAD_AGG_STATE_COMP[],E$1,0),"ERROR")</f>
        <v>2883</v>
      </c>
      <c r="F61" s="112">
        <f>IFERROR(VLOOKUP($B61,MMWR_TRAD_AGG_STATE_COMP[],F$1,0),"ERROR")</f>
        <v>889</v>
      </c>
      <c r="G61" s="113">
        <f t="shared" si="4"/>
        <v>0.3083593479014915</v>
      </c>
      <c r="H61" s="111">
        <f>IFERROR(VLOOKUP($B61,MMWR_TRAD_AGG_STATE_COMP[],H$1,0),"ERROR")</f>
        <v>4243</v>
      </c>
      <c r="I61" s="112">
        <f>IFERROR(VLOOKUP($B61,MMWR_TRAD_AGG_STATE_COMP[],I$1,0),"ERROR")</f>
        <v>2158</v>
      </c>
      <c r="J61" s="114">
        <f t="shared" si="5"/>
        <v>0.50860240395946266</v>
      </c>
      <c r="K61" s="111">
        <f>IFERROR(VLOOKUP($B61,MMWR_TRAD_AGG_STATE_COMP[],K$1,0),"ERROR")</f>
        <v>924</v>
      </c>
      <c r="L61" s="112">
        <f>IFERROR(VLOOKUP($B61,MMWR_TRAD_AGG_STATE_COMP[],L$1,0),"ERROR")</f>
        <v>755</v>
      </c>
      <c r="M61" s="114">
        <f t="shared" si="6"/>
        <v>0.8170995670995671</v>
      </c>
      <c r="N61" s="111">
        <f>IFERROR(VLOOKUP($B61,MMWR_TRAD_AGG_STATE_COMP[],N$1,0),"ERROR")</f>
        <v>1647</v>
      </c>
      <c r="O61" s="112">
        <f>IFERROR(VLOOKUP($B61,MMWR_TRAD_AGG_STATE_COMP[],O$1,0),"ERROR")</f>
        <v>1214</v>
      </c>
      <c r="P61" s="114">
        <f t="shared" si="7"/>
        <v>0.73709775349119611</v>
      </c>
      <c r="Q61" s="115">
        <f>IFERROR(VLOOKUP($B61,MMWR_TRAD_AGG_STATE_COMP[],Q$1,0),"ERROR")</f>
        <v>366</v>
      </c>
      <c r="R61" s="115">
        <f>IFERROR(VLOOKUP($B61,MMWR_TRAD_AGG_STATE_COMP[],R$1,0),"ERROR")</f>
        <v>4</v>
      </c>
      <c r="S61" s="115">
        <f>IFERROR(VLOOKUP($B61,MMWR_APP_STATE_COMP[],S$1,0),"ERROR")</f>
        <v>5828</v>
      </c>
      <c r="T61" s="28"/>
    </row>
    <row r="62" spans="1:20" s="123" customFormat="1" x14ac:dyDescent="0.2">
      <c r="A62" s="28"/>
      <c r="B62" s="127" t="s">
        <v>384</v>
      </c>
      <c r="C62" s="109">
        <f>IFERROR(VLOOKUP($B62,MMWR_TRAD_AGG_STATE_COMP[],C$1,0),"ERROR")</f>
        <v>9226</v>
      </c>
      <c r="D62" s="110">
        <f>IFERROR(VLOOKUP($B62,MMWR_TRAD_AGG_STATE_COMP[],D$1,0),"ERROR")</f>
        <v>415.83177975289999</v>
      </c>
      <c r="E62" s="111">
        <f>IFERROR(VLOOKUP($B62,MMWR_TRAD_AGG_STATE_COMP[],E$1,0),"ERROR")</f>
        <v>9275</v>
      </c>
      <c r="F62" s="112">
        <f>IFERROR(VLOOKUP($B62,MMWR_TRAD_AGG_STATE_COMP[],F$1,0),"ERROR")</f>
        <v>2622</v>
      </c>
      <c r="G62" s="113">
        <f t="shared" si="4"/>
        <v>0.28269541778975743</v>
      </c>
      <c r="H62" s="111">
        <f>IFERROR(VLOOKUP($B62,MMWR_TRAD_AGG_STATE_COMP[],H$1,0),"ERROR")</f>
        <v>12623</v>
      </c>
      <c r="I62" s="112">
        <f>IFERROR(VLOOKUP($B62,MMWR_TRAD_AGG_STATE_COMP[],I$1,0),"ERROR")</f>
        <v>9113</v>
      </c>
      <c r="J62" s="114">
        <f t="shared" si="5"/>
        <v>0.72193614830072095</v>
      </c>
      <c r="K62" s="111">
        <f>IFERROR(VLOOKUP($B62,MMWR_TRAD_AGG_STATE_COMP[],K$1,0),"ERROR")</f>
        <v>2828</v>
      </c>
      <c r="L62" s="112">
        <f>IFERROR(VLOOKUP($B62,MMWR_TRAD_AGG_STATE_COMP[],L$1,0),"ERROR")</f>
        <v>2281</v>
      </c>
      <c r="M62" s="114">
        <f t="shared" si="6"/>
        <v>0.80657708628005653</v>
      </c>
      <c r="N62" s="111">
        <f>IFERROR(VLOOKUP($B62,MMWR_TRAD_AGG_STATE_COMP[],N$1,0),"ERROR")</f>
        <v>3373</v>
      </c>
      <c r="O62" s="112">
        <f>IFERROR(VLOOKUP($B62,MMWR_TRAD_AGG_STATE_COMP[],O$1,0),"ERROR")</f>
        <v>1919</v>
      </c>
      <c r="P62" s="114">
        <f t="shared" si="7"/>
        <v>0.56892973613993481</v>
      </c>
      <c r="Q62" s="115">
        <f>IFERROR(VLOOKUP($B62,MMWR_TRAD_AGG_STATE_COMP[],Q$1,0),"ERROR")</f>
        <v>648</v>
      </c>
      <c r="R62" s="115">
        <f>IFERROR(VLOOKUP($B62,MMWR_TRAD_AGG_STATE_COMP[],R$1,0),"ERROR")</f>
        <v>61</v>
      </c>
      <c r="S62" s="115">
        <f>IFERROR(VLOOKUP($B62,MMWR_APP_STATE_COMP[],S$1,0),"ERROR")</f>
        <v>13342</v>
      </c>
      <c r="T62" s="28"/>
    </row>
    <row r="63" spans="1:20" s="123" customFormat="1" x14ac:dyDescent="0.2">
      <c r="A63" s="28"/>
      <c r="B63" s="127" t="s">
        <v>385</v>
      </c>
      <c r="C63" s="109">
        <f>IFERROR(VLOOKUP($B63,MMWR_TRAD_AGG_STATE_COMP[],C$1,0),"ERROR")</f>
        <v>5424</v>
      </c>
      <c r="D63" s="110">
        <f>IFERROR(VLOOKUP($B63,MMWR_TRAD_AGG_STATE_COMP[],D$1,0),"ERROR")</f>
        <v>269.53023598819999</v>
      </c>
      <c r="E63" s="111">
        <f>IFERROR(VLOOKUP($B63,MMWR_TRAD_AGG_STATE_COMP[],E$1,0),"ERROR")</f>
        <v>8780</v>
      </c>
      <c r="F63" s="112">
        <f>IFERROR(VLOOKUP($B63,MMWR_TRAD_AGG_STATE_COMP[],F$1,0),"ERROR")</f>
        <v>1918</v>
      </c>
      <c r="G63" s="113">
        <f t="shared" si="4"/>
        <v>0.21845102505694761</v>
      </c>
      <c r="H63" s="111">
        <f>IFERROR(VLOOKUP($B63,MMWR_TRAD_AGG_STATE_COMP[],H$1,0),"ERROR")</f>
        <v>9265</v>
      </c>
      <c r="I63" s="112">
        <f>IFERROR(VLOOKUP($B63,MMWR_TRAD_AGG_STATE_COMP[],I$1,0),"ERROR")</f>
        <v>5069</v>
      </c>
      <c r="J63" s="114">
        <f t="shared" si="5"/>
        <v>0.54711279007015645</v>
      </c>
      <c r="K63" s="111">
        <f>IFERROR(VLOOKUP($B63,MMWR_TRAD_AGG_STATE_COMP[],K$1,0),"ERROR")</f>
        <v>3342</v>
      </c>
      <c r="L63" s="112">
        <f>IFERROR(VLOOKUP($B63,MMWR_TRAD_AGG_STATE_COMP[],L$1,0),"ERROR")</f>
        <v>2797</v>
      </c>
      <c r="M63" s="114">
        <f t="shared" si="6"/>
        <v>0.83692399760622382</v>
      </c>
      <c r="N63" s="111">
        <f>IFERROR(VLOOKUP($B63,MMWR_TRAD_AGG_STATE_COMP[],N$1,0),"ERROR")</f>
        <v>2644</v>
      </c>
      <c r="O63" s="112">
        <f>IFERROR(VLOOKUP($B63,MMWR_TRAD_AGG_STATE_COMP[],O$1,0),"ERROR")</f>
        <v>1684</v>
      </c>
      <c r="P63" s="114">
        <f t="shared" si="7"/>
        <v>0.63691376701966718</v>
      </c>
      <c r="Q63" s="115">
        <f>IFERROR(VLOOKUP($B63,MMWR_TRAD_AGG_STATE_COMP[],Q$1,0),"ERROR")</f>
        <v>630</v>
      </c>
      <c r="R63" s="115">
        <f>IFERROR(VLOOKUP($B63,MMWR_TRAD_AGG_STATE_COMP[],R$1,0),"ERROR")</f>
        <v>265</v>
      </c>
      <c r="S63" s="115">
        <f>IFERROR(VLOOKUP($B63,MMWR_APP_STATE_COMP[],S$1,0),"ERROR")</f>
        <v>7149</v>
      </c>
      <c r="T63" s="28"/>
    </row>
    <row r="64" spans="1:20" s="123" customFormat="1" x14ac:dyDescent="0.2">
      <c r="A64" s="28"/>
      <c r="B64" s="128" t="s">
        <v>8</v>
      </c>
      <c r="C64" s="102">
        <f>IFERROR(VLOOKUP($B64,MMWR_TRAD_AGG_ST_DISTRICT_COMP[],C$1,0),"ERROR")</f>
        <v>3834</v>
      </c>
      <c r="D64" s="103">
        <f>IFERROR(VLOOKUP($B64,MMWR_TRAD_AGG_ST_DISTRICT_COMP[],D$1,0),"ERROR")</f>
        <v>377.52243088159997</v>
      </c>
      <c r="E64" s="102">
        <f>IFERROR(VLOOKUP($B64,MMWR_TRAD_AGG_ST_DISTRICT_COMP[],E$1,0),"ERROR")</f>
        <v>4323</v>
      </c>
      <c r="F64" s="102">
        <f>IFERROR(VLOOKUP($B64,MMWR_TRAD_AGG_ST_DISTRICT_COMP[],F$1,0),"ERROR")</f>
        <v>1913</v>
      </c>
      <c r="G64" s="104">
        <f t="shared" si="4"/>
        <v>0.44251677076104556</v>
      </c>
      <c r="H64" s="102">
        <f>IFERROR(VLOOKUP($B64,MMWR_TRAD_AGG_ST_DISTRICT_COMP[],H$1,0),"ERROR")</f>
        <v>5256</v>
      </c>
      <c r="I64" s="102">
        <f>IFERROR(VLOOKUP($B64,MMWR_TRAD_AGG_ST_DISTRICT_COMP[],I$1,0),"ERROR")</f>
        <v>3788</v>
      </c>
      <c r="J64" s="105">
        <f t="shared" si="5"/>
        <v>0.72070015220700157</v>
      </c>
      <c r="K64" s="102">
        <f>IFERROR(VLOOKUP($B64,MMWR_TRAD_AGG_ST_DISTRICT_COMP[],K$1,0),"ERROR")</f>
        <v>1476</v>
      </c>
      <c r="L64" s="102">
        <f>IFERROR(VLOOKUP($B64,MMWR_TRAD_AGG_ST_DISTRICT_COMP[],L$1,0),"ERROR")</f>
        <v>1043</v>
      </c>
      <c r="M64" s="105">
        <f t="shared" si="6"/>
        <v>0.70663956639566394</v>
      </c>
      <c r="N64" s="102">
        <f>IFERROR(VLOOKUP($B64,MMWR_TRAD_AGG_ST_DISTRICT_COMP[],N$1,0),"ERROR")</f>
        <v>1654</v>
      </c>
      <c r="O64" s="102">
        <f>IFERROR(VLOOKUP($B64,MMWR_TRAD_AGG_ST_DISTRICT_COMP[],O$1,0),"ERROR")</f>
        <v>1040</v>
      </c>
      <c r="P64" s="105">
        <f t="shared" si="7"/>
        <v>0.62877871825876663</v>
      </c>
      <c r="Q64" s="102">
        <f>IFERROR(VLOOKUP($B64,MMWR_TRAD_AGG_ST_DISTRICT_COMP[],Q$1,0),"ERROR")</f>
        <v>458</v>
      </c>
      <c r="R64" s="106">
        <f>IFERROR(VLOOKUP($B64,MMWR_TRAD_AGG_ST_DISTRICT_COMP[],R$1,0),"ERROR")</f>
        <v>152</v>
      </c>
      <c r="S64" s="106">
        <f>IFERROR(VLOOKUP($B64,MMWR_APP_STATE_COMP[],S$1,0),"ERROR")</f>
        <v>427</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488</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225</v>
      </c>
      <c r="D67" s="461"/>
      <c r="E67" s="458" t="s">
        <v>205</v>
      </c>
      <c r="F67" s="459"/>
      <c r="G67" s="460"/>
      <c r="H67" s="458" t="s">
        <v>7</v>
      </c>
      <c r="I67" s="459"/>
      <c r="J67" s="460"/>
      <c r="K67" s="458" t="s">
        <v>30</v>
      </c>
      <c r="L67" s="459"/>
      <c r="M67" s="460"/>
      <c r="N67" s="458" t="s">
        <v>8</v>
      </c>
      <c r="O67" s="459"/>
      <c r="P67" s="460"/>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489</v>
      </c>
      <c r="T68" s="28"/>
    </row>
    <row r="69" spans="1:20" s="123" customFormat="1" x14ac:dyDescent="0.2">
      <c r="A69" s="28"/>
      <c r="B69" s="129" t="s">
        <v>463</v>
      </c>
      <c r="C69" s="119">
        <f>IFERROR(VLOOKUP($B69,MMWR_TRAD_AGG_RO_PEN[],C$1,0),"ERROR")</f>
        <v>25968</v>
      </c>
      <c r="D69" s="120">
        <f>IFERROR(VLOOKUP($B69,MMWR_TRAD_AGG_RO_PEN[],D$1,0),"ERROR")</f>
        <v>74.977934380799994</v>
      </c>
      <c r="E69" s="119">
        <f>IFERROR(VLOOKUP($B69,MMWR_TRAD_AGG_RO_PEN[],E$1,0),"ERROR")</f>
        <v>31429</v>
      </c>
      <c r="F69" s="119">
        <f>IFERROR(VLOOKUP($B69,MMWR_TRAD_AGG_RO_PEN[],F$1,0),"ERROR")</f>
        <v>5976</v>
      </c>
      <c r="G69" s="98">
        <f t="shared" ref="G69:G100" si="8">IFERROR(F69/E69,"0%")</f>
        <v>0.1901428616882497</v>
      </c>
      <c r="H69" s="119">
        <f>IFERROR(VLOOKUP($B69,MMWR_TRAD_AGG_RO_PEN[],H$1,0),"ERROR")</f>
        <v>33529</v>
      </c>
      <c r="I69" s="119">
        <f>IFERROR(VLOOKUP($B69,MMWR_TRAD_AGG_RO_PEN[],I$1,0),"ERROR")</f>
        <v>6486</v>
      </c>
      <c r="J69" s="98">
        <f t="shared" ref="J69:J100" si="9">IFERROR(I69/H69,"0%")</f>
        <v>0.19344448089713381</v>
      </c>
      <c r="K69" s="119">
        <f>IFERROR(VLOOKUP($B69,MMWR_TRAD_AGG_RO_PEN[],K$1,0),"ERROR")</f>
        <v>354</v>
      </c>
      <c r="L69" s="119">
        <f>IFERROR(VLOOKUP($B69,MMWR_TRAD_AGG_RO_PEN[],L$1,0),"ERROR")</f>
        <v>324</v>
      </c>
      <c r="M69" s="98">
        <f t="shared" ref="M69:M100" si="10">IFERROR(L69/K69,"0%")</f>
        <v>0.9152542372881356</v>
      </c>
      <c r="N69" s="119">
        <f>IFERROR(VLOOKUP($B69,MMWR_TRAD_AGG_RO_PEN[],N$1,0),"ERROR")</f>
        <v>1734</v>
      </c>
      <c r="O69" s="119">
        <f>IFERROR(VLOOKUP($B69,MMWR_TRAD_AGG_RO_PEN[],O$1,0),"ERROR")</f>
        <v>518</v>
      </c>
      <c r="P69" s="98">
        <f t="shared" ref="P69:P100" si="11">IFERROR(O69/N69,"0%")</f>
        <v>0.29873125720876587</v>
      </c>
      <c r="Q69" s="119">
        <f>IFERROR(VLOOKUP($B69,MMWR_TRAD_AGG_RO_PEN[],Q$1,0),"ERROR")</f>
        <v>9349</v>
      </c>
      <c r="R69" s="121">
        <f>IFERROR(VLOOKUP($B69,MMWR_TRAD_AGG_RO_PEN[],R$1,0),"ERROR")</f>
        <v>6075</v>
      </c>
      <c r="S69" s="121">
        <f>S70+S86+S99+S109+S119+S127</f>
        <v>6846</v>
      </c>
      <c r="T69" s="28"/>
    </row>
    <row r="70" spans="1:20" s="123" customFormat="1" x14ac:dyDescent="0.2">
      <c r="A70" s="28"/>
      <c r="B70" s="126" t="s">
        <v>370</v>
      </c>
      <c r="C70" s="102">
        <f>IFERROR(VLOOKUP($B70,MMWR_TRAD_AGG_ST_DISTRICT_PEN[],C$1,0),"ERROR")</f>
        <v>7822</v>
      </c>
      <c r="D70" s="103">
        <f>IFERROR(VLOOKUP($B70,MMWR_TRAD_AGG_ST_DISTRICT_PEN[],D$1,0),"ERROR")</f>
        <v>92.829071848599995</v>
      </c>
      <c r="E70" s="102">
        <f>IFERROR(VLOOKUP($B70,MMWR_TRAD_AGG_ST_DISTRICT_PEN[],E$1,0),"ERROR")</f>
        <v>10859</v>
      </c>
      <c r="F70" s="102">
        <f>IFERROR(VLOOKUP($B70,MMWR_TRAD_AGG_ST_DISTRICT_PEN[],F$1,0),"ERROR")</f>
        <v>2853</v>
      </c>
      <c r="G70" s="104">
        <f t="shared" si="8"/>
        <v>0.26273137489639931</v>
      </c>
      <c r="H70" s="102">
        <f>IFERROR(VLOOKUP($B70,MMWR_TRAD_AGG_ST_DISTRICT_PEN[],H$1,0),"ERROR")</f>
        <v>10285</v>
      </c>
      <c r="I70" s="102">
        <f>IFERROR(VLOOKUP($B70,MMWR_TRAD_AGG_ST_DISTRICT_PEN[],I$1,0),"ERROR")</f>
        <v>3035</v>
      </c>
      <c r="J70" s="104">
        <f t="shared" si="9"/>
        <v>0.29508993680116674</v>
      </c>
      <c r="K70" s="102">
        <f>IFERROR(VLOOKUP($B70,MMWR_TRAD_AGG_ST_DISTRICT_PEN[],K$1,0),"ERROR")</f>
        <v>217</v>
      </c>
      <c r="L70" s="102">
        <f>IFERROR(VLOOKUP($B70,MMWR_TRAD_AGG_ST_DISTRICT_PEN[],L$1,0),"ERROR")</f>
        <v>211</v>
      </c>
      <c r="M70" s="104">
        <f t="shared" si="10"/>
        <v>0.97235023041474655</v>
      </c>
      <c r="N70" s="102">
        <f>IFERROR(VLOOKUP($B70,MMWR_TRAD_AGG_ST_DISTRICT_PEN[],N$1,0),"ERROR")</f>
        <v>631</v>
      </c>
      <c r="O70" s="102">
        <f>IFERROR(VLOOKUP($B70,MMWR_TRAD_AGG_ST_DISTRICT_PEN[],O$1,0),"ERROR")</f>
        <v>184</v>
      </c>
      <c r="P70" s="104">
        <f t="shared" si="11"/>
        <v>0.29160063391442154</v>
      </c>
      <c r="Q70" s="102">
        <f>IFERROR(VLOOKUP($B70,MMWR_TRAD_AGG_ST_DISTRICT_PEN[],Q$1,0),"ERROR")</f>
        <v>910</v>
      </c>
      <c r="R70" s="106">
        <f>IFERROR(VLOOKUP($B70,MMWR_TRAD_AGG_ST_DISTRICT_PEN[],R$1,0),"ERROR")</f>
        <v>2422</v>
      </c>
      <c r="S70" s="106">
        <f>IFERROR(VLOOKUP($B70,MMWR_APP_STATE_PEN[],S$1,0),"ERROR")</f>
        <v>1393</v>
      </c>
      <c r="T70" s="28"/>
    </row>
    <row r="71" spans="1:20" s="123" customFormat="1" x14ac:dyDescent="0.2">
      <c r="A71" s="28"/>
      <c r="B71" s="127" t="s">
        <v>374</v>
      </c>
      <c r="C71" s="109">
        <f>IFERROR(VLOOKUP($B71,MMWR_TRAD_AGG_STATE_PEN[],C$1,0),"ERROR")</f>
        <v>218</v>
      </c>
      <c r="D71" s="110">
        <f>IFERROR(VLOOKUP($B71,MMWR_TRAD_AGG_STATE_PEN[],D$1,0),"ERROR")</f>
        <v>95.385321100900001</v>
      </c>
      <c r="E71" s="111">
        <f>IFERROR(VLOOKUP($B71,MMWR_TRAD_AGG_STATE_PEN[],E$1,0),"ERROR")</f>
        <v>363</v>
      </c>
      <c r="F71" s="112">
        <f>IFERROR(VLOOKUP($B71,MMWR_TRAD_AGG_STATE_PEN[],F$1,0),"ERROR")</f>
        <v>108</v>
      </c>
      <c r="G71" s="113">
        <f t="shared" si="8"/>
        <v>0.2975206611570248</v>
      </c>
      <c r="H71" s="111">
        <f>IFERROR(VLOOKUP($B71,MMWR_TRAD_AGG_STATE_PEN[],H$1,0),"ERROR")</f>
        <v>295</v>
      </c>
      <c r="I71" s="112">
        <f>IFERROR(VLOOKUP($B71,MMWR_TRAD_AGG_STATE_PEN[],I$1,0),"ERROR")</f>
        <v>77</v>
      </c>
      <c r="J71" s="114">
        <f t="shared" si="9"/>
        <v>0.26101694915254237</v>
      </c>
      <c r="K71" s="111">
        <f>IFERROR(VLOOKUP($B71,MMWR_TRAD_AGG_STATE_PEN[],K$1,0),"ERROR")</f>
        <v>2</v>
      </c>
      <c r="L71" s="112">
        <f>IFERROR(VLOOKUP($B71,MMWR_TRAD_AGG_STATE_PEN[],L$1,0),"ERROR")</f>
        <v>2</v>
      </c>
      <c r="M71" s="114">
        <f t="shared" si="10"/>
        <v>1</v>
      </c>
      <c r="N71" s="111">
        <f>IFERROR(VLOOKUP($B71,MMWR_TRAD_AGG_STATE_PEN[],N$1,0),"ERROR")</f>
        <v>23</v>
      </c>
      <c r="O71" s="112">
        <f>IFERROR(VLOOKUP($B71,MMWR_TRAD_AGG_STATE_PEN[],O$1,0),"ERROR")</f>
        <v>5</v>
      </c>
      <c r="P71" s="114">
        <f t="shared" si="11"/>
        <v>0.21739130434782608</v>
      </c>
      <c r="Q71" s="115">
        <f>IFERROR(VLOOKUP($B71,MMWR_TRAD_AGG_STATE_PEN[],Q$1,0),"ERROR")</f>
        <v>20</v>
      </c>
      <c r="R71" s="115">
        <f>IFERROR(VLOOKUP($B71,MMWR_TRAD_AGG_STATE_PEN[],R$1,0),"ERROR")</f>
        <v>61</v>
      </c>
      <c r="S71" s="115">
        <f>IFERROR(VLOOKUP($B71,MMWR_APP_STATE_PEN[],S$1,0),"ERROR")</f>
        <v>55</v>
      </c>
      <c r="T71" s="28"/>
    </row>
    <row r="72" spans="1:20" s="123" customFormat="1" x14ac:dyDescent="0.2">
      <c r="A72" s="28"/>
      <c r="B72" s="127" t="s">
        <v>424</v>
      </c>
      <c r="C72" s="109">
        <f>IFERROR(VLOOKUP($B72,MMWR_TRAD_AGG_STATE_PEN[],C$1,0),"ERROR")</f>
        <v>61</v>
      </c>
      <c r="D72" s="110">
        <f>IFERROR(VLOOKUP($B72,MMWR_TRAD_AGG_STATE_PEN[],D$1,0),"ERROR")</f>
        <v>96.934426229500005</v>
      </c>
      <c r="E72" s="111">
        <f>IFERROR(VLOOKUP($B72,MMWR_TRAD_AGG_STATE_PEN[],E$1,0),"ERROR")</f>
        <v>99</v>
      </c>
      <c r="F72" s="112">
        <f>IFERROR(VLOOKUP($B72,MMWR_TRAD_AGG_STATE_PEN[],F$1,0),"ERROR")</f>
        <v>32</v>
      </c>
      <c r="G72" s="113">
        <f t="shared" si="8"/>
        <v>0.32323232323232326</v>
      </c>
      <c r="H72" s="111">
        <f>IFERROR(VLOOKUP($B72,MMWR_TRAD_AGG_STATE_PEN[],H$1,0),"ERROR")</f>
        <v>80</v>
      </c>
      <c r="I72" s="112">
        <f>IFERROR(VLOOKUP($B72,MMWR_TRAD_AGG_STATE_PEN[],I$1,0),"ERROR")</f>
        <v>27</v>
      </c>
      <c r="J72" s="114">
        <f t="shared" si="9"/>
        <v>0.33750000000000002</v>
      </c>
      <c r="K72" s="111">
        <f>IFERROR(VLOOKUP($B72,MMWR_TRAD_AGG_STATE_PEN[],K$1,0),"ERROR")</f>
        <v>2</v>
      </c>
      <c r="L72" s="112">
        <f>IFERROR(VLOOKUP($B72,MMWR_TRAD_AGG_STATE_PEN[],L$1,0),"ERROR")</f>
        <v>2</v>
      </c>
      <c r="M72" s="114">
        <f t="shared" si="10"/>
        <v>1</v>
      </c>
      <c r="N72" s="111">
        <f>IFERROR(VLOOKUP($B72,MMWR_TRAD_AGG_STATE_PEN[],N$1,0),"ERROR")</f>
        <v>7</v>
      </c>
      <c r="O72" s="112">
        <f>IFERROR(VLOOKUP($B72,MMWR_TRAD_AGG_STATE_PEN[],O$1,0),"ERROR")</f>
        <v>1</v>
      </c>
      <c r="P72" s="114">
        <f t="shared" si="11"/>
        <v>0.14285714285714285</v>
      </c>
      <c r="Q72" s="115">
        <f>IFERROR(VLOOKUP($B72,MMWR_TRAD_AGG_STATE_PEN[],Q$1,0),"ERROR")</f>
        <v>9</v>
      </c>
      <c r="R72" s="115">
        <f>IFERROR(VLOOKUP($B72,MMWR_TRAD_AGG_STATE_PEN[],R$1,0),"ERROR")</f>
        <v>25</v>
      </c>
      <c r="S72" s="115">
        <f>IFERROR(VLOOKUP($B72,MMWR_APP_STATE_PEN[],S$1,0),"ERROR")</f>
        <v>14</v>
      </c>
      <c r="T72" s="28"/>
    </row>
    <row r="73" spans="1:20" s="123" customFormat="1" x14ac:dyDescent="0.2">
      <c r="A73" s="28"/>
      <c r="B73" s="127" t="s">
        <v>415</v>
      </c>
      <c r="C73" s="109">
        <f>IFERROR(VLOOKUP($B73,MMWR_TRAD_AGG_STATE_PEN[],C$1,0),"ERROR")</f>
        <v>39</v>
      </c>
      <c r="D73" s="110">
        <f>IFERROR(VLOOKUP($B73,MMWR_TRAD_AGG_STATE_PEN[],D$1,0),"ERROR")</f>
        <v>118.9230769231</v>
      </c>
      <c r="E73" s="111">
        <f>IFERROR(VLOOKUP($B73,MMWR_TRAD_AGG_STATE_PEN[],E$1,0),"ERROR")</f>
        <v>62</v>
      </c>
      <c r="F73" s="112">
        <f>IFERROR(VLOOKUP($B73,MMWR_TRAD_AGG_STATE_PEN[],F$1,0),"ERROR")</f>
        <v>18</v>
      </c>
      <c r="G73" s="113">
        <f t="shared" si="8"/>
        <v>0.29032258064516131</v>
      </c>
      <c r="H73" s="111">
        <f>IFERROR(VLOOKUP($B73,MMWR_TRAD_AGG_STATE_PEN[],H$1,0),"ERROR")</f>
        <v>60</v>
      </c>
      <c r="I73" s="112">
        <f>IFERROR(VLOOKUP($B73,MMWR_TRAD_AGG_STATE_PEN[],I$1,0),"ERROR")</f>
        <v>23</v>
      </c>
      <c r="J73" s="114">
        <f t="shared" si="9"/>
        <v>0.38333333333333336</v>
      </c>
      <c r="K73" s="111">
        <f>IFERROR(VLOOKUP($B73,MMWR_TRAD_AGG_STATE_PEN[],K$1,0),"ERROR")</f>
        <v>2</v>
      </c>
      <c r="L73" s="112">
        <f>IFERROR(VLOOKUP($B73,MMWR_TRAD_AGG_STATE_PEN[],L$1,0),"ERROR")</f>
        <v>2</v>
      </c>
      <c r="M73" s="114">
        <f t="shared" si="10"/>
        <v>1</v>
      </c>
      <c r="N73" s="111">
        <f>IFERROR(VLOOKUP($B73,MMWR_TRAD_AGG_STATE_PEN[],N$1,0),"ERROR")</f>
        <v>0</v>
      </c>
      <c r="O73" s="112">
        <f>IFERROR(VLOOKUP($B73,MMWR_TRAD_AGG_STATE_PEN[],O$1,0),"ERROR")</f>
        <v>0</v>
      </c>
      <c r="P73" s="114" t="str">
        <f t="shared" si="11"/>
        <v>0%</v>
      </c>
      <c r="Q73" s="115">
        <f>IFERROR(VLOOKUP($B73,MMWR_TRAD_AGG_STATE_PEN[],Q$1,0),"ERROR")</f>
        <v>9</v>
      </c>
      <c r="R73" s="115">
        <f>IFERROR(VLOOKUP($B73,MMWR_TRAD_AGG_STATE_PEN[],R$1,0),"ERROR")</f>
        <v>19</v>
      </c>
      <c r="S73" s="115">
        <f>IFERROR(VLOOKUP($B73,MMWR_APP_STATE_PEN[],S$1,0),"ERROR")</f>
        <v>14</v>
      </c>
      <c r="T73" s="28"/>
    </row>
    <row r="74" spans="1:20" s="123" customFormat="1" x14ac:dyDescent="0.2">
      <c r="A74" s="28"/>
      <c r="B74" s="127" t="s">
        <v>417</v>
      </c>
      <c r="C74" s="109">
        <f>IFERROR(VLOOKUP($B74,MMWR_TRAD_AGG_STATE_PEN[],C$1,0),"ERROR")</f>
        <v>145</v>
      </c>
      <c r="D74" s="110">
        <f>IFERROR(VLOOKUP($B74,MMWR_TRAD_AGG_STATE_PEN[],D$1,0),"ERROR")</f>
        <v>96.020689655200002</v>
      </c>
      <c r="E74" s="111">
        <f>IFERROR(VLOOKUP($B74,MMWR_TRAD_AGG_STATE_PEN[],E$1,0),"ERROR")</f>
        <v>146</v>
      </c>
      <c r="F74" s="112">
        <f>IFERROR(VLOOKUP($B74,MMWR_TRAD_AGG_STATE_PEN[],F$1,0),"ERROR")</f>
        <v>33</v>
      </c>
      <c r="G74" s="113">
        <f t="shared" si="8"/>
        <v>0.22602739726027396</v>
      </c>
      <c r="H74" s="111">
        <f>IFERROR(VLOOKUP($B74,MMWR_TRAD_AGG_STATE_PEN[],H$1,0),"ERROR")</f>
        <v>184</v>
      </c>
      <c r="I74" s="112">
        <f>IFERROR(VLOOKUP($B74,MMWR_TRAD_AGG_STATE_PEN[],I$1,0),"ERROR")</f>
        <v>58</v>
      </c>
      <c r="J74" s="114">
        <f t="shared" si="9"/>
        <v>0.31521739130434784</v>
      </c>
      <c r="K74" s="111">
        <f>IFERROR(VLOOKUP($B74,MMWR_TRAD_AGG_STATE_PEN[],K$1,0),"ERROR")</f>
        <v>1</v>
      </c>
      <c r="L74" s="112">
        <f>IFERROR(VLOOKUP($B74,MMWR_TRAD_AGG_STATE_PEN[],L$1,0),"ERROR")</f>
        <v>1</v>
      </c>
      <c r="M74" s="114">
        <f t="shared" si="10"/>
        <v>1</v>
      </c>
      <c r="N74" s="111">
        <f>IFERROR(VLOOKUP($B74,MMWR_TRAD_AGG_STATE_PEN[],N$1,0),"ERROR")</f>
        <v>15</v>
      </c>
      <c r="O74" s="112">
        <f>IFERROR(VLOOKUP($B74,MMWR_TRAD_AGG_STATE_PEN[],O$1,0),"ERROR")</f>
        <v>3</v>
      </c>
      <c r="P74" s="114">
        <f t="shared" si="11"/>
        <v>0.2</v>
      </c>
      <c r="Q74" s="115">
        <f>IFERROR(VLOOKUP($B74,MMWR_TRAD_AGG_STATE_PEN[],Q$1,0),"ERROR")</f>
        <v>19</v>
      </c>
      <c r="R74" s="115">
        <f>IFERROR(VLOOKUP($B74,MMWR_TRAD_AGG_STATE_PEN[],R$1,0),"ERROR")</f>
        <v>34</v>
      </c>
      <c r="S74" s="115">
        <f>IFERROR(VLOOKUP($B74,MMWR_APP_STATE_PEN[],S$1,0),"ERROR")</f>
        <v>24</v>
      </c>
      <c r="T74" s="28"/>
    </row>
    <row r="75" spans="1:20" s="123" customFormat="1" x14ac:dyDescent="0.2">
      <c r="A75" s="28"/>
      <c r="B75" s="127" t="s">
        <v>377</v>
      </c>
      <c r="C75" s="109">
        <f>IFERROR(VLOOKUP($B75,MMWR_TRAD_AGG_STATE_PEN[],C$1,0),"ERROR")</f>
        <v>368</v>
      </c>
      <c r="D75" s="110">
        <f>IFERROR(VLOOKUP($B75,MMWR_TRAD_AGG_STATE_PEN[],D$1,0),"ERROR")</f>
        <v>91.782608695700006</v>
      </c>
      <c r="E75" s="111">
        <f>IFERROR(VLOOKUP($B75,MMWR_TRAD_AGG_STATE_PEN[],E$1,0),"ERROR")</f>
        <v>596</v>
      </c>
      <c r="F75" s="112">
        <f>IFERROR(VLOOKUP($B75,MMWR_TRAD_AGG_STATE_PEN[],F$1,0),"ERROR")</f>
        <v>144</v>
      </c>
      <c r="G75" s="113">
        <f t="shared" si="8"/>
        <v>0.24161073825503357</v>
      </c>
      <c r="H75" s="111">
        <f>IFERROR(VLOOKUP($B75,MMWR_TRAD_AGG_STATE_PEN[],H$1,0),"ERROR")</f>
        <v>511</v>
      </c>
      <c r="I75" s="112">
        <f>IFERROR(VLOOKUP($B75,MMWR_TRAD_AGG_STATE_PEN[],I$1,0),"ERROR")</f>
        <v>147</v>
      </c>
      <c r="J75" s="114">
        <f t="shared" si="9"/>
        <v>0.28767123287671231</v>
      </c>
      <c r="K75" s="111">
        <f>IFERROR(VLOOKUP($B75,MMWR_TRAD_AGG_STATE_PEN[],K$1,0),"ERROR")</f>
        <v>11</v>
      </c>
      <c r="L75" s="112">
        <f>IFERROR(VLOOKUP($B75,MMWR_TRAD_AGG_STATE_PEN[],L$1,0),"ERROR")</f>
        <v>11</v>
      </c>
      <c r="M75" s="114">
        <f t="shared" si="10"/>
        <v>1</v>
      </c>
      <c r="N75" s="111">
        <f>IFERROR(VLOOKUP($B75,MMWR_TRAD_AGG_STATE_PEN[],N$1,0),"ERROR")</f>
        <v>36</v>
      </c>
      <c r="O75" s="112">
        <f>IFERROR(VLOOKUP($B75,MMWR_TRAD_AGG_STATE_PEN[],O$1,0),"ERROR")</f>
        <v>13</v>
      </c>
      <c r="P75" s="114">
        <f t="shared" si="11"/>
        <v>0.3611111111111111</v>
      </c>
      <c r="Q75" s="115">
        <f>IFERROR(VLOOKUP($B75,MMWR_TRAD_AGG_STATE_PEN[],Q$1,0),"ERROR")</f>
        <v>47</v>
      </c>
      <c r="R75" s="115">
        <f>IFERROR(VLOOKUP($B75,MMWR_TRAD_AGG_STATE_PEN[],R$1,0),"ERROR")</f>
        <v>162</v>
      </c>
      <c r="S75" s="115">
        <f>IFERROR(VLOOKUP($B75,MMWR_APP_STATE_PEN[],S$1,0),"ERROR")</f>
        <v>81</v>
      </c>
      <c r="T75" s="28"/>
    </row>
    <row r="76" spans="1:20" s="123" customFormat="1" x14ac:dyDescent="0.2">
      <c r="A76" s="28"/>
      <c r="B76" s="127" t="s">
        <v>372</v>
      </c>
      <c r="C76" s="109">
        <f>IFERROR(VLOOKUP($B76,MMWR_TRAD_AGG_STATE_PEN[],C$1,0),"ERROR")</f>
        <v>414</v>
      </c>
      <c r="D76" s="110">
        <f>IFERROR(VLOOKUP($B76,MMWR_TRAD_AGG_STATE_PEN[],D$1,0),"ERROR")</f>
        <v>97.357487922700003</v>
      </c>
      <c r="E76" s="111">
        <f>IFERROR(VLOOKUP($B76,MMWR_TRAD_AGG_STATE_PEN[],E$1,0),"ERROR")</f>
        <v>641</v>
      </c>
      <c r="F76" s="112">
        <f>IFERROR(VLOOKUP($B76,MMWR_TRAD_AGG_STATE_PEN[],F$1,0),"ERROR")</f>
        <v>153</v>
      </c>
      <c r="G76" s="113">
        <f t="shared" si="8"/>
        <v>0.23868954758190328</v>
      </c>
      <c r="H76" s="111">
        <f>IFERROR(VLOOKUP($B76,MMWR_TRAD_AGG_STATE_PEN[],H$1,0),"ERROR")</f>
        <v>541</v>
      </c>
      <c r="I76" s="112">
        <f>IFERROR(VLOOKUP($B76,MMWR_TRAD_AGG_STATE_PEN[],I$1,0),"ERROR")</f>
        <v>169</v>
      </c>
      <c r="J76" s="114">
        <f t="shared" si="9"/>
        <v>0.3123844731977819</v>
      </c>
      <c r="K76" s="111">
        <f>IFERROR(VLOOKUP($B76,MMWR_TRAD_AGG_STATE_PEN[],K$1,0),"ERROR")</f>
        <v>2</v>
      </c>
      <c r="L76" s="112">
        <f>IFERROR(VLOOKUP($B76,MMWR_TRAD_AGG_STATE_PEN[],L$1,0),"ERROR")</f>
        <v>2</v>
      </c>
      <c r="M76" s="114">
        <f t="shared" si="10"/>
        <v>1</v>
      </c>
      <c r="N76" s="111">
        <f>IFERROR(VLOOKUP($B76,MMWR_TRAD_AGG_STATE_PEN[],N$1,0),"ERROR")</f>
        <v>53</v>
      </c>
      <c r="O76" s="112">
        <f>IFERROR(VLOOKUP($B76,MMWR_TRAD_AGG_STATE_PEN[],O$1,0),"ERROR")</f>
        <v>11</v>
      </c>
      <c r="P76" s="114">
        <f t="shared" si="11"/>
        <v>0.20754716981132076</v>
      </c>
      <c r="Q76" s="115">
        <f>IFERROR(VLOOKUP($B76,MMWR_TRAD_AGG_STATE_PEN[],Q$1,0),"ERROR")</f>
        <v>51</v>
      </c>
      <c r="R76" s="115">
        <f>IFERROR(VLOOKUP($B76,MMWR_TRAD_AGG_STATE_PEN[],R$1,0),"ERROR")</f>
        <v>163</v>
      </c>
      <c r="S76" s="115">
        <f>IFERROR(VLOOKUP($B76,MMWR_APP_STATE_PEN[],S$1,0),"ERROR")</f>
        <v>98</v>
      </c>
      <c r="T76" s="28"/>
    </row>
    <row r="77" spans="1:20" s="123" customFormat="1" x14ac:dyDescent="0.2">
      <c r="A77" s="28"/>
      <c r="B77" s="127" t="s">
        <v>416</v>
      </c>
      <c r="C77" s="109">
        <f>IFERROR(VLOOKUP($B77,MMWR_TRAD_AGG_STATE_PEN[],C$1,0),"ERROR")</f>
        <v>109</v>
      </c>
      <c r="D77" s="110">
        <f>IFERROR(VLOOKUP($B77,MMWR_TRAD_AGG_STATE_PEN[],D$1,0),"ERROR")</f>
        <v>105.2935779817</v>
      </c>
      <c r="E77" s="111">
        <f>IFERROR(VLOOKUP($B77,MMWR_TRAD_AGG_STATE_PEN[],E$1,0),"ERROR")</f>
        <v>160</v>
      </c>
      <c r="F77" s="112">
        <f>IFERROR(VLOOKUP($B77,MMWR_TRAD_AGG_STATE_PEN[],F$1,0),"ERROR")</f>
        <v>32</v>
      </c>
      <c r="G77" s="113">
        <f t="shared" si="8"/>
        <v>0.2</v>
      </c>
      <c r="H77" s="111">
        <f>IFERROR(VLOOKUP($B77,MMWR_TRAD_AGG_STATE_PEN[],H$1,0),"ERROR")</f>
        <v>143</v>
      </c>
      <c r="I77" s="112">
        <f>IFERROR(VLOOKUP($B77,MMWR_TRAD_AGG_STATE_PEN[],I$1,0),"ERROR")</f>
        <v>52</v>
      </c>
      <c r="J77" s="114">
        <f t="shared" si="9"/>
        <v>0.36363636363636365</v>
      </c>
      <c r="K77" s="111">
        <f>IFERROR(VLOOKUP($B77,MMWR_TRAD_AGG_STATE_PEN[],K$1,0),"ERROR")</f>
        <v>1</v>
      </c>
      <c r="L77" s="112">
        <f>IFERROR(VLOOKUP($B77,MMWR_TRAD_AGG_STATE_PEN[],L$1,0),"ERROR")</f>
        <v>0</v>
      </c>
      <c r="M77" s="114">
        <f t="shared" si="10"/>
        <v>0</v>
      </c>
      <c r="N77" s="111">
        <f>IFERROR(VLOOKUP($B77,MMWR_TRAD_AGG_STATE_PEN[],N$1,0),"ERROR")</f>
        <v>17</v>
      </c>
      <c r="O77" s="112">
        <f>IFERROR(VLOOKUP($B77,MMWR_TRAD_AGG_STATE_PEN[],O$1,0),"ERROR")</f>
        <v>3</v>
      </c>
      <c r="P77" s="114">
        <f t="shared" si="11"/>
        <v>0.17647058823529413</v>
      </c>
      <c r="Q77" s="115">
        <f>IFERROR(VLOOKUP($B77,MMWR_TRAD_AGG_STATE_PEN[],Q$1,0),"ERROR")</f>
        <v>10</v>
      </c>
      <c r="R77" s="115">
        <f>IFERROR(VLOOKUP($B77,MMWR_TRAD_AGG_STATE_PEN[],R$1,0),"ERROR")</f>
        <v>34</v>
      </c>
      <c r="S77" s="115">
        <f>IFERROR(VLOOKUP($B77,MMWR_APP_STATE_PEN[],S$1,0),"ERROR")</f>
        <v>16</v>
      </c>
      <c r="T77" s="28"/>
    </row>
    <row r="78" spans="1:20" s="123" customFormat="1" x14ac:dyDescent="0.2">
      <c r="A78" s="28"/>
      <c r="B78" s="127" t="s">
        <v>375</v>
      </c>
      <c r="C78" s="109">
        <f>IFERROR(VLOOKUP($B78,MMWR_TRAD_AGG_STATE_PEN[],C$1,0),"ERROR")</f>
        <v>470</v>
      </c>
      <c r="D78" s="110">
        <f>IFERROR(VLOOKUP($B78,MMWR_TRAD_AGG_STATE_PEN[],D$1,0),"ERROR")</f>
        <v>101.61489361700001</v>
      </c>
      <c r="E78" s="111">
        <f>IFERROR(VLOOKUP($B78,MMWR_TRAD_AGG_STATE_PEN[],E$1,0),"ERROR")</f>
        <v>776</v>
      </c>
      <c r="F78" s="112">
        <f>IFERROR(VLOOKUP($B78,MMWR_TRAD_AGG_STATE_PEN[],F$1,0),"ERROR")</f>
        <v>211</v>
      </c>
      <c r="G78" s="113">
        <f t="shared" si="8"/>
        <v>0.27190721649484534</v>
      </c>
      <c r="H78" s="111">
        <f>IFERROR(VLOOKUP($B78,MMWR_TRAD_AGG_STATE_PEN[],H$1,0),"ERROR")</f>
        <v>593</v>
      </c>
      <c r="I78" s="112">
        <f>IFERROR(VLOOKUP($B78,MMWR_TRAD_AGG_STATE_PEN[],I$1,0),"ERROR")</f>
        <v>209</v>
      </c>
      <c r="J78" s="114">
        <f t="shared" si="9"/>
        <v>0.35244519392917367</v>
      </c>
      <c r="K78" s="111">
        <f>IFERROR(VLOOKUP($B78,MMWR_TRAD_AGG_STATE_PEN[],K$1,0),"ERROR")</f>
        <v>4</v>
      </c>
      <c r="L78" s="112">
        <f>IFERROR(VLOOKUP($B78,MMWR_TRAD_AGG_STATE_PEN[],L$1,0),"ERROR")</f>
        <v>3</v>
      </c>
      <c r="M78" s="114">
        <f t="shared" si="10"/>
        <v>0.75</v>
      </c>
      <c r="N78" s="111">
        <f>IFERROR(VLOOKUP($B78,MMWR_TRAD_AGG_STATE_PEN[],N$1,0),"ERROR")</f>
        <v>39</v>
      </c>
      <c r="O78" s="112">
        <f>IFERROR(VLOOKUP($B78,MMWR_TRAD_AGG_STATE_PEN[],O$1,0),"ERROR")</f>
        <v>11</v>
      </c>
      <c r="P78" s="114">
        <f t="shared" si="11"/>
        <v>0.28205128205128205</v>
      </c>
      <c r="Q78" s="115">
        <f>IFERROR(VLOOKUP($B78,MMWR_TRAD_AGG_STATE_PEN[],Q$1,0),"ERROR")</f>
        <v>53</v>
      </c>
      <c r="R78" s="115">
        <f>IFERROR(VLOOKUP($B78,MMWR_TRAD_AGG_STATE_PEN[],R$1,0),"ERROR")</f>
        <v>194</v>
      </c>
      <c r="S78" s="115">
        <f>IFERROR(VLOOKUP($B78,MMWR_APP_STATE_PEN[],S$1,0),"ERROR")</f>
        <v>174</v>
      </c>
      <c r="T78" s="28"/>
    </row>
    <row r="79" spans="1:20" s="123" customFormat="1" x14ac:dyDescent="0.2">
      <c r="A79" s="28"/>
      <c r="B79" s="127" t="s">
        <v>60</v>
      </c>
      <c r="C79" s="109">
        <f>IFERROR(VLOOKUP($B79,MMWR_TRAD_AGG_STATE_PEN[],C$1,0),"ERROR")</f>
        <v>1243</v>
      </c>
      <c r="D79" s="110">
        <f>IFERROR(VLOOKUP($B79,MMWR_TRAD_AGG_STATE_PEN[],D$1,0),"ERROR")</f>
        <v>99.816572807699998</v>
      </c>
      <c r="E79" s="111">
        <f>IFERROR(VLOOKUP($B79,MMWR_TRAD_AGG_STATE_PEN[],E$1,0),"ERROR")</f>
        <v>2228</v>
      </c>
      <c r="F79" s="112">
        <f>IFERROR(VLOOKUP($B79,MMWR_TRAD_AGG_STATE_PEN[],F$1,0),"ERROR")</f>
        <v>622</v>
      </c>
      <c r="G79" s="113">
        <f t="shared" si="8"/>
        <v>0.27917414721723521</v>
      </c>
      <c r="H79" s="111">
        <f>IFERROR(VLOOKUP($B79,MMWR_TRAD_AGG_STATE_PEN[],H$1,0),"ERROR")</f>
        <v>1715</v>
      </c>
      <c r="I79" s="112">
        <f>IFERROR(VLOOKUP($B79,MMWR_TRAD_AGG_STATE_PEN[],I$1,0),"ERROR")</f>
        <v>563</v>
      </c>
      <c r="J79" s="114">
        <f t="shared" si="9"/>
        <v>0.32827988338192421</v>
      </c>
      <c r="K79" s="111">
        <f>IFERROR(VLOOKUP($B79,MMWR_TRAD_AGG_STATE_PEN[],K$1,0),"ERROR")</f>
        <v>13</v>
      </c>
      <c r="L79" s="112">
        <f>IFERROR(VLOOKUP($B79,MMWR_TRAD_AGG_STATE_PEN[],L$1,0),"ERROR")</f>
        <v>12</v>
      </c>
      <c r="M79" s="114">
        <f t="shared" si="10"/>
        <v>0.92307692307692313</v>
      </c>
      <c r="N79" s="111">
        <f>IFERROR(VLOOKUP($B79,MMWR_TRAD_AGG_STATE_PEN[],N$1,0),"ERROR")</f>
        <v>85</v>
      </c>
      <c r="O79" s="112">
        <f>IFERROR(VLOOKUP($B79,MMWR_TRAD_AGG_STATE_PEN[],O$1,0),"ERROR")</f>
        <v>25</v>
      </c>
      <c r="P79" s="114">
        <f t="shared" si="11"/>
        <v>0.29411764705882354</v>
      </c>
      <c r="Q79" s="115">
        <f>IFERROR(VLOOKUP($B79,MMWR_TRAD_AGG_STATE_PEN[],Q$1,0),"ERROR")</f>
        <v>139</v>
      </c>
      <c r="R79" s="115">
        <f>IFERROR(VLOOKUP($B79,MMWR_TRAD_AGG_STATE_PEN[],R$1,0),"ERROR")</f>
        <v>368</v>
      </c>
      <c r="S79" s="115">
        <f>IFERROR(VLOOKUP($B79,MMWR_APP_STATE_PEN[],S$1,0),"ERROR")</f>
        <v>251</v>
      </c>
      <c r="T79" s="28"/>
    </row>
    <row r="80" spans="1:20" s="123" customFormat="1" x14ac:dyDescent="0.2">
      <c r="A80" s="28"/>
      <c r="B80" s="127" t="s">
        <v>383</v>
      </c>
      <c r="C80" s="109">
        <f>IFERROR(VLOOKUP($B80,MMWR_TRAD_AGG_STATE_PEN[],C$1,0),"ERROR")</f>
        <v>1726</v>
      </c>
      <c r="D80" s="110">
        <f>IFERROR(VLOOKUP($B80,MMWR_TRAD_AGG_STATE_PEN[],D$1,0),"ERROR")</f>
        <v>84.731170336000005</v>
      </c>
      <c r="E80" s="111">
        <f>IFERROR(VLOOKUP($B80,MMWR_TRAD_AGG_STATE_PEN[],E$1,0),"ERROR")</f>
        <v>1644</v>
      </c>
      <c r="F80" s="112">
        <f>IFERROR(VLOOKUP($B80,MMWR_TRAD_AGG_STATE_PEN[],F$1,0),"ERROR")</f>
        <v>387</v>
      </c>
      <c r="G80" s="113">
        <f t="shared" si="8"/>
        <v>0.23540145985401459</v>
      </c>
      <c r="H80" s="111">
        <f>IFERROR(VLOOKUP($B80,MMWR_TRAD_AGG_STATE_PEN[],H$1,0),"ERROR")</f>
        <v>2136</v>
      </c>
      <c r="I80" s="112">
        <f>IFERROR(VLOOKUP($B80,MMWR_TRAD_AGG_STATE_PEN[],I$1,0),"ERROR")</f>
        <v>559</v>
      </c>
      <c r="J80" s="114">
        <f t="shared" si="9"/>
        <v>0.26170411985018727</v>
      </c>
      <c r="K80" s="111">
        <f>IFERROR(VLOOKUP($B80,MMWR_TRAD_AGG_STATE_PEN[],K$1,0),"ERROR")</f>
        <v>29</v>
      </c>
      <c r="L80" s="112">
        <f>IFERROR(VLOOKUP($B80,MMWR_TRAD_AGG_STATE_PEN[],L$1,0),"ERROR")</f>
        <v>28</v>
      </c>
      <c r="M80" s="114">
        <f t="shared" si="10"/>
        <v>0.96551724137931039</v>
      </c>
      <c r="N80" s="111">
        <f>IFERROR(VLOOKUP($B80,MMWR_TRAD_AGG_STATE_PEN[],N$1,0),"ERROR")</f>
        <v>132</v>
      </c>
      <c r="O80" s="112">
        <f>IFERROR(VLOOKUP($B80,MMWR_TRAD_AGG_STATE_PEN[],O$1,0),"ERROR")</f>
        <v>44</v>
      </c>
      <c r="P80" s="114">
        <f t="shared" si="11"/>
        <v>0.33333333333333331</v>
      </c>
      <c r="Q80" s="115">
        <f>IFERROR(VLOOKUP($B80,MMWR_TRAD_AGG_STATE_PEN[],Q$1,0),"ERROR")</f>
        <v>207</v>
      </c>
      <c r="R80" s="115">
        <f>IFERROR(VLOOKUP($B80,MMWR_TRAD_AGG_STATE_PEN[],R$1,0),"ERROR")</f>
        <v>458</v>
      </c>
      <c r="S80" s="115">
        <f>IFERROR(VLOOKUP($B80,MMWR_APP_STATE_PEN[],S$1,0),"ERROR")</f>
        <v>205</v>
      </c>
      <c r="T80" s="28"/>
    </row>
    <row r="81" spans="1:20" s="123" customFormat="1" x14ac:dyDescent="0.2">
      <c r="A81" s="28"/>
      <c r="B81" s="127" t="s">
        <v>376</v>
      </c>
      <c r="C81" s="109">
        <f>IFERROR(VLOOKUP($B81,MMWR_TRAD_AGG_STATE_PEN[],C$1,0),"ERROR")</f>
        <v>1688</v>
      </c>
      <c r="D81" s="110">
        <f>IFERROR(VLOOKUP($B81,MMWR_TRAD_AGG_STATE_PEN[],D$1,0),"ERROR")</f>
        <v>92.986966824600003</v>
      </c>
      <c r="E81" s="111">
        <f>IFERROR(VLOOKUP($B81,MMWR_TRAD_AGG_STATE_PEN[],E$1,0),"ERROR")</f>
        <v>2764</v>
      </c>
      <c r="F81" s="112">
        <f>IFERROR(VLOOKUP($B81,MMWR_TRAD_AGG_STATE_PEN[],F$1,0),"ERROR")</f>
        <v>762</v>
      </c>
      <c r="G81" s="113">
        <f t="shared" si="8"/>
        <v>0.27568740955137483</v>
      </c>
      <c r="H81" s="111">
        <f>IFERROR(VLOOKUP($B81,MMWR_TRAD_AGG_STATE_PEN[],H$1,0),"ERROR")</f>
        <v>2321</v>
      </c>
      <c r="I81" s="112">
        <f>IFERROR(VLOOKUP($B81,MMWR_TRAD_AGG_STATE_PEN[],I$1,0),"ERROR")</f>
        <v>688</v>
      </c>
      <c r="J81" s="114">
        <f t="shared" si="9"/>
        <v>0.29642395519172771</v>
      </c>
      <c r="K81" s="111">
        <f>IFERROR(VLOOKUP($B81,MMWR_TRAD_AGG_STATE_PEN[],K$1,0),"ERROR")</f>
        <v>7</v>
      </c>
      <c r="L81" s="112">
        <f>IFERROR(VLOOKUP($B81,MMWR_TRAD_AGG_STATE_PEN[],L$1,0),"ERROR")</f>
        <v>7</v>
      </c>
      <c r="M81" s="114">
        <f t="shared" si="10"/>
        <v>1</v>
      </c>
      <c r="N81" s="111">
        <f>IFERROR(VLOOKUP($B81,MMWR_TRAD_AGG_STATE_PEN[],N$1,0),"ERROR")</f>
        <v>125</v>
      </c>
      <c r="O81" s="112">
        <f>IFERROR(VLOOKUP($B81,MMWR_TRAD_AGG_STATE_PEN[],O$1,0),"ERROR")</f>
        <v>28</v>
      </c>
      <c r="P81" s="114">
        <f t="shared" si="11"/>
        <v>0.224</v>
      </c>
      <c r="Q81" s="115">
        <f>IFERROR(VLOOKUP($B81,MMWR_TRAD_AGG_STATE_PEN[],Q$1,0),"ERROR")</f>
        <v>137</v>
      </c>
      <c r="R81" s="115">
        <f>IFERROR(VLOOKUP($B81,MMWR_TRAD_AGG_STATE_PEN[],R$1,0),"ERROR")</f>
        <v>466</v>
      </c>
      <c r="S81" s="115">
        <f>IFERROR(VLOOKUP($B81,MMWR_APP_STATE_PEN[],S$1,0),"ERROR")</f>
        <v>231</v>
      </c>
      <c r="T81" s="28"/>
    </row>
    <row r="82" spans="1:20" s="123" customFormat="1" x14ac:dyDescent="0.2">
      <c r="A82" s="28"/>
      <c r="B82" s="127" t="s">
        <v>373</v>
      </c>
      <c r="C82" s="109">
        <f>IFERROR(VLOOKUP($B82,MMWR_TRAD_AGG_STATE_PEN[],C$1,0),"ERROR")</f>
        <v>98</v>
      </c>
      <c r="D82" s="110">
        <f>IFERROR(VLOOKUP($B82,MMWR_TRAD_AGG_STATE_PEN[],D$1,0),"ERROR")</f>
        <v>85.244897959200003</v>
      </c>
      <c r="E82" s="111">
        <f>IFERROR(VLOOKUP($B82,MMWR_TRAD_AGG_STATE_PEN[],E$1,0),"ERROR")</f>
        <v>167</v>
      </c>
      <c r="F82" s="112">
        <f>IFERROR(VLOOKUP($B82,MMWR_TRAD_AGG_STATE_PEN[],F$1,0),"ERROR")</f>
        <v>50</v>
      </c>
      <c r="G82" s="113">
        <f t="shared" si="8"/>
        <v>0.29940119760479039</v>
      </c>
      <c r="H82" s="111">
        <f>IFERROR(VLOOKUP($B82,MMWR_TRAD_AGG_STATE_PEN[],H$1,0),"ERROR")</f>
        <v>139</v>
      </c>
      <c r="I82" s="112">
        <f>IFERROR(VLOOKUP($B82,MMWR_TRAD_AGG_STATE_PEN[],I$1,0),"ERROR")</f>
        <v>34</v>
      </c>
      <c r="J82" s="114">
        <f t="shared" si="9"/>
        <v>0.2446043165467626</v>
      </c>
      <c r="K82" s="111">
        <f>IFERROR(VLOOKUP($B82,MMWR_TRAD_AGG_STATE_PEN[],K$1,0),"ERROR")</f>
        <v>1</v>
      </c>
      <c r="L82" s="112">
        <f>IFERROR(VLOOKUP($B82,MMWR_TRAD_AGG_STATE_PEN[],L$1,0),"ERROR")</f>
        <v>1</v>
      </c>
      <c r="M82" s="114">
        <f t="shared" si="10"/>
        <v>1</v>
      </c>
      <c r="N82" s="111">
        <f>IFERROR(VLOOKUP($B82,MMWR_TRAD_AGG_STATE_PEN[],N$1,0),"ERROR")</f>
        <v>20</v>
      </c>
      <c r="O82" s="112">
        <f>IFERROR(VLOOKUP($B82,MMWR_TRAD_AGG_STATE_PEN[],O$1,0),"ERROR")</f>
        <v>6</v>
      </c>
      <c r="P82" s="114">
        <f t="shared" si="11"/>
        <v>0.3</v>
      </c>
      <c r="Q82" s="115">
        <f>IFERROR(VLOOKUP($B82,MMWR_TRAD_AGG_STATE_PEN[],Q$1,0),"ERROR")</f>
        <v>9</v>
      </c>
      <c r="R82" s="115">
        <f>IFERROR(VLOOKUP($B82,MMWR_TRAD_AGG_STATE_PEN[],R$1,0),"ERROR")</f>
        <v>31</v>
      </c>
      <c r="S82" s="115">
        <f>IFERROR(VLOOKUP($B82,MMWR_APP_STATE_PEN[],S$1,0),"ERROR")</f>
        <v>16</v>
      </c>
      <c r="T82" s="28"/>
    </row>
    <row r="83" spans="1:20" s="123" customFormat="1" x14ac:dyDescent="0.2">
      <c r="A83" s="28"/>
      <c r="B83" s="127" t="s">
        <v>418</v>
      </c>
      <c r="C83" s="109">
        <f>IFERROR(VLOOKUP($B83,MMWR_TRAD_AGG_STATE_PEN[],C$1,0),"ERROR")</f>
        <v>39</v>
      </c>
      <c r="D83" s="110">
        <f>IFERROR(VLOOKUP($B83,MMWR_TRAD_AGG_STATE_PEN[],D$1,0),"ERROR")</f>
        <v>74.461538461499998</v>
      </c>
      <c r="E83" s="111">
        <f>IFERROR(VLOOKUP($B83,MMWR_TRAD_AGG_STATE_PEN[],E$1,0),"ERROR")</f>
        <v>53</v>
      </c>
      <c r="F83" s="112">
        <f>IFERROR(VLOOKUP($B83,MMWR_TRAD_AGG_STATE_PEN[],F$1,0),"ERROR")</f>
        <v>6</v>
      </c>
      <c r="G83" s="113">
        <f t="shared" si="8"/>
        <v>0.11320754716981132</v>
      </c>
      <c r="H83" s="111">
        <f>IFERROR(VLOOKUP($B83,MMWR_TRAD_AGG_STATE_PEN[],H$1,0),"ERROR")</f>
        <v>43</v>
      </c>
      <c r="I83" s="112">
        <f>IFERROR(VLOOKUP($B83,MMWR_TRAD_AGG_STATE_PEN[],I$1,0),"ERROR")</f>
        <v>6</v>
      </c>
      <c r="J83" s="114">
        <f t="shared" si="9"/>
        <v>0.13953488372093023</v>
      </c>
      <c r="K83" s="111">
        <f>IFERROR(VLOOKUP($B83,MMWR_TRAD_AGG_STATE_PEN[],K$1,0),"ERROR")</f>
        <v>0</v>
      </c>
      <c r="L83" s="112">
        <f>IFERROR(VLOOKUP($B83,MMWR_TRAD_AGG_STATE_PEN[],L$1,0),"ERROR")</f>
        <v>0</v>
      </c>
      <c r="M83" s="114" t="str">
        <f t="shared" si="10"/>
        <v>0%</v>
      </c>
      <c r="N83" s="111">
        <f>IFERROR(VLOOKUP($B83,MMWR_TRAD_AGG_STATE_PEN[],N$1,0),"ERROR")</f>
        <v>2</v>
      </c>
      <c r="O83" s="112">
        <f>IFERROR(VLOOKUP($B83,MMWR_TRAD_AGG_STATE_PEN[],O$1,0),"ERROR")</f>
        <v>0</v>
      </c>
      <c r="P83" s="114">
        <f t="shared" si="11"/>
        <v>0</v>
      </c>
      <c r="Q83" s="115">
        <f>IFERROR(VLOOKUP($B83,MMWR_TRAD_AGG_STATE_PEN[],Q$1,0),"ERROR")</f>
        <v>8</v>
      </c>
      <c r="R83" s="115">
        <f>IFERROR(VLOOKUP($B83,MMWR_TRAD_AGG_STATE_PEN[],R$1,0),"ERROR")</f>
        <v>13</v>
      </c>
      <c r="S83" s="115">
        <f>IFERROR(VLOOKUP($B83,MMWR_APP_STATE_PEN[],S$1,0),"ERROR")</f>
        <v>8</v>
      </c>
      <c r="T83" s="28"/>
    </row>
    <row r="84" spans="1:20" s="123" customFormat="1" x14ac:dyDescent="0.2">
      <c r="A84" s="28"/>
      <c r="B84" s="127" t="s">
        <v>379</v>
      </c>
      <c r="C84" s="109">
        <f>IFERROR(VLOOKUP($B84,MMWR_TRAD_AGG_STATE_PEN[],C$1,0),"ERROR")</f>
        <v>909</v>
      </c>
      <c r="D84" s="110">
        <f>IFERROR(VLOOKUP($B84,MMWR_TRAD_AGG_STATE_PEN[],D$1,0),"ERROR")</f>
        <v>91.266226622700003</v>
      </c>
      <c r="E84" s="111">
        <f>IFERROR(VLOOKUP($B84,MMWR_TRAD_AGG_STATE_PEN[],E$1,0),"ERROR")</f>
        <v>855</v>
      </c>
      <c r="F84" s="112">
        <f>IFERROR(VLOOKUP($B84,MMWR_TRAD_AGG_STATE_PEN[],F$1,0),"ERROR")</f>
        <v>222</v>
      </c>
      <c r="G84" s="113">
        <f t="shared" si="8"/>
        <v>0.25964912280701752</v>
      </c>
      <c r="H84" s="111">
        <f>IFERROR(VLOOKUP($B84,MMWR_TRAD_AGG_STATE_PEN[],H$1,0),"ERROR")</f>
        <v>1156</v>
      </c>
      <c r="I84" s="112">
        <f>IFERROR(VLOOKUP($B84,MMWR_TRAD_AGG_STATE_PEN[],I$1,0),"ERROR")</f>
        <v>328</v>
      </c>
      <c r="J84" s="114">
        <f t="shared" si="9"/>
        <v>0.2837370242214533</v>
      </c>
      <c r="K84" s="111">
        <f>IFERROR(VLOOKUP($B84,MMWR_TRAD_AGG_STATE_PEN[],K$1,0),"ERROR")</f>
        <v>142</v>
      </c>
      <c r="L84" s="112">
        <f>IFERROR(VLOOKUP($B84,MMWR_TRAD_AGG_STATE_PEN[],L$1,0),"ERROR")</f>
        <v>140</v>
      </c>
      <c r="M84" s="114">
        <f t="shared" si="10"/>
        <v>0.9859154929577465</v>
      </c>
      <c r="N84" s="111">
        <f>IFERROR(VLOOKUP($B84,MMWR_TRAD_AGG_STATE_PEN[],N$1,0),"ERROR")</f>
        <v>58</v>
      </c>
      <c r="O84" s="112">
        <f>IFERROR(VLOOKUP($B84,MMWR_TRAD_AGG_STATE_PEN[],O$1,0),"ERROR")</f>
        <v>28</v>
      </c>
      <c r="P84" s="114">
        <f t="shared" si="11"/>
        <v>0.48275862068965519</v>
      </c>
      <c r="Q84" s="115">
        <f>IFERROR(VLOOKUP($B84,MMWR_TRAD_AGG_STATE_PEN[],Q$1,0),"ERROR")</f>
        <v>140</v>
      </c>
      <c r="R84" s="115">
        <f>IFERROR(VLOOKUP($B84,MMWR_TRAD_AGG_STATE_PEN[],R$1,0),"ERROR")</f>
        <v>310</v>
      </c>
      <c r="S84" s="115">
        <f>IFERROR(VLOOKUP($B84,MMWR_APP_STATE_PEN[],S$1,0),"ERROR")</f>
        <v>163</v>
      </c>
      <c r="T84" s="28"/>
    </row>
    <row r="85" spans="1:20" s="123" customFormat="1" x14ac:dyDescent="0.2">
      <c r="A85" s="28"/>
      <c r="B85" s="127" t="s">
        <v>380</v>
      </c>
      <c r="C85" s="109">
        <f>IFERROR(VLOOKUP($B85,MMWR_TRAD_AGG_STATE_PEN[],C$1,0),"ERROR")</f>
        <v>295</v>
      </c>
      <c r="D85" s="110">
        <f>IFERROR(VLOOKUP($B85,MMWR_TRAD_AGG_STATE_PEN[],D$1,0),"ERROR")</f>
        <v>88.216949152500007</v>
      </c>
      <c r="E85" s="111">
        <f>IFERROR(VLOOKUP($B85,MMWR_TRAD_AGG_STATE_PEN[],E$1,0),"ERROR")</f>
        <v>305</v>
      </c>
      <c r="F85" s="112">
        <f>IFERROR(VLOOKUP($B85,MMWR_TRAD_AGG_STATE_PEN[],F$1,0),"ERROR")</f>
        <v>73</v>
      </c>
      <c r="G85" s="113">
        <f t="shared" si="8"/>
        <v>0.23934426229508196</v>
      </c>
      <c r="H85" s="111">
        <f>IFERROR(VLOOKUP($B85,MMWR_TRAD_AGG_STATE_PEN[],H$1,0),"ERROR")</f>
        <v>368</v>
      </c>
      <c r="I85" s="112">
        <f>IFERROR(VLOOKUP($B85,MMWR_TRAD_AGG_STATE_PEN[],I$1,0),"ERROR")</f>
        <v>95</v>
      </c>
      <c r="J85" s="114">
        <f t="shared" si="9"/>
        <v>0.25815217391304346</v>
      </c>
      <c r="K85" s="111">
        <f>IFERROR(VLOOKUP($B85,MMWR_TRAD_AGG_STATE_PEN[],K$1,0),"ERROR")</f>
        <v>0</v>
      </c>
      <c r="L85" s="112">
        <f>IFERROR(VLOOKUP($B85,MMWR_TRAD_AGG_STATE_PEN[],L$1,0),"ERROR")</f>
        <v>0</v>
      </c>
      <c r="M85" s="114" t="str">
        <f t="shared" si="10"/>
        <v>0%</v>
      </c>
      <c r="N85" s="111">
        <f>IFERROR(VLOOKUP($B85,MMWR_TRAD_AGG_STATE_PEN[],N$1,0),"ERROR")</f>
        <v>19</v>
      </c>
      <c r="O85" s="112">
        <f>IFERROR(VLOOKUP($B85,MMWR_TRAD_AGG_STATE_PEN[],O$1,0),"ERROR")</f>
        <v>6</v>
      </c>
      <c r="P85" s="114">
        <f t="shared" si="11"/>
        <v>0.31578947368421051</v>
      </c>
      <c r="Q85" s="115">
        <f>IFERROR(VLOOKUP($B85,MMWR_TRAD_AGG_STATE_PEN[],Q$1,0),"ERROR")</f>
        <v>52</v>
      </c>
      <c r="R85" s="115">
        <f>IFERROR(VLOOKUP($B85,MMWR_TRAD_AGG_STATE_PEN[],R$1,0),"ERROR")</f>
        <v>84</v>
      </c>
      <c r="S85" s="115">
        <f>IFERROR(VLOOKUP($B85,MMWR_APP_STATE_PEN[],S$1,0),"ERROR")</f>
        <v>43</v>
      </c>
      <c r="T85" s="28"/>
    </row>
    <row r="86" spans="1:20" s="123" customFormat="1" x14ac:dyDescent="0.2">
      <c r="A86" s="28"/>
      <c r="B86" s="126" t="s">
        <v>391</v>
      </c>
      <c r="C86" s="102">
        <f>IFERROR(VLOOKUP($B86,MMWR_TRAD_AGG_ST_DISTRICT_PEN[],C$1,0),"ERROR")</f>
        <v>4084</v>
      </c>
      <c r="D86" s="103">
        <f>IFERROR(VLOOKUP($B86,MMWR_TRAD_AGG_ST_DISTRICT_PEN[],D$1,0),"ERROR")</f>
        <v>53.9116062684</v>
      </c>
      <c r="E86" s="102">
        <f>IFERROR(VLOOKUP($B86,MMWR_TRAD_AGG_ST_DISTRICT_PEN[],E$1,0),"ERROR")</f>
        <v>5361</v>
      </c>
      <c r="F86" s="102">
        <f>IFERROR(VLOOKUP($B86,MMWR_TRAD_AGG_ST_DISTRICT_PEN[],F$1,0),"ERROR")</f>
        <v>672</v>
      </c>
      <c r="G86" s="104">
        <f t="shared" si="8"/>
        <v>0.12534974818130945</v>
      </c>
      <c r="H86" s="102">
        <f>IFERROR(VLOOKUP($B86,MMWR_TRAD_AGG_ST_DISTRICT_PEN[],H$1,0),"ERROR")</f>
        <v>5390</v>
      </c>
      <c r="I86" s="102">
        <f>IFERROR(VLOOKUP($B86,MMWR_TRAD_AGG_ST_DISTRICT_PEN[],I$1,0),"ERROR")</f>
        <v>329</v>
      </c>
      <c r="J86" s="104">
        <f t="shared" si="9"/>
        <v>6.1038961038961038E-2</v>
      </c>
      <c r="K86" s="102">
        <f>IFERROR(VLOOKUP($B86,MMWR_TRAD_AGG_ST_DISTRICT_PEN[],K$1,0),"ERROR")</f>
        <v>15</v>
      </c>
      <c r="L86" s="102">
        <f>IFERROR(VLOOKUP($B86,MMWR_TRAD_AGG_ST_DISTRICT_PEN[],L$1,0),"ERROR")</f>
        <v>13</v>
      </c>
      <c r="M86" s="104">
        <f t="shared" si="10"/>
        <v>0.8666666666666667</v>
      </c>
      <c r="N86" s="102">
        <f>IFERROR(VLOOKUP($B86,MMWR_TRAD_AGG_ST_DISTRICT_PEN[],N$1,0),"ERROR")</f>
        <v>271</v>
      </c>
      <c r="O86" s="102">
        <f>IFERROR(VLOOKUP($B86,MMWR_TRAD_AGG_ST_DISTRICT_PEN[],O$1,0),"ERROR")</f>
        <v>68</v>
      </c>
      <c r="P86" s="104">
        <f t="shared" si="11"/>
        <v>0.25092250922509224</v>
      </c>
      <c r="Q86" s="102">
        <f>IFERROR(VLOOKUP($B86,MMWR_TRAD_AGG_ST_DISTRICT_PEN[],Q$1,0),"ERROR")</f>
        <v>1880</v>
      </c>
      <c r="R86" s="106">
        <f>IFERROR(VLOOKUP($B86,MMWR_TRAD_AGG_ST_DISTRICT_PEN[],R$1,0),"ERROR")</f>
        <v>608</v>
      </c>
      <c r="S86" s="106">
        <f>IFERROR(VLOOKUP($B86,MMWR_APP_STATE_PEN[],S$1,0),"ERROR")</f>
        <v>1550</v>
      </c>
      <c r="T86" s="28"/>
    </row>
    <row r="87" spans="1:20" s="123" customFormat="1" x14ac:dyDescent="0.2">
      <c r="A87" s="28"/>
      <c r="B87" s="127" t="s">
        <v>395</v>
      </c>
      <c r="C87" s="109">
        <f>IFERROR(VLOOKUP($B87,MMWR_TRAD_AGG_STATE_PEN[],C$1,0),"ERROR")</f>
        <v>517</v>
      </c>
      <c r="D87" s="110">
        <f>IFERROR(VLOOKUP($B87,MMWR_TRAD_AGG_STATE_PEN[],D$1,0),"ERROR")</f>
        <v>56.197292069600003</v>
      </c>
      <c r="E87" s="111">
        <f>IFERROR(VLOOKUP($B87,MMWR_TRAD_AGG_STATE_PEN[],E$1,0),"ERROR")</f>
        <v>800</v>
      </c>
      <c r="F87" s="112">
        <f>IFERROR(VLOOKUP($B87,MMWR_TRAD_AGG_STATE_PEN[],F$1,0),"ERROR")</f>
        <v>136</v>
      </c>
      <c r="G87" s="113">
        <f t="shared" si="8"/>
        <v>0.17</v>
      </c>
      <c r="H87" s="111">
        <f>IFERROR(VLOOKUP($B87,MMWR_TRAD_AGG_STATE_PEN[],H$1,0),"ERROR")</f>
        <v>670</v>
      </c>
      <c r="I87" s="112">
        <f>IFERROR(VLOOKUP($B87,MMWR_TRAD_AGG_STATE_PEN[],I$1,0),"ERROR")</f>
        <v>50</v>
      </c>
      <c r="J87" s="114">
        <f t="shared" si="9"/>
        <v>7.4626865671641784E-2</v>
      </c>
      <c r="K87" s="111">
        <f>IFERROR(VLOOKUP($B87,MMWR_TRAD_AGG_STATE_PEN[],K$1,0),"ERROR")</f>
        <v>1</v>
      </c>
      <c r="L87" s="112">
        <f>IFERROR(VLOOKUP($B87,MMWR_TRAD_AGG_STATE_PEN[],L$1,0),"ERROR")</f>
        <v>1</v>
      </c>
      <c r="M87" s="114">
        <f t="shared" si="10"/>
        <v>1</v>
      </c>
      <c r="N87" s="111">
        <f>IFERROR(VLOOKUP($B87,MMWR_TRAD_AGG_STATE_PEN[],N$1,0),"ERROR")</f>
        <v>38</v>
      </c>
      <c r="O87" s="112">
        <f>IFERROR(VLOOKUP($B87,MMWR_TRAD_AGG_STATE_PEN[],O$1,0),"ERROR")</f>
        <v>9</v>
      </c>
      <c r="P87" s="114">
        <f t="shared" si="11"/>
        <v>0.23684210526315788</v>
      </c>
      <c r="Q87" s="115">
        <f>IFERROR(VLOOKUP($B87,MMWR_TRAD_AGG_STATE_PEN[],Q$1,0),"ERROR")</f>
        <v>93</v>
      </c>
      <c r="R87" s="115">
        <f>IFERROR(VLOOKUP($B87,MMWR_TRAD_AGG_STATE_PEN[],R$1,0),"ERROR")</f>
        <v>121</v>
      </c>
      <c r="S87" s="115">
        <f>IFERROR(VLOOKUP($B87,MMWR_APP_STATE_PEN[],S$1,0),"ERROR")</f>
        <v>335</v>
      </c>
      <c r="T87" s="28"/>
    </row>
    <row r="88" spans="1:20" s="123" customFormat="1" x14ac:dyDescent="0.2">
      <c r="A88" s="28"/>
      <c r="B88" s="127" t="s">
        <v>393</v>
      </c>
      <c r="C88" s="109">
        <f>IFERROR(VLOOKUP($B88,MMWR_TRAD_AGG_STATE_PEN[],C$1,0),"ERROR")</f>
        <v>366</v>
      </c>
      <c r="D88" s="110">
        <f>IFERROR(VLOOKUP($B88,MMWR_TRAD_AGG_STATE_PEN[],D$1,0),"ERROR")</f>
        <v>58.770491803299997</v>
      </c>
      <c r="E88" s="111">
        <f>IFERROR(VLOOKUP($B88,MMWR_TRAD_AGG_STATE_PEN[],E$1,0),"ERROR")</f>
        <v>545</v>
      </c>
      <c r="F88" s="112">
        <f>IFERROR(VLOOKUP($B88,MMWR_TRAD_AGG_STATE_PEN[],F$1,0),"ERROR")</f>
        <v>73</v>
      </c>
      <c r="G88" s="113">
        <f t="shared" si="8"/>
        <v>0.13394495412844037</v>
      </c>
      <c r="H88" s="111">
        <f>IFERROR(VLOOKUP($B88,MMWR_TRAD_AGG_STATE_PEN[],H$1,0),"ERROR")</f>
        <v>500</v>
      </c>
      <c r="I88" s="112">
        <f>IFERROR(VLOOKUP($B88,MMWR_TRAD_AGG_STATE_PEN[],I$1,0),"ERROR")</f>
        <v>36</v>
      </c>
      <c r="J88" s="114">
        <f t="shared" si="9"/>
        <v>7.1999999999999995E-2</v>
      </c>
      <c r="K88" s="111">
        <f>IFERROR(VLOOKUP($B88,MMWR_TRAD_AGG_STATE_PEN[],K$1,0),"ERROR")</f>
        <v>2</v>
      </c>
      <c r="L88" s="112">
        <f>IFERROR(VLOOKUP($B88,MMWR_TRAD_AGG_STATE_PEN[],L$1,0),"ERROR")</f>
        <v>2</v>
      </c>
      <c r="M88" s="114">
        <f t="shared" si="10"/>
        <v>1</v>
      </c>
      <c r="N88" s="111">
        <f>IFERROR(VLOOKUP($B88,MMWR_TRAD_AGG_STATE_PEN[],N$1,0),"ERROR")</f>
        <v>28</v>
      </c>
      <c r="O88" s="112">
        <f>IFERROR(VLOOKUP($B88,MMWR_TRAD_AGG_STATE_PEN[],O$1,0),"ERROR")</f>
        <v>7</v>
      </c>
      <c r="P88" s="114">
        <f t="shared" si="11"/>
        <v>0.25</v>
      </c>
      <c r="Q88" s="115">
        <f>IFERROR(VLOOKUP($B88,MMWR_TRAD_AGG_STATE_PEN[],Q$1,0),"ERROR")</f>
        <v>65</v>
      </c>
      <c r="R88" s="115">
        <f>IFERROR(VLOOKUP($B88,MMWR_TRAD_AGG_STATE_PEN[],R$1,0),"ERROR")</f>
        <v>69</v>
      </c>
      <c r="S88" s="115">
        <f>IFERROR(VLOOKUP($B88,MMWR_APP_STATE_PEN[],S$1,0),"ERROR")</f>
        <v>158</v>
      </c>
      <c r="T88" s="28"/>
    </row>
    <row r="89" spans="1:20" s="123" customFormat="1" x14ac:dyDescent="0.2">
      <c r="A89" s="28"/>
      <c r="B89" s="127" t="s">
        <v>400</v>
      </c>
      <c r="C89" s="109">
        <f>IFERROR(VLOOKUP($B89,MMWR_TRAD_AGG_STATE_PEN[],C$1,0),"ERROR")</f>
        <v>186</v>
      </c>
      <c r="D89" s="110">
        <f>IFERROR(VLOOKUP($B89,MMWR_TRAD_AGG_STATE_PEN[],D$1,0),"ERROR")</f>
        <v>54.693548387100002</v>
      </c>
      <c r="E89" s="111">
        <f>IFERROR(VLOOKUP($B89,MMWR_TRAD_AGG_STATE_PEN[],E$1,0),"ERROR")</f>
        <v>269</v>
      </c>
      <c r="F89" s="112">
        <f>IFERROR(VLOOKUP($B89,MMWR_TRAD_AGG_STATE_PEN[],F$1,0),"ERROR")</f>
        <v>8</v>
      </c>
      <c r="G89" s="113">
        <f t="shared" si="8"/>
        <v>2.9739776951672861E-2</v>
      </c>
      <c r="H89" s="111">
        <f>IFERROR(VLOOKUP($B89,MMWR_TRAD_AGG_STATE_PEN[],H$1,0),"ERROR")</f>
        <v>253</v>
      </c>
      <c r="I89" s="112">
        <f>IFERROR(VLOOKUP($B89,MMWR_TRAD_AGG_STATE_PEN[],I$1,0),"ERROR")</f>
        <v>9</v>
      </c>
      <c r="J89" s="114">
        <f t="shared" si="9"/>
        <v>3.5573122529644272E-2</v>
      </c>
      <c r="K89" s="111">
        <f>IFERROR(VLOOKUP($B89,MMWR_TRAD_AGG_STATE_PEN[],K$1,0),"ERROR")</f>
        <v>0</v>
      </c>
      <c r="L89" s="112">
        <f>IFERROR(VLOOKUP($B89,MMWR_TRAD_AGG_STATE_PEN[],L$1,0),"ERROR")</f>
        <v>0</v>
      </c>
      <c r="M89" s="114" t="str">
        <f t="shared" si="10"/>
        <v>0%</v>
      </c>
      <c r="N89" s="111">
        <f>IFERROR(VLOOKUP($B89,MMWR_TRAD_AGG_STATE_PEN[],N$1,0),"ERROR")</f>
        <v>4</v>
      </c>
      <c r="O89" s="112">
        <f>IFERROR(VLOOKUP($B89,MMWR_TRAD_AGG_STATE_PEN[],O$1,0),"ERROR")</f>
        <v>4</v>
      </c>
      <c r="P89" s="114">
        <f t="shared" si="11"/>
        <v>1</v>
      </c>
      <c r="Q89" s="115">
        <f>IFERROR(VLOOKUP($B89,MMWR_TRAD_AGG_STATE_PEN[],Q$1,0),"ERROR")</f>
        <v>257</v>
      </c>
      <c r="R89" s="115">
        <f>IFERROR(VLOOKUP($B89,MMWR_TRAD_AGG_STATE_PEN[],R$1,0),"ERROR")</f>
        <v>32</v>
      </c>
      <c r="S89" s="115">
        <f>IFERROR(VLOOKUP($B89,MMWR_APP_STATE_PEN[],S$1,0),"ERROR")</f>
        <v>24</v>
      </c>
      <c r="T89" s="28"/>
    </row>
    <row r="90" spans="1:20" s="123" customFormat="1" x14ac:dyDescent="0.2">
      <c r="A90" s="28"/>
      <c r="B90" s="127" t="s">
        <v>423</v>
      </c>
      <c r="C90" s="109">
        <f>IFERROR(VLOOKUP($B90,MMWR_TRAD_AGG_STATE_PEN[],C$1,0),"ERROR")</f>
        <v>136</v>
      </c>
      <c r="D90" s="110">
        <f>IFERROR(VLOOKUP($B90,MMWR_TRAD_AGG_STATE_PEN[],D$1,0),"ERROR")</f>
        <v>52.036764705899998</v>
      </c>
      <c r="E90" s="111">
        <f>IFERROR(VLOOKUP($B90,MMWR_TRAD_AGG_STATE_PEN[],E$1,0),"ERROR")</f>
        <v>195</v>
      </c>
      <c r="F90" s="112">
        <f>IFERROR(VLOOKUP($B90,MMWR_TRAD_AGG_STATE_PEN[],F$1,0),"ERROR")</f>
        <v>10</v>
      </c>
      <c r="G90" s="113">
        <f t="shared" si="8"/>
        <v>5.128205128205128E-2</v>
      </c>
      <c r="H90" s="111">
        <f>IFERROR(VLOOKUP($B90,MMWR_TRAD_AGG_STATE_PEN[],H$1,0),"ERROR")</f>
        <v>190</v>
      </c>
      <c r="I90" s="112">
        <f>IFERROR(VLOOKUP($B90,MMWR_TRAD_AGG_STATE_PEN[],I$1,0),"ERROR")</f>
        <v>7</v>
      </c>
      <c r="J90" s="114">
        <f t="shared" si="9"/>
        <v>3.6842105263157891E-2</v>
      </c>
      <c r="K90" s="111">
        <f>IFERROR(VLOOKUP($B90,MMWR_TRAD_AGG_STATE_PEN[],K$1,0),"ERROR")</f>
        <v>0</v>
      </c>
      <c r="L90" s="112">
        <f>IFERROR(VLOOKUP($B90,MMWR_TRAD_AGG_STATE_PEN[],L$1,0),"ERROR")</f>
        <v>0</v>
      </c>
      <c r="M90" s="114" t="str">
        <f t="shared" si="10"/>
        <v>0%</v>
      </c>
      <c r="N90" s="111">
        <f>IFERROR(VLOOKUP($B90,MMWR_TRAD_AGG_STATE_PEN[],N$1,0),"ERROR")</f>
        <v>3</v>
      </c>
      <c r="O90" s="112">
        <f>IFERROR(VLOOKUP($B90,MMWR_TRAD_AGG_STATE_PEN[],O$1,0),"ERROR")</f>
        <v>0</v>
      </c>
      <c r="P90" s="114">
        <f t="shared" si="11"/>
        <v>0</v>
      </c>
      <c r="Q90" s="115">
        <f>IFERROR(VLOOKUP($B90,MMWR_TRAD_AGG_STATE_PEN[],Q$1,0),"ERROR")</f>
        <v>152</v>
      </c>
      <c r="R90" s="115">
        <f>IFERROR(VLOOKUP($B90,MMWR_TRAD_AGG_STATE_PEN[],R$1,0),"ERROR")</f>
        <v>23</v>
      </c>
      <c r="S90" s="115">
        <f>IFERROR(VLOOKUP($B90,MMWR_APP_STATE_PEN[],S$1,0),"ERROR")</f>
        <v>35</v>
      </c>
      <c r="T90" s="28"/>
    </row>
    <row r="91" spans="1:20" s="123" customFormat="1" x14ac:dyDescent="0.2">
      <c r="A91" s="28"/>
      <c r="B91" s="127" t="s">
        <v>396</v>
      </c>
      <c r="C91" s="109">
        <f>IFERROR(VLOOKUP($B91,MMWR_TRAD_AGG_STATE_PEN[],C$1,0),"ERROR")</f>
        <v>720</v>
      </c>
      <c r="D91" s="110">
        <f>IFERROR(VLOOKUP($B91,MMWR_TRAD_AGG_STATE_PEN[],D$1,0),"ERROR")</f>
        <v>57.815277777799999</v>
      </c>
      <c r="E91" s="111">
        <f>IFERROR(VLOOKUP($B91,MMWR_TRAD_AGG_STATE_PEN[],E$1,0),"ERROR")</f>
        <v>1033</v>
      </c>
      <c r="F91" s="112">
        <f>IFERROR(VLOOKUP($B91,MMWR_TRAD_AGG_STATE_PEN[],F$1,0),"ERROR")</f>
        <v>139</v>
      </c>
      <c r="G91" s="113">
        <f t="shared" si="8"/>
        <v>0.13455953533397871</v>
      </c>
      <c r="H91" s="111">
        <f>IFERROR(VLOOKUP($B91,MMWR_TRAD_AGG_STATE_PEN[],H$1,0),"ERROR")</f>
        <v>917</v>
      </c>
      <c r="I91" s="112">
        <f>IFERROR(VLOOKUP($B91,MMWR_TRAD_AGG_STATE_PEN[],I$1,0),"ERROR")</f>
        <v>70</v>
      </c>
      <c r="J91" s="114">
        <f t="shared" si="9"/>
        <v>7.6335877862595422E-2</v>
      </c>
      <c r="K91" s="111">
        <f>IFERROR(VLOOKUP($B91,MMWR_TRAD_AGG_STATE_PEN[],K$1,0),"ERROR")</f>
        <v>1</v>
      </c>
      <c r="L91" s="112">
        <f>IFERROR(VLOOKUP($B91,MMWR_TRAD_AGG_STATE_PEN[],L$1,0),"ERROR")</f>
        <v>1</v>
      </c>
      <c r="M91" s="114">
        <f t="shared" si="10"/>
        <v>1</v>
      </c>
      <c r="N91" s="111">
        <f>IFERROR(VLOOKUP($B91,MMWR_TRAD_AGG_STATE_PEN[],N$1,0),"ERROR")</f>
        <v>55</v>
      </c>
      <c r="O91" s="112">
        <f>IFERROR(VLOOKUP($B91,MMWR_TRAD_AGG_STATE_PEN[],O$1,0),"ERROR")</f>
        <v>14</v>
      </c>
      <c r="P91" s="114">
        <f t="shared" si="11"/>
        <v>0.25454545454545452</v>
      </c>
      <c r="Q91" s="115">
        <f>IFERROR(VLOOKUP($B91,MMWR_TRAD_AGG_STATE_PEN[],Q$1,0),"ERROR")</f>
        <v>100</v>
      </c>
      <c r="R91" s="115">
        <f>IFERROR(VLOOKUP($B91,MMWR_TRAD_AGG_STATE_PEN[],R$1,0),"ERROR")</f>
        <v>91</v>
      </c>
      <c r="S91" s="115">
        <f>IFERROR(VLOOKUP($B91,MMWR_APP_STATE_PEN[],S$1,0),"ERROR")</f>
        <v>248</v>
      </c>
      <c r="T91" s="28"/>
    </row>
    <row r="92" spans="1:20" s="123" customFormat="1" x14ac:dyDescent="0.2">
      <c r="A92" s="28"/>
      <c r="B92" s="127" t="s">
        <v>402</v>
      </c>
      <c r="C92" s="109">
        <f>IFERROR(VLOOKUP($B92,MMWR_TRAD_AGG_STATE_PEN[],C$1,0),"ERROR")</f>
        <v>240</v>
      </c>
      <c r="D92" s="110">
        <f>IFERROR(VLOOKUP($B92,MMWR_TRAD_AGG_STATE_PEN[],D$1,0),"ERROR")</f>
        <v>46.4</v>
      </c>
      <c r="E92" s="111">
        <f>IFERROR(VLOOKUP($B92,MMWR_TRAD_AGG_STATE_PEN[],E$1,0),"ERROR")</f>
        <v>260</v>
      </c>
      <c r="F92" s="112">
        <f>IFERROR(VLOOKUP($B92,MMWR_TRAD_AGG_STATE_PEN[],F$1,0),"ERROR")</f>
        <v>10</v>
      </c>
      <c r="G92" s="113">
        <f t="shared" si="8"/>
        <v>3.8461538461538464E-2</v>
      </c>
      <c r="H92" s="111">
        <f>IFERROR(VLOOKUP($B92,MMWR_TRAD_AGG_STATE_PEN[],H$1,0),"ERROR")</f>
        <v>299</v>
      </c>
      <c r="I92" s="112">
        <f>IFERROR(VLOOKUP($B92,MMWR_TRAD_AGG_STATE_PEN[],I$1,0),"ERROR")</f>
        <v>10</v>
      </c>
      <c r="J92" s="114">
        <f t="shared" si="9"/>
        <v>3.3444816053511704E-2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1</v>
      </c>
      <c r="P92" s="114">
        <f t="shared" si="11"/>
        <v>0.2</v>
      </c>
      <c r="Q92" s="115">
        <f>IFERROR(VLOOKUP($B92,MMWR_TRAD_AGG_STATE_PEN[],Q$1,0),"ERROR")</f>
        <v>616</v>
      </c>
      <c r="R92" s="115">
        <f>IFERROR(VLOOKUP($B92,MMWR_TRAD_AGG_STATE_PEN[],R$1,0),"ERROR")</f>
        <v>38</v>
      </c>
      <c r="S92" s="115">
        <f>IFERROR(VLOOKUP($B92,MMWR_APP_STATE_PEN[],S$1,0),"ERROR")</f>
        <v>36</v>
      </c>
      <c r="T92" s="28"/>
    </row>
    <row r="93" spans="1:20" s="123" customFormat="1" x14ac:dyDescent="0.2">
      <c r="A93" s="28"/>
      <c r="B93" s="127" t="s">
        <v>398</v>
      </c>
      <c r="C93" s="109">
        <f>IFERROR(VLOOKUP($B93,MMWR_TRAD_AGG_STATE_PEN[],C$1,0),"ERROR")</f>
        <v>676</v>
      </c>
      <c r="D93" s="110">
        <f>IFERROR(VLOOKUP($B93,MMWR_TRAD_AGG_STATE_PEN[],D$1,0),"ERROR")</f>
        <v>50.329881656799998</v>
      </c>
      <c r="E93" s="111">
        <f>IFERROR(VLOOKUP($B93,MMWR_TRAD_AGG_STATE_PEN[],E$1,0),"ERROR")</f>
        <v>635</v>
      </c>
      <c r="F93" s="112">
        <f>IFERROR(VLOOKUP($B93,MMWR_TRAD_AGG_STATE_PEN[],F$1,0),"ERROR")</f>
        <v>81</v>
      </c>
      <c r="G93" s="113">
        <f t="shared" si="8"/>
        <v>0.12755905511811025</v>
      </c>
      <c r="H93" s="111">
        <f>IFERROR(VLOOKUP($B93,MMWR_TRAD_AGG_STATE_PEN[],H$1,0),"ERROR")</f>
        <v>857</v>
      </c>
      <c r="I93" s="112">
        <f>IFERROR(VLOOKUP($B93,MMWR_TRAD_AGG_STATE_PEN[],I$1,0),"ERROR")</f>
        <v>44</v>
      </c>
      <c r="J93" s="114">
        <f t="shared" si="9"/>
        <v>5.1341890315052506E-2</v>
      </c>
      <c r="K93" s="111">
        <f>IFERROR(VLOOKUP($B93,MMWR_TRAD_AGG_STATE_PEN[],K$1,0),"ERROR")</f>
        <v>3</v>
      </c>
      <c r="L93" s="112">
        <f>IFERROR(VLOOKUP($B93,MMWR_TRAD_AGG_STATE_PEN[],L$1,0),"ERROR")</f>
        <v>1</v>
      </c>
      <c r="M93" s="114">
        <f t="shared" si="10"/>
        <v>0.33333333333333331</v>
      </c>
      <c r="N93" s="111">
        <f>IFERROR(VLOOKUP($B93,MMWR_TRAD_AGG_STATE_PEN[],N$1,0),"ERROR")</f>
        <v>31</v>
      </c>
      <c r="O93" s="112">
        <f>IFERROR(VLOOKUP($B93,MMWR_TRAD_AGG_STATE_PEN[],O$1,0),"ERROR")</f>
        <v>7</v>
      </c>
      <c r="P93" s="114">
        <f t="shared" si="11"/>
        <v>0.22580645161290322</v>
      </c>
      <c r="Q93" s="115">
        <f>IFERROR(VLOOKUP($B93,MMWR_TRAD_AGG_STATE_PEN[],Q$1,0),"ERROR")</f>
        <v>113</v>
      </c>
      <c r="R93" s="115">
        <f>IFERROR(VLOOKUP($B93,MMWR_TRAD_AGG_STATE_PEN[],R$1,0),"ERROR")</f>
        <v>61</v>
      </c>
      <c r="S93" s="115">
        <f>IFERROR(VLOOKUP($B93,MMWR_APP_STATE_PEN[],S$1,0),"ERROR")</f>
        <v>223</v>
      </c>
      <c r="T93" s="28"/>
    </row>
    <row r="94" spans="1:20" s="123" customFormat="1" x14ac:dyDescent="0.2">
      <c r="A94" s="28"/>
      <c r="B94" s="127" t="s">
        <v>401</v>
      </c>
      <c r="C94" s="109">
        <f>IFERROR(VLOOKUP($B94,MMWR_TRAD_AGG_STATE_PEN[],C$1,0),"ERROR")</f>
        <v>95</v>
      </c>
      <c r="D94" s="110">
        <f>IFERROR(VLOOKUP($B94,MMWR_TRAD_AGG_STATE_PEN[],D$1,0),"ERROR")</f>
        <v>42.915789473700002</v>
      </c>
      <c r="E94" s="111">
        <f>IFERROR(VLOOKUP($B94,MMWR_TRAD_AGG_STATE_PEN[],E$1,0),"ERROR")</f>
        <v>58</v>
      </c>
      <c r="F94" s="112">
        <f>IFERROR(VLOOKUP($B94,MMWR_TRAD_AGG_STATE_PEN[],F$1,0),"ERROR")</f>
        <v>6</v>
      </c>
      <c r="G94" s="113">
        <f t="shared" si="8"/>
        <v>0.10344827586206896</v>
      </c>
      <c r="H94" s="111">
        <f>IFERROR(VLOOKUP($B94,MMWR_TRAD_AGG_STATE_PEN[],H$1,0),"ERROR")</f>
        <v>115</v>
      </c>
      <c r="I94" s="112">
        <f>IFERROR(VLOOKUP($B94,MMWR_TRAD_AGG_STATE_PEN[],I$1,0),"ERROR")</f>
        <v>2</v>
      </c>
      <c r="J94" s="114">
        <f t="shared" si="9"/>
        <v>1.7391304347826087E-2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1</v>
      </c>
      <c r="P94" s="114">
        <f t="shared" si="11"/>
        <v>0.33333333333333331</v>
      </c>
      <c r="Q94" s="115">
        <f>IFERROR(VLOOKUP($B94,MMWR_TRAD_AGG_STATE_PEN[],Q$1,0),"ERROR")</f>
        <v>169</v>
      </c>
      <c r="R94" s="115">
        <f>IFERROR(VLOOKUP($B94,MMWR_TRAD_AGG_STATE_PEN[],R$1,0),"ERROR")</f>
        <v>14</v>
      </c>
      <c r="S94" s="115">
        <f>IFERROR(VLOOKUP($B94,MMWR_APP_STATE_PEN[],S$1,0),"ERROR")</f>
        <v>28</v>
      </c>
      <c r="T94" s="28"/>
    </row>
    <row r="95" spans="1:20" s="123" customFormat="1" x14ac:dyDescent="0.2">
      <c r="A95" s="28"/>
      <c r="B95" s="127" t="s">
        <v>420</v>
      </c>
      <c r="C95" s="109">
        <f>IFERROR(VLOOKUP($B95,MMWR_TRAD_AGG_STATE_PEN[],C$1,0),"ERROR")</f>
        <v>37</v>
      </c>
      <c r="D95" s="110">
        <f>IFERROR(VLOOKUP($B95,MMWR_TRAD_AGG_STATE_PEN[],D$1,0),"ERROR")</f>
        <v>47.918918918899998</v>
      </c>
      <c r="E95" s="111">
        <f>IFERROR(VLOOKUP($B95,MMWR_TRAD_AGG_STATE_PEN[],E$1,0),"ERROR")</f>
        <v>30</v>
      </c>
      <c r="F95" s="112">
        <f>IFERROR(VLOOKUP($B95,MMWR_TRAD_AGG_STATE_PEN[],F$1,0),"ERROR")</f>
        <v>2</v>
      </c>
      <c r="G95" s="113">
        <f t="shared" si="8"/>
        <v>6.6666666666666666E-2</v>
      </c>
      <c r="H95" s="111">
        <f>IFERROR(VLOOKUP($B95,MMWR_TRAD_AGG_STATE_PEN[],H$1,0),"ERROR")</f>
        <v>45</v>
      </c>
      <c r="I95" s="112">
        <f>IFERROR(VLOOKUP($B95,MMWR_TRAD_AGG_STATE_PEN[],I$1,0),"ERROR")</f>
        <v>1</v>
      </c>
      <c r="J95" s="114">
        <f t="shared" si="9"/>
        <v>2.2222222222222223E-2</v>
      </c>
      <c r="K95" s="111">
        <f>IFERROR(VLOOKUP($B95,MMWR_TRAD_AGG_STATE_PEN[],K$1,0),"ERROR")</f>
        <v>0</v>
      </c>
      <c r="L95" s="112">
        <f>IFERROR(VLOOKUP($B95,MMWR_TRAD_AGG_STATE_PEN[],L$1,0),"ERROR")</f>
        <v>0</v>
      </c>
      <c r="M95" s="114" t="str">
        <f t="shared" si="10"/>
        <v>0%</v>
      </c>
      <c r="N95" s="111">
        <f>IFERROR(VLOOKUP($B95,MMWR_TRAD_AGG_STATE_PEN[],N$1,0),"ERROR")</f>
        <v>1</v>
      </c>
      <c r="O95" s="112">
        <f>IFERROR(VLOOKUP($B95,MMWR_TRAD_AGG_STATE_PEN[],O$1,0),"ERROR")</f>
        <v>0</v>
      </c>
      <c r="P95" s="114">
        <f t="shared" si="11"/>
        <v>0</v>
      </c>
      <c r="Q95" s="115">
        <f>IFERROR(VLOOKUP($B95,MMWR_TRAD_AGG_STATE_PEN[],Q$1,0),"ERROR")</f>
        <v>47</v>
      </c>
      <c r="R95" s="115">
        <f>IFERROR(VLOOKUP($B95,MMWR_TRAD_AGG_STATE_PEN[],R$1,0),"ERROR")</f>
        <v>6</v>
      </c>
      <c r="S95" s="115">
        <f>IFERROR(VLOOKUP($B95,MMWR_APP_STATE_PEN[],S$1,0),"ERROR")</f>
        <v>6</v>
      </c>
      <c r="T95" s="28"/>
    </row>
    <row r="96" spans="1:20" s="123" customFormat="1" x14ac:dyDescent="0.2">
      <c r="A96" s="28"/>
      <c r="B96" s="127" t="s">
        <v>392</v>
      </c>
      <c r="C96" s="109">
        <f>IFERROR(VLOOKUP($B96,MMWR_TRAD_AGG_STATE_PEN[],C$1,0),"ERROR")</f>
        <v>704</v>
      </c>
      <c r="D96" s="110">
        <f>IFERROR(VLOOKUP($B96,MMWR_TRAD_AGG_STATE_PEN[],D$1,0),"ERROR")</f>
        <v>55.971590909100001</v>
      </c>
      <c r="E96" s="111">
        <f>IFERROR(VLOOKUP($B96,MMWR_TRAD_AGG_STATE_PEN[],E$1,0),"ERROR")</f>
        <v>1105</v>
      </c>
      <c r="F96" s="112">
        <f>IFERROR(VLOOKUP($B96,MMWR_TRAD_AGG_STATE_PEN[],F$1,0),"ERROR")</f>
        <v>162</v>
      </c>
      <c r="G96" s="113">
        <f t="shared" si="8"/>
        <v>0.14660633484162897</v>
      </c>
      <c r="H96" s="111">
        <f>IFERROR(VLOOKUP($B96,MMWR_TRAD_AGG_STATE_PEN[],H$1,0),"ERROR")</f>
        <v>1012</v>
      </c>
      <c r="I96" s="112">
        <f>IFERROR(VLOOKUP($B96,MMWR_TRAD_AGG_STATE_PEN[],I$1,0),"ERROR")</f>
        <v>81</v>
      </c>
      <c r="J96" s="114">
        <f t="shared" si="9"/>
        <v>8.0039525691699601E-2</v>
      </c>
      <c r="K96" s="111">
        <f>IFERROR(VLOOKUP($B96,MMWR_TRAD_AGG_STATE_PEN[],K$1,0),"ERROR")</f>
        <v>6</v>
      </c>
      <c r="L96" s="112">
        <f>IFERROR(VLOOKUP($B96,MMWR_TRAD_AGG_STATE_PEN[],L$1,0),"ERROR")</f>
        <v>6</v>
      </c>
      <c r="M96" s="114">
        <f t="shared" si="10"/>
        <v>1</v>
      </c>
      <c r="N96" s="111">
        <f>IFERROR(VLOOKUP($B96,MMWR_TRAD_AGG_STATE_PEN[],N$1,0),"ERROR")</f>
        <v>74</v>
      </c>
      <c r="O96" s="112">
        <f>IFERROR(VLOOKUP($B96,MMWR_TRAD_AGG_STATE_PEN[],O$1,0),"ERROR")</f>
        <v>17</v>
      </c>
      <c r="P96" s="114">
        <f t="shared" si="11"/>
        <v>0.22972972972972974</v>
      </c>
      <c r="Q96" s="115">
        <f>IFERROR(VLOOKUP($B96,MMWR_TRAD_AGG_STATE_PEN[],Q$1,0),"ERROR")</f>
        <v>113</v>
      </c>
      <c r="R96" s="115">
        <f>IFERROR(VLOOKUP($B96,MMWR_TRAD_AGG_STATE_PEN[],R$1,0),"ERROR")</f>
        <v>106</v>
      </c>
      <c r="S96" s="115">
        <f>IFERROR(VLOOKUP($B96,MMWR_APP_STATE_PEN[],S$1,0),"ERROR")</f>
        <v>345</v>
      </c>
      <c r="T96" s="28"/>
    </row>
    <row r="97" spans="1:20" s="123" customFormat="1" x14ac:dyDescent="0.2">
      <c r="A97" s="28"/>
      <c r="B97" s="127" t="s">
        <v>421</v>
      </c>
      <c r="C97" s="109">
        <f>IFERROR(VLOOKUP($B97,MMWR_TRAD_AGG_STATE_PEN[],C$1,0),"ERROR")</f>
        <v>49</v>
      </c>
      <c r="D97" s="110">
        <f>IFERROR(VLOOKUP($B97,MMWR_TRAD_AGG_STATE_PEN[],D$1,0),"ERROR")</f>
        <v>51.632653061200003</v>
      </c>
      <c r="E97" s="111">
        <f>IFERROR(VLOOKUP($B97,MMWR_TRAD_AGG_STATE_PEN[],E$1,0),"ERROR")</f>
        <v>49</v>
      </c>
      <c r="F97" s="112">
        <f>IFERROR(VLOOKUP($B97,MMWR_TRAD_AGG_STATE_PEN[],F$1,0),"ERROR")</f>
        <v>2</v>
      </c>
      <c r="G97" s="113">
        <f t="shared" si="8"/>
        <v>4.0816326530612242E-2</v>
      </c>
      <c r="H97" s="111">
        <f>IFERROR(VLOOKUP($B97,MMWR_TRAD_AGG_STATE_PEN[],H$1,0),"ERROR")</f>
        <v>62</v>
      </c>
      <c r="I97" s="112">
        <f>IFERROR(VLOOKUP($B97,MMWR_TRAD_AGG_STATE_PEN[],I$1,0),"ERROR")</f>
        <v>0</v>
      </c>
      <c r="J97" s="114">
        <f t="shared" si="9"/>
        <v>0</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0</v>
      </c>
      <c r="P97" s="114">
        <f t="shared" si="11"/>
        <v>0</v>
      </c>
      <c r="Q97" s="115">
        <f>IFERROR(VLOOKUP($B97,MMWR_TRAD_AGG_STATE_PEN[],Q$1,0),"ERROR")</f>
        <v>91</v>
      </c>
      <c r="R97" s="115">
        <f>IFERROR(VLOOKUP($B97,MMWR_TRAD_AGG_STATE_PEN[],R$1,0),"ERROR")</f>
        <v>6</v>
      </c>
      <c r="S97" s="115">
        <f>IFERROR(VLOOKUP($B97,MMWR_APP_STATE_PEN[],S$1,0),"ERROR")</f>
        <v>7</v>
      </c>
      <c r="T97" s="28"/>
    </row>
    <row r="98" spans="1:20" s="123" customFormat="1" x14ac:dyDescent="0.2">
      <c r="A98" s="28"/>
      <c r="B98" s="127" t="s">
        <v>397</v>
      </c>
      <c r="C98" s="109">
        <f>IFERROR(VLOOKUP($B98,MMWR_TRAD_AGG_STATE_PEN[],C$1,0),"ERROR")</f>
        <v>358</v>
      </c>
      <c r="D98" s="110">
        <f>IFERROR(VLOOKUP($B98,MMWR_TRAD_AGG_STATE_PEN[],D$1,0),"ERROR")</f>
        <v>49.695530726299999</v>
      </c>
      <c r="E98" s="111">
        <f>IFERROR(VLOOKUP($B98,MMWR_TRAD_AGG_STATE_PEN[],E$1,0),"ERROR")</f>
        <v>382</v>
      </c>
      <c r="F98" s="112">
        <f>IFERROR(VLOOKUP($B98,MMWR_TRAD_AGG_STATE_PEN[],F$1,0),"ERROR")</f>
        <v>43</v>
      </c>
      <c r="G98" s="113">
        <f t="shared" si="8"/>
        <v>0.112565445026178</v>
      </c>
      <c r="H98" s="111">
        <f>IFERROR(VLOOKUP($B98,MMWR_TRAD_AGG_STATE_PEN[],H$1,0),"ERROR")</f>
        <v>470</v>
      </c>
      <c r="I98" s="112">
        <f>IFERROR(VLOOKUP($B98,MMWR_TRAD_AGG_STATE_PEN[],I$1,0),"ERROR")</f>
        <v>19</v>
      </c>
      <c r="J98" s="114">
        <f t="shared" si="9"/>
        <v>4.042553191489362E-2</v>
      </c>
      <c r="K98" s="111">
        <f>IFERROR(VLOOKUP($B98,MMWR_TRAD_AGG_STATE_PEN[],K$1,0),"ERROR")</f>
        <v>1</v>
      </c>
      <c r="L98" s="112">
        <f>IFERROR(VLOOKUP($B98,MMWR_TRAD_AGG_STATE_PEN[],L$1,0),"ERROR")</f>
        <v>1</v>
      </c>
      <c r="M98" s="114">
        <f t="shared" si="10"/>
        <v>1</v>
      </c>
      <c r="N98" s="111">
        <f>IFERROR(VLOOKUP($B98,MMWR_TRAD_AGG_STATE_PEN[],N$1,0),"ERROR")</f>
        <v>28</v>
      </c>
      <c r="O98" s="112">
        <f>IFERROR(VLOOKUP($B98,MMWR_TRAD_AGG_STATE_PEN[],O$1,0),"ERROR")</f>
        <v>8</v>
      </c>
      <c r="P98" s="114">
        <f t="shared" si="11"/>
        <v>0.2857142857142857</v>
      </c>
      <c r="Q98" s="115">
        <f>IFERROR(VLOOKUP($B98,MMWR_TRAD_AGG_STATE_PEN[],Q$1,0),"ERROR")</f>
        <v>64</v>
      </c>
      <c r="R98" s="115">
        <f>IFERROR(VLOOKUP($B98,MMWR_TRAD_AGG_STATE_PEN[],R$1,0),"ERROR")</f>
        <v>41</v>
      </c>
      <c r="S98" s="115">
        <f>IFERROR(VLOOKUP($B98,MMWR_APP_STATE_PEN[],S$1,0),"ERROR")</f>
        <v>105</v>
      </c>
      <c r="T98" s="28"/>
    </row>
    <row r="99" spans="1:20" s="123" customFormat="1" x14ac:dyDescent="0.2">
      <c r="A99" s="28"/>
      <c r="B99" s="126" t="s">
        <v>386</v>
      </c>
      <c r="C99" s="102">
        <f>IFERROR(VLOOKUP($B99,MMWR_TRAD_AGG_ST_DISTRICT_PEN[],C$1,0),"ERROR")</f>
        <v>2758</v>
      </c>
      <c r="D99" s="103">
        <f>IFERROR(VLOOKUP($B99,MMWR_TRAD_AGG_ST_DISTRICT_PEN[],D$1,0),"ERROR")</f>
        <v>52.036983321199997</v>
      </c>
      <c r="E99" s="102">
        <f>IFERROR(VLOOKUP($B99,MMWR_TRAD_AGG_ST_DISTRICT_PEN[],E$1,0),"ERROR")</f>
        <v>2982</v>
      </c>
      <c r="F99" s="102">
        <f>IFERROR(VLOOKUP($B99,MMWR_TRAD_AGG_ST_DISTRICT_PEN[],F$1,0),"ERROR")</f>
        <v>214</v>
      </c>
      <c r="G99" s="104">
        <f t="shared" si="8"/>
        <v>7.1763916834339372E-2</v>
      </c>
      <c r="H99" s="102">
        <f>IFERROR(VLOOKUP($B99,MMWR_TRAD_AGG_ST_DISTRICT_PEN[],H$1,0),"ERROR")</f>
        <v>3519</v>
      </c>
      <c r="I99" s="102">
        <f>IFERROR(VLOOKUP($B99,MMWR_TRAD_AGG_ST_DISTRICT_PEN[],I$1,0),"ERROR")</f>
        <v>175</v>
      </c>
      <c r="J99" s="104">
        <f t="shared" si="9"/>
        <v>4.9730036942313156E-2</v>
      </c>
      <c r="K99" s="102">
        <f>IFERROR(VLOOKUP($B99,MMWR_TRAD_AGG_ST_DISTRICT_PEN[],K$1,0),"ERROR")</f>
        <v>24</v>
      </c>
      <c r="L99" s="102">
        <f>IFERROR(VLOOKUP($B99,MMWR_TRAD_AGG_ST_DISTRICT_PEN[],L$1,0),"ERROR")</f>
        <v>20</v>
      </c>
      <c r="M99" s="104">
        <f t="shared" si="10"/>
        <v>0.83333333333333337</v>
      </c>
      <c r="N99" s="102">
        <f>IFERROR(VLOOKUP($B99,MMWR_TRAD_AGG_ST_DISTRICT_PEN[],N$1,0),"ERROR")</f>
        <v>164</v>
      </c>
      <c r="O99" s="102">
        <f>IFERROR(VLOOKUP($B99,MMWR_TRAD_AGG_ST_DISTRICT_PEN[],O$1,0),"ERROR")</f>
        <v>62</v>
      </c>
      <c r="P99" s="104">
        <f t="shared" si="11"/>
        <v>0.37804878048780488</v>
      </c>
      <c r="Q99" s="102">
        <f>IFERROR(VLOOKUP($B99,MMWR_TRAD_AGG_ST_DISTRICT_PEN[],Q$1,0),"ERROR")</f>
        <v>2614</v>
      </c>
      <c r="R99" s="106">
        <f>IFERROR(VLOOKUP($B99,MMWR_TRAD_AGG_ST_DISTRICT_PEN[],R$1,0),"ERROR")</f>
        <v>557</v>
      </c>
      <c r="S99" s="106">
        <f>IFERROR(VLOOKUP($B99,MMWR_APP_STATE_PEN[],S$1,0),"ERROR")</f>
        <v>1276</v>
      </c>
      <c r="T99" s="28"/>
    </row>
    <row r="100" spans="1:20" s="123" customFormat="1" x14ac:dyDescent="0.2">
      <c r="A100" s="28"/>
      <c r="B100" s="127" t="s">
        <v>412</v>
      </c>
      <c r="C100" s="109">
        <f>IFERROR(VLOOKUP($B100,MMWR_TRAD_AGG_STATE_PEN[],C$1,0),"ERROR")</f>
        <v>310</v>
      </c>
      <c r="D100" s="110">
        <f>IFERROR(VLOOKUP($B100,MMWR_TRAD_AGG_STATE_PEN[],D$1,0),"ERROR")</f>
        <v>51.574193548399997</v>
      </c>
      <c r="E100" s="111">
        <f>IFERROR(VLOOKUP($B100,MMWR_TRAD_AGG_STATE_PEN[],E$1,0),"ERROR")</f>
        <v>274</v>
      </c>
      <c r="F100" s="112">
        <f>IFERROR(VLOOKUP($B100,MMWR_TRAD_AGG_STATE_PEN[],F$1,0),"ERROR")</f>
        <v>29</v>
      </c>
      <c r="G100" s="113">
        <f t="shared" si="8"/>
        <v>0.10583941605839416</v>
      </c>
      <c r="H100" s="111">
        <f>IFERROR(VLOOKUP($B100,MMWR_TRAD_AGG_STATE_PEN[],H$1,0),"ERROR")</f>
        <v>384</v>
      </c>
      <c r="I100" s="112">
        <f>IFERROR(VLOOKUP($B100,MMWR_TRAD_AGG_STATE_PEN[],I$1,0),"ERROR")</f>
        <v>18</v>
      </c>
      <c r="J100" s="114">
        <f t="shared" si="9"/>
        <v>4.6875E-2</v>
      </c>
      <c r="K100" s="111">
        <f>IFERROR(VLOOKUP($B100,MMWR_TRAD_AGG_STATE_PEN[],K$1,0),"ERROR")</f>
        <v>5</v>
      </c>
      <c r="L100" s="112">
        <f>IFERROR(VLOOKUP($B100,MMWR_TRAD_AGG_STATE_PEN[],L$1,0),"ERROR")</f>
        <v>4</v>
      </c>
      <c r="M100" s="114">
        <f t="shared" si="10"/>
        <v>0.8</v>
      </c>
      <c r="N100" s="111">
        <f>IFERROR(VLOOKUP($B100,MMWR_TRAD_AGG_STATE_PEN[],N$1,0),"ERROR")</f>
        <v>23</v>
      </c>
      <c r="O100" s="112">
        <f>IFERROR(VLOOKUP($B100,MMWR_TRAD_AGG_STATE_PEN[],O$1,0),"ERROR")</f>
        <v>4</v>
      </c>
      <c r="P100" s="114">
        <f t="shared" si="11"/>
        <v>0.17391304347826086</v>
      </c>
      <c r="Q100" s="115">
        <f>IFERROR(VLOOKUP($B100,MMWR_TRAD_AGG_STATE_PEN[],Q$1,0),"ERROR")</f>
        <v>68</v>
      </c>
      <c r="R100" s="115">
        <f>IFERROR(VLOOKUP($B100,MMWR_TRAD_AGG_STATE_PEN[],R$1,0),"ERROR")</f>
        <v>25</v>
      </c>
      <c r="S100" s="115">
        <f>IFERROR(VLOOKUP($B100,MMWR_APP_STATE_PEN[],S$1,0),"ERROR")</f>
        <v>164</v>
      </c>
      <c r="T100" s="28"/>
    </row>
    <row r="101" spans="1:20" s="123" customFormat="1" x14ac:dyDescent="0.2">
      <c r="A101" s="28"/>
      <c r="B101" s="127" t="s">
        <v>404</v>
      </c>
      <c r="C101" s="109">
        <f>IFERROR(VLOOKUP($B101,MMWR_TRAD_AGG_STATE_PEN[],C$1,0),"ERROR")</f>
        <v>167</v>
      </c>
      <c r="D101" s="110">
        <f>IFERROR(VLOOKUP($B101,MMWR_TRAD_AGG_STATE_PEN[],D$1,0),"ERROR")</f>
        <v>46.305389221600002</v>
      </c>
      <c r="E101" s="111">
        <f>IFERROR(VLOOKUP($B101,MMWR_TRAD_AGG_STATE_PEN[],E$1,0),"ERROR")</f>
        <v>225</v>
      </c>
      <c r="F101" s="112">
        <f>IFERROR(VLOOKUP($B101,MMWR_TRAD_AGG_STATE_PEN[],F$1,0),"ERROR")</f>
        <v>7</v>
      </c>
      <c r="G101" s="113">
        <f t="shared" ref="G101:G127" si="12">IFERROR(F101/E101,"0%")</f>
        <v>3.111111111111111E-2</v>
      </c>
      <c r="H101" s="111">
        <f>IFERROR(VLOOKUP($B101,MMWR_TRAD_AGG_STATE_PEN[],H$1,0),"ERROR")</f>
        <v>221</v>
      </c>
      <c r="I101" s="112">
        <f>IFERROR(VLOOKUP($B101,MMWR_TRAD_AGG_STATE_PEN[],I$1,0),"ERROR")</f>
        <v>7</v>
      </c>
      <c r="J101" s="114">
        <f t="shared" ref="J101:J127" si="13">IFERROR(I101/H101,"0%")</f>
        <v>3.1674208144796379E-2</v>
      </c>
      <c r="K101" s="111">
        <f>IFERROR(VLOOKUP($B101,MMWR_TRAD_AGG_STATE_PEN[],K$1,0),"ERROR")</f>
        <v>4</v>
      </c>
      <c r="L101" s="112">
        <f>IFERROR(VLOOKUP($B101,MMWR_TRAD_AGG_STATE_PEN[],L$1,0),"ERROR")</f>
        <v>1</v>
      </c>
      <c r="M101" s="114">
        <f t="shared" ref="M101:M127" si="14">IFERROR(L101/K101,"0%")</f>
        <v>0.25</v>
      </c>
      <c r="N101" s="111">
        <f>IFERROR(VLOOKUP($B101,MMWR_TRAD_AGG_STATE_PEN[],N$1,0),"ERROR")</f>
        <v>12</v>
      </c>
      <c r="O101" s="112">
        <f>IFERROR(VLOOKUP($B101,MMWR_TRAD_AGG_STATE_PEN[],O$1,0),"ERROR")</f>
        <v>9</v>
      </c>
      <c r="P101" s="114">
        <f t="shared" ref="P101:P127" si="15">IFERROR(O101/N101,"0%")</f>
        <v>0.75</v>
      </c>
      <c r="Q101" s="115">
        <f>IFERROR(VLOOKUP($B101,MMWR_TRAD_AGG_STATE_PEN[],Q$1,0),"ERROR")</f>
        <v>319</v>
      </c>
      <c r="R101" s="115">
        <f>IFERROR(VLOOKUP($B101,MMWR_TRAD_AGG_STATE_PEN[],R$1,0),"ERROR")</f>
        <v>47</v>
      </c>
      <c r="S101" s="115">
        <f>IFERROR(VLOOKUP($B101,MMWR_APP_STATE_PEN[],S$1,0),"ERROR")</f>
        <v>85</v>
      </c>
      <c r="T101" s="28"/>
    </row>
    <row r="102" spans="1:20" s="123" customFormat="1" x14ac:dyDescent="0.2">
      <c r="A102" s="28"/>
      <c r="B102" s="127" t="s">
        <v>388</v>
      </c>
      <c r="C102" s="109">
        <f>IFERROR(VLOOKUP($B102,MMWR_TRAD_AGG_STATE_PEN[],C$1,0),"ERROR")</f>
        <v>615</v>
      </c>
      <c r="D102" s="110">
        <f>IFERROR(VLOOKUP($B102,MMWR_TRAD_AGG_STATE_PEN[],D$1,0),"ERROR")</f>
        <v>52.095934959300003</v>
      </c>
      <c r="E102" s="111">
        <f>IFERROR(VLOOKUP($B102,MMWR_TRAD_AGG_STATE_PEN[],E$1,0),"ERROR")</f>
        <v>448</v>
      </c>
      <c r="F102" s="112">
        <f>IFERROR(VLOOKUP($B102,MMWR_TRAD_AGG_STATE_PEN[],F$1,0),"ERROR")</f>
        <v>53</v>
      </c>
      <c r="G102" s="113">
        <f t="shared" si="12"/>
        <v>0.11830357142857142</v>
      </c>
      <c r="H102" s="111">
        <f>IFERROR(VLOOKUP($B102,MMWR_TRAD_AGG_STATE_PEN[],H$1,0),"ERROR")</f>
        <v>729</v>
      </c>
      <c r="I102" s="112">
        <f>IFERROR(VLOOKUP($B102,MMWR_TRAD_AGG_STATE_PEN[],I$1,0),"ERROR")</f>
        <v>46</v>
      </c>
      <c r="J102" s="114">
        <f t="shared" si="13"/>
        <v>6.3100137174211243E-2</v>
      </c>
      <c r="K102" s="111">
        <f>IFERROR(VLOOKUP($B102,MMWR_TRAD_AGG_STATE_PEN[],K$1,0),"ERROR")</f>
        <v>2</v>
      </c>
      <c r="L102" s="112">
        <f>IFERROR(VLOOKUP($B102,MMWR_TRAD_AGG_STATE_PEN[],L$1,0),"ERROR")</f>
        <v>2</v>
      </c>
      <c r="M102" s="114">
        <f t="shared" si="14"/>
        <v>1</v>
      </c>
      <c r="N102" s="111">
        <f>IFERROR(VLOOKUP($B102,MMWR_TRAD_AGG_STATE_PEN[],N$1,0),"ERROR")</f>
        <v>18</v>
      </c>
      <c r="O102" s="112">
        <f>IFERROR(VLOOKUP($B102,MMWR_TRAD_AGG_STATE_PEN[],O$1,0),"ERROR")</f>
        <v>7</v>
      </c>
      <c r="P102" s="114">
        <f t="shared" si="15"/>
        <v>0.3888888888888889</v>
      </c>
      <c r="Q102" s="115">
        <f>IFERROR(VLOOKUP($B102,MMWR_TRAD_AGG_STATE_PEN[],Q$1,0),"ERROR")</f>
        <v>60</v>
      </c>
      <c r="R102" s="115">
        <f>IFERROR(VLOOKUP($B102,MMWR_TRAD_AGG_STATE_PEN[],R$1,0),"ERROR")</f>
        <v>64</v>
      </c>
      <c r="S102" s="115">
        <f>IFERROR(VLOOKUP($B102,MMWR_APP_STATE_PEN[],S$1,0),"ERROR")</f>
        <v>198</v>
      </c>
      <c r="T102" s="28"/>
    </row>
    <row r="103" spans="1:20" s="123" customFormat="1" x14ac:dyDescent="0.2">
      <c r="A103" s="28"/>
      <c r="B103" s="127" t="s">
        <v>390</v>
      </c>
      <c r="C103" s="109">
        <f>IFERROR(VLOOKUP($B103,MMWR_TRAD_AGG_STATE_PEN[],C$1,0),"ERROR")</f>
        <v>332</v>
      </c>
      <c r="D103" s="110">
        <f>IFERROR(VLOOKUP($B103,MMWR_TRAD_AGG_STATE_PEN[],D$1,0),"ERROR")</f>
        <v>53.9548192771</v>
      </c>
      <c r="E103" s="111">
        <f>IFERROR(VLOOKUP($B103,MMWR_TRAD_AGG_STATE_PEN[],E$1,0),"ERROR")</f>
        <v>271</v>
      </c>
      <c r="F103" s="112">
        <f>IFERROR(VLOOKUP($B103,MMWR_TRAD_AGG_STATE_PEN[],F$1,0),"ERROR")</f>
        <v>36</v>
      </c>
      <c r="G103" s="113">
        <f t="shared" si="12"/>
        <v>0.13284132841328414</v>
      </c>
      <c r="H103" s="111">
        <f>IFERROR(VLOOKUP($B103,MMWR_TRAD_AGG_STATE_PEN[],H$1,0),"ERROR")</f>
        <v>388</v>
      </c>
      <c r="I103" s="112">
        <f>IFERROR(VLOOKUP($B103,MMWR_TRAD_AGG_STATE_PEN[],I$1,0),"ERROR")</f>
        <v>21</v>
      </c>
      <c r="J103" s="114">
        <f t="shared" si="13"/>
        <v>5.4123711340206188E-2</v>
      </c>
      <c r="K103" s="111">
        <f>IFERROR(VLOOKUP($B103,MMWR_TRAD_AGG_STATE_PEN[],K$1,0),"ERROR")</f>
        <v>3</v>
      </c>
      <c r="L103" s="112">
        <f>IFERROR(VLOOKUP($B103,MMWR_TRAD_AGG_STATE_PEN[],L$1,0),"ERROR")</f>
        <v>3</v>
      </c>
      <c r="M103" s="114">
        <f t="shared" si="14"/>
        <v>1</v>
      </c>
      <c r="N103" s="111">
        <f>IFERROR(VLOOKUP($B103,MMWR_TRAD_AGG_STATE_PEN[],N$1,0),"ERROR")</f>
        <v>36</v>
      </c>
      <c r="O103" s="112">
        <f>IFERROR(VLOOKUP($B103,MMWR_TRAD_AGG_STATE_PEN[],O$1,0),"ERROR")</f>
        <v>7</v>
      </c>
      <c r="P103" s="114">
        <f t="shared" si="15"/>
        <v>0.19444444444444445</v>
      </c>
      <c r="Q103" s="115">
        <f>IFERROR(VLOOKUP($B103,MMWR_TRAD_AGG_STATE_PEN[],Q$1,0),"ERROR")</f>
        <v>77</v>
      </c>
      <c r="R103" s="115">
        <f>IFERROR(VLOOKUP($B103,MMWR_TRAD_AGG_STATE_PEN[],R$1,0),"ERROR")</f>
        <v>22</v>
      </c>
      <c r="S103" s="115">
        <f>IFERROR(VLOOKUP($B103,MMWR_APP_STATE_PEN[],S$1,0),"ERROR")</f>
        <v>174</v>
      </c>
      <c r="T103" s="28"/>
    </row>
    <row r="104" spans="1:20" s="123" customFormat="1" x14ac:dyDescent="0.2">
      <c r="A104" s="28"/>
      <c r="B104" s="127" t="s">
        <v>419</v>
      </c>
      <c r="C104" s="109">
        <f>IFERROR(VLOOKUP($B104,MMWR_TRAD_AGG_STATE_PEN[],C$1,0),"ERROR")</f>
        <v>42</v>
      </c>
      <c r="D104" s="110">
        <f>IFERROR(VLOOKUP($B104,MMWR_TRAD_AGG_STATE_PEN[],D$1,0),"ERROR")</f>
        <v>36.785714285700003</v>
      </c>
      <c r="E104" s="111">
        <f>IFERROR(VLOOKUP($B104,MMWR_TRAD_AGG_STATE_PEN[],E$1,0),"ERROR")</f>
        <v>73</v>
      </c>
      <c r="F104" s="112">
        <f>IFERROR(VLOOKUP($B104,MMWR_TRAD_AGG_STATE_PEN[],F$1,0),"ERROR")</f>
        <v>5</v>
      </c>
      <c r="G104" s="113">
        <f t="shared" si="12"/>
        <v>6.8493150684931503E-2</v>
      </c>
      <c r="H104" s="111">
        <f>IFERROR(VLOOKUP($B104,MMWR_TRAD_AGG_STATE_PEN[],H$1,0),"ERROR")</f>
        <v>52</v>
      </c>
      <c r="I104" s="112">
        <f>IFERROR(VLOOKUP($B104,MMWR_TRAD_AGG_STATE_PEN[],I$1,0),"ERROR")</f>
        <v>1</v>
      </c>
      <c r="J104" s="114">
        <f t="shared" si="13"/>
        <v>1.9230769230769232E-2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127</v>
      </c>
      <c r="R104" s="115">
        <f>IFERROR(VLOOKUP($B104,MMWR_TRAD_AGG_STATE_PEN[],R$1,0),"ERROR")</f>
        <v>9</v>
      </c>
      <c r="S104" s="115">
        <f>IFERROR(VLOOKUP($B104,MMWR_APP_STATE_PEN[],S$1,0),"ERROR")</f>
        <v>7</v>
      </c>
      <c r="T104" s="28"/>
    </row>
    <row r="105" spans="1:20" s="123" customFormat="1" x14ac:dyDescent="0.2">
      <c r="A105" s="28"/>
      <c r="B105" s="127" t="s">
        <v>413</v>
      </c>
      <c r="C105" s="109">
        <f>IFERROR(VLOOKUP($B105,MMWR_TRAD_AGG_STATE_PEN[],C$1,0),"ERROR")</f>
        <v>232</v>
      </c>
      <c r="D105" s="110">
        <f>IFERROR(VLOOKUP($B105,MMWR_TRAD_AGG_STATE_PEN[],D$1,0),"ERROR")</f>
        <v>50.663793103400003</v>
      </c>
      <c r="E105" s="111">
        <f>IFERROR(VLOOKUP($B105,MMWR_TRAD_AGG_STATE_PEN[],E$1,0),"ERROR")</f>
        <v>241</v>
      </c>
      <c r="F105" s="112">
        <f>IFERROR(VLOOKUP($B105,MMWR_TRAD_AGG_STATE_PEN[],F$1,0),"ERROR")</f>
        <v>11</v>
      </c>
      <c r="G105" s="113">
        <f t="shared" si="12"/>
        <v>4.5643153526970952E-2</v>
      </c>
      <c r="H105" s="111">
        <f>IFERROR(VLOOKUP($B105,MMWR_TRAD_AGG_STATE_PEN[],H$1,0),"ERROR")</f>
        <v>290</v>
      </c>
      <c r="I105" s="112">
        <f>IFERROR(VLOOKUP($B105,MMWR_TRAD_AGG_STATE_PEN[],I$1,0),"ERROR")</f>
        <v>9</v>
      </c>
      <c r="J105" s="114">
        <f t="shared" si="13"/>
        <v>3.1034482758620689E-2</v>
      </c>
      <c r="K105" s="111">
        <f>IFERROR(VLOOKUP($B105,MMWR_TRAD_AGG_STATE_PEN[],K$1,0),"ERROR")</f>
        <v>2</v>
      </c>
      <c r="L105" s="112">
        <f>IFERROR(VLOOKUP($B105,MMWR_TRAD_AGG_STATE_PEN[],L$1,0),"ERROR")</f>
        <v>2</v>
      </c>
      <c r="M105" s="114">
        <f t="shared" si="14"/>
        <v>1</v>
      </c>
      <c r="N105" s="111">
        <f>IFERROR(VLOOKUP($B105,MMWR_TRAD_AGG_STATE_PEN[],N$1,0),"ERROR")</f>
        <v>10</v>
      </c>
      <c r="O105" s="112">
        <f>IFERROR(VLOOKUP($B105,MMWR_TRAD_AGG_STATE_PEN[],O$1,0),"ERROR")</f>
        <v>4</v>
      </c>
      <c r="P105" s="114">
        <f t="shared" si="15"/>
        <v>0.4</v>
      </c>
      <c r="Q105" s="115">
        <f>IFERROR(VLOOKUP($B105,MMWR_TRAD_AGG_STATE_PEN[],Q$1,0),"ERROR")</f>
        <v>548</v>
      </c>
      <c r="R105" s="115">
        <f>IFERROR(VLOOKUP($B105,MMWR_TRAD_AGG_STATE_PEN[],R$1,0),"ERROR")</f>
        <v>54</v>
      </c>
      <c r="S105" s="115">
        <f>IFERROR(VLOOKUP($B105,MMWR_APP_STATE_PEN[],S$1,0),"ERROR")</f>
        <v>99</v>
      </c>
      <c r="T105" s="28"/>
    </row>
    <row r="106" spans="1:20" s="123" customFormat="1" x14ac:dyDescent="0.2">
      <c r="A106" s="28"/>
      <c r="B106" s="127" t="s">
        <v>411</v>
      </c>
      <c r="C106" s="109">
        <f>IFERROR(VLOOKUP($B106,MMWR_TRAD_AGG_STATE_PEN[],C$1,0),"ERROR")</f>
        <v>962</v>
      </c>
      <c r="D106" s="110">
        <f>IFERROR(VLOOKUP($B106,MMWR_TRAD_AGG_STATE_PEN[],D$1,0),"ERROR")</f>
        <v>52.545738045699999</v>
      </c>
      <c r="E106" s="111">
        <f>IFERROR(VLOOKUP($B106,MMWR_TRAD_AGG_STATE_PEN[],E$1,0),"ERROR")</f>
        <v>1285</v>
      </c>
      <c r="F106" s="112">
        <f>IFERROR(VLOOKUP($B106,MMWR_TRAD_AGG_STATE_PEN[],F$1,0),"ERROR")</f>
        <v>65</v>
      </c>
      <c r="G106" s="113">
        <f t="shared" si="12"/>
        <v>5.0583657587548639E-2</v>
      </c>
      <c r="H106" s="111">
        <f>IFERROR(VLOOKUP($B106,MMWR_TRAD_AGG_STATE_PEN[],H$1,0),"ERROR")</f>
        <v>1322</v>
      </c>
      <c r="I106" s="112">
        <f>IFERROR(VLOOKUP($B106,MMWR_TRAD_AGG_STATE_PEN[],I$1,0),"ERROR")</f>
        <v>64</v>
      </c>
      <c r="J106" s="114">
        <f t="shared" si="13"/>
        <v>4.8411497730711045E-2</v>
      </c>
      <c r="K106" s="111">
        <f>IFERROR(VLOOKUP($B106,MMWR_TRAD_AGG_STATE_PEN[],K$1,0),"ERROR")</f>
        <v>8</v>
      </c>
      <c r="L106" s="112">
        <f>IFERROR(VLOOKUP($B106,MMWR_TRAD_AGG_STATE_PEN[],L$1,0),"ERROR")</f>
        <v>8</v>
      </c>
      <c r="M106" s="114">
        <f t="shared" si="14"/>
        <v>1</v>
      </c>
      <c r="N106" s="111">
        <f>IFERROR(VLOOKUP($B106,MMWR_TRAD_AGG_STATE_PEN[],N$1,0),"ERROR")</f>
        <v>61</v>
      </c>
      <c r="O106" s="112">
        <f>IFERROR(VLOOKUP($B106,MMWR_TRAD_AGG_STATE_PEN[],O$1,0),"ERROR")</f>
        <v>31</v>
      </c>
      <c r="P106" s="114">
        <f t="shared" si="15"/>
        <v>0.50819672131147542</v>
      </c>
      <c r="Q106" s="115">
        <f>IFERROR(VLOOKUP($B106,MMWR_TRAD_AGG_STATE_PEN[],Q$1,0),"ERROR")</f>
        <v>1235</v>
      </c>
      <c r="R106" s="115">
        <f>IFERROR(VLOOKUP($B106,MMWR_TRAD_AGG_STATE_PEN[],R$1,0),"ERROR")</f>
        <v>317</v>
      </c>
      <c r="S106" s="115">
        <f>IFERROR(VLOOKUP($B106,MMWR_APP_STATE_PEN[],S$1,0),"ERROR")</f>
        <v>527</v>
      </c>
      <c r="T106" s="28"/>
    </row>
    <row r="107" spans="1:20" s="123" customFormat="1" x14ac:dyDescent="0.2">
      <c r="A107" s="28"/>
      <c r="B107" s="127" t="s">
        <v>407</v>
      </c>
      <c r="C107" s="109">
        <f>IFERROR(VLOOKUP($B107,MMWR_TRAD_AGG_STATE_PEN[],C$1,0),"ERROR")</f>
        <v>79</v>
      </c>
      <c r="D107" s="110">
        <f>IFERROR(VLOOKUP($B107,MMWR_TRAD_AGG_STATE_PEN[],D$1,0),"ERROR")</f>
        <v>60.645569620300002</v>
      </c>
      <c r="E107" s="111">
        <f>IFERROR(VLOOKUP($B107,MMWR_TRAD_AGG_STATE_PEN[],E$1,0),"ERROR")</f>
        <v>138</v>
      </c>
      <c r="F107" s="112">
        <f>IFERROR(VLOOKUP($B107,MMWR_TRAD_AGG_STATE_PEN[],F$1,0),"ERROR")</f>
        <v>6</v>
      </c>
      <c r="G107" s="113">
        <f t="shared" si="12"/>
        <v>4.3478260869565216E-2</v>
      </c>
      <c r="H107" s="111">
        <f>IFERROR(VLOOKUP($B107,MMWR_TRAD_AGG_STATE_PEN[],H$1,0),"ERROR")</f>
        <v>101</v>
      </c>
      <c r="I107" s="112">
        <f>IFERROR(VLOOKUP($B107,MMWR_TRAD_AGG_STATE_PEN[],I$1,0),"ERROR")</f>
        <v>4</v>
      </c>
      <c r="J107" s="114">
        <f t="shared" si="13"/>
        <v>3.9603960396039604E-2</v>
      </c>
      <c r="K107" s="111">
        <f>IFERROR(VLOOKUP($B107,MMWR_TRAD_AGG_STATE_PEN[],K$1,0),"ERROR")</f>
        <v>0</v>
      </c>
      <c r="L107" s="112">
        <f>IFERROR(VLOOKUP($B107,MMWR_TRAD_AGG_STATE_PEN[],L$1,0),"ERROR")</f>
        <v>0</v>
      </c>
      <c r="M107" s="114" t="str">
        <f t="shared" si="14"/>
        <v>0%</v>
      </c>
      <c r="N107" s="111">
        <f>IFERROR(VLOOKUP($B107,MMWR_TRAD_AGG_STATE_PEN[],N$1,0),"ERROR")</f>
        <v>3</v>
      </c>
      <c r="O107" s="112">
        <f>IFERROR(VLOOKUP($B107,MMWR_TRAD_AGG_STATE_PEN[],O$1,0),"ERROR")</f>
        <v>0</v>
      </c>
      <c r="P107" s="114">
        <f t="shared" si="15"/>
        <v>0</v>
      </c>
      <c r="Q107" s="115">
        <f>IFERROR(VLOOKUP($B107,MMWR_TRAD_AGG_STATE_PEN[],Q$1,0),"ERROR")</f>
        <v>117</v>
      </c>
      <c r="R107" s="115">
        <f>IFERROR(VLOOKUP($B107,MMWR_TRAD_AGG_STATE_PEN[],R$1,0),"ERROR")</f>
        <v>16</v>
      </c>
      <c r="S107" s="115">
        <f>IFERROR(VLOOKUP($B107,MMWR_APP_STATE_PEN[],S$1,0),"ERROR")</f>
        <v>16</v>
      </c>
      <c r="T107" s="28"/>
    </row>
    <row r="108" spans="1:20" s="123" customFormat="1" x14ac:dyDescent="0.2">
      <c r="A108" s="28"/>
      <c r="B108" s="127" t="s">
        <v>422</v>
      </c>
      <c r="C108" s="109">
        <f>IFERROR(VLOOKUP($B108,MMWR_TRAD_AGG_STATE_PEN[],C$1,0),"ERROR")</f>
        <v>19</v>
      </c>
      <c r="D108" s="110">
        <f>IFERROR(VLOOKUP($B108,MMWR_TRAD_AGG_STATE_PEN[],D$1,0),"ERROR")</f>
        <v>63.473684210499997</v>
      </c>
      <c r="E108" s="111">
        <f>IFERROR(VLOOKUP($B108,MMWR_TRAD_AGG_STATE_PEN[],E$1,0),"ERROR")</f>
        <v>27</v>
      </c>
      <c r="F108" s="112">
        <f>IFERROR(VLOOKUP($B108,MMWR_TRAD_AGG_STATE_PEN[],F$1,0),"ERROR")</f>
        <v>2</v>
      </c>
      <c r="G108" s="113">
        <f t="shared" si="12"/>
        <v>7.407407407407407E-2</v>
      </c>
      <c r="H108" s="111">
        <f>IFERROR(VLOOKUP($B108,MMWR_TRAD_AGG_STATE_PEN[],H$1,0),"ERROR")</f>
        <v>32</v>
      </c>
      <c r="I108" s="112">
        <f>IFERROR(VLOOKUP($B108,MMWR_TRAD_AGG_STATE_PEN[],I$1,0),"ERROR")</f>
        <v>5</v>
      </c>
      <c r="J108" s="114">
        <f t="shared" si="13"/>
        <v>0.15625</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63</v>
      </c>
      <c r="R108" s="115">
        <f>IFERROR(VLOOKUP($B108,MMWR_TRAD_AGG_STATE_PEN[],R$1,0),"ERROR")</f>
        <v>3</v>
      </c>
      <c r="S108" s="115">
        <f>IFERROR(VLOOKUP($B108,MMWR_APP_STATE_PEN[],S$1,0),"ERROR")</f>
        <v>6</v>
      </c>
      <c r="T108" s="28"/>
    </row>
    <row r="109" spans="1:20" s="123" customFormat="1" x14ac:dyDescent="0.2">
      <c r="A109" s="28"/>
      <c r="B109" s="126" t="s">
        <v>405</v>
      </c>
      <c r="C109" s="102">
        <f>IFERROR(VLOOKUP($B109,MMWR_TRAD_AGG_ST_DISTRICT_PEN[],C$1,0),"ERROR")</f>
        <v>1983</v>
      </c>
      <c r="D109" s="103">
        <f>IFERROR(VLOOKUP($B109,MMWR_TRAD_AGG_ST_DISTRICT_PEN[],D$1,0),"ERROR")</f>
        <v>50.075138678800002</v>
      </c>
      <c r="E109" s="102">
        <f>IFERROR(VLOOKUP($B109,MMWR_TRAD_AGG_ST_DISTRICT_PEN[],E$1,0),"ERROR")</f>
        <v>3025</v>
      </c>
      <c r="F109" s="102">
        <f>IFERROR(VLOOKUP($B109,MMWR_TRAD_AGG_ST_DISTRICT_PEN[],F$1,0),"ERROR")</f>
        <v>159</v>
      </c>
      <c r="G109" s="104">
        <f t="shared" si="12"/>
        <v>5.2561983471074381E-2</v>
      </c>
      <c r="H109" s="102">
        <f>IFERROR(VLOOKUP($B109,MMWR_TRAD_AGG_ST_DISTRICT_PEN[],H$1,0),"ERROR")</f>
        <v>2688</v>
      </c>
      <c r="I109" s="102">
        <f>IFERROR(VLOOKUP($B109,MMWR_TRAD_AGG_ST_DISTRICT_PEN[],I$1,0),"ERROR")</f>
        <v>121</v>
      </c>
      <c r="J109" s="104">
        <f t="shared" si="13"/>
        <v>4.5014880952380952E-2</v>
      </c>
      <c r="K109" s="102">
        <f>IFERROR(VLOOKUP($B109,MMWR_TRAD_AGG_ST_DISTRICT_PEN[],K$1,0),"ERROR")</f>
        <v>19</v>
      </c>
      <c r="L109" s="102">
        <f>IFERROR(VLOOKUP($B109,MMWR_TRAD_AGG_ST_DISTRICT_PEN[],L$1,0),"ERROR")</f>
        <v>10</v>
      </c>
      <c r="M109" s="104">
        <f t="shared" si="14"/>
        <v>0.52631578947368418</v>
      </c>
      <c r="N109" s="102">
        <f>IFERROR(VLOOKUP($B109,MMWR_TRAD_AGG_ST_DISTRICT_PEN[],N$1,0),"ERROR")</f>
        <v>114</v>
      </c>
      <c r="O109" s="102">
        <f>IFERROR(VLOOKUP($B109,MMWR_TRAD_AGG_ST_DISTRICT_PEN[],O$1,0),"ERROR")</f>
        <v>55</v>
      </c>
      <c r="P109" s="104">
        <f t="shared" si="15"/>
        <v>0.48245614035087719</v>
      </c>
      <c r="Q109" s="102">
        <f>IFERROR(VLOOKUP($B109,MMWR_TRAD_AGG_ST_DISTRICT_PEN[],Q$1,0),"ERROR")</f>
        <v>2898</v>
      </c>
      <c r="R109" s="106">
        <f>IFERROR(VLOOKUP($B109,MMWR_TRAD_AGG_ST_DISTRICT_PEN[],R$1,0),"ERROR")</f>
        <v>569</v>
      </c>
      <c r="S109" s="106">
        <f>IFERROR(VLOOKUP($B109,MMWR_APP_STATE_PEN[],S$1,0),"ERROR")</f>
        <v>726</v>
      </c>
      <c r="T109" s="28"/>
    </row>
    <row r="110" spans="1:20" s="123" customFormat="1" x14ac:dyDescent="0.2">
      <c r="A110" s="28"/>
      <c r="B110" s="127" t="s">
        <v>425</v>
      </c>
      <c r="C110" s="109">
        <f>IFERROR(VLOOKUP($B110,MMWR_TRAD_AGG_STATE_PEN[],C$1,0),"ERROR")</f>
        <v>17</v>
      </c>
      <c r="D110" s="110">
        <f>IFERROR(VLOOKUP($B110,MMWR_TRAD_AGG_STATE_PEN[],D$1,0),"ERROR")</f>
        <v>54.764705882400001</v>
      </c>
      <c r="E110" s="111">
        <f>IFERROR(VLOOKUP($B110,MMWR_TRAD_AGG_STATE_PEN[],E$1,0),"ERROR")</f>
        <v>18</v>
      </c>
      <c r="F110" s="112">
        <f>IFERROR(VLOOKUP($B110,MMWR_TRAD_AGG_STATE_PEN[],F$1,0),"ERROR")</f>
        <v>0</v>
      </c>
      <c r="G110" s="113">
        <f t="shared" si="12"/>
        <v>0</v>
      </c>
      <c r="H110" s="111">
        <f>IFERROR(VLOOKUP($B110,MMWR_TRAD_AGG_STATE_PEN[],H$1,0),"ERROR")</f>
        <v>27</v>
      </c>
      <c r="I110" s="112">
        <f>IFERROR(VLOOKUP($B110,MMWR_TRAD_AGG_STATE_PEN[],I$1,0),"ERROR")</f>
        <v>1</v>
      </c>
      <c r="J110" s="114">
        <f t="shared" si="13"/>
        <v>3.7037037037037035E-2</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29</v>
      </c>
      <c r="R110" s="115">
        <f>IFERROR(VLOOKUP($B110,MMWR_TRAD_AGG_STATE_PEN[],R$1,0),"ERROR")</f>
        <v>6</v>
      </c>
      <c r="S110" s="115">
        <f>IFERROR(VLOOKUP($B110,MMWR_APP_STATE_PEN[],S$1,0),"ERROR")</f>
        <v>4</v>
      </c>
      <c r="T110" s="28"/>
    </row>
    <row r="111" spans="1:20" s="123" customFormat="1" x14ac:dyDescent="0.2">
      <c r="A111" s="28"/>
      <c r="B111" s="127" t="s">
        <v>427</v>
      </c>
      <c r="C111" s="109">
        <f>IFERROR(VLOOKUP($B111,MMWR_TRAD_AGG_STATE_PEN[],C$1,0),"ERROR")</f>
        <v>245</v>
      </c>
      <c r="D111" s="110">
        <f>IFERROR(VLOOKUP($B111,MMWR_TRAD_AGG_STATE_PEN[],D$1,0),"ERROR")</f>
        <v>51.457142857100003</v>
      </c>
      <c r="E111" s="111">
        <f>IFERROR(VLOOKUP($B111,MMWR_TRAD_AGG_STATE_PEN[],E$1,0),"ERROR")</f>
        <v>400</v>
      </c>
      <c r="F111" s="112">
        <f>IFERROR(VLOOKUP($B111,MMWR_TRAD_AGG_STATE_PEN[],F$1,0),"ERROR")</f>
        <v>22</v>
      </c>
      <c r="G111" s="113">
        <f t="shared" si="12"/>
        <v>5.5E-2</v>
      </c>
      <c r="H111" s="111">
        <f>IFERROR(VLOOKUP($B111,MMWR_TRAD_AGG_STATE_PEN[],H$1,0),"ERROR")</f>
        <v>323</v>
      </c>
      <c r="I111" s="112">
        <f>IFERROR(VLOOKUP($B111,MMWR_TRAD_AGG_STATE_PEN[],I$1,0),"ERROR")</f>
        <v>12</v>
      </c>
      <c r="J111" s="114">
        <f t="shared" si="13"/>
        <v>3.7151702786377708E-2</v>
      </c>
      <c r="K111" s="111">
        <f>IFERROR(VLOOKUP($B111,MMWR_TRAD_AGG_STATE_PEN[],K$1,0),"ERROR")</f>
        <v>1</v>
      </c>
      <c r="L111" s="112">
        <f>IFERROR(VLOOKUP($B111,MMWR_TRAD_AGG_STATE_PEN[],L$1,0),"ERROR")</f>
        <v>1</v>
      </c>
      <c r="M111" s="114">
        <f t="shared" si="14"/>
        <v>1</v>
      </c>
      <c r="N111" s="111">
        <f>IFERROR(VLOOKUP($B111,MMWR_TRAD_AGG_STATE_PEN[],N$1,0),"ERROR")</f>
        <v>6</v>
      </c>
      <c r="O111" s="112">
        <f>IFERROR(VLOOKUP($B111,MMWR_TRAD_AGG_STATE_PEN[],O$1,0),"ERROR")</f>
        <v>4</v>
      </c>
      <c r="P111" s="114">
        <f t="shared" si="15"/>
        <v>0.66666666666666663</v>
      </c>
      <c r="Q111" s="115">
        <f>IFERROR(VLOOKUP($B111,MMWR_TRAD_AGG_STATE_PEN[],Q$1,0),"ERROR")</f>
        <v>368</v>
      </c>
      <c r="R111" s="115">
        <f>IFERROR(VLOOKUP($B111,MMWR_TRAD_AGG_STATE_PEN[],R$1,0),"ERROR")</f>
        <v>74</v>
      </c>
      <c r="S111" s="115">
        <f>IFERROR(VLOOKUP($B111,MMWR_APP_STATE_PEN[],S$1,0),"ERROR")</f>
        <v>106</v>
      </c>
      <c r="T111" s="28"/>
    </row>
    <row r="112" spans="1:20" s="123" customFormat="1" x14ac:dyDescent="0.2">
      <c r="A112" s="28"/>
      <c r="B112" s="127" t="s">
        <v>408</v>
      </c>
      <c r="C112" s="109">
        <f>IFERROR(VLOOKUP($B112,MMWR_TRAD_AGG_STATE_PEN[],C$1,0),"ERROR")</f>
        <v>1057</v>
      </c>
      <c r="D112" s="110">
        <f>IFERROR(VLOOKUP($B112,MMWR_TRAD_AGG_STATE_PEN[],D$1,0),"ERROR")</f>
        <v>49.815515610200002</v>
      </c>
      <c r="E112" s="111">
        <f>IFERROR(VLOOKUP($B112,MMWR_TRAD_AGG_STATE_PEN[],E$1,0),"ERROR")</f>
        <v>1569</v>
      </c>
      <c r="F112" s="112">
        <f>IFERROR(VLOOKUP($B112,MMWR_TRAD_AGG_STATE_PEN[],F$1,0),"ERROR")</f>
        <v>82</v>
      </c>
      <c r="G112" s="113">
        <f t="shared" si="12"/>
        <v>5.2262587635436585E-2</v>
      </c>
      <c r="H112" s="111">
        <f>IFERROR(VLOOKUP($B112,MMWR_TRAD_AGG_STATE_PEN[],H$1,0),"ERROR")</f>
        <v>1402</v>
      </c>
      <c r="I112" s="112">
        <f>IFERROR(VLOOKUP($B112,MMWR_TRAD_AGG_STATE_PEN[],I$1,0),"ERROR")</f>
        <v>52</v>
      </c>
      <c r="J112" s="114">
        <f t="shared" si="13"/>
        <v>3.7089871611982884E-2</v>
      </c>
      <c r="K112" s="111">
        <f>IFERROR(VLOOKUP($B112,MMWR_TRAD_AGG_STATE_PEN[],K$1,0),"ERROR")</f>
        <v>13</v>
      </c>
      <c r="L112" s="112">
        <f>IFERROR(VLOOKUP($B112,MMWR_TRAD_AGG_STATE_PEN[],L$1,0),"ERROR")</f>
        <v>6</v>
      </c>
      <c r="M112" s="114">
        <f t="shared" si="14"/>
        <v>0.46153846153846156</v>
      </c>
      <c r="N112" s="111">
        <f>IFERROR(VLOOKUP($B112,MMWR_TRAD_AGG_STATE_PEN[],N$1,0),"ERROR")</f>
        <v>64</v>
      </c>
      <c r="O112" s="112">
        <f>IFERROR(VLOOKUP($B112,MMWR_TRAD_AGG_STATE_PEN[],O$1,0),"ERROR")</f>
        <v>29</v>
      </c>
      <c r="P112" s="114">
        <f t="shared" si="15"/>
        <v>0.453125</v>
      </c>
      <c r="Q112" s="115">
        <f>IFERROR(VLOOKUP($B112,MMWR_TRAD_AGG_STATE_PEN[],Q$1,0),"ERROR")</f>
        <v>1274</v>
      </c>
      <c r="R112" s="115">
        <f>IFERROR(VLOOKUP($B112,MMWR_TRAD_AGG_STATE_PEN[],R$1,0),"ERROR")</f>
        <v>295</v>
      </c>
      <c r="S112" s="115">
        <f>IFERROR(VLOOKUP($B112,MMWR_APP_STATE_PEN[],S$1,0),"ERROR")</f>
        <v>394</v>
      </c>
      <c r="T112" s="28"/>
    </row>
    <row r="113" spans="1:20" s="123" customFormat="1" x14ac:dyDescent="0.2">
      <c r="A113" s="28"/>
      <c r="B113" s="127" t="s">
        <v>429</v>
      </c>
      <c r="C113" s="109">
        <f>IFERROR(VLOOKUP($B113,MMWR_TRAD_AGG_STATE_PEN[],C$1,0),"ERROR")</f>
        <v>25</v>
      </c>
      <c r="D113" s="110">
        <f>IFERROR(VLOOKUP($B113,MMWR_TRAD_AGG_STATE_PEN[],D$1,0),"ERROR")</f>
        <v>56.36</v>
      </c>
      <c r="E113" s="111">
        <f>IFERROR(VLOOKUP($B113,MMWR_TRAD_AGG_STATE_PEN[],E$1,0),"ERROR")</f>
        <v>28</v>
      </c>
      <c r="F113" s="112">
        <f>IFERROR(VLOOKUP($B113,MMWR_TRAD_AGG_STATE_PEN[],F$1,0),"ERROR")</f>
        <v>1</v>
      </c>
      <c r="G113" s="113">
        <f t="shared" si="12"/>
        <v>3.5714285714285712E-2</v>
      </c>
      <c r="H113" s="111">
        <f>IFERROR(VLOOKUP($B113,MMWR_TRAD_AGG_STATE_PEN[],H$1,0),"ERROR")</f>
        <v>32</v>
      </c>
      <c r="I113" s="112">
        <f>IFERROR(VLOOKUP($B113,MMWR_TRAD_AGG_STATE_PEN[],I$1,0),"ERROR")</f>
        <v>2</v>
      </c>
      <c r="J113" s="114">
        <f t="shared" si="13"/>
        <v>6.25E-2</v>
      </c>
      <c r="K113" s="111">
        <f>IFERROR(VLOOKUP($B113,MMWR_TRAD_AGG_STATE_PEN[],K$1,0),"ERROR")</f>
        <v>1</v>
      </c>
      <c r="L113" s="112">
        <f>IFERROR(VLOOKUP($B113,MMWR_TRAD_AGG_STATE_PEN[],L$1,0),"ERROR")</f>
        <v>1</v>
      </c>
      <c r="M113" s="114">
        <f t="shared" si="14"/>
        <v>1</v>
      </c>
      <c r="N113" s="111">
        <f>IFERROR(VLOOKUP($B113,MMWR_TRAD_AGG_STATE_PEN[],N$1,0),"ERROR")</f>
        <v>2</v>
      </c>
      <c r="O113" s="112">
        <f>IFERROR(VLOOKUP($B113,MMWR_TRAD_AGG_STATE_PEN[],O$1,0),"ERROR")</f>
        <v>0</v>
      </c>
      <c r="P113" s="114">
        <f t="shared" si="15"/>
        <v>0</v>
      </c>
      <c r="Q113" s="115">
        <f>IFERROR(VLOOKUP($B113,MMWR_TRAD_AGG_STATE_PEN[],Q$1,0),"ERROR")</f>
        <v>70</v>
      </c>
      <c r="R113" s="115">
        <f>IFERROR(VLOOKUP($B113,MMWR_TRAD_AGG_STATE_PEN[],R$1,0),"ERROR")</f>
        <v>12</v>
      </c>
      <c r="S113" s="115">
        <f>IFERROR(VLOOKUP($B113,MMWR_APP_STATE_PEN[],S$1,0),"ERROR")</f>
        <v>10</v>
      </c>
      <c r="T113" s="28"/>
    </row>
    <row r="114" spans="1:20" s="123" customFormat="1" x14ac:dyDescent="0.2">
      <c r="A114" s="28"/>
      <c r="B114" s="127" t="s">
        <v>409</v>
      </c>
      <c r="C114" s="109">
        <f>IFERROR(VLOOKUP($B114,MMWR_TRAD_AGG_STATE_PEN[],C$1,0),"ERROR")</f>
        <v>68</v>
      </c>
      <c r="D114" s="110">
        <f>IFERROR(VLOOKUP($B114,MMWR_TRAD_AGG_STATE_PEN[],D$1,0),"ERROR")</f>
        <v>50.338235294100002</v>
      </c>
      <c r="E114" s="111">
        <f>IFERROR(VLOOKUP($B114,MMWR_TRAD_AGG_STATE_PEN[],E$1,0),"ERROR")</f>
        <v>95</v>
      </c>
      <c r="F114" s="112">
        <f>IFERROR(VLOOKUP($B114,MMWR_TRAD_AGG_STATE_PEN[],F$1,0),"ERROR")</f>
        <v>4</v>
      </c>
      <c r="G114" s="113">
        <f t="shared" si="12"/>
        <v>4.2105263157894736E-2</v>
      </c>
      <c r="H114" s="111">
        <f>IFERROR(VLOOKUP($B114,MMWR_TRAD_AGG_STATE_PEN[],H$1,0),"ERROR")</f>
        <v>87</v>
      </c>
      <c r="I114" s="112">
        <f>IFERROR(VLOOKUP($B114,MMWR_TRAD_AGG_STATE_PEN[],I$1,0),"ERROR")</f>
        <v>1</v>
      </c>
      <c r="J114" s="114">
        <f t="shared" si="13"/>
        <v>1.1494252873563218E-2</v>
      </c>
      <c r="K114" s="111">
        <f>IFERROR(VLOOKUP($B114,MMWR_TRAD_AGG_STATE_PEN[],K$1,0),"ERROR")</f>
        <v>1</v>
      </c>
      <c r="L114" s="112">
        <f>IFERROR(VLOOKUP($B114,MMWR_TRAD_AGG_STATE_PEN[],L$1,0),"ERROR")</f>
        <v>1</v>
      </c>
      <c r="M114" s="114">
        <f t="shared" si="14"/>
        <v>1</v>
      </c>
      <c r="N114" s="111">
        <f>IFERROR(VLOOKUP($B114,MMWR_TRAD_AGG_STATE_PEN[],N$1,0),"ERROR")</f>
        <v>1</v>
      </c>
      <c r="O114" s="112">
        <f>IFERROR(VLOOKUP($B114,MMWR_TRAD_AGG_STATE_PEN[],O$1,0),"ERROR")</f>
        <v>0</v>
      </c>
      <c r="P114" s="114">
        <f t="shared" si="15"/>
        <v>0</v>
      </c>
      <c r="Q114" s="115">
        <f>IFERROR(VLOOKUP($B114,MMWR_TRAD_AGG_STATE_PEN[],Q$1,0),"ERROR")</f>
        <v>102</v>
      </c>
      <c r="R114" s="115">
        <f>IFERROR(VLOOKUP($B114,MMWR_TRAD_AGG_STATE_PEN[],R$1,0),"ERROR")</f>
        <v>13</v>
      </c>
      <c r="S114" s="115">
        <f>IFERROR(VLOOKUP($B114,MMWR_APP_STATE_PEN[],S$1,0),"ERROR")</f>
        <v>9</v>
      </c>
      <c r="T114" s="28"/>
    </row>
    <row r="115" spans="1:20" s="123" customFormat="1" x14ac:dyDescent="0.2">
      <c r="A115" s="28"/>
      <c r="B115" s="127" t="s">
        <v>414</v>
      </c>
      <c r="C115" s="109">
        <f>IFERROR(VLOOKUP($B115,MMWR_TRAD_AGG_STATE_PEN[],C$1,0),"ERROR")</f>
        <v>103</v>
      </c>
      <c r="D115" s="110">
        <f>IFERROR(VLOOKUP($B115,MMWR_TRAD_AGG_STATE_PEN[],D$1,0),"ERROR")</f>
        <v>49.854368932</v>
      </c>
      <c r="E115" s="111">
        <f>IFERROR(VLOOKUP($B115,MMWR_TRAD_AGG_STATE_PEN[],E$1,0),"ERROR")</f>
        <v>164</v>
      </c>
      <c r="F115" s="112">
        <f>IFERROR(VLOOKUP($B115,MMWR_TRAD_AGG_STATE_PEN[],F$1,0),"ERROR")</f>
        <v>5</v>
      </c>
      <c r="G115" s="113">
        <f t="shared" si="12"/>
        <v>3.048780487804878E-2</v>
      </c>
      <c r="H115" s="111">
        <f>IFERROR(VLOOKUP($B115,MMWR_TRAD_AGG_STATE_PEN[],H$1,0),"ERROR")</f>
        <v>141</v>
      </c>
      <c r="I115" s="112">
        <f>IFERROR(VLOOKUP($B115,MMWR_TRAD_AGG_STATE_PEN[],I$1,0),"ERROR")</f>
        <v>6</v>
      </c>
      <c r="J115" s="114">
        <f t="shared" si="13"/>
        <v>4.2553191489361701E-2</v>
      </c>
      <c r="K115" s="111">
        <f>IFERROR(VLOOKUP($B115,MMWR_TRAD_AGG_STATE_PEN[],K$1,0),"ERROR")</f>
        <v>0</v>
      </c>
      <c r="L115" s="112">
        <f>IFERROR(VLOOKUP($B115,MMWR_TRAD_AGG_STATE_PEN[],L$1,0),"ERROR")</f>
        <v>0</v>
      </c>
      <c r="M115" s="114" t="str">
        <f t="shared" si="14"/>
        <v>0%</v>
      </c>
      <c r="N115" s="111">
        <f>IFERROR(VLOOKUP($B115,MMWR_TRAD_AGG_STATE_PEN[],N$1,0),"ERROR")</f>
        <v>6</v>
      </c>
      <c r="O115" s="112">
        <f>IFERROR(VLOOKUP($B115,MMWR_TRAD_AGG_STATE_PEN[],O$1,0),"ERROR")</f>
        <v>4</v>
      </c>
      <c r="P115" s="114">
        <f t="shared" si="15"/>
        <v>0.66666666666666663</v>
      </c>
      <c r="Q115" s="115">
        <f>IFERROR(VLOOKUP($B115,MMWR_TRAD_AGG_STATE_PEN[],Q$1,0),"ERROR")</f>
        <v>132</v>
      </c>
      <c r="R115" s="115">
        <f>IFERROR(VLOOKUP($B115,MMWR_TRAD_AGG_STATE_PEN[],R$1,0),"ERROR")</f>
        <v>32</v>
      </c>
      <c r="S115" s="115">
        <f>IFERROR(VLOOKUP($B115,MMWR_APP_STATE_PEN[],S$1,0),"ERROR")</f>
        <v>37</v>
      </c>
      <c r="T115" s="28"/>
    </row>
    <row r="116" spans="1:20" s="123" customFormat="1" x14ac:dyDescent="0.2">
      <c r="A116" s="28"/>
      <c r="B116" s="127" t="s">
        <v>406</v>
      </c>
      <c r="C116" s="109">
        <f>IFERROR(VLOOKUP($B116,MMWR_TRAD_AGG_STATE_PEN[],C$1,0),"ERROR")</f>
        <v>68</v>
      </c>
      <c r="D116" s="110">
        <f>IFERROR(VLOOKUP($B116,MMWR_TRAD_AGG_STATE_PEN[],D$1,0),"ERROR")</f>
        <v>50.661764705899998</v>
      </c>
      <c r="E116" s="111">
        <f>IFERROR(VLOOKUP($B116,MMWR_TRAD_AGG_STATE_PEN[],E$1,0),"ERROR")</f>
        <v>135</v>
      </c>
      <c r="F116" s="112">
        <f>IFERROR(VLOOKUP($B116,MMWR_TRAD_AGG_STATE_PEN[],F$1,0),"ERROR")</f>
        <v>5</v>
      </c>
      <c r="G116" s="113">
        <f t="shared" si="12"/>
        <v>3.7037037037037035E-2</v>
      </c>
      <c r="H116" s="111">
        <f>IFERROR(VLOOKUP($B116,MMWR_TRAD_AGG_STATE_PEN[],H$1,0),"ERROR")</f>
        <v>96</v>
      </c>
      <c r="I116" s="112">
        <f>IFERROR(VLOOKUP($B116,MMWR_TRAD_AGG_STATE_PEN[],I$1,0),"ERROR")</f>
        <v>3</v>
      </c>
      <c r="J116" s="114">
        <f t="shared" si="13"/>
        <v>3.125E-2</v>
      </c>
      <c r="K116" s="111">
        <f>IFERROR(VLOOKUP($B116,MMWR_TRAD_AGG_STATE_PEN[],K$1,0),"ERROR")</f>
        <v>0</v>
      </c>
      <c r="L116" s="112">
        <f>IFERROR(VLOOKUP($B116,MMWR_TRAD_AGG_STATE_PEN[],L$1,0),"ERROR")</f>
        <v>0</v>
      </c>
      <c r="M116" s="114" t="str">
        <f t="shared" si="14"/>
        <v>0%</v>
      </c>
      <c r="N116" s="111">
        <f>IFERROR(VLOOKUP($B116,MMWR_TRAD_AGG_STATE_PEN[],N$1,0),"ERROR")</f>
        <v>6</v>
      </c>
      <c r="O116" s="112">
        <f>IFERROR(VLOOKUP($B116,MMWR_TRAD_AGG_STATE_PEN[],O$1,0),"ERROR")</f>
        <v>3</v>
      </c>
      <c r="P116" s="114">
        <f t="shared" si="15"/>
        <v>0.5</v>
      </c>
      <c r="Q116" s="115">
        <f>IFERROR(VLOOKUP($B116,MMWR_TRAD_AGG_STATE_PEN[],Q$1,0),"ERROR")</f>
        <v>213</v>
      </c>
      <c r="R116" s="115">
        <f>IFERROR(VLOOKUP($B116,MMWR_TRAD_AGG_STATE_PEN[],R$1,0),"ERROR")</f>
        <v>25</v>
      </c>
      <c r="S116" s="115">
        <f>IFERROR(VLOOKUP($B116,MMWR_APP_STATE_PEN[],S$1,0),"ERROR")</f>
        <v>30</v>
      </c>
      <c r="T116" s="28"/>
    </row>
    <row r="117" spans="1:20" s="123" customFormat="1" x14ac:dyDescent="0.2">
      <c r="A117" s="28"/>
      <c r="B117" s="127" t="s">
        <v>410</v>
      </c>
      <c r="C117" s="109">
        <f>IFERROR(VLOOKUP($B117,MMWR_TRAD_AGG_STATE_PEN[],C$1,0),"ERROR")</f>
        <v>190</v>
      </c>
      <c r="D117" s="110">
        <f>IFERROR(VLOOKUP($B117,MMWR_TRAD_AGG_STATE_PEN[],D$1,0),"ERROR")</f>
        <v>50.731578947400003</v>
      </c>
      <c r="E117" s="111">
        <f>IFERROR(VLOOKUP($B117,MMWR_TRAD_AGG_STATE_PEN[],E$1,0),"ERROR")</f>
        <v>225</v>
      </c>
      <c r="F117" s="112">
        <f>IFERROR(VLOOKUP($B117,MMWR_TRAD_AGG_STATE_PEN[],F$1,0),"ERROR")</f>
        <v>12</v>
      </c>
      <c r="G117" s="113">
        <f t="shared" si="12"/>
        <v>5.3333333333333337E-2</v>
      </c>
      <c r="H117" s="111">
        <f>IFERROR(VLOOKUP($B117,MMWR_TRAD_AGG_STATE_PEN[],H$1,0),"ERROR")</f>
        <v>263</v>
      </c>
      <c r="I117" s="112">
        <f>IFERROR(VLOOKUP($B117,MMWR_TRAD_AGG_STATE_PEN[],I$1,0),"ERROR")</f>
        <v>11</v>
      </c>
      <c r="J117" s="114">
        <f t="shared" si="13"/>
        <v>4.1825095057034217E-2</v>
      </c>
      <c r="K117" s="111">
        <f>IFERROR(VLOOKUP($B117,MMWR_TRAD_AGG_STATE_PEN[],K$1,0),"ERROR")</f>
        <v>1</v>
      </c>
      <c r="L117" s="112">
        <f>IFERROR(VLOOKUP($B117,MMWR_TRAD_AGG_STATE_PEN[],L$1,0),"ERROR")</f>
        <v>1</v>
      </c>
      <c r="M117" s="114">
        <f t="shared" si="14"/>
        <v>1</v>
      </c>
      <c r="N117" s="111">
        <f>IFERROR(VLOOKUP($B117,MMWR_TRAD_AGG_STATE_PEN[],N$1,0),"ERROR")</f>
        <v>12</v>
      </c>
      <c r="O117" s="112">
        <f>IFERROR(VLOOKUP($B117,MMWR_TRAD_AGG_STATE_PEN[],O$1,0),"ERROR")</f>
        <v>6</v>
      </c>
      <c r="P117" s="114">
        <f t="shared" si="15"/>
        <v>0.5</v>
      </c>
      <c r="Q117" s="115">
        <f>IFERROR(VLOOKUP($B117,MMWR_TRAD_AGG_STATE_PEN[],Q$1,0),"ERROR")</f>
        <v>317</v>
      </c>
      <c r="R117" s="115">
        <f>IFERROR(VLOOKUP($B117,MMWR_TRAD_AGG_STATE_PEN[],R$1,0),"ERROR")</f>
        <v>42</v>
      </c>
      <c r="S117" s="115">
        <f>IFERROR(VLOOKUP($B117,MMWR_APP_STATE_PEN[],S$1,0),"ERROR")</f>
        <v>45</v>
      </c>
      <c r="T117" s="28"/>
    </row>
    <row r="118" spans="1:20" s="123" customFormat="1" x14ac:dyDescent="0.2">
      <c r="A118" s="28"/>
      <c r="B118" s="127" t="s">
        <v>80</v>
      </c>
      <c r="C118" s="109">
        <f>IFERROR(VLOOKUP($B118,MMWR_TRAD_AGG_STATE_PEN[],C$1,0),"ERROR")</f>
        <v>210</v>
      </c>
      <c r="D118" s="110">
        <f>IFERROR(VLOOKUP($B118,MMWR_TRAD_AGG_STATE_PEN[],D$1,0),"ERROR")</f>
        <v>47.880952381</v>
      </c>
      <c r="E118" s="111">
        <f>IFERROR(VLOOKUP($B118,MMWR_TRAD_AGG_STATE_PEN[],E$1,0),"ERROR")</f>
        <v>391</v>
      </c>
      <c r="F118" s="112">
        <f>IFERROR(VLOOKUP($B118,MMWR_TRAD_AGG_STATE_PEN[],F$1,0),"ERROR")</f>
        <v>28</v>
      </c>
      <c r="G118" s="113">
        <f t="shared" si="12"/>
        <v>7.1611253196930943E-2</v>
      </c>
      <c r="H118" s="111">
        <f>IFERROR(VLOOKUP($B118,MMWR_TRAD_AGG_STATE_PEN[],H$1,0),"ERROR")</f>
        <v>317</v>
      </c>
      <c r="I118" s="112">
        <f>IFERROR(VLOOKUP($B118,MMWR_TRAD_AGG_STATE_PEN[],I$1,0),"ERROR")</f>
        <v>33</v>
      </c>
      <c r="J118" s="114">
        <f t="shared" si="13"/>
        <v>0.10410094637223975</v>
      </c>
      <c r="K118" s="111">
        <f>IFERROR(VLOOKUP($B118,MMWR_TRAD_AGG_STATE_PEN[],K$1,0),"ERROR")</f>
        <v>2</v>
      </c>
      <c r="L118" s="112">
        <f>IFERROR(VLOOKUP($B118,MMWR_TRAD_AGG_STATE_PEN[],L$1,0),"ERROR")</f>
        <v>0</v>
      </c>
      <c r="M118" s="114">
        <f t="shared" si="14"/>
        <v>0</v>
      </c>
      <c r="N118" s="111">
        <f>IFERROR(VLOOKUP($B118,MMWR_TRAD_AGG_STATE_PEN[],N$1,0),"ERROR")</f>
        <v>15</v>
      </c>
      <c r="O118" s="112">
        <f>IFERROR(VLOOKUP($B118,MMWR_TRAD_AGG_STATE_PEN[],O$1,0),"ERROR")</f>
        <v>8</v>
      </c>
      <c r="P118" s="114">
        <f t="shared" si="15"/>
        <v>0.53333333333333333</v>
      </c>
      <c r="Q118" s="115">
        <f>IFERROR(VLOOKUP($B118,MMWR_TRAD_AGG_STATE_PEN[],Q$1,0),"ERROR")</f>
        <v>393</v>
      </c>
      <c r="R118" s="115">
        <f>IFERROR(VLOOKUP($B118,MMWR_TRAD_AGG_STATE_PEN[],R$1,0),"ERROR")</f>
        <v>70</v>
      </c>
      <c r="S118" s="115">
        <f>IFERROR(VLOOKUP($B118,MMWR_APP_STATE_PEN[],S$1,0),"ERROR")</f>
        <v>91</v>
      </c>
      <c r="T118" s="28"/>
    </row>
    <row r="119" spans="1:20" s="123" customFormat="1" x14ac:dyDescent="0.2">
      <c r="A119" s="28"/>
      <c r="B119" s="126" t="s">
        <v>381</v>
      </c>
      <c r="C119" s="102">
        <f>IFERROR(VLOOKUP($B119,MMWR_TRAD_AGG_ST_DISTRICT_PEN[],C$1,0),"ERROR")</f>
        <v>9132</v>
      </c>
      <c r="D119" s="103">
        <f>IFERROR(VLOOKUP($B119,MMWR_TRAD_AGG_ST_DISTRICT_PEN[],D$1,0),"ERROR")</f>
        <v>81.517520805999993</v>
      </c>
      <c r="E119" s="102">
        <f>IFERROR(VLOOKUP($B119,MMWR_TRAD_AGG_ST_DISTRICT_PEN[],E$1,0),"ERROR")</f>
        <v>8991</v>
      </c>
      <c r="F119" s="102">
        <f>IFERROR(VLOOKUP($B119,MMWR_TRAD_AGG_ST_DISTRICT_PEN[],F$1,0),"ERROR")</f>
        <v>1974</v>
      </c>
      <c r="G119" s="104">
        <f t="shared" si="12"/>
        <v>0.21955288621955288</v>
      </c>
      <c r="H119" s="102">
        <f>IFERROR(VLOOKUP($B119,MMWR_TRAD_AGG_ST_DISTRICT_PEN[],H$1,0),"ERROR")</f>
        <v>11268</v>
      </c>
      <c r="I119" s="102">
        <f>IFERROR(VLOOKUP($B119,MMWR_TRAD_AGG_ST_DISTRICT_PEN[],I$1,0),"ERROR")</f>
        <v>2669</v>
      </c>
      <c r="J119" s="104">
        <f t="shared" si="13"/>
        <v>0.23686545970891018</v>
      </c>
      <c r="K119" s="102">
        <f>IFERROR(VLOOKUP($B119,MMWR_TRAD_AGG_ST_DISTRICT_PEN[],K$1,0),"ERROR")</f>
        <v>68</v>
      </c>
      <c r="L119" s="102">
        <f>IFERROR(VLOOKUP($B119,MMWR_TRAD_AGG_ST_DISTRICT_PEN[],L$1,0),"ERROR")</f>
        <v>60</v>
      </c>
      <c r="M119" s="104">
        <f t="shared" si="14"/>
        <v>0.88235294117647056</v>
      </c>
      <c r="N119" s="102">
        <f>IFERROR(VLOOKUP($B119,MMWR_TRAD_AGG_ST_DISTRICT_PEN[],N$1,0),"ERROR")</f>
        <v>543</v>
      </c>
      <c r="O119" s="102">
        <f>IFERROR(VLOOKUP($B119,MMWR_TRAD_AGG_ST_DISTRICT_PEN[],O$1,0),"ERROR")</f>
        <v>147</v>
      </c>
      <c r="P119" s="104">
        <f t="shared" si="15"/>
        <v>0.27071823204419887</v>
      </c>
      <c r="Q119" s="102">
        <f>IFERROR(VLOOKUP($B119,MMWR_TRAD_AGG_ST_DISTRICT_PEN[],Q$1,0),"ERROR")</f>
        <v>1011</v>
      </c>
      <c r="R119" s="106">
        <f>IFERROR(VLOOKUP($B119,MMWR_TRAD_AGG_ST_DISTRICT_PEN[],R$1,0),"ERROR")</f>
        <v>1893</v>
      </c>
      <c r="S119" s="106">
        <f>IFERROR(VLOOKUP($B119,MMWR_APP_STATE_PEN[],S$1,0),"ERROR")</f>
        <v>1898</v>
      </c>
      <c r="T119" s="28"/>
    </row>
    <row r="120" spans="1:20" s="123" customFormat="1" x14ac:dyDescent="0.2">
      <c r="A120" s="28"/>
      <c r="B120" s="127" t="s">
        <v>389</v>
      </c>
      <c r="C120" s="109">
        <f>IFERROR(VLOOKUP($B120,MMWR_TRAD_AGG_STATE_PEN[],C$1,0),"ERROR")</f>
        <v>1125</v>
      </c>
      <c r="D120" s="110">
        <f>IFERROR(VLOOKUP($B120,MMWR_TRAD_AGG_STATE_PEN[],D$1,0),"ERROR")</f>
        <v>50.5564444444</v>
      </c>
      <c r="E120" s="111">
        <f>IFERROR(VLOOKUP($B120,MMWR_TRAD_AGG_STATE_PEN[],E$1,0),"ERROR")</f>
        <v>795</v>
      </c>
      <c r="F120" s="112">
        <f>IFERROR(VLOOKUP($B120,MMWR_TRAD_AGG_STATE_PEN[],F$1,0),"ERROR")</f>
        <v>102</v>
      </c>
      <c r="G120" s="113">
        <f t="shared" si="12"/>
        <v>0.12830188679245283</v>
      </c>
      <c r="H120" s="111">
        <f>IFERROR(VLOOKUP($B120,MMWR_TRAD_AGG_STATE_PEN[],H$1,0),"ERROR")</f>
        <v>1298</v>
      </c>
      <c r="I120" s="112">
        <f>IFERROR(VLOOKUP($B120,MMWR_TRAD_AGG_STATE_PEN[],I$1,0),"ERROR")</f>
        <v>58</v>
      </c>
      <c r="J120" s="114">
        <f t="shared" si="13"/>
        <v>4.4684129429892139E-2</v>
      </c>
      <c r="K120" s="111">
        <f>IFERROR(VLOOKUP($B120,MMWR_TRAD_AGG_STATE_PEN[],K$1,0),"ERROR")</f>
        <v>5</v>
      </c>
      <c r="L120" s="112">
        <f>IFERROR(VLOOKUP($B120,MMWR_TRAD_AGG_STATE_PEN[],L$1,0),"ERROR")</f>
        <v>5</v>
      </c>
      <c r="M120" s="114">
        <f t="shared" si="14"/>
        <v>1</v>
      </c>
      <c r="N120" s="111">
        <f>IFERROR(VLOOKUP($B120,MMWR_TRAD_AGG_STATE_PEN[],N$1,0),"ERROR")</f>
        <v>53</v>
      </c>
      <c r="O120" s="112">
        <f>IFERROR(VLOOKUP($B120,MMWR_TRAD_AGG_STATE_PEN[],O$1,0),"ERROR")</f>
        <v>8</v>
      </c>
      <c r="P120" s="114">
        <f t="shared" si="15"/>
        <v>0.15094339622641509</v>
      </c>
      <c r="Q120" s="115">
        <f>IFERROR(VLOOKUP($B120,MMWR_TRAD_AGG_STATE_PEN[],Q$1,0),"ERROR")</f>
        <v>121</v>
      </c>
      <c r="R120" s="115">
        <f>IFERROR(VLOOKUP($B120,MMWR_TRAD_AGG_STATE_PEN[],R$1,0),"ERROR")</f>
        <v>86</v>
      </c>
      <c r="S120" s="115">
        <f>IFERROR(VLOOKUP($B120,MMWR_APP_STATE_PEN[],S$1,0),"ERROR")</f>
        <v>288</v>
      </c>
      <c r="T120" s="28"/>
    </row>
    <row r="121" spans="1:20" s="123" customFormat="1" x14ac:dyDescent="0.2">
      <c r="A121" s="28"/>
      <c r="B121" s="127" t="s">
        <v>426</v>
      </c>
      <c r="C121" s="109">
        <f>IFERROR(VLOOKUP($B121,MMWR_TRAD_AGG_STATE_PEN[],C$1,0),"ERROR")</f>
        <v>2676</v>
      </c>
      <c r="D121" s="110">
        <f>IFERROR(VLOOKUP($B121,MMWR_TRAD_AGG_STATE_PEN[],D$1,0),"ERROR")</f>
        <v>95.659566517200005</v>
      </c>
      <c r="E121" s="111">
        <f>IFERROR(VLOOKUP($B121,MMWR_TRAD_AGG_STATE_PEN[],E$1,0),"ERROR")</f>
        <v>3647</v>
      </c>
      <c r="F121" s="112">
        <f>IFERROR(VLOOKUP($B121,MMWR_TRAD_AGG_STATE_PEN[],F$1,0),"ERROR")</f>
        <v>910</v>
      </c>
      <c r="G121" s="113">
        <f t="shared" si="12"/>
        <v>0.24952015355086371</v>
      </c>
      <c r="H121" s="111">
        <f>IFERROR(VLOOKUP($B121,MMWR_TRAD_AGG_STATE_PEN[],H$1,0),"ERROR")</f>
        <v>3394</v>
      </c>
      <c r="I121" s="112">
        <f>IFERROR(VLOOKUP($B121,MMWR_TRAD_AGG_STATE_PEN[],I$1,0),"ERROR")</f>
        <v>1048</v>
      </c>
      <c r="J121" s="114">
        <f t="shared" si="13"/>
        <v>0.30878020035356513</v>
      </c>
      <c r="K121" s="111">
        <f>IFERROR(VLOOKUP($B121,MMWR_TRAD_AGG_STATE_PEN[],K$1,0),"ERROR")</f>
        <v>35</v>
      </c>
      <c r="L121" s="112">
        <f>IFERROR(VLOOKUP($B121,MMWR_TRAD_AGG_STATE_PEN[],L$1,0),"ERROR")</f>
        <v>31</v>
      </c>
      <c r="M121" s="114">
        <f t="shared" si="14"/>
        <v>0.88571428571428568</v>
      </c>
      <c r="N121" s="111">
        <f>IFERROR(VLOOKUP($B121,MMWR_TRAD_AGG_STATE_PEN[],N$1,0),"ERROR")</f>
        <v>185</v>
      </c>
      <c r="O121" s="112">
        <f>IFERROR(VLOOKUP($B121,MMWR_TRAD_AGG_STATE_PEN[],O$1,0),"ERROR")</f>
        <v>60</v>
      </c>
      <c r="P121" s="114">
        <f t="shared" si="15"/>
        <v>0.32432432432432434</v>
      </c>
      <c r="Q121" s="115">
        <f>IFERROR(VLOOKUP($B121,MMWR_TRAD_AGG_STATE_PEN[],Q$1,0),"ERROR")</f>
        <v>342</v>
      </c>
      <c r="R121" s="115">
        <f>IFERROR(VLOOKUP($B121,MMWR_TRAD_AGG_STATE_PEN[],R$1,0),"ERROR")</f>
        <v>769</v>
      </c>
      <c r="S121" s="115">
        <f>IFERROR(VLOOKUP($B121,MMWR_APP_STATE_PEN[],S$1,0),"ERROR")</f>
        <v>576</v>
      </c>
      <c r="T121" s="28"/>
    </row>
    <row r="122" spans="1:20" s="123" customFormat="1" x14ac:dyDescent="0.2">
      <c r="A122" s="28"/>
      <c r="B122" s="127" t="s">
        <v>382</v>
      </c>
      <c r="C122" s="109">
        <f>IFERROR(VLOOKUP($B122,MMWR_TRAD_AGG_STATE_PEN[],C$1,0),"ERROR")</f>
        <v>1417</v>
      </c>
      <c r="D122" s="110">
        <f>IFERROR(VLOOKUP($B122,MMWR_TRAD_AGG_STATE_PEN[],D$1,0),"ERROR")</f>
        <v>97.627381792500003</v>
      </c>
      <c r="E122" s="111">
        <f>IFERROR(VLOOKUP($B122,MMWR_TRAD_AGG_STATE_PEN[],E$1,0),"ERROR")</f>
        <v>1786</v>
      </c>
      <c r="F122" s="112">
        <f>IFERROR(VLOOKUP($B122,MMWR_TRAD_AGG_STATE_PEN[],F$1,0),"ERROR")</f>
        <v>429</v>
      </c>
      <c r="G122" s="113">
        <f t="shared" si="12"/>
        <v>0.24020156774916013</v>
      </c>
      <c r="H122" s="111">
        <f>IFERROR(VLOOKUP($B122,MMWR_TRAD_AGG_STATE_PEN[],H$1,0),"ERROR")</f>
        <v>1768</v>
      </c>
      <c r="I122" s="112">
        <f>IFERROR(VLOOKUP($B122,MMWR_TRAD_AGG_STATE_PEN[],I$1,0),"ERROR")</f>
        <v>564</v>
      </c>
      <c r="J122" s="114">
        <f t="shared" si="13"/>
        <v>0.3190045248868778</v>
      </c>
      <c r="K122" s="111">
        <f>IFERROR(VLOOKUP($B122,MMWR_TRAD_AGG_STATE_PEN[],K$1,0),"ERROR")</f>
        <v>11</v>
      </c>
      <c r="L122" s="112">
        <f>IFERROR(VLOOKUP($B122,MMWR_TRAD_AGG_STATE_PEN[],L$1,0),"ERROR")</f>
        <v>10</v>
      </c>
      <c r="M122" s="114">
        <f t="shared" si="14"/>
        <v>0.90909090909090906</v>
      </c>
      <c r="N122" s="111">
        <f>IFERROR(VLOOKUP($B122,MMWR_TRAD_AGG_STATE_PEN[],N$1,0),"ERROR")</f>
        <v>120</v>
      </c>
      <c r="O122" s="112">
        <f>IFERROR(VLOOKUP($B122,MMWR_TRAD_AGG_STATE_PEN[],O$1,0),"ERROR")</f>
        <v>31</v>
      </c>
      <c r="P122" s="114">
        <f t="shared" si="15"/>
        <v>0.25833333333333336</v>
      </c>
      <c r="Q122" s="115">
        <f>IFERROR(VLOOKUP($B122,MMWR_TRAD_AGG_STATE_PEN[],Q$1,0),"ERROR")</f>
        <v>162</v>
      </c>
      <c r="R122" s="115">
        <f>IFERROR(VLOOKUP($B122,MMWR_TRAD_AGG_STATE_PEN[],R$1,0),"ERROR")</f>
        <v>492</v>
      </c>
      <c r="S122" s="115">
        <f>IFERROR(VLOOKUP($B122,MMWR_APP_STATE_PEN[],S$1,0),"ERROR")</f>
        <v>355</v>
      </c>
      <c r="T122" s="28"/>
    </row>
    <row r="123" spans="1:20" s="123" customFormat="1" x14ac:dyDescent="0.2">
      <c r="A123" s="28"/>
      <c r="B123" s="127" t="s">
        <v>394</v>
      </c>
      <c r="C123" s="109">
        <f>IFERROR(VLOOKUP($B123,MMWR_TRAD_AGG_STATE_PEN[],C$1,0),"ERROR")</f>
        <v>362</v>
      </c>
      <c r="D123" s="110">
        <f>IFERROR(VLOOKUP($B123,MMWR_TRAD_AGG_STATE_PEN[],D$1,0),"ERROR")</f>
        <v>53.975138121500002</v>
      </c>
      <c r="E123" s="111">
        <f>IFERROR(VLOOKUP($B123,MMWR_TRAD_AGG_STATE_PEN[],E$1,0),"ERROR")</f>
        <v>399</v>
      </c>
      <c r="F123" s="112">
        <f>IFERROR(VLOOKUP($B123,MMWR_TRAD_AGG_STATE_PEN[],F$1,0),"ERROR")</f>
        <v>48</v>
      </c>
      <c r="G123" s="113">
        <f t="shared" si="12"/>
        <v>0.12030075187969924</v>
      </c>
      <c r="H123" s="111">
        <f>IFERROR(VLOOKUP($B123,MMWR_TRAD_AGG_STATE_PEN[],H$1,0),"ERROR")</f>
        <v>461</v>
      </c>
      <c r="I123" s="112">
        <f>IFERROR(VLOOKUP($B123,MMWR_TRAD_AGG_STATE_PEN[],I$1,0),"ERROR")</f>
        <v>37</v>
      </c>
      <c r="J123" s="114">
        <f t="shared" si="13"/>
        <v>8.0260303687635579E-2</v>
      </c>
      <c r="K123" s="111">
        <f>IFERROR(VLOOKUP($B123,MMWR_TRAD_AGG_STATE_PEN[],K$1,0),"ERROR")</f>
        <v>3</v>
      </c>
      <c r="L123" s="112">
        <f>IFERROR(VLOOKUP($B123,MMWR_TRAD_AGG_STATE_PEN[],L$1,0),"ERROR")</f>
        <v>3</v>
      </c>
      <c r="M123" s="114">
        <f t="shared" si="14"/>
        <v>1</v>
      </c>
      <c r="N123" s="111">
        <f>IFERROR(VLOOKUP($B123,MMWR_TRAD_AGG_STATE_PEN[],N$1,0),"ERROR")</f>
        <v>35</v>
      </c>
      <c r="O123" s="112">
        <f>IFERROR(VLOOKUP($B123,MMWR_TRAD_AGG_STATE_PEN[],O$1,0),"ERROR")</f>
        <v>6</v>
      </c>
      <c r="P123" s="114">
        <f t="shared" si="15"/>
        <v>0.17142857142857143</v>
      </c>
      <c r="Q123" s="115">
        <f>IFERROR(VLOOKUP($B123,MMWR_TRAD_AGG_STATE_PEN[],Q$1,0),"ERROR")</f>
        <v>82</v>
      </c>
      <c r="R123" s="115">
        <f>IFERROR(VLOOKUP($B123,MMWR_TRAD_AGG_STATE_PEN[],R$1,0),"ERROR")</f>
        <v>66</v>
      </c>
      <c r="S123" s="115">
        <f>IFERROR(VLOOKUP($B123,MMWR_APP_STATE_PEN[],S$1,0),"ERROR")</f>
        <v>127</v>
      </c>
      <c r="T123" s="28"/>
    </row>
    <row r="124" spans="1:20" s="123" customFormat="1" x14ac:dyDescent="0.2">
      <c r="A124" s="28"/>
      <c r="B124" s="127" t="s">
        <v>428</v>
      </c>
      <c r="C124" s="109">
        <f>IFERROR(VLOOKUP($B124,MMWR_TRAD_AGG_STATE_PEN[],C$1,0),"ERROR")</f>
        <v>1771</v>
      </c>
      <c r="D124" s="110">
        <f>IFERROR(VLOOKUP($B124,MMWR_TRAD_AGG_STATE_PEN[],D$1,0),"ERROR")</f>
        <v>77.217391304299994</v>
      </c>
      <c r="E124" s="111">
        <f>IFERROR(VLOOKUP($B124,MMWR_TRAD_AGG_STATE_PEN[],E$1,0),"ERROR")</f>
        <v>627</v>
      </c>
      <c r="F124" s="112">
        <f>IFERROR(VLOOKUP($B124,MMWR_TRAD_AGG_STATE_PEN[],F$1,0),"ERROR")</f>
        <v>156</v>
      </c>
      <c r="G124" s="113">
        <f t="shared" si="12"/>
        <v>0.24880382775119617</v>
      </c>
      <c r="H124" s="111">
        <f>IFERROR(VLOOKUP($B124,MMWR_TRAD_AGG_STATE_PEN[],H$1,0),"ERROR")</f>
        <v>2144</v>
      </c>
      <c r="I124" s="112">
        <f>IFERROR(VLOOKUP($B124,MMWR_TRAD_AGG_STATE_PEN[],I$1,0),"ERROR")</f>
        <v>498</v>
      </c>
      <c r="J124" s="114">
        <f t="shared" si="13"/>
        <v>0.23227611940298507</v>
      </c>
      <c r="K124" s="111">
        <f>IFERROR(VLOOKUP($B124,MMWR_TRAD_AGG_STATE_PEN[],K$1,0),"ERROR")</f>
        <v>7</v>
      </c>
      <c r="L124" s="112">
        <f>IFERROR(VLOOKUP($B124,MMWR_TRAD_AGG_STATE_PEN[],L$1,0),"ERROR")</f>
        <v>6</v>
      </c>
      <c r="M124" s="114">
        <f t="shared" si="14"/>
        <v>0.8571428571428571</v>
      </c>
      <c r="N124" s="111">
        <f>IFERROR(VLOOKUP($B124,MMWR_TRAD_AGG_STATE_PEN[],N$1,0),"ERROR")</f>
        <v>31</v>
      </c>
      <c r="O124" s="112">
        <f>IFERROR(VLOOKUP($B124,MMWR_TRAD_AGG_STATE_PEN[],O$1,0),"ERROR")</f>
        <v>14</v>
      </c>
      <c r="P124" s="114">
        <f t="shared" si="15"/>
        <v>0.45161290322580644</v>
      </c>
      <c r="Q124" s="115">
        <f>IFERROR(VLOOKUP($B124,MMWR_TRAD_AGG_STATE_PEN[],Q$1,0),"ERROR")</f>
        <v>52</v>
      </c>
      <c r="R124" s="115">
        <f>IFERROR(VLOOKUP($B124,MMWR_TRAD_AGG_STATE_PEN[],R$1,0),"ERROR")</f>
        <v>120</v>
      </c>
      <c r="S124" s="115">
        <f>IFERROR(VLOOKUP($B124,MMWR_APP_STATE_PEN[],S$1,0),"ERROR")</f>
        <v>114</v>
      </c>
      <c r="T124" s="28"/>
    </row>
    <row r="125" spans="1:20" s="123" customFormat="1" x14ac:dyDescent="0.2">
      <c r="A125" s="28"/>
      <c r="B125" s="127" t="s">
        <v>384</v>
      </c>
      <c r="C125" s="109">
        <f>IFERROR(VLOOKUP($B125,MMWR_TRAD_AGG_STATE_PEN[],C$1,0),"ERROR")</f>
        <v>1049</v>
      </c>
      <c r="D125" s="110">
        <f>IFERROR(VLOOKUP($B125,MMWR_TRAD_AGG_STATE_PEN[],D$1,0),"ERROR")</f>
        <v>92.272640610099998</v>
      </c>
      <c r="E125" s="111">
        <f>IFERROR(VLOOKUP($B125,MMWR_TRAD_AGG_STATE_PEN[],E$1,0),"ERROR")</f>
        <v>1045</v>
      </c>
      <c r="F125" s="112">
        <f>IFERROR(VLOOKUP($B125,MMWR_TRAD_AGG_STATE_PEN[],F$1,0),"ERROR")</f>
        <v>251</v>
      </c>
      <c r="G125" s="113">
        <f t="shared" si="12"/>
        <v>0.24019138755980862</v>
      </c>
      <c r="H125" s="111">
        <f>IFERROR(VLOOKUP($B125,MMWR_TRAD_AGG_STATE_PEN[],H$1,0),"ERROR")</f>
        <v>1308</v>
      </c>
      <c r="I125" s="112">
        <f>IFERROR(VLOOKUP($B125,MMWR_TRAD_AGG_STATE_PEN[],I$1,0),"ERROR")</f>
        <v>394</v>
      </c>
      <c r="J125" s="114">
        <f t="shared" si="13"/>
        <v>0.30122324159021407</v>
      </c>
      <c r="K125" s="111">
        <f>IFERROR(VLOOKUP($B125,MMWR_TRAD_AGG_STATE_PEN[],K$1,0),"ERROR")</f>
        <v>6</v>
      </c>
      <c r="L125" s="112">
        <f>IFERROR(VLOOKUP($B125,MMWR_TRAD_AGG_STATE_PEN[],L$1,0),"ERROR")</f>
        <v>4</v>
      </c>
      <c r="M125" s="114">
        <f t="shared" si="14"/>
        <v>0.66666666666666663</v>
      </c>
      <c r="N125" s="111">
        <f>IFERROR(VLOOKUP($B125,MMWR_TRAD_AGG_STATE_PEN[],N$1,0),"ERROR")</f>
        <v>53</v>
      </c>
      <c r="O125" s="112">
        <f>IFERROR(VLOOKUP($B125,MMWR_TRAD_AGG_STATE_PEN[],O$1,0),"ERROR")</f>
        <v>15</v>
      </c>
      <c r="P125" s="114">
        <f t="shared" si="15"/>
        <v>0.28301886792452829</v>
      </c>
      <c r="Q125" s="115">
        <f>IFERROR(VLOOKUP($B125,MMWR_TRAD_AGG_STATE_PEN[],Q$1,0),"ERROR")</f>
        <v>114</v>
      </c>
      <c r="R125" s="115">
        <f>IFERROR(VLOOKUP($B125,MMWR_TRAD_AGG_STATE_PEN[],R$1,0),"ERROR")</f>
        <v>288</v>
      </c>
      <c r="S125" s="115">
        <f>IFERROR(VLOOKUP($B125,MMWR_APP_STATE_PEN[],S$1,0),"ERROR")</f>
        <v>176</v>
      </c>
      <c r="T125" s="28"/>
    </row>
    <row r="126" spans="1:20" s="123" customFormat="1" x14ac:dyDescent="0.2">
      <c r="A126" s="28"/>
      <c r="B126" s="127" t="s">
        <v>385</v>
      </c>
      <c r="C126" s="109">
        <f>IFERROR(VLOOKUP($B126,MMWR_TRAD_AGG_STATE_PEN[],C$1,0),"ERROR")</f>
        <v>732</v>
      </c>
      <c r="D126" s="110">
        <f>IFERROR(VLOOKUP($B126,MMWR_TRAD_AGG_STATE_PEN[],D$1,0),"ERROR")</f>
        <v>54.827868852500004</v>
      </c>
      <c r="E126" s="111">
        <f>IFERROR(VLOOKUP($B126,MMWR_TRAD_AGG_STATE_PEN[],E$1,0),"ERROR")</f>
        <v>692</v>
      </c>
      <c r="F126" s="112">
        <f>IFERROR(VLOOKUP($B126,MMWR_TRAD_AGG_STATE_PEN[],F$1,0),"ERROR")</f>
        <v>78</v>
      </c>
      <c r="G126" s="113">
        <f t="shared" si="12"/>
        <v>0.11271676300578035</v>
      </c>
      <c r="H126" s="111">
        <f>IFERROR(VLOOKUP($B126,MMWR_TRAD_AGG_STATE_PEN[],H$1,0),"ERROR")</f>
        <v>895</v>
      </c>
      <c r="I126" s="112">
        <f>IFERROR(VLOOKUP($B126,MMWR_TRAD_AGG_STATE_PEN[],I$1,0),"ERROR")</f>
        <v>70</v>
      </c>
      <c r="J126" s="114">
        <f t="shared" si="13"/>
        <v>7.8212290502793297E-2</v>
      </c>
      <c r="K126" s="111">
        <f>IFERROR(VLOOKUP($B126,MMWR_TRAD_AGG_STATE_PEN[],K$1,0),"ERROR")</f>
        <v>1</v>
      </c>
      <c r="L126" s="112">
        <f>IFERROR(VLOOKUP($B126,MMWR_TRAD_AGG_STATE_PEN[],L$1,0),"ERROR")</f>
        <v>1</v>
      </c>
      <c r="M126" s="114">
        <f t="shared" si="14"/>
        <v>1</v>
      </c>
      <c r="N126" s="111">
        <f>IFERROR(VLOOKUP($B126,MMWR_TRAD_AGG_STATE_PEN[],N$1,0),"ERROR")</f>
        <v>66</v>
      </c>
      <c r="O126" s="112">
        <f>IFERROR(VLOOKUP($B126,MMWR_TRAD_AGG_STATE_PEN[],O$1,0),"ERROR")</f>
        <v>13</v>
      </c>
      <c r="P126" s="114">
        <f t="shared" si="15"/>
        <v>0.19696969696969696</v>
      </c>
      <c r="Q126" s="115">
        <f>IFERROR(VLOOKUP($B126,MMWR_TRAD_AGG_STATE_PEN[],Q$1,0),"ERROR")</f>
        <v>138</v>
      </c>
      <c r="R126" s="115">
        <f>IFERROR(VLOOKUP($B126,MMWR_TRAD_AGG_STATE_PEN[],R$1,0),"ERROR")</f>
        <v>72</v>
      </c>
      <c r="S126" s="115">
        <f>IFERROR(VLOOKUP($B126,MMWR_APP_STATE_PEN[],S$1,0),"ERROR")</f>
        <v>262</v>
      </c>
      <c r="T126" s="28"/>
    </row>
    <row r="127" spans="1:20" s="123" customFormat="1" x14ac:dyDescent="0.2">
      <c r="A127" s="28"/>
      <c r="B127" s="128" t="s">
        <v>8</v>
      </c>
      <c r="C127" s="102">
        <f>IFERROR(VLOOKUP($B127,MMWR_TRAD_AGG_ST_DISTRICT_PEN[],C$1,0),"ERROR")</f>
        <v>189</v>
      </c>
      <c r="D127" s="103">
        <f>IFERROR(VLOOKUP($B127,MMWR_TRAD_AGG_ST_DISTRICT_PEN[],D$1,0),"ERROR")</f>
        <v>71.470899470899994</v>
      </c>
      <c r="E127" s="102">
        <f>IFERROR(VLOOKUP($B127,MMWR_TRAD_AGG_ST_DISTRICT_PEN[],E$1,0),"ERROR")</f>
        <v>211</v>
      </c>
      <c r="F127" s="102">
        <f>IFERROR(VLOOKUP($B127,MMWR_TRAD_AGG_ST_DISTRICT_PEN[],F$1,0),"ERROR")</f>
        <v>104</v>
      </c>
      <c r="G127" s="104">
        <f t="shared" si="12"/>
        <v>0.49289099526066349</v>
      </c>
      <c r="H127" s="102">
        <f>IFERROR(VLOOKUP($B127,MMWR_TRAD_AGG_ST_DISTRICT_PEN[],H$1,0),"ERROR")</f>
        <v>379</v>
      </c>
      <c r="I127" s="102">
        <f>IFERROR(VLOOKUP($B127,MMWR_TRAD_AGG_ST_DISTRICT_PEN[],I$1,0),"ERROR")</f>
        <v>157</v>
      </c>
      <c r="J127" s="104">
        <f t="shared" si="13"/>
        <v>0.41424802110817943</v>
      </c>
      <c r="K127" s="102">
        <f>IFERROR(VLOOKUP($B127,MMWR_TRAD_AGG_ST_DISTRICT_PEN[],K$1,0),"ERROR")</f>
        <v>11</v>
      </c>
      <c r="L127" s="102">
        <f>IFERROR(VLOOKUP($B127,MMWR_TRAD_AGG_ST_DISTRICT_PEN[],L$1,0),"ERROR")</f>
        <v>10</v>
      </c>
      <c r="M127" s="104">
        <f t="shared" si="14"/>
        <v>0.90909090909090906</v>
      </c>
      <c r="N127" s="102">
        <f>IFERROR(VLOOKUP($B127,MMWR_TRAD_AGG_ST_DISTRICT_PEN[],N$1,0),"ERROR")</f>
        <v>11</v>
      </c>
      <c r="O127" s="102">
        <f>IFERROR(VLOOKUP($B127,MMWR_TRAD_AGG_ST_DISTRICT_PEN[],O$1,0),"ERROR")</f>
        <v>2</v>
      </c>
      <c r="P127" s="104">
        <f t="shared" si="15"/>
        <v>0.18181818181818182</v>
      </c>
      <c r="Q127" s="102">
        <f>IFERROR(VLOOKUP($B127,MMWR_TRAD_AGG_ST_DISTRICT_PEN[],Q$1,0),"ERROR")</f>
        <v>36</v>
      </c>
      <c r="R127" s="106">
        <f>IFERROR(VLOOKUP($B127,MMWR_TRAD_AGG_ST_DISTRICT_PEN[],R$1,0),"ERROR")</f>
        <v>26</v>
      </c>
      <c r="S127" s="106">
        <f>IFERROR(VLOOKUP($B127,MMWR_APP_STATE_PEN[],S$1,0),"ERROR")</f>
        <v>3</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654</v>
      </c>
      <c r="C2" t="s">
        <v>457</v>
      </c>
      <c r="D2" t="s">
        <v>459</v>
      </c>
      <c r="F2" t="s">
        <v>653</v>
      </c>
      <c r="G2" t="s">
        <v>306</v>
      </c>
      <c r="H2" t="s">
        <v>133</v>
      </c>
      <c r="I2" t="s">
        <v>214</v>
      </c>
      <c r="J2" t="s">
        <v>215</v>
      </c>
      <c r="K2" t="s">
        <v>216</v>
      </c>
      <c r="L2" t="s">
        <v>217</v>
      </c>
      <c r="M2" t="s">
        <v>218</v>
      </c>
      <c r="N2" t="s">
        <v>219</v>
      </c>
      <c r="O2" t="s">
        <v>220</v>
      </c>
      <c r="P2" t="s">
        <v>221</v>
      </c>
      <c r="Q2" t="s">
        <v>222</v>
      </c>
      <c r="R2" t="s">
        <v>223</v>
      </c>
      <c r="T2" t="s">
        <v>652</v>
      </c>
      <c r="U2" t="s">
        <v>306</v>
      </c>
      <c r="V2" t="s">
        <v>133</v>
      </c>
      <c r="W2" t="s">
        <v>214</v>
      </c>
      <c r="X2" t="s">
        <v>460</v>
      </c>
      <c r="Y2" t="s">
        <v>216</v>
      </c>
      <c r="Z2" t="s">
        <v>217</v>
      </c>
      <c r="AA2" t="s">
        <v>218</v>
      </c>
      <c r="AB2" t="s">
        <v>461</v>
      </c>
      <c r="AC2" t="s">
        <v>220</v>
      </c>
      <c r="AD2" t="s">
        <v>221</v>
      </c>
      <c r="AE2" t="s">
        <v>222</v>
      </c>
      <c r="AF2" t="s">
        <v>223</v>
      </c>
      <c r="AH2" t="s">
        <v>651</v>
      </c>
      <c r="AI2" t="s">
        <v>306</v>
      </c>
      <c r="AJ2" t="s">
        <v>133</v>
      </c>
      <c r="AK2" t="s">
        <v>214</v>
      </c>
      <c r="AL2" t="s">
        <v>215</v>
      </c>
      <c r="AM2" t="s">
        <v>216</v>
      </c>
      <c r="AN2" t="s">
        <v>217</v>
      </c>
      <c r="AO2" t="s">
        <v>218</v>
      </c>
      <c r="AP2" t="s">
        <v>219</v>
      </c>
      <c r="AQ2" t="s">
        <v>220</v>
      </c>
      <c r="AR2" t="s">
        <v>221</v>
      </c>
      <c r="AS2" t="s">
        <v>222</v>
      </c>
      <c r="AT2" t="s">
        <v>223</v>
      </c>
      <c r="AV2" t="s">
        <v>650</v>
      </c>
      <c r="AW2" t="s">
        <v>306</v>
      </c>
      <c r="AX2" t="s">
        <v>133</v>
      </c>
      <c r="AY2" t="s">
        <v>214</v>
      </c>
      <c r="AZ2" t="s">
        <v>460</v>
      </c>
      <c r="BA2" t="s">
        <v>216</v>
      </c>
      <c r="BB2" t="s">
        <v>217</v>
      </c>
      <c r="BC2" t="s">
        <v>218</v>
      </c>
      <c r="BD2" t="s">
        <v>461</v>
      </c>
      <c r="BE2" t="s">
        <v>220</v>
      </c>
      <c r="BF2" t="s">
        <v>221</v>
      </c>
      <c r="BG2" t="s">
        <v>222</v>
      </c>
      <c r="BH2" t="s">
        <v>223</v>
      </c>
      <c r="BJ2" t="s">
        <v>712</v>
      </c>
      <c r="BK2" t="s">
        <v>731</v>
      </c>
      <c r="BL2" t="s">
        <v>700</v>
      </c>
      <c r="BM2" t="s">
        <v>701</v>
      </c>
      <c r="BN2" t="s">
        <v>702</v>
      </c>
      <c r="BO2" t="s">
        <v>703</v>
      </c>
      <c r="BP2" t="s">
        <v>704</v>
      </c>
      <c r="BQ2" t="s">
        <v>713</v>
      </c>
      <c r="BR2" t="s">
        <v>714</v>
      </c>
      <c r="BS2" t="s">
        <v>705</v>
      </c>
      <c r="BT2" t="s">
        <v>706</v>
      </c>
      <c r="BU2" t="s">
        <v>707</v>
      </c>
      <c r="BV2" t="s">
        <v>708</v>
      </c>
      <c r="BW2" t="s">
        <v>709</v>
      </c>
      <c r="BX2" t="s">
        <v>710</v>
      </c>
      <c r="BY2" t="s">
        <v>711</v>
      </c>
      <c r="CA2" t="s">
        <v>1031</v>
      </c>
      <c r="CB2" t="s">
        <v>736</v>
      </c>
      <c r="CC2" t="s">
        <v>737</v>
      </c>
      <c r="CD2" t="s">
        <v>715</v>
      </c>
      <c r="CE2" t="s">
        <v>716</v>
      </c>
      <c r="CF2" t="s">
        <v>717</v>
      </c>
      <c r="CG2" t="s">
        <v>718</v>
      </c>
      <c r="CH2" t="s">
        <v>719</v>
      </c>
      <c r="CI2" t="s">
        <v>720</v>
      </c>
      <c r="CJ2" t="s">
        <v>721</v>
      </c>
      <c r="CL2" t="s">
        <v>1032</v>
      </c>
      <c r="CM2" t="s">
        <v>736</v>
      </c>
      <c r="CN2" t="s">
        <v>737</v>
      </c>
      <c r="CO2" t="s">
        <v>715</v>
      </c>
      <c r="CP2" t="s">
        <v>716</v>
      </c>
      <c r="CQ2" t="s">
        <v>717</v>
      </c>
      <c r="CR2" t="s">
        <v>718</v>
      </c>
      <c r="CS2" t="s">
        <v>719</v>
      </c>
      <c r="CT2" t="s">
        <v>720</v>
      </c>
      <c r="CU2" t="s">
        <v>721</v>
      </c>
      <c r="CW2" t="s">
        <v>1033</v>
      </c>
      <c r="CX2" t="s">
        <v>736</v>
      </c>
      <c r="CY2" t="s">
        <v>737</v>
      </c>
      <c r="CZ2" t="s">
        <v>715</v>
      </c>
      <c r="DA2" t="s">
        <v>716</v>
      </c>
      <c r="DB2" t="s">
        <v>717</v>
      </c>
      <c r="DC2" t="s">
        <v>718</v>
      </c>
      <c r="DD2" t="s">
        <v>719</v>
      </c>
      <c r="DE2" t="s">
        <v>720</v>
      </c>
      <c r="DF2" t="s">
        <v>721</v>
      </c>
      <c r="DH2" t="s">
        <v>1034</v>
      </c>
      <c r="DI2" t="s">
        <v>736</v>
      </c>
      <c r="DJ2" t="s">
        <v>737</v>
      </c>
      <c r="DK2" t="s">
        <v>715</v>
      </c>
      <c r="DL2" t="s">
        <v>716</v>
      </c>
      <c r="DM2" t="s">
        <v>717</v>
      </c>
      <c r="DN2" t="s">
        <v>718</v>
      </c>
      <c r="DO2" t="s">
        <v>719</v>
      </c>
      <c r="DP2" t="s">
        <v>720</v>
      </c>
      <c r="DQ2" t="s">
        <v>721</v>
      </c>
    </row>
    <row r="3" spans="2:121" x14ac:dyDescent="0.2">
      <c r="C3">
        <v>352688</v>
      </c>
      <c r="D3">
        <v>288756</v>
      </c>
      <c r="F3" t="s">
        <v>31</v>
      </c>
      <c r="G3">
        <v>886</v>
      </c>
      <c r="H3">
        <v>135.5158013544</v>
      </c>
      <c r="I3">
        <v>2690</v>
      </c>
      <c r="J3">
        <v>664</v>
      </c>
      <c r="K3">
        <v>1342</v>
      </c>
      <c r="L3">
        <v>429</v>
      </c>
      <c r="M3">
        <v>329</v>
      </c>
      <c r="N3">
        <v>210</v>
      </c>
      <c r="O3">
        <v>463</v>
      </c>
      <c r="P3">
        <v>286</v>
      </c>
      <c r="Q3">
        <v>0</v>
      </c>
      <c r="R3">
        <v>8</v>
      </c>
      <c r="T3" t="s">
        <v>209</v>
      </c>
      <c r="U3">
        <v>6759</v>
      </c>
      <c r="V3">
        <v>52.137594318700003</v>
      </c>
      <c r="W3">
        <v>7311</v>
      </c>
      <c r="X3">
        <v>961</v>
      </c>
      <c r="Y3">
        <v>8461</v>
      </c>
      <c r="Z3">
        <v>407</v>
      </c>
      <c r="AA3">
        <v>3</v>
      </c>
      <c r="AB3">
        <v>3</v>
      </c>
      <c r="AC3">
        <v>465</v>
      </c>
      <c r="AD3">
        <v>87</v>
      </c>
      <c r="AE3">
        <v>1051</v>
      </c>
      <c r="AF3">
        <v>782</v>
      </c>
      <c r="AH3" t="s">
        <v>389</v>
      </c>
      <c r="AI3">
        <v>12634</v>
      </c>
      <c r="AJ3">
        <v>390.83465252489998</v>
      </c>
      <c r="AK3">
        <v>7410</v>
      </c>
      <c r="AL3">
        <v>1856</v>
      </c>
      <c r="AM3">
        <v>16150</v>
      </c>
      <c r="AN3">
        <v>11652</v>
      </c>
      <c r="AO3">
        <v>5089</v>
      </c>
      <c r="AP3">
        <v>4488</v>
      </c>
      <c r="AQ3">
        <v>3564</v>
      </c>
      <c r="AR3">
        <v>2223</v>
      </c>
      <c r="AS3">
        <v>475</v>
      </c>
      <c r="AT3">
        <v>375</v>
      </c>
      <c r="AV3" t="s">
        <v>414</v>
      </c>
      <c r="AW3">
        <v>103</v>
      </c>
      <c r="AX3">
        <v>49.854368932</v>
      </c>
      <c r="AY3">
        <v>164</v>
      </c>
      <c r="AZ3">
        <v>5</v>
      </c>
      <c r="BA3">
        <v>141</v>
      </c>
      <c r="BB3">
        <v>6</v>
      </c>
      <c r="BC3">
        <v>0</v>
      </c>
      <c r="BE3">
        <v>6</v>
      </c>
      <c r="BF3">
        <v>4</v>
      </c>
      <c r="BG3">
        <v>132</v>
      </c>
      <c r="BH3">
        <v>32</v>
      </c>
      <c r="BJ3" t="s">
        <v>729</v>
      </c>
      <c r="BK3" t="s">
        <v>732</v>
      </c>
      <c r="BL3">
        <v>303127</v>
      </c>
      <c r="BM3">
        <v>74538</v>
      </c>
      <c r="BN3">
        <v>92.670260319899995</v>
      </c>
      <c r="BO3">
        <v>471344</v>
      </c>
      <c r="BP3">
        <v>38643</v>
      </c>
      <c r="BQ3">
        <v>133.47680990910001</v>
      </c>
      <c r="BR3">
        <v>126.4541831638</v>
      </c>
      <c r="BS3">
        <v>303128</v>
      </c>
      <c r="BT3">
        <v>74539</v>
      </c>
      <c r="BU3">
        <v>92.671237892899995</v>
      </c>
      <c r="BV3">
        <v>471344</v>
      </c>
      <c r="BW3">
        <v>38643</v>
      </c>
      <c r="BX3">
        <v>133.47680990910001</v>
      </c>
      <c r="BY3">
        <v>126.4541831638</v>
      </c>
      <c r="CA3" t="s">
        <v>1037</v>
      </c>
      <c r="CB3" t="s">
        <v>732</v>
      </c>
      <c r="CC3" t="s">
        <v>918</v>
      </c>
      <c r="CD3">
        <v>9944</v>
      </c>
      <c r="CE3">
        <v>2521</v>
      </c>
      <c r="CF3">
        <v>83.997687047499994</v>
      </c>
      <c r="CG3">
        <v>12102</v>
      </c>
      <c r="CH3">
        <v>1380</v>
      </c>
      <c r="CI3">
        <v>139.4174035204</v>
      </c>
      <c r="CJ3">
        <v>138.47898550720001</v>
      </c>
      <c r="CL3" t="s">
        <v>1037</v>
      </c>
      <c r="CM3" t="s">
        <v>732</v>
      </c>
      <c r="CN3" t="s">
        <v>918</v>
      </c>
      <c r="CO3">
        <v>9944</v>
      </c>
      <c r="CP3">
        <v>2521</v>
      </c>
      <c r="CQ3">
        <v>83.997687047499994</v>
      </c>
      <c r="CR3">
        <v>12102</v>
      </c>
      <c r="CS3">
        <v>1380</v>
      </c>
      <c r="CT3">
        <v>139.4174035204</v>
      </c>
      <c r="CU3">
        <v>138.47898550720001</v>
      </c>
      <c r="CW3" t="s">
        <v>1037</v>
      </c>
      <c r="CX3" t="s">
        <v>732</v>
      </c>
      <c r="CY3" t="s">
        <v>918</v>
      </c>
      <c r="CZ3">
        <v>9944</v>
      </c>
      <c r="DA3">
        <v>2521</v>
      </c>
      <c r="DB3">
        <v>83.997687047499994</v>
      </c>
      <c r="DC3">
        <v>12102</v>
      </c>
      <c r="DD3">
        <v>1380</v>
      </c>
      <c r="DE3">
        <v>139.4174035204</v>
      </c>
      <c r="DF3">
        <v>138.47898550720001</v>
      </c>
      <c r="DH3" t="s">
        <v>1037</v>
      </c>
      <c r="DI3" t="s">
        <v>732</v>
      </c>
      <c r="DJ3" t="s">
        <v>918</v>
      </c>
      <c r="DK3">
        <v>9944</v>
      </c>
      <c r="DL3">
        <v>2521</v>
      </c>
      <c r="DM3">
        <v>83.997687047499994</v>
      </c>
      <c r="DN3">
        <v>12102</v>
      </c>
      <c r="DO3">
        <v>1380</v>
      </c>
      <c r="DP3">
        <v>139.4174035204</v>
      </c>
      <c r="DQ3">
        <v>138.47898550720001</v>
      </c>
    </row>
    <row r="4" spans="2:121" x14ac:dyDescent="0.2">
      <c r="B4" t="s">
        <v>98</v>
      </c>
      <c r="C4">
        <v>101658</v>
      </c>
      <c r="D4">
        <v>80303</v>
      </c>
      <c r="F4" t="s">
        <v>77</v>
      </c>
      <c r="G4">
        <v>15390</v>
      </c>
      <c r="H4">
        <v>320.33209876540002</v>
      </c>
      <c r="I4">
        <v>19186</v>
      </c>
      <c r="J4">
        <v>5262</v>
      </c>
      <c r="K4">
        <v>18812</v>
      </c>
      <c r="L4">
        <v>12564</v>
      </c>
      <c r="M4">
        <v>4572</v>
      </c>
      <c r="N4">
        <v>3617</v>
      </c>
      <c r="O4">
        <v>12221</v>
      </c>
      <c r="P4">
        <v>8306</v>
      </c>
      <c r="Q4">
        <v>8</v>
      </c>
      <c r="R4">
        <v>258</v>
      </c>
      <c r="T4" t="s">
        <v>224</v>
      </c>
      <c r="U4">
        <v>0</v>
      </c>
      <c r="W4">
        <v>315</v>
      </c>
      <c r="X4">
        <v>142</v>
      </c>
      <c r="Y4">
        <v>540</v>
      </c>
      <c r="Z4">
        <v>384</v>
      </c>
      <c r="AA4">
        <v>219</v>
      </c>
      <c r="AB4">
        <v>217</v>
      </c>
      <c r="AC4">
        <v>148</v>
      </c>
      <c r="AD4">
        <v>117</v>
      </c>
      <c r="AE4">
        <v>5</v>
      </c>
      <c r="AF4">
        <v>0</v>
      </c>
      <c r="AH4" t="s">
        <v>425</v>
      </c>
      <c r="AI4">
        <v>1944</v>
      </c>
      <c r="AJ4">
        <v>461.1111111111</v>
      </c>
      <c r="AK4">
        <v>1239</v>
      </c>
      <c r="AL4">
        <v>364</v>
      </c>
      <c r="AM4">
        <v>2797</v>
      </c>
      <c r="AN4">
        <v>2121</v>
      </c>
      <c r="AO4">
        <v>1881</v>
      </c>
      <c r="AP4">
        <v>1562</v>
      </c>
      <c r="AQ4">
        <v>665</v>
      </c>
      <c r="AR4">
        <v>385</v>
      </c>
      <c r="AS4">
        <v>1</v>
      </c>
      <c r="AT4">
        <v>2</v>
      </c>
      <c r="AV4" t="s">
        <v>428</v>
      </c>
      <c r="AW4">
        <v>1771</v>
      </c>
      <c r="AX4">
        <v>77.217391304299994</v>
      </c>
      <c r="AY4">
        <v>627</v>
      </c>
      <c r="AZ4">
        <v>156</v>
      </c>
      <c r="BA4">
        <v>2144</v>
      </c>
      <c r="BB4">
        <v>498</v>
      </c>
      <c r="BC4">
        <v>7</v>
      </c>
      <c r="BD4">
        <v>6</v>
      </c>
      <c r="BE4">
        <v>31</v>
      </c>
      <c r="BF4">
        <v>14</v>
      </c>
      <c r="BG4">
        <v>52</v>
      </c>
      <c r="BH4">
        <v>120</v>
      </c>
      <c r="BJ4" t="s">
        <v>638</v>
      </c>
      <c r="BK4" t="s">
        <v>386</v>
      </c>
      <c r="BL4">
        <v>817</v>
      </c>
      <c r="BM4">
        <v>106</v>
      </c>
      <c r="BN4">
        <v>70.236230110199998</v>
      </c>
      <c r="BO4">
        <v>1165</v>
      </c>
      <c r="BP4">
        <v>140</v>
      </c>
      <c r="BQ4">
        <v>138.2051502146</v>
      </c>
      <c r="BR4">
        <v>120.00714285710001</v>
      </c>
      <c r="BS4">
        <v>828</v>
      </c>
      <c r="BT4">
        <v>116</v>
      </c>
      <c r="BU4">
        <v>73.004830917899994</v>
      </c>
      <c r="BV4">
        <v>1314</v>
      </c>
      <c r="BW4">
        <v>147</v>
      </c>
      <c r="BX4">
        <v>141.02359208519999</v>
      </c>
      <c r="BY4">
        <v>123</v>
      </c>
      <c r="CA4" t="s">
        <v>1036</v>
      </c>
      <c r="CB4" t="s">
        <v>732</v>
      </c>
      <c r="CC4" t="s">
        <v>918</v>
      </c>
      <c r="CD4">
        <v>303128</v>
      </c>
      <c r="CE4">
        <v>74539</v>
      </c>
      <c r="CF4">
        <v>92.671237892899995</v>
      </c>
      <c r="CG4">
        <v>471344</v>
      </c>
      <c r="CH4">
        <v>38643</v>
      </c>
      <c r="CI4">
        <v>133.47680990910001</v>
      </c>
      <c r="CJ4">
        <v>126.4541831638</v>
      </c>
      <c r="CL4" t="s">
        <v>1036</v>
      </c>
      <c r="CM4" t="s">
        <v>732</v>
      </c>
      <c r="CN4" t="s">
        <v>918</v>
      </c>
      <c r="CO4">
        <v>303128</v>
      </c>
      <c r="CP4">
        <v>74539</v>
      </c>
      <c r="CQ4">
        <v>92.671237892899995</v>
      </c>
      <c r="CR4">
        <v>471344</v>
      </c>
      <c r="CS4">
        <v>38643</v>
      </c>
      <c r="CT4">
        <v>133.47680990910001</v>
      </c>
      <c r="CU4">
        <v>126.4541831638</v>
      </c>
      <c r="CW4" t="s">
        <v>1036</v>
      </c>
      <c r="CX4" t="s">
        <v>732</v>
      </c>
      <c r="CY4" t="s">
        <v>918</v>
      </c>
      <c r="CZ4">
        <v>303128</v>
      </c>
      <c r="DA4">
        <v>74539</v>
      </c>
      <c r="DB4">
        <v>92.671237892899995</v>
      </c>
      <c r="DC4">
        <v>471344</v>
      </c>
      <c r="DD4">
        <v>38643</v>
      </c>
      <c r="DE4">
        <v>133.47680990910001</v>
      </c>
      <c r="DF4">
        <v>126.4541831638</v>
      </c>
      <c r="DH4" t="s">
        <v>1036</v>
      </c>
      <c r="DI4" t="s">
        <v>732</v>
      </c>
      <c r="DJ4" t="s">
        <v>918</v>
      </c>
      <c r="DK4">
        <v>303128</v>
      </c>
      <c r="DL4">
        <v>74539</v>
      </c>
      <c r="DM4">
        <v>92.671237892899995</v>
      </c>
      <c r="DN4">
        <v>471344</v>
      </c>
      <c r="DO4">
        <v>38643</v>
      </c>
      <c r="DP4">
        <v>133.47680990910001</v>
      </c>
      <c r="DQ4">
        <v>126.4541831638</v>
      </c>
    </row>
    <row r="5" spans="2:121" x14ac:dyDescent="0.2">
      <c r="B5" t="s">
        <v>107</v>
      </c>
      <c r="C5">
        <v>67947</v>
      </c>
      <c r="D5">
        <v>51357</v>
      </c>
      <c r="F5" t="s">
        <v>51</v>
      </c>
      <c r="G5">
        <v>3751</v>
      </c>
      <c r="H5">
        <v>357.50333244469999</v>
      </c>
      <c r="I5">
        <v>3236</v>
      </c>
      <c r="J5">
        <v>585</v>
      </c>
      <c r="K5">
        <v>7176</v>
      </c>
      <c r="L5">
        <v>4350</v>
      </c>
      <c r="M5">
        <v>3727</v>
      </c>
      <c r="N5">
        <v>3380</v>
      </c>
      <c r="O5">
        <v>1505</v>
      </c>
      <c r="P5">
        <v>798</v>
      </c>
      <c r="Q5">
        <v>2</v>
      </c>
      <c r="R5">
        <v>96</v>
      </c>
      <c r="T5" t="s">
        <v>210</v>
      </c>
      <c r="U5">
        <v>15040</v>
      </c>
      <c r="V5">
        <v>92.500199468100007</v>
      </c>
      <c r="W5">
        <v>17992</v>
      </c>
      <c r="X5">
        <v>4617</v>
      </c>
      <c r="Y5">
        <v>19113</v>
      </c>
      <c r="Z5">
        <v>5612</v>
      </c>
      <c r="AA5">
        <v>85</v>
      </c>
      <c r="AB5">
        <v>82</v>
      </c>
      <c r="AC5">
        <v>967</v>
      </c>
      <c r="AD5">
        <v>257</v>
      </c>
      <c r="AE5">
        <v>1564</v>
      </c>
      <c r="AF5">
        <v>4191</v>
      </c>
      <c r="AH5" t="s">
        <v>427</v>
      </c>
      <c r="AI5">
        <v>5259</v>
      </c>
      <c r="AJ5">
        <v>302.96919566460002</v>
      </c>
      <c r="AK5">
        <v>5428</v>
      </c>
      <c r="AL5">
        <v>1334</v>
      </c>
      <c r="AM5">
        <v>7271</v>
      </c>
      <c r="AN5">
        <v>4845</v>
      </c>
      <c r="AO5">
        <v>1437</v>
      </c>
      <c r="AP5">
        <v>1173</v>
      </c>
      <c r="AQ5">
        <v>2356</v>
      </c>
      <c r="AR5">
        <v>1418</v>
      </c>
      <c r="AS5">
        <v>9</v>
      </c>
      <c r="AT5">
        <v>74</v>
      </c>
      <c r="AV5" t="s">
        <v>401</v>
      </c>
      <c r="AW5">
        <v>95</v>
      </c>
      <c r="AX5">
        <v>42.915789473700002</v>
      </c>
      <c r="AY5">
        <v>58</v>
      </c>
      <c r="AZ5">
        <v>6</v>
      </c>
      <c r="BA5">
        <v>115</v>
      </c>
      <c r="BB5">
        <v>2</v>
      </c>
      <c r="BC5">
        <v>0</v>
      </c>
      <c r="BE5">
        <v>3</v>
      </c>
      <c r="BF5">
        <v>1</v>
      </c>
      <c r="BG5">
        <v>169</v>
      </c>
      <c r="BH5">
        <v>14</v>
      </c>
      <c r="BJ5" t="s">
        <v>386</v>
      </c>
      <c r="BK5" t="s">
        <v>386</v>
      </c>
      <c r="BL5">
        <v>61061</v>
      </c>
      <c r="BM5">
        <v>14791</v>
      </c>
      <c r="BN5">
        <v>91.2904800118</v>
      </c>
      <c r="BO5">
        <v>90340</v>
      </c>
      <c r="BP5">
        <v>7275</v>
      </c>
      <c r="BQ5">
        <v>138.9577577046</v>
      </c>
      <c r="BR5">
        <v>129.79628865980001</v>
      </c>
      <c r="BS5">
        <v>53918</v>
      </c>
      <c r="BT5">
        <v>12681</v>
      </c>
      <c r="BU5">
        <v>89.449423198199995</v>
      </c>
      <c r="BV5">
        <v>90194</v>
      </c>
      <c r="BW5">
        <v>7054</v>
      </c>
      <c r="BX5">
        <v>138.71703385039999</v>
      </c>
      <c r="BY5">
        <v>129.31854267080001</v>
      </c>
      <c r="CA5" t="s">
        <v>1038</v>
      </c>
      <c r="CB5" t="s">
        <v>732</v>
      </c>
      <c r="CC5" t="s">
        <v>918</v>
      </c>
      <c r="CD5">
        <v>26095</v>
      </c>
      <c r="CE5">
        <v>3356</v>
      </c>
      <c r="CF5">
        <v>69.233339720299995</v>
      </c>
      <c r="CG5">
        <v>64861</v>
      </c>
      <c r="CH5">
        <v>5170</v>
      </c>
      <c r="CI5">
        <v>76.234154088099999</v>
      </c>
      <c r="CJ5">
        <v>83.953578336600003</v>
      </c>
      <c r="CL5" t="s">
        <v>1038</v>
      </c>
      <c r="CM5" t="s">
        <v>732</v>
      </c>
      <c r="CN5" t="s">
        <v>918</v>
      </c>
      <c r="CO5">
        <v>26095</v>
      </c>
      <c r="CP5">
        <v>3356</v>
      </c>
      <c r="CQ5">
        <v>69.233339720299995</v>
      </c>
      <c r="CR5">
        <v>64861</v>
      </c>
      <c r="CS5">
        <v>5170</v>
      </c>
      <c r="CT5">
        <v>76.234154088099999</v>
      </c>
      <c r="CU5">
        <v>83.953578336600003</v>
      </c>
      <c r="CW5" t="s">
        <v>1038</v>
      </c>
      <c r="CX5" t="s">
        <v>732</v>
      </c>
      <c r="CY5" t="s">
        <v>918</v>
      </c>
      <c r="CZ5">
        <v>26095</v>
      </c>
      <c r="DA5">
        <v>3356</v>
      </c>
      <c r="DB5">
        <v>69.233339720299995</v>
      </c>
      <c r="DC5">
        <v>64861</v>
      </c>
      <c r="DD5">
        <v>5170</v>
      </c>
      <c r="DE5">
        <v>76.234154088099999</v>
      </c>
      <c r="DF5">
        <v>83.953578336600003</v>
      </c>
      <c r="DH5" t="s">
        <v>1038</v>
      </c>
      <c r="DI5" t="s">
        <v>732</v>
      </c>
      <c r="DJ5" t="s">
        <v>918</v>
      </c>
      <c r="DK5">
        <v>26095</v>
      </c>
      <c r="DL5">
        <v>3356</v>
      </c>
      <c r="DM5">
        <v>69.233339720299995</v>
      </c>
      <c r="DN5">
        <v>64861</v>
      </c>
      <c r="DO5">
        <v>5170</v>
      </c>
      <c r="DP5">
        <v>76.234154088099999</v>
      </c>
      <c r="DQ5">
        <v>83.953578336600003</v>
      </c>
    </row>
    <row r="6" spans="2:121" x14ac:dyDescent="0.2">
      <c r="B6" t="s">
        <v>90</v>
      </c>
      <c r="C6">
        <v>8852</v>
      </c>
      <c r="D6">
        <v>1696</v>
      </c>
      <c r="F6" t="s">
        <v>181</v>
      </c>
      <c r="G6">
        <v>431</v>
      </c>
      <c r="H6">
        <v>143.3921113689</v>
      </c>
      <c r="I6">
        <v>653</v>
      </c>
      <c r="J6">
        <v>53</v>
      </c>
      <c r="K6">
        <v>621</v>
      </c>
      <c r="L6">
        <v>189</v>
      </c>
      <c r="M6">
        <v>449</v>
      </c>
      <c r="N6">
        <v>273</v>
      </c>
      <c r="O6">
        <v>170</v>
      </c>
      <c r="P6">
        <v>64</v>
      </c>
      <c r="Q6">
        <v>0</v>
      </c>
      <c r="R6">
        <v>4</v>
      </c>
      <c r="T6" t="s">
        <v>212</v>
      </c>
      <c r="U6">
        <v>4169</v>
      </c>
      <c r="V6">
        <v>48.794914847699999</v>
      </c>
      <c r="W6">
        <v>5811</v>
      </c>
      <c r="X6">
        <v>256</v>
      </c>
      <c r="Y6">
        <v>5415</v>
      </c>
      <c r="Z6">
        <v>83</v>
      </c>
      <c r="AA6">
        <v>47</v>
      </c>
      <c r="AB6">
        <v>22</v>
      </c>
      <c r="AC6">
        <v>154</v>
      </c>
      <c r="AD6">
        <v>57</v>
      </c>
      <c r="AE6">
        <v>6729</v>
      </c>
      <c r="AF6">
        <v>1102</v>
      </c>
      <c r="AH6" t="s">
        <v>412</v>
      </c>
      <c r="AI6">
        <v>3894</v>
      </c>
      <c r="AJ6">
        <v>359.1951720596</v>
      </c>
      <c r="AK6">
        <v>3553</v>
      </c>
      <c r="AL6">
        <v>657</v>
      </c>
      <c r="AM6">
        <v>5452</v>
      </c>
      <c r="AN6">
        <v>3556</v>
      </c>
      <c r="AO6">
        <v>1876</v>
      </c>
      <c r="AP6">
        <v>1582</v>
      </c>
      <c r="AQ6">
        <v>2333</v>
      </c>
      <c r="AR6">
        <v>1402</v>
      </c>
      <c r="AS6">
        <v>342</v>
      </c>
      <c r="AT6">
        <v>100</v>
      </c>
      <c r="AV6" t="s">
        <v>421</v>
      </c>
      <c r="AW6">
        <v>49</v>
      </c>
      <c r="AX6">
        <v>51.632653061200003</v>
      </c>
      <c r="AY6">
        <v>49</v>
      </c>
      <c r="AZ6">
        <v>2</v>
      </c>
      <c r="BA6">
        <v>62</v>
      </c>
      <c r="BC6">
        <v>0</v>
      </c>
      <c r="BE6">
        <v>1</v>
      </c>
      <c r="BG6">
        <v>91</v>
      </c>
      <c r="BH6">
        <v>6</v>
      </c>
      <c r="BJ6" t="s">
        <v>585</v>
      </c>
      <c r="BK6" t="s">
        <v>386</v>
      </c>
      <c r="BL6">
        <v>6324</v>
      </c>
      <c r="BM6">
        <v>1758</v>
      </c>
      <c r="BN6">
        <v>99.751423149900006</v>
      </c>
      <c r="BO6">
        <v>8646</v>
      </c>
      <c r="BP6">
        <v>789</v>
      </c>
      <c r="BQ6">
        <v>153.379944483</v>
      </c>
      <c r="BR6">
        <v>127.1875792142</v>
      </c>
      <c r="BS6">
        <v>6165</v>
      </c>
      <c r="BT6">
        <v>1631</v>
      </c>
      <c r="BU6">
        <v>98.413949716100007</v>
      </c>
      <c r="BV6">
        <v>8327</v>
      </c>
      <c r="BW6">
        <v>771</v>
      </c>
      <c r="BX6">
        <v>152.31596012969999</v>
      </c>
      <c r="BY6">
        <v>126.96627756159999</v>
      </c>
      <c r="CA6" t="s">
        <v>1039</v>
      </c>
      <c r="CB6" t="s">
        <v>732</v>
      </c>
      <c r="CC6" t="s">
        <v>918</v>
      </c>
      <c r="CD6">
        <v>9491</v>
      </c>
      <c r="CE6">
        <v>2762</v>
      </c>
      <c r="CF6">
        <v>89.785902433900006</v>
      </c>
      <c r="CG6">
        <v>9968</v>
      </c>
      <c r="CH6">
        <v>1314</v>
      </c>
      <c r="CI6">
        <v>147.1851926164</v>
      </c>
      <c r="CJ6">
        <v>146.95662100460001</v>
      </c>
      <c r="CL6" t="s">
        <v>1039</v>
      </c>
      <c r="CM6" t="s">
        <v>732</v>
      </c>
      <c r="CN6" t="s">
        <v>918</v>
      </c>
      <c r="CO6">
        <v>9491</v>
      </c>
      <c r="CP6">
        <v>2762</v>
      </c>
      <c r="CQ6">
        <v>89.785902433900006</v>
      </c>
      <c r="CR6">
        <v>9968</v>
      </c>
      <c r="CS6">
        <v>1314</v>
      </c>
      <c r="CT6">
        <v>147.1851926164</v>
      </c>
      <c r="CU6">
        <v>146.95662100460001</v>
      </c>
      <c r="CW6" t="s">
        <v>1039</v>
      </c>
      <c r="CX6" t="s">
        <v>732</v>
      </c>
      <c r="CY6" t="s">
        <v>918</v>
      </c>
      <c r="CZ6">
        <v>9491</v>
      </c>
      <c r="DA6">
        <v>2762</v>
      </c>
      <c r="DB6">
        <v>89.785902433900006</v>
      </c>
      <c r="DC6">
        <v>9968</v>
      </c>
      <c r="DD6">
        <v>1314</v>
      </c>
      <c r="DE6">
        <v>147.1851926164</v>
      </c>
      <c r="DF6">
        <v>146.95662100460001</v>
      </c>
      <c r="DH6" t="s">
        <v>1039</v>
      </c>
      <c r="DI6" t="s">
        <v>732</v>
      </c>
      <c r="DJ6" t="s">
        <v>918</v>
      </c>
      <c r="DK6">
        <v>9491</v>
      </c>
      <c r="DL6">
        <v>2762</v>
      </c>
      <c r="DM6">
        <v>89.785902433900006</v>
      </c>
      <c r="DN6">
        <v>9968</v>
      </c>
      <c r="DO6">
        <v>1314</v>
      </c>
      <c r="DP6">
        <v>147.1851926164</v>
      </c>
      <c r="DQ6">
        <v>146.95662100460001</v>
      </c>
    </row>
    <row r="7" spans="2:121" x14ac:dyDescent="0.2">
      <c r="B7" t="s">
        <v>91</v>
      </c>
      <c r="C7">
        <v>579</v>
      </c>
      <c r="D7">
        <v>67</v>
      </c>
      <c r="F7" t="s">
        <v>58</v>
      </c>
      <c r="G7">
        <v>4141</v>
      </c>
      <c r="H7">
        <v>217.7285679787</v>
      </c>
      <c r="I7">
        <v>8896</v>
      </c>
      <c r="J7">
        <v>1981</v>
      </c>
      <c r="K7">
        <v>7004</v>
      </c>
      <c r="L7">
        <v>3363</v>
      </c>
      <c r="M7">
        <v>2965</v>
      </c>
      <c r="N7">
        <v>2341</v>
      </c>
      <c r="O7">
        <v>1627</v>
      </c>
      <c r="P7">
        <v>1070</v>
      </c>
      <c r="Q7">
        <v>1</v>
      </c>
      <c r="R7">
        <v>263</v>
      </c>
      <c r="T7" t="s">
        <v>463</v>
      </c>
      <c r="U7">
        <v>25968</v>
      </c>
      <c r="V7">
        <v>74.977934380799994</v>
      </c>
      <c r="W7">
        <v>31429</v>
      </c>
      <c r="X7">
        <v>5976</v>
      </c>
      <c r="Y7">
        <v>33529</v>
      </c>
      <c r="Z7">
        <v>6486</v>
      </c>
      <c r="AA7">
        <v>354</v>
      </c>
      <c r="AB7">
        <v>324</v>
      </c>
      <c r="AC7">
        <v>1734</v>
      </c>
      <c r="AD7">
        <v>518</v>
      </c>
      <c r="AE7">
        <v>9349</v>
      </c>
      <c r="AF7">
        <v>6075</v>
      </c>
      <c r="AH7" t="s">
        <v>408</v>
      </c>
      <c r="AI7">
        <v>27496</v>
      </c>
      <c r="AJ7">
        <v>396.13576520219999</v>
      </c>
      <c r="AK7">
        <v>30621</v>
      </c>
      <c r="AL7">
        <v>7302</v>
      </c>
      <c r="AM7">
        <v>40436</v>
      </c>
      <c r="AN7">
        <v>28893</v>
      </c>
      <c r="AO7">
        <v>9976</v>
      </c>
      <c r="AP7">
        <v>8065</v>
      </c>
      <c r="AQ7">
        <v>14683</v>
      </c>
      <c r="AR7">
        <v>9815</v>
      </c>
      <c r="AS7">
        <v>58</v>
      </c>
      <c r="AT7">
        <v>140</v>
      </c>
      <c r="AV7" t="s">
        <v>389</v>
      </c>
      <c r="AW7">
        <v>1125</v>
      </c>
      <c r="AX7">
        <v>50.5564444444</v>
      </c>
      <c r="AY7">
        <v>795</v>
      </c>
      <c r="AZ7">
        <v>102</v>
      </c>
      <c r="BA7">
        <v>1298</v>
      </c>
      <c r="BB7">
        <v>58</v>
      </c>
      <c r="BC7">
        <v>5</v>
      </c>
      <c r="BD7">
        <v>5</v>
      </c>
      <c r="BE7">
        <v>53</v>
      </c>
      <c r="BF7">
        <v>8</v>
      </c>
      <c r="BG7">
        <v>121</v>
      </c>
      <c r="BH7">
        <v>86</v>
      </c>
      <c r="BJ7" t="s">
        <v>632</v>
      </c>
      <c r="BK7" t="s">
        <v>386</v>
      </c>
      <c r="BL7">
        <v>670</v>
      </c>
      <c r="BM7">
        <v>51</v>
      </c>
      <c r="BN7">
        <v>54.971641791000003</v>
      </c>
      <c r="BO7">
        <v>1714</v>
      </c>
      <c r="BP7">
        <v>107</v>
      </c>
      <c r="BQ7">
        <v>90.729871645299994</v>
      </c>
      <c r="BR7">
        <v>77.289719626199997</v>
      </c>
      <c r="BS7">
        <v>1422</v>
      </c>
      <c r="BT7">
        <v>245</v>
      </c>
      <c r="BU7">
        <v>81.192686357200003</v>
      </c>
      <c r="BV7">
        <v>2878</v>
      </c>
      <c r="BW7">
        <v>271</v>
      </c>
      <c r="BX7">
        <v>121.0677553857</v>
      </c>
      <c r="BY7">
        <v>98.535055350600004</v>
      </c>
      <c r="CA7" t="s">
        <v>412</v>
      </c>
      <c r="CB7" t="s">
        <v>768</v>
      </c>
      <c r="CC7" t="s">
        <v>994</v>
      </c>
      <c r="CD7">
        <v>3557</v>
      </c>
      <c r="CE7">
        <v>620</v>
      </c>
      <c r="CF7">
        <v>77.7360134945</v>
      </c>
      <c r="CG7">
        <v>5911</v>
      </c>
      <c r="CH7">
        <v>600</v>
      </c>
      <c r="CI7">
        <v>124.3324310607</v>
      </c>
      <c r="CJ7">
        <v>110.84166666669999</v>
      </c>
      <c r="CL7" t="s">
        <v>412</v>
      </c>
      <c r="CM7" t="s">
        <v>749</v>
      </c>
      <c r="CN7" t="s">
        <v>748</v>
      </c>
      <c r="CO7">
        <v>318</v>
      </c>
      <c r="CP7">
        <v>36</v>
      </c>
      <c r="CQ7">
        <v>68.345911949699996</v>
      </c>
      <c r="CR7">
        <v>915</v>
      </c>
      <c r="CS7">
        <v>81</v>
      </c>
      <c r="CT7">
        <v>65.336612021899995</v>
      </c>
      <c r="CU7">
        <v>69.209876543199996</v>
      </c>
      <c r="CW7" t="s">
        <v>412</v>
      </c>
      <c r="CX7" t="s">
        <v>759</v>
      </c>
      <c r="CY7" t="s">
        <v>758</v>
      </c>
      <c r="CZ7">
        <v>64</v>
      </c>
      <c r="DA7">
        <v>13</v>
      </c>
      <c r="DB7">
        <v>87.203125</v>
      </c>
      <c r="DC7">
        <v>50</v>
      </c>
      <c r="DD7">
        <v>7</v>
      </c>
      <c r="DE7">
        <v>147.06</v>
      </c>
      <c r="DF7">
        <v>133.57142857139999</v>
      </c>
      <c r="DH7" t="s">
        <v>412</v>
      </c>
      <c r="DI7" t="s">
        <v>739</v>
      </c>
      <c r="DJ7" t="s">
        <v>738</v>
      </c>
      <c r="DK7">
        <v>36</v>
      </c>
      <c r="DL7">
        <v>13</v>
      </c>
      <c r="DM7">
        <v>88.166666666699996</v>
      </c>
      <c r="DN7">
        <v>53</v>
      </c>
      <c r="DO7">
        <v>8</v>
      </c>
      <c r="DP7">
        <v>132.13207547170001</v>
      </c>
      <c r="DQ7">
        <v>117.375</v>
      </c>
    </row>
    <row r="8" spans="2:121" x14ac:dyDescent="0.2">
      <c r="B8" t="s">
        <v>100</v>
      </c>
      <c r="C8">
        <v>287</v>
      </c>
      <c r="D8">
        <v>225</v>
      </c>
      <c r="F8" t="s">
        <v>27</v>
      </c>
      <c r="G8">
        <v>1380</v>
      </c>
      <c r="H8">
        <v>89.391304347800002</v>
      </c>
      <c r="I8">
        <v>5714</v>
      </c>
      <c r="J8">
        <v>1011</v>
      </c>
      <c r="K8">
        <v>6547</v>
      </c>
      <c r="L8">
        <v>2675</v>
      </c>
      <c r="M8">
        <v>1107</v>
      </c>
      <c r="N8">
        <v>406</v>
      </c>
      <c r="O8">
        <v>1376</v>
      </c>
      <c r="P8">
        <v>692</v>
      </c>
      <c r="Q8">
        <v>0</v>
      </c>
      <c r="R8">
        <v>70</v>
      </c>
      <c r="AH8" t="s">
        <v>404</v>
      </c>
      <c r="AI8">
        <v>7431</v>
      </c>
      <c r="AJ8">
        <v>444.7713632082</v>
      </c>
      <c r="AK8">
        <v>6885</v>
      </c>
      <c r="AL8">
        <v>1836</v>
      </c>
      <c r="AM8">
        <v>10639</v>
      </c>
      <c r="AN8">
        <v>7470</v>
      </c>
      <c r="AO8">
        <v>3226</v>
      </c>
      <c r="AP8">
        <v>2585</v>
      </c>
      <c r="AQ8">
        <v>1770</v>
      </c>
      <c r="AR8">
        <v>1023</v>
      </c>
      <c r="AS8">
        <v>9</v>
      </c>
      <c r="AT8">
        <v>56</v>
      </c>
      <c r="AV8" t="s">
        <v>410</v>
      </c>
      <c r="AW8">
        <v>190</v>
      </c>
      <c r="AX8">
        <v>50.731578947400003</v>
      </c>
      <c r="AY8">
        <v>225</v>
      </c>
      <c r="AZ8">
        <v>12</v>
      </c>
      <c r="BA8">
        <v>263</v>
      </c>
      <c r="BB8">
        <v>11</v>
      </c>
      <c r="BC8">
        <v>1</v>
      </c>
      <c r="BD8">
        <v>1</v>
      </c>
      <c r="BE8">
        <v>12</v>
      </c>
      <c r="BF8">
        <v>6</v>
      </c>
      <c r="BG8">
        <v>317</v>
      </c>
      <c r="BH8">
        <v>42</v>
      </c>
      <c r="BJ8" t="s">
        <v>620</v>
      </c>
      <c r="BK8" t="s">
        <v>386</v>
      </c>
      <c r="BL8">
        <v>16066</v>
      </c>
      <c r="BM8">
        <v>4251</v>
      </c>
      <c r="BN8">
        <v>97.413108427699996</v>
      </c>
      <c r="BO8">
        <v>22628</v>
      </c>
      <c r="BP8">
        <v>1712</v>
      </c>
      <c r="BQ8">
        <v>147.59053343350001</v>
      </c>
      <c r="BR8">
        <v>139.92172897200001</v>
      </c>
      <c r="BS8">
        <v>13871</v>
      </c>
      <c r="BT8">
        <v>3055</v>
      </c>
      <c r="BU8">
        <v>88.365799149300003</v>
      </c>
      <c r="BV8">
        <v>15667</v>
      </c>
      <c r="BW8">
        <v>1373</v>
      </c>
      <c r="BX8">
        <v>138.0226590924</v>
      </c>
      <c r="BY8">
        <v>129.89366351059999</v>
      </c>
      <c r="CA8" t="s">
        <v>404</v>
      </c>
      <c r="CB8" t="s">
        <v>768</v>
      </c>
      <c r="CC8" t="s">
        <v>995</v>
      </c>
      <c r="CD8">
        <v>6442</v>
      </c>
      <c r="CE8">
        <v>1747</v>
      </c>
      <c r="CF8">
        <v>97.828469419399994</v>
      </c>
      <c r="CG8">
        <v>9619</v>
      </c>
      <c r="CH8">
        <v>875</v>
      </c>
      <c r="CI8">
        <v>141.33340264060001</v>
      </c>
      <c r="CJ8">
        <v>120.01828571430001</v>
      </c>
      <c r="CL8" t="s">
        <v>404</v>
      </c>
      <c r="CM8" t="s">
        <v>749</v>
      </c>
      <c r="CN8" t="s">
        <v>750</v>
      </c>
      <c r="CO8">
        <v>308</v>
      </c>
      <c r="CP8">
        <v>21</v>
      </c>
      <c r="CQ8">
        <v>61.915584415600001</v>
      </c>
      <c r="CR8">
        <v>888</v>
      </c>
      <c r="CS8">
        <v>72</v>
      </c>
      <c r="CT8">
        <v>66.995495495499995</v>
      </c>
      <c r="CU8">
        <v>75.555555555599994</v>
      </c>
      <c r="CW8" t="s">
        <v>404</v>
      </c>
      <c r="CX8" t="s">
        <v>759</v>
      </c>
      <c r="CY8" t="s">
        <v>760</v>
      </c>
      <c r="CZ8">
        <v>272</v>
      </c>
      <c r="DA8">
        <v>66</v>
      </c>
      <c r="DB8">
        <v>83.992647058800003</v>
      </c>
      <c r="DC8">
        <v>309</v>
      </c>
      <c r="DD8">
        <v>61</v>
      </c>
      <c r="DE8">
        <v>140.4789644013</v>
      </c>
      <c r="DF8">
        <v>130.393442623</v>
      </c>
      <c r="DH8" t="s">
        <v>404</v>
      </c>
      <c r="DI8" t="s">
        <v>739</v>
      </c>
      <c r="DJ8" t="s">
        <v>740</v>
      </c>
      <c r="DK8">
        <v>350</v>
      </c>
      <c r="DL8">
        <v>54</v>
      </c>
      <c r="DM8">
        <v>68.58</v>
      </c>
      <c r="DN8">
        <v>514</v>
      </c>
      <c r="DO8">
        <v>78</v>
      </c>
      <c r="DP8">
        <v>126.1614785992</v>
      </c>
      <c r="DQ8">
        <v>121.4230769231</v>
      </c>
    </row>
    <row r="9" spans="2:121" x14ac:dyDescent="0.2">
      <c r="B9" t="s">
        <v>92</v>
      </c>
      <c r="C9">
        <v>12</v>
      </c>
      <c r="D9">
        <v>3</v>
      </c>
      <c r="F9" t="s">
        <v>59</v>
      </c>
      <c r="G9">
        <v>4197</v>
      </c>
      <c r="H9">
        <v>439.29020729090001</v>
      </c>
      <c r="I9">
        <v>5726</v>
      </c>
      <c r="J9">
        <v>1506</v>
      </c>
      <c r="K9">
        <v>5646</v>
      </c>
      <c r="L9">
        <v>3873</v>
      </c>
      <c r="M9">
        <v>961</v>
      </c>
      <c r="N9">
        <v>677</v>
      </c>
      <c r="O9">
        <v>1381</v>
      </c>
      <c r="P9">
        <v>948</v>
      </c>
      <c r="Q9">
        <v>2</v>
      </c>
      <c r="R9">
        <v>259</v>
      </c>
      <c r="AH9" t="s">
        <v>374</v>
      </c>
      <c r="AI9">
        <v>1175</v>
      </c>
      <c r="AJ9">
        <v>317.10297872339999</v>
      </c>
      <c r="AK9">
        <v>1855</v>
      </c>
      <c r="AL9">
        <v>498</v>
      </c>
      <c r="AM9">
        <v>2805</v>
      </c>
      <c r="AN9">
        <v>1922</v>
      </c>
      <c r="AO9">
        <v>598</v>
      </c>
      <c r="AP9">
        <v>443</v>
      </c>
      <c r="AQ9">
        <v>1048</v>
      </c>
      <c r="AR9">
        <v>764</v>
      </c>
      <c r="AS9">
        <v>285</v>
      </c>
      <c r="AT9">
        <v>6</v>
      </c>
      <c r="AV9" t="s">
        <v>418</v>
      </c>
      <c r="AW9">
        <v>39</v>
      </c>
      <c r="AX9">
        <v>74.461538461499998</v>
      </c>
      <c r="AY9">
        <v>53</v>
      </c>
      <c r="AZ9">
        <v>6</v>
      </c>
      <c r="BA9">
        <v>43</v>
      </c>
      <c r="BB9">
        <v>6</v>
      </c>
      <c r="BC9">
        <v>0</v>
      </c>
      <c r="BE9">
        <v>2</v>
      </c>
      <c r="BG9">
        <v>8</v>
      </c>
      <c r="BH9">
        <v>13</v>
      </c>
      <c r="BJ9" t="s">
        <v>556</v>
      </c>
      <c r="BK9" t="s">
        <v>386</v>
      </c>
      <c r="BL9">
        <v>4001</v>
      </c>
      <c r="BM9">
        <v>1427</v>
      </c>
      <c r="BN9">
        <v>113.0282429393</v>
      </c>
      <c r="BO9">
        <v>4575</v>
      </c>
      <c r="BP9">
        <v>351</v>
      </c>
      <c r="BQ9">
        <v>147.0340983607</v>
      </c>
      <c r="BR9">
        <v>135.90598290599999</v>
      </c>
      <c r="BS9">
        <v>1952</v>
      </c>
      <c r="BT9">
        <v>736</v>
      </c>
      <c r="BU9">
        <v>114.9036885246</v>
      </c>
      <c r="BV9">
        <v>5616</v>
      </c>
      <c r="BW9">
        <v>343</v>
      </c>
      <c r="BX9">
        <v>150.68358262109999</v>
      </c>
      <c r="BY9">
        <v>151.75510204080001</v>
      </c>
      <c r="CA9" t="s">
        <v>388</v>
      </c>
      <c r="CB9" t="s">
        <v>768</v>
      </c>
      <c r="CC9" t="s">
        <v>996</v>
      </c>
      <c r="CD9">
        <v>5963</v>
      </c>
      <c r="CE9">
        <v>1545</v>
      </c>
      <c r="CF9">
        <v>95.678852926399998</v>
      </c>
      <c r="CG9">
        <v>8292</v>
      </c>
      <c r="CH9">
        <v>617</v>
      </c>
      <c r="CI9">
        <v>138.09334298120001</v>
      </c>
      <c r="CJ9">
        <v>154.9724473258</v>
      </c>
      <c r="CL9" t="s">
        <v>388</v>
      </c>
      <c r="CM9" t="s">
        <v>749</v>
      </c>
      <c r="CN9" t="s">
        <v>751</v>
      </c>
      <c r="CO9">
        <v>394</v>
      </c>
      <c r="CP9">
        <v>56</v>
      </c>
      <c r="CQ9">
        <v>67.637055837600002</v>
      </c>
      <c r="CR9">
        <v>1262</v>
      </c>
      <c r="CS9">
        <v>79</v>
      </c>
      <c r="CT9">
        <v>67.656893819299995</v>
      </c>
      <c r="CU9">
        <v>63.696202531600001</v>
      </c>
      <c r="CW9" t="s">
        <v>388</v>
      </c>
      <c r="CX9" t="s">
        <v>759</v>
      </c>
      <c r="CY9" t="s">
        <v>761</v>
      </c>
      <c r="CZ9">
        <v>90</v>
      </c>
      <c r="DA9">
        <v>20</v>
      </c>
      <c r="DB9">
        <v>77.8</v>
      </c>
      <c r="DC9">
        <v>77</v>
      </c>
      <c r="DD9">
        <v>12</v>
      </c>
      <c r="DE9">
        <v>153.2077922078</v>
      </c>
      <c r="DF9">
        <v>171.6666666667</v>
      </c>
      <c r="DH9" t="s">
        <v>388</v>
      </c>
      <c r="DI9" t="s">
        <v>739</v>
      </c>
      <c r="DJ9" t="s">
        <v>741</v>
      </c>
      <c r="DK9">
        <v>140</v>
      </c>
      <c r="DL9">
        <v>28</v>
      </c>
      <c r="DM9">
        <v>74.678571428599994</v>
      </c>
      <c r="DN9">
        <v>189</v>
      </c>
      <c r="DO9">
        <v>27</v>
      </c>
      <c r="DP9">
        <v>121.06349206349999</v>
      </c>
      <c r="DQ9">
        <v>126.74074074070001</v>
      </c>
    </row>
    <row r="10" spans="2:121" x14ac:dyDescent="0.2">
      <c r="B10" t="s">
        <v>314</v>
      </c>
      <c r="C10">
        <v>1</v>
      </c>
      <c r="D10">
        <v>1</v>
      </c>
      <c r="F10" t="s">
        <v>24</v>
      </c>
      <c r="G10">
        <v>1016</v>
      </c>
      <c r="H10">
        <v>158.65452755909999</v>
      </c>
      <c r="I10">
        <v>3995</v>
      </c>
      <c r="J10">
        <v>753</v>
      </c>
      <c r="K10">
        <v>2150</v>
      </c>
      <c r="L10">
        <v>847</v>
      </c>
      <c r="M10">
        <v>972</v>
      </c>
      <c r="N10">
        <v>592</v>
      </c>
      <c r="O10">
        <v>301</v>
      </c>
      <c r="P10">
        <v>123</v>
      </c>
      <c r="Q10">
        <v>0</v>
      </c>
      <c r="R10">
        <v>0</v>
      </c>
      <c r="AH10" t="s">
        <v>424</v>
      </c>
      <c r="AI10">
        <v>806</v>
      </c>
      <c r="AJ10">
        <v>418.28411910670002</v>
      </c>
      <c r="AK10">
        <v>891</v>
      </c>
      <c r="AL10">
        <v>248</v>
      </c>
      <c r="AM10">
        <v>1066</v>
      </c>
      <c r="AN10">
        <v>790</v>
      </c>
      <c r="AO10">
        <v>233</v>
      </c>
      <c r="AP10">
        <v>190</v>
      </c>
      <c r="AQ10">
        <v>369</v>
      </c>
      <c r="AR10">
        <v>218</v>
      </c>
      <c r="AS10">
        <v>75</v>
      </c>
      <c r="AT10">
        <v>1</v>
      </c>
      <c r="AV10" t="s">
        <v>372</v>
      </c>
      <c r="AW10">
        <v>414</v>
      </c>
      <c r="AX10">
        <v>97.357487922700003</v>
      </c>
      <c r="AY10">
        <v>641</v>
      </c>
      <c r="AZ10">
        <v>153</v>
      </c>
      <c r="BA10">
        <v>541</v>
      </c>
      <c r="BB10">
        <v>169</v>
      </c>
      <c r="BC10">
        <v>2</v>
      </c>
      <c r="BD10">
        <v>2</v>
      </c>
      <c r="BE10">
        <v>53</v>
      </c>
      <c r="BF10">
        <v>11</v>
      </c>
      <c r="BG10">
        <v>51</v>
      </c>
      <c r="BH10">
        <v>163</v>
      </c>
      <c r="BJ10" t="s">
        <v>608</v>
      </c>
      <c r="BK10" t="s">
        <v>386</v>
      </c>
      <c r="BL10">
        <v>3471</v>
      </c>
      <c r="BM10">
        <v>594</v>
      </c>
      <c r="BN10">
        <v>76.629789685999995</v>
      </c>
      <c r="BO10">
        <v>5692</v>
      </c>
      <c r="BP10">
        <v>586</v>
      </c>
      <c r="BQ10">
        <v>125.803056922</v>
      </c>
      <c r="BR10">
        <v>110.8003412969</v>
      </c>
      <c r="BS10">
        <v>3476</v>
      </c>
      <c r="BT10">
        <v>611</v>
      </c>
      <c r="BU10">
        <v>78.119390103599997</v>
      </c>
      <c r="BV10">
        <v>6493</v>
      </c>
      <c r="BW10">
        <v>603</v>
      </c>
      <c r="BX10">
        <v>134.988603111</v>
      </c>
      <c r="BY10">
        <v>113.9950248756</v>
      </c>
      <c r="CA10" t="s">
        <v>390</v>
      </c>
      <c r="CB10" t="s">
        <v>768</v>
      </c>
      <c r="CC10" t="s">
        <v>997</v>
      </c>
      <c r="CD10">
        <v>4082</v>
      </c>
      <c r="CE10">
        <v>1427</v>
      </c>
      <c r="CF10">
        <v>111.7680058795</v>
      </c>
      <c r="CG10">
        <v>5041</v>
      </c>
      <c r="CH10">
        <v>409</v>
      </c>
      <c r="CI10">
        <v>141.5235072406</v>
      </c>
      <c r="CJ10">
        <v>132.5965770171</v>
      </c>
      <c r="CL10" t="s">
        <v>390</v>
      </c>
      <c r="CM10" t="s">
        <v>749</v>
      </c>
      <c r="CN10" t="s">
        <v>752</v>
      </c>
      <c r="CO10">
        <v>326</v>
      </c>
      <c r="CP10">
        <v>52</v>
      </c>
      <c r="CQ10">
        <v>74.579754601199994</v>
      </c>
      <c r="CR10">
        <v>910</v>
      </c>
      <c r="CS10">
        <v>80</v>
      </c>
      <c r="CT10">
        <v>75.778021977999998</v>
      </c>
      <c r="CU10">
        <v>94.787499999999994</v>
      </c>
      <c r="CW10" t="s">
        <v>390</v>
      </c>
      <c r="CX10" t="s">
        <v>759</v>
      </c>
      <c r="CY10" t="s">
        <v>762</v>
      </c>
      <c r="CZ10">
        <v>74</v>
      </c>
      <c r="DA10">
        <v>23</v>
      </c>
      <c r="DB10">
        <v>90.743243243199998</v>
      </c>
      <c r="DC10">
        <v>85</v>
      </c>
      <c r="DD10">
        <v>4</v>
      </c>
      <c r="DE10">
        <v>156.78823529409999</v>
      </c>
      <c r="DF10">
        <v>157.75</v>
      </c>
      <c r="DH10" t="s">
        <v>390</v>
      </c>
      <c r="DI10" t="s">
        <v>739</v>
      </c>
      <c r="DJ10" t="s">
        <v>742</v>
      </c>
      <c r="DK10">
        <v>69</v>
      </c>
      <c r="DL10">
        <v>21</v>
      </c>
      <c r="DM10">
        <v>95.246376811600001</v>
      </c>
      <c r="DN10">
        <v>95</v>
      </c>
      <c r="DO10">
        <v>7</v>
      </c>
      <c r="DP10">
        <v>142.44210526320001</v>
      </c>
      <c r="DQ10">
        <v>132</v>
      </c>
    </row>
    <row r="11" spans="2:121" x14ac:dyDescent="0.2">
      <c r="B11" t="s">
        <v>111</v>
      </c>
      <c r="C11">
        <v>7798</v>
      </c>
      <c r="D11">
        <v>525</v>
      </c>
      <c r="F11" t="s">
        <v>57</v>
      </c>
      <c r="G11">
        <v>11932</v>
      </c>
      <c r="H11">
        <v>384.29240697279999</v>
      </c>
      <c r="I11">
        <v>7040</v>
      </c>
      <c r="J11">
        <v>1651</v>
      </c>
      <c r="K11">
        <v>13257</v>
      </c>
      <c r="L11">
        <v>9906</v>
      </c>
      <c r="M11">
        <v>4564</v>
      </c>
      <c r="N11">
        <v>4226</v>
      </c>
      <c r="O11">
        <v>1792</v>
      </c>
      <c r="P11">
        <v>1103</v>
      </c>
      <c r="Q11">
        <v>0</v>
      </c>
      <c r="R11">
        <v>376</v>
      </c>
      <c r="AH11" t="s">
        <v>415</v>
      </c>
      <c r="AI11">
        <v>472</v>
      </c>
      <c r="AJ11">
        <v>516.57415254240004</v>
      </c>
      <c r="AK11">
        <v>419</v>
      </c>
      <c r="AL11">
        <v>104</v>
      </c>
      <c r="AM11">
        <v>663</v>
      </c>
      <c r="AN11">
        <v>486</v>
      </c>
      <c r="AO11">
        <v>219</v>
      </c>
      <c r="AP11">
        <v>195</v>
      </c>
      <c r="AQ11">
        <v>358</v>
      </c>
      <c r="AR11">
        <v>262</v>
      </c>
      <c r="AS11">
        <v>37</v>
      </c>
      <c r="AT11">
        <v>0</v>
      </c>
      <c r="AV11" t="s">
        <v>426</v>
      </c>
      <c r="AW11">
        <v>2676</v>
      </c>
      <c r="AX11">
        <v>95.659566517200005</v>
      </c>
      <c r="AY11">
        <v>3647</v>
      </c>
      <c r="AZ11">
        <v>910</v>
      </c>
      <c r="BA11">
        <v>3394</v>
      </c>
      <c r="BB11">
        <v>1048</v>
      </c>
      <c r="BC11">
        <v>35</v>
      </c>
      <c r="BD11">
        <v>31</v>
      </c>
      <c r="BE11">
        <v>185</v>
      </c>
      <c r="BF11">
        <v>60</v>
      </c>
      <c r="BG11">
        <v>342</v>
      </c>
      <c r="BH11">
        <v>769</v>
      </c>
      <c r="BJ11" t="s">
        <v>610</v>
      </c>
      <c r="BK11" t="s">
        <v>386</v>
      </c>
      <c r="BL11">
        <v>5557</v>
      </c>
      <c r="BM11">
        <v>952</v>
      </c>
      <c r="BN11">
        <v>71.618319236999994</v>
      </c>
      <c r="BO11">
        <v>11238</v>
      </c>
      <c r="BP11">
        <v>600</v>
      </c>
      <c r="BQ11">
        <v>121.78643886810001</v>
      </c>
      <c r="BR11">
        <v>97.366666666699999</v>
      </c>
      <c r="BS11">
        <v>6407</v>
      </c>
      <c r="BT11">
        <v>1572</v>
      </c>
      <c r="BU11">
        <v>84.552208521899999</v>
      </c>
      <c r="BV11">
        <v>15571</v>
      </c>
      <c r="BW11">
        <v>699</v>
      </c>
      <c r="BX11">
        <v>130.99370624880001</v>
      </c>
      <c r="BY11">
        <v>111.8125894134</v>
      </c>
      <c r="CA11" t="s">
        <v>419</v>
      </c>
      <c r="CB11" t="s">
        <v>768</v>
      </c>
      <c r="CC11" t="s">
        <v>998</v>
      </c>
      <c r="CD11">
        <v>711</v>
      </c>
      <c r="CE11">
        <v>57</v>
      </c>
      <c r="CF11">
        <v>56.320675105500001</v>
      </c>
      <c r="CG11">
        <v>1879</v>
      </c>
      <c r="CH11">
        <v>120</v>
      </c>
      <c r="CI11">
        <v>91.684938797200005</v>
      </c>
      <c r="CJ11">
        <v>74.066666666700002</v>
      </c>
      <c r="CL11" t="s">
        <v>419</v>
      </c>
      <c r="CM11" t="s">
        <v>749</v>
      </c>
      <c r="CN11" t="s">
        <v>753</v>
      </c>
      <c r="CO11">
        <v>73</v>
      </c>
      <c r="CP11">
        <v>6</v>
      </c>
      <c r="CQ11">
        <v>55.041095890400001</v>
      </c>
      <c r="CR11">
        <v>290</v>
      </c>
      <c r="CS11">
        <v>29</v>
      </c>
      <c r="CT11">
        <v>59.265517241399998</v>
      </c>
      <c r="CU11">
        <v>61.310344827599998</v>
      </c>
      <c r="CW11" t="s">
        <v>419</v>
      </c>
      <c r="CX11" t="s">
        <v>759</v>
      </c>
      <c r="CY11" t="s">
        <v>763</v>
      </c>
      <c r="CZ11">
        <v>28</v>
      </c>
      <c r="DA11">
        <v>12</v>
      </c>
      <c r="DB11">
        <v>102.3928571429</v>
      </c>
      <c r="DC11">
        <v>24</v>
      </c>
      <c r="DD11">
        <v>6</v>
      </c>
      <c r="DE11">
        <v>134.7083333333</v>
      </c>
      <c r="DF11">
        <v>137.6666666667</v>
      </c>
      <c r="DH11" t="s">
        <v>419</v>
      </c>
      <c r="DI11" t="s">
        <v>739</v>
      </c>
      <c r="DJ11" t="s">
        <v>743</v>
      </c>
      <c r="DK11">
        <v>16</v>
      </c>
      <c r="DL11">
        <v>1</v>
      </c>
      <c r="DM11">
        <v>60.5</v>
      </c>
      <c r="DN11">
        <v>24</v>
      </c>
      <c r="DO11">
        <v>4</v>
      </c>
      <c r="DP11">
        <v>123</v>
      </c>
      <c r="DQ11">
        <v>140.25</v>
      </c>
    </row>
    <row r="12" spans="2:121" x14ac:dyDescent="0.2">
      <c r="B12" t="s">
        <v>121</v>
      </c>
      <c r="C12">
        <v>702</v>
      </c>
      <c r="D12">
        <v>352</v>
      </c>
      <c r="F12" t="s">
        <v>33</v>
      </c>
      <c r="G12">
        <v>7878</v>
      </c>
      <c r="H12">
        <v>744.74930185330004</v>
      </c>
      <c r="I12">
        <v>4559</v>
      </c>
      <c r="J12">
        <v>1266</v>
      </c>
      <c r="K12">
        <v>9391</v>
      </c>
      <c r="L12">
        <v>7861</v>
      </c>
      <c r="M12">
        <v>1844</v>
      </c>
      <c r="N12">
        <v>1671</v>
      </c>
      <c r="O12">
        <v>1429</v>
      </c>
      <c r="P12">
        <v>1074</v>
      </c>
      <c r="Q12">
        <v>0</v>
      </c>
      <c r="R12">
        <v>5</v>
      </c>
      <c r="T12" t="s">
        <v>649</v>
      </c>
      <c r="U12" t="s">
        <v>306</v>
      </c>
      <c r="V12" t="s">
        <v>133</v>
      </c>
      <c r="W12" t="s">
        <v>214</v>
      </c>
      <c r="X12" t="s">
        <v>215</v>
      </c>
      <c r="Y12" t="s">
        <v>216</v>
      </c>
      <c r="Z12" t="s">
        <v>217</v>
      </c>
      <c r="AA12" t="s">
        <v>218</v>
      </c>
      <c r="AB12" t="s">
        <v>219</v>
      </c>
      <c r="AC12" t="s">
        <v>220</v>
      </c>
      <c r="AD12" t="s">
        <v>221</v>
      </c>
      <c r="AE12" t="s">
        <v>222</v>
      </c>
      <c r="AF12" t="s">
        <v>223</v>
      </c>
      <c r="AH12" t="s">
        <v>426</v>
      </c>
      <c r="AI12">
        <v>19318</v>
      </c>
      <c r="AJ12">
        <v>339.70462780830002</v>
      </c>
      <c r="AK12">
        <v>21488</v>
      </c>
      <c r="AL12">
        <v>5804</v>
      </c>
      <c r="AM12">
        <v>27115</v>
      </c>
      <c r="AN12">
        <v>17934</v>
      </c>
      <c r="AO12">
        <v>7116</v>
      </c>
      <c r="AP12">
        <v>5464</v>
      </c>
      <c r="AQ12">
        <v>16853</v>
      </c>
      <c r="AR12">
        <v>11323</v>
      </c>
      <c r="AS12">
        <v>2030</v>
      </c>
      <c r="AT12">
        <v>281</v>
      </c>
      <c r="AV12" t="s">
        <v>409</v>
      </c>
      <c r="AW12">
        <v>68</v>
      </c>
      <c r="AX12">
        <v>50.338235294100002</v>
      </c>
      <c r="AY12">
        <v>95</v>
      </c>
      <c r="AZ12">
        <v>4</v>
      </c>
      <c r="BA12">
        <v>87</v>
      </c>
      <c r="BB12">
        <v>1</v>
      </c>
      <c r="BC12">
        <v>1</v>
      </c>
      <c r="BD12">
        <v>1</v>
      </c>
      <c r="BE12">
        <v>1</v>
      </c>
      <c r="BG12">
        <v>102</v>
      </c>
      <c r="BH12">
        <v>13</v>
      </c>
      <c r="BJ12" t="s">
        <v>552</v>
      </c>
      <c r="BK12" t="s">
        <v>386</v>
      </c>
      <c r="BL12">
        <v>5862</v>
      </c>
      <c r="BM12">
        <v>1538</v>
      </c>
      <c r="BN12">
        <v>96.1821903787</v>
      </c>
      <c r="BO12">
        <v>7719</v>
      </c>
      <c r="BP12">
        <v>587</v>
      </c>
      <c r="BQ12">
        <v>143.20494882759999</v>
      </c>
      <c r="BR12">
        <v>165.3764906303</v>
      </c>
      <c r="BS12">
        <v>1770</v>
      </c>
      <c r="BT12">
        <v>578</v>
      </c>
      <c r="BU12">
        <v>107.2824858757</v>
      </c>
      <c r="BV12">
        <v>5889</v>
      </c>
      <c r="BW12">
        <v>450</v>
      </c>
      <c r="BX12">
        <v>136.14331805059999</v>
      </c>
      <c r="BY12">
        <v>172.46444444439999</v>
      </c>
      <c r="CA12" t="s">
        <v>413</v>
      </c>
      <c r="CB12" t="s">
        <v>768</v>
      </c>
      <c r="CC12" t="s">
        <v>999</v>
      </c>
      <c r="CD12">
        <v>5717</v>
      </c>
      <c r="CE12">
        <v>963</v>
      </c>
      <c r="CF12">
        <v>71.131362602799996</v>
      </c>
      <c r="CG12">
        <v>11549</v>
      </c>
      <c r="CH12">
        <v>668</v>
      </c>
      <c r="CI12">
        <v>105.2953502468</v>
      </c>
      <c r="CJ12">
        <v>95.872754490999995</v>
      </c>
      <c r="CL12" t="s">
        <v>413</v>
      </c>
      <c r="CM12" t="s">
        <v>749</v>
      </c>
      <c r="CN12" t="s">
        <v>754</v>
      </c>
      <c r="CO12">
        <v>409</v>
      </c>
      <c r="CP12">
        <v>38</v>
      </c>
      <c r="CQ12">
        <v>61.242053789700002</v>
      </c>
      <c r="CR12">
        <v>1378</v>
      </c>
      <c r="CS12">
        <v>131</v>
      </c>
      <c r="CT12">
        <v>65.393323657500005</v>
      </c>
      <c r="CU12">
        <v>70.320610686999999</v>
      </c>
      <c r="CW12" t="s">
        <v>413</v>
      </c>
      <c r="CX12" t="s">
        <v>759</v>
      </c>
      <c r="CY12" t="s">
        <v>764</v>
      </c>
      <c r="CZ12">
        <v>115</v>
      </c>
      <c r="DA12">
        <v>14</v>
      </c>
      <c r="DB12">
        <v>73.591304347800005</v>
      </c>
      <c r="DC12">
        <v>134</v>
      </c>
      <c r="DD12">
        <v>19</v>
      </c>
      <c r="DE12">
        <v>143.2835820896</v>
      </c>
      <c r="DF12">
        <v>144.63157894739999</v>
      </c>
      <c r="DH12" t="s">
        <v>413</v>
      </c>
      <c r="DI12" t="s">
        <v>739</v>
      </c>
      <c r="DJ12" t="s">
        <v>744</v>
      </c>
      <c r="DK12">
        <v>218</v>
      </c>
      <c r="DL12">
        <v>40</v>
      </c>
      <c r="DM12">
        <v>77.802752293599994</v>
      </c>
      <c r="DN12">
        <v>217</v>
      </c>
      <c r="DO12">
        <v>40</v>
      </c>
      <c r="DP12">
        <v>127.77419354840001</v>
      </c>
      <c r="DQ12">
        <v>115.825</v>
      </c>
    </row>
    <row r="13" spans="2:121" x14ac:dyDescent="0.2">
      <c r="B13" t="s">
        <v>97</v>
      </c>
      <c r="C13">
        <v>194</v>
      </c>
      <c r="D13">
        <v>123</v>
      </c>
      <c r="F13" t="s">
        <v>34</v>
      </c>
      <c r="G13">
        <v>174</v>
      </c>
      <c r="H13">
        <v>68.436781609199997</v>
      </c>
      <c r="I13">
        <v>1368</v>
      </c>
      <c r="J13">
        <v>288</v>
      </c>
      <c r="K13">
        <v>350</v>
      </c>
      <c r="L13">
        <v>44</v>
      </c>
      <c r="M13">
        <v>241</v>
      </c>
      <c r="N13">
        <v>166</v>
      </c>
      <c r="O13">
        <v>172</v>
      </c>
      <c r="P13">
        <v>59</v>
      </c>
      <c r="Q13">
        <v>0</v>
      </c>
      <c r="R13">
        <v>2</v>
      </c>
      <c r="T13" t="s">
        <v>386</v>
      </c>
      <c r="U13">
        <v>51033</v>
      </c>
      <c r="V13">
        <v>363.59112730980002</v>
      </c>
      <c r="W13">
        <v>63449</v>
      </c>
      <c r="X13">
        <v>15872</v>
      </c>
      <c r="Y13">
        <v>77634</v>
      </c>
      <c r="Z13">
        <v>50901</v>
      </c>
      <c r="AA13">
        <v>19239</v>
      </c>
      <c r="AB13">
        <v>14684</v>
      </c>
      <c r="AC13">
        <v>17232</v>
      </c>
      <c r="AD13">
        <v>9458</v>
      </c>
      <c r="AE13">
        <v>57</v>
      </c>
      <c r="AF13">
        <v>1121</v>
      </c>
      <c r="AH13" t="s">
        <v>382</v>
      </c>
      <c r="AI13">
        <v>14893</v>
      </c>
      <c r="AJ13">
        <v>354.51480561339997</v>
      </c>
      <c r="AK13">
        <v>17614</v>
      </c>
      <c r="AL13">
        <v>4882</v>
      </c>
      <c r="AM13">
        <v>21895</v>
      </c>
      <c r="AN13">
        <v>15290</v>
      </c>
      <c r="AO13">
        <v>8127</v>
      </c>
      <c r="AP13">
        <v>6811</v>
      </c>
      <c r="AQ13">
        <v>12869</v>
      </c>
      <c r="AR13">
        <v>10715</v>
      </c>
      <c r="AS13">
        <v>1035</v>
      </c>
      <c r="AT13">
        <v>28</v>
      </c>
      <c r="AV13" t="s">
        <v>388</v>
      </c>
      <c r="AW13">
        <v>615</v>
      </c>
      <c r="AX13">
        <v>52.095934959300003</v>
      </c>
      <c r="AY13">
        <v>448</v>
      </c>
      <c r="AZ13">
        <v>53</v>
      </c>
      <c r="BA13">
        <v>729</v>
      </c>
      <c r="BB13">
        <v>46</v>
      </c>
      <c r="BC13">
        <v>2</v>
      </c>
      <c r="BD13">
        <v>2</v>
      </c>
      <c r="BE13">
        <v>18</v>
      </c>
      <c r="BF13">
        <v>7</v>
      </c>
      <c r="BG13">
        <v>60</v>
      </c>
      <c r="BH13">
        <v>64</v>
      </c>
      <c r="BJ13" t="s">
        <v>589</v>
      </c>
      <c r="BK13" t="s">
        <v>386</v>
      </c>
      <c r="BL13">
        <v>2322</v>
      </c>
      <c r="BM13">
        <v>612</v>
      </c>
      <c r="BN13">
        <v>91.658053402199997</v>
      </c>
      <c r="BO13">
        <v>2633</v>
      </c>
      <c r="BP13">
        <v>217</v>
      </c>
      <c r="BQ13">
        <v>142.8108621344</v>
      </c>
      <c r="BR13">
        <v>148.67741935480001</v>
      </c>
      <c r="BS13">
        <v>2936</v>
      </c>
      <c r="BT13">
        <v>1154</v>
      </c>
      <c r="BU13">
        <v>111.4816076294</v>
      </c>
      <c r="BV13">
        <v>5157</v>
      </c>
      <c r="BW13">
        <v>377</v>
      </c>
      <c r="BX13">
        <v>157.64010083380001</v>
      </c>
      <c r="BY13">
        <v>153.0610079576</v>
      </c>
      <c r="CA13" t="s">
        <v>411</v>
      </c>
      <c r="CB13" t="s">
        <v>768</v>
      </c>
      <c r="CC13" t="s">
        <v>1000</v>
      </c>
      <c r="CD13">
        <v>33258</v>
      </c>
      <c r="CE13">
        <v>7966</v>
      </c>
      <c r="CF13">
        <v>91.473660472700004</v>
      </c>
      <c r="CG13">
        <v>50811</v>
      </c>
      <c r="CH13">
        <v>4155</v>
      </c>
      <c r="CI13">
        <v>135.12098726549999</v>
      </c>
      <c r="CJ13">
        <v>125.96799037300001</v>
      </c>
      <c r="CL13" t="s">
        <v>411</v>
      </c>
      <c r="CM13" t="s">
        <v>749</v>
      </c>
      <c r="CN13" t="s">
        <v>755</v>
      </c>
      <c r="CO13">
        <v>1718</v>
      </c>
      <c r="CP13">
        <v>171</v>
      </c>
      <c r="CQ13">
        <v>64.498835855600007</v>
      </c>
      <c r="CR13">
        <v>5232</v>
      </c>
      <c r="CS13">
        <v>458</v>
      </c>
      <c r="CT13">
        <v>67.093290001900002</v>
      </c>
      <c r="CU13">
        <v>73.303493449800001</v>
      </c>
      <c r="CW13" t="s">
        <v>411</v>
      </c>
      <c r="CX13" t="s">
        <v>759</v>
      </c>
      <c r="CY13" t="s">
        <v>765</v>
      </c>
      <c r="CZ13">
        <v>1182</v>
      </c>
      <c r="DA13">
        <v>323</v>
      </c>
      <c r="DB13">
        <v>85.465313028799997</v>
      </c>
      <c r="DC13">
        <v>1156</v>
      </c>
      <c r="DD13">
        <v>158</v>
      </c>
      <c r="DE13">
        <v>142.6133217993</v>
      </c>
      <c r="DF13">
        <v>144.2088607595</v>
      </c>
      <c r="DH13" t="s">
        <v>411</v>
      </c>
      <c r="DI13" t="s">
        <v>739</v>
      </c>
      <c r="DJ13" t="s">
        <v>745</v>
      </c>
      <c r="DK13">
        <v>1038</v>
      </c>
      <c r="DL13">
        <v>227</v>
      </c>
      <c r="DM13">
        <v>76.938342967200001</v>
      </c>
      <c r="DN13">
        <v>1332</v>
      </c>
      <c r="DO13">
        <v>168</v>
      </c>
      <c r="DP13">
        <v>135.92192192190001</v>
      </c>
      <c r="DQ13">
        <v>131.36309523809999</v>
      </c>
    </row>
    <row r="14" spans="2:121" x14ac:dyDescent="0.2">
      <c r="B14" t="s">
        <v>118</v>
      </c>
      <c r="C14">
        <v>28</v>
      </c>
      <c r="D14">
        <v>16</v>
      </c>
      <c r="F14" t="s">
        <v>38</v>
      </c>
      <c r="G14">
        <v>4865</v>
      </c>
      <c r="H14">
        <v>442.70380267209998</v>
      </c>
      <c r="I14">
        <v>7245</v>
      </c>
      <c r="J14">
        <v>1849</v>
      </c>
      <c r="K14">
        <v>7085</v>
      </c>
      <c r="L14">
        <v>4627</v>
      </c>
      <c r="M14">
        <v>1613</v>
      </c>
      <c r="N14">
        <v>1433</v>
      </c>
      <c r="O14">
        <v>2714</v>
      </c>
      <c r="P14">
        <v>1969</v>
      </c>
      <c r="Q14">
        <v>0</v>
      </c>
      <c r="R14">
        <v>323</v>
      </c>
      <c r="T14" t="s">
        <v>391</v>
      </c>
      <c r="U14">
        <v>36239</v>
      </c>
      <c r="V14">
        <v>349.17238334389998</v>
      </c>
      <c r="W14">
        <v>54824</v>
      </c>
      <c r="X14">
        <v>12169</v>
      </c>
      <c r="Y14">
        <v>61657</v>
      </c>
      <c r="Z14">
        <v>34580</v>
      </c>
      <c r="AA14">
        <v>13984</v>
      </c>
      <c r="AB14">
        <v>10360</v>
      </c>
      <c r="AC14">
        <v>13862</v>
      </c>
      <c r="AD14">
        <v>9278</v>
      </c>
      <c r="AE14">
        <v>6821</v>
      </c>
      <c r="AF14">
        <v>1016</v>
      </c>
      <c r="AH14" t="s">
        <v>429</v>
      </c>
      <c r="AI14">
        <v>1511</v>
      </c>
      <c r="AJ14">
        <v>308.45135671740002</v>
      </c>
      <c r="AK14">
        <v>1774</v>
      </c>
      <c r="AL14">
        <v>398</v>
      </c>
      <c r="AM14">
        <v>2118</v>
      </c>
      <c r="AN14">
        <v>1448</v>
      </c>
      <c r="AO14">
        <v>1022</v>
      </c>
      <c r="AP14">
        <v>633</v>
      </c>
      <c r="AQ14">
        <v>637</v>
      </c>
      <c r="AR14">
        <v>310</v>
      </c>
      <c r="AS14">
        <v>3</v>
      </c>
      <c r="AT14">
        <v>5</v>
      </c>
      <c r="AV14" t="s">
        <v>394</v>
      </c>
      <c r="AW14">
        <v>362</v>
      </c>
      <c r="AX14">
        <v>53.975138121500002</v>
      </c>
      <c r="AY14">
        <v>399</v>
      </c>
      <c r="AZ14">
        <v>48</v>
      </c>
      <c r="BA14">
        <v>461</v>
      </c>
      <c r="BB14">
        <v>37</v>
      </c>
      <c r="BC14">
        <v>3</v>
      </c>
      <c r="BD14">
        <v>3</v>
      </c>
      <c r="BE14">
        <v>35</v>
      </c>
      <c r="BF14">
        <v>6</v>
      </c>
      <c r="BG14">
        <v>82</v>
      </c>
      <c r="BH14">
        <v>66</v>
      </c>
      <c r="BJ14" t="s">
        <v>606</v>
      </c>
      <c r="BK14" t="s">
        <v>386</v>
      </c>
      <c r="BL14">
        <v>15971</v>
      </c>
      <c r="BM14">
        <v>3502</v>
      </c>
      <c r="BN14">
        <v>87.118276876799996</v>
      </c>
      <c r="BO14">
        <v>24330</v>
      </c>
      <c r="BP14">
        <v>2186</v>
      </c>
      <c r="BQ14">
        <v>136.96329181569999</v>
      </c>
      <c r="BR14">
        <v>127.5887465691</v>
      </c>
      <c r="BS14">
        <v>15091</v>
      </c>
      <c r="BT14">
        <v>2983</v>
      </c>
      <c r="BU14">
        <v>83.481876615199994</v>
      </c>
      <c r="BV14">
        <v>23282</v>
      </c>
      <c r="BW14">
        <v>2020</v>
      </c>
      <c r="BX14">
        <v>136.1498775721</v>
      </c>
      <c r="BY14">
        <v>127.1945544554</v>
      </c>
      <c r="CA14" t="s">
        <v>407</v>
      </c>
      <c r="CB14" t="s">
        <v>768</v>
      </c>
      <c r="CC14" t="s">
        <v>1001</v>
      </c>
      <c r="CD14">
        <v>2160</v>
      </c>
      <c r="CE14">
        <v>598</v>
      </c>
      <c r="CF14">
        <v>95.035185185200007</v>
      </c>
      <c r="CG14">
        <v>2248</v>
      </c>
      <c r="CH14">
        <v>194</v>
      </c>
      <c r="CI14">
        <v>141.28291814950001</v>
      </c>
      <c r="CJ14">
        <v>149.0515463918</v>
      </c>
      <c r="CL14" t="s">
        <v>407</v>
      </c>
      <c r="CM14" t="s">
        <v>749</v>
      </c>
      <c r="CN14" t="s">
        <v>756</v>
      </c>
      <c r="CO14">
        <v>167</v>
      </c>
      <c r="CP14">
        <v>14</v>
      </c>
      <c r="CQ14">
        <v>63.628742514999999</v>
      </c>
      <c r="CR14">
        <v>460</v>
      </c>
      <c r="CS14">
        <v>37</v>
      </c>
      <c r="CT14">
        <v>66.302173913000004</v>
      </c>
      <c r="CU14">
        <v>68.756756756800002</v>
      </c>
      <c r="CW14" t="s">
        <v>407</v>
      </c>
      <c r="CX14" t="s">
        <v>759</v>
      </c>
      <c r="CY14" t="s">
        <v>766</v>
      </c>
      <c r="CZ14">
        <v>61</v>
      </c>
      <c r="DA14">
        <v>23</v>
      </c>
      <c r="DB14">
        <v>106.606557377</v>
      </c>
      <c r="DC14">
        <v>68</v>
      </c>
      <c r="DD14">
        <v>3</v>
      </c>
      <c r="DE14">
        <v>142.23529411760001</v>
      </c>
      <c r="DF14">
        <v>131</v>
      </c>
      <c r="DH14" t="s">
        <v>407</v>
      </c>
      <c r="DI14" t="s">
        <v>739</v>
      </c>
      <c r="DJ14" t="s">
        <v>746</v>
      </c>
      <c r="DK14">
        <v>55</v>
      </c>
      <c r="DL14">
        <v>20</v>
      </c>
      <c r="DM14">
        <v>101.4181818182</v>
      </c>
      <c r="DN14">
        <v>83</v>
      </c>
      <c r="DO14">
        <v>9</v>
      </c>
      <c r="DP14">
        <v>118.6144578313</v>
      </c>
      <c r="DQ14">
        <v>143</v>
      </c>
    </row>
    <row r="15" spans="2:121" x14ac:dyDescent="0.2">
      <c r="B15" t="s">
        <v>128</v>
      </c>
      <c r="C15">
        <v>1634</v>
      </c>
      <c r="D15">
        <v>297</v>
      </c>
      <c r="F15" t="s">
        <v>36</v>
      </c>
      <c r="G15">
        <v>310</v>
      </c>
      <c r="H15">
        <v>262.19032258060003</v>
      </c>
      <c r="I15">
        <v>793</v>
      </c>
      <c r="J15">
        <v>104</v>
      </c>
      <c r="K15">
        <v>518</v>
      </c>
      <c r="L15">
        <v>303</v>
      </c>
      <c r="M15">
        <v>135</v>
      </c>
      <c r="N15">
        <v>106</v>
      </c>
      <c r="O15">
        <v>90</v>
      </c>
      <c r="P15">
        <v>37</v>
      </c>
      <c r="Q15">
        <v>2</v>
      </c>
      <c r="R15">
        <v>5</v>
      </c>
      <c r="T15" t="s">
        <v>370</v>
      </c>
      <c r="U15">
        <v>87694</v>
      </c>
      <c r="V15">
        <v>458.93973361920001</v>
      </c>
      <c r="W15">
        <v>76042</v>
      </c>
      <c r="X15">
        <v>20019</v>
      </c>
      <c r="Y15">
        <v>120514</v>
      </c>
      <c r="Z15">
        <v>87670</v>
      </c>
      <c r="AA15">
        <v>40062</v>
      </c>
      <c r="AB15">
        <v>32594</v>
      </c>
      <c r="AC15">
        <v>27756</v>
      </c>
      <c r="AD15">
        <v>19937</v>
      </c>
      <c r="AE15">
        <v>12576</v>
      </c>
      <c r="AF15">
        <v>54</v>
      </c>
      <c r="AH15" t="s">
        <v>409</v>
      </c>
      <c r="AI15">
        <v>612</v>
      </c>
      <c r="AJ15">
        <v>312.3218954248</v>
      </c>
      <c r="AK15">
        <v>1512</v>
      </c>
      <c r="AL15">
        <v>326</v>
      </c>
      <c r="AM15">
        <v>968</v>
      </c>
      <c r="AN15">
        <v>543</v>
      </c>
      <c r="AO15">
        <v>377</v>
      </c>
      <c r="AP15">
        <v>272</v>
      </c>
      <c r="AQ15">
        <v>427</v>
      </c>
      <c r="AR15">
        <v>248</v>
      </c>
      <c r="AS15">
        <v>1</v>
      </c>
      <c r="AT15">
        <v>3</v>
      </c>
      <c r="AV15" t="s">
        <v>413</v>
      </c>
      <c r="AW15">
        <v>232</v>
      </c>
      <c r="AX15">
        <v>50.663793103400003</v>
      </c>
      <c r="AY15">
        <v>241</v>
      </c>
      <c r="AZ15">
        <v>11</v>
      </c>
      <c r="BA15">
        <v>290</v>
      </c>
      <c r="BB15">
        <v>9</v>
      </c>
      <c r="BC15">
        <v>2</v>
      </c>
      <c r="BD15">
        <v>2</v>
      </c>
      <c r="BE15">
        <v>10</v>
      </c>
      <c r="BF15">
        <v>4</v>
      </c>
      <c r="BG15">
        <v>548</v>
      </c>
      <c r="BH15">
        <v>54</v>
      </c>
      <c r="BJ15" t="s">
        <v>568</v>
      </c>
      <c r="BK15" t="s">
        <v>391</v>
      </c>
      <c r="BL15">
        <v>6308</v>
      </c>
      <c r="BM15">
        <v>1927</v>
      </c>
      <c r="BN15">
        <v>103.77266962589999</v>
      </c>
      <c r="BO15">
        <v>9311</v>
      </c>
      <c r="BP15">
        <v>826</v>
      </c>
      <c r="BQ15">
        <v>150.33573193000001</v>
      </c>
      <c r="BR15">
        <v>147.392251816</v>
      </c>
      <c r="BS15">
        <v>4122</v>
      </c>
      <c r="BT15">
        <v>820</v>
      </c>
      <c r="BU15">
        <v>81.6145075206</v>
      </c>
      <c r="BV15">
        <v>5448</v>
      </c>
      <c r="BW15">
        <v>432</v>
      </c>
      <c r="BX15">
        <v>129.98678414099999</v>
      </c>
      <c r="BY15">
        <v>116.2523148148</v>
      </c>
      <c r="CA15" t="s">
        <v>422</v>
      </c>
      <c r="CB15" t="s">
        <v>768</v>
      </c>
      <c r="CC15" t="s">
        <v>1002</v>
      </c>
      <c r="CD15">
        <v>854</v>
      </c>
      <c r="CE15">
        <v>115</v>
      </c>
      <c r="CF15">
        <v>70.840749414499996</v>
      </c>
      <c r="CG15">
        <v>1250</v>
      </c>
      <c r="CH15">
        <v>139</v>
      </c>
      <c r="CI15">
        <v>139.78960000000001</v>
      </c>
      <c r="CJ15">
        <v>118.2158273381</v>
      </c>
      <c r="CL15" t="s">
        <v>422</v>
      </c>
      <c r="CM15" t="s">
        <v>749</v>
      </c>
      <c r="CN15" t="s">
        <v>757</v>
      </c>
      <c r="CO15">
        <v>24</v>
      </c>
      <c r="CP15">
        <v>2</v>
      </c>
      <c r="CQ15">
        <v>48.625</v>
      </c>
      <c r="CR15">
        <v>80</v>
      </c>
      <c r="CS15">
        <v>3</v>
      </c>
      <c r="CT15">
        <v>60.5</v>
      </c>
      <c r="CU15">
        <v>88.666666666699996</v>
      </c>
      <c r="CW15" t="s">
        <v>422</v>
      </c>
      <c r="CX15" t="s">
        <v>759</v>
      </c>
      <c r="CY15" t="s">
        <v>767</v>
      </c>
      <c r="CZ15">
        <v>17</v>
      </c>
      <c r="DA15">
        <v>6</v>
      </c>
      <c r="DB15">
        <v>93.529411764700001</v>
      </c>
      <c r="DC15">
        <v>20</v>
      </c>
      <c r="DD15">
        <v>1</v>
      </c>
      <c r="DE15">
        <v>157.85</v>
      </c>
      <c r="DF15">
        <v>164</v>
      </c>
      <c r="DH15" t="s">
        <v>422</v>
      </c>
      <c r="DI15" t="s">
        <v>739</v>
      </c>
      <c r="DJ15" t="s">
        <v>747</v>
      </c>
      <c r="DK15">
        <v>2</v>
      </c>
      <c r="DL15">
        <v>0</v>
      </c>
      <c r="DM15">
        <v>77</v>
      </c>
      <c r="DN15">
        <v>27</v>
      </c>
      <c r="DO15">
        <v>2</v>
      </c>
      <c r="DP15">
        <v>126.3333333333</v>
      </c>
      <c r="DQ15">
        <v>87.5</v>
      </c>
    </row>
    <row r="16" spans="2:121" x14ac:dyDescent="0.2">
      <c r="B16" t="s">
        <v>119</v>
      </c>
      <c r="C16">
        <v>65</v>
      </c>
      <c r="D16">
        <v>49</v>
      </c>
      <c r="F16" t="s">
        <v>61</v>
      </c>
      <c r="G16">
        <v>781</v>
      </c>
      <c r="H16">
        <v>165.4609475032</v>
      </c>
      <c r="I16">
        <v>2523</v>
      </c>
      <c r="J16">
        <v>521</v>
      </c>
      <c r="K16">
        <v>1435</v>
      </c>
      <c r="L16">
        <v>727</v>
      </c>
      <c r="M16">
        <v>744</v>
      </c>
      <c r="N16">
        <v>712</v>
      </c>
      <c r="O16">
        <v>1530</v>
      </c>
      <c r="P16">
        <v>1149</v>
      </c>
      <c r="Q16">
        <v>0</v>
      </c>
      <c r="R16">
        <v>1</v>
      </c>
      <c r="T16" t="s">
        <v>8</v>
      </c>
      <c r="U16">
        <v>59</v>
      </c>
      <c r="V16">
        <v>1061.8474576271001</v>
      </c>
      <c r="W16">
        <v>17</v>
      </c>
      <c r="X16">
        <v>6</v>
      </c>
      <c r="Y16">
        <v>64</v>
      </c>
      <c r="Z16">
        <v>58</v>
      </c>
      <c r="AA16">
        <v>12</v>
      </c>
      <c r="AB16">
        <v>9</v>
      </c>
      <c r="AC16">
        <v>52622</v>
      </c>
      <c r="AD16">
        <v>31260</v>
      </c>
      <c r="AE16">
        <v>0</v>
      </c>
      <c r="AF16">
        <v>1</v>
      </c>
      <c r="AH16" t="s">
        <v>395</v>
      </c>
      <c r="AI16">
        <v>6435</v>
      </c>
      <c r="AJ16">
        <v>480.4713286713</v>
      </c>
      <c r="AK16">
        <v>6718</v>
      </c>
      <c r="AL16">
        <v>1965</v>
      </c>
      <c r="AM16">
        <v>9345</v>
      </c>
      <c r="AN16">
        <v>6302</v>
      </c>
      <c r="AO16">
        <v>2152</v>
      </c>
      <c r="AP16">
        <v>1924</v>
      </c>
      <c r="AQ16">
        <v>3114</v>
      </c>
      <c r="AR16">
        <v>1635</v>
      </c>
      <c r="AS16">
        <v>793</v>
      </c>
      <c r="AT16">
        <v>214</v>
      </c>
      <c r="AV16" t="s">
        <v>376</v>
      </c>
      <c r="AW16">
        <v>1688</v>
      </c>
      <c r="AX16">
        <v>92.986966824600003</v>
      </c>
      <c r="AY16">
        <v>2764</v>
      </c>
      <c r="AZ16">
        <v>762</v>
      </c>
      <c r="BA16">
        <v>2321</v>
      </c>
      <c r="BB16">
        <v>688</v>
      </c>
      <c r="BC16">
        <v>7</v>
      </c>
      <c r="BD16">
        <v>7</v>
      </c>
      <c r="BE16">
        <v>125</v>
      </c>
      <c r="BF16">
        <v>28</v>
      </c>
      <c r="BG16">
        <v>137</v>
      </c>
      <c r="BH16">
        <v>466</v>
      </c>
      <c r="BJ16" t="s">
        <v>560</v>
      </c>
      <c r="BK16" t="s">
        <v>391</v>
      </c>
      <c r="BL16">
        <v>7438</v>
      </c>
      <c r="BM16">
        <v>1854</v>
      </c>
      <c r="BN16">
        <v>99.501747781700004</v>
      </c>
      <c r="BO16">
        <v>13279</v>
      </c>
      <c r="BP16">
        <v>1230</v>
      </c>
      <c r="BQ16">
        <v>134.11552074700001</v>
      </c>
      <c r="BR16">
        <v>143.8227642276</v>
      </c>
      <c r="BS16">
        <v>7432</v>
      </c>
      <c r="BT16">
        <v>1937</v>
      </c>
      <c r="BU16">
        <v>102.2004843918</v>
      </c>
      <c r="BV16">
        <v>14685</v>
      </c>
      <c r="BW16">
        <v>1282</v>
      </c>
      <c r="BX16">
        <v>144.9949608444</v>
      </c>
      <c r="BY16">
        <v>152.56708268329999</v>
      </c>
      <c r="CA16" t="s">
        <v>386</v>
      </c>
      <c r="CB16" t="s">
        <v>768</v>
      </c>
      <c r="CD16">
        <v>62744</v>
      </c>
      <c r="CE16">
        <v>15038</v>
      </c>
      <c r="CF16">
        <v>90.657194313399998</v>
      </c>
      <c r="CG16">
        <v>96600</v>
      </c>
      <c r="CH16">
        <v>7777</v>
      </c>
      <c r="CI16">
        <v>131.46165472690001</v>
      </c>
      <c r="CJ16">
        <v>123.83271184260001</v>
      </c>
      <c r="CL16" t="s">
        <v>386</v>
      </c>
      <c r="CM16" t="s">
        <v>749</v>
      </c>
      <c r="CO16">
        <v>3737</v>
      </c>
      <c r="CP16">
        <v>396</v>
      </c>
      <c r="CQ16">
        <v>65.141557399000007</v>
      </c>
      <c r="CR16">
        <v>11415</v>
      </c>
      <c r="CS16">
        <v>970</v>
      </c>
      <c r="CT16">
        <v>67.217364639899998</v>
      </c>
      <c r="CU16">
        <v>73.230927835100005</v>
      </c>
      <c r="CW16" t="s">
        <v>386</v>
      </c>
      <c r="CX16" t="s">
        <v>759</v>
      </c>
      <c r="CZ16">
        <v>1903</v>
      </c>
      <c r="DA16">
        <v>500</v>
      </c>
      <c r="DB16">
        <v>85.437204414099995</v>
      </c>
      <c r="DC16">
        <v>1923</v>
      </c>
      <c r="DD16">
        <v>271</v>
      </c>
      <c r="DE16">
        <v>143.529901196</v>
      </c>
      <c r="DF16">
        <v>142.05166051660001</v>
      </c>
      <c r="DH16" t="s">
        <v>386</v>
      </c>
      <c r="DI16" t="s">
        <v>739</v>
      </c>
      <c r="DK16">
        <v>1924</v>
      </c>
      <c r="DL16">
        <v>404</v>
      </c>
      <c r="DM16">
        <v>76.781185031199996</v>
      </c>
      <c r="DN16">
        <v>2534</v>
      </c>
      <c r="DO16">
        <v>343</v>
      </c>
      <c r="DP16">
        <v>131.50986582479999</v>
      </c>
      <c r="DQ16">
        <v>126.7667638484</v>
      </c>
    </row>
    <row r="17" spans="2:121" x14ac:dyDescent="0.2">
      <c r="B17" t="s">
        <v>94</v>
      </c>
      <c r="C17">
        <v>320</v>
      </c>
      <c r="D17">
        <v>158</v>
      </c>
      <c r="F17" t="s">
        <v>70</v>
      </c>
      <c r="G17">
        <v>5300</v>
      </c>
      <c r="H17">
        <v>267.7564150943</v>
      </c>
      <c r="I17">
        <v>2335</v>
      </c>
      <c r="J17">
        <v>619</v>
      </c>
      <c r="K17">
        <v>10672</v>
      </c>
      <c r="L17">
        <v>6776</v>
      </c>
      <c r="M17">
        <v>1037</v>
      </c>
      <c r="N17">
        <v>624</v>
      </c>
      <c r="O17">
        <v>297</v>
      </c>
      <c r="P17">
        <v>123</v>
      </c>
      <c r="Q17">
        <v>0</v>
      </c>
      <c r="R17">
        <v>2</v>
      </c>
      <c r="T17" t="s">
        <v>405</v>
      </c>
      <c r="U17">
        <v>54409</v>
      </c>
      <c r="V17">
        <v>382.76196952710001</v>
      </c>
      <c r="W17">
        <v>58409</v>
      </c>
      <c r="X17">
        <v>13770</v>
      </c>
      <c r="Y17">
        <v>79769</v>
      </c>
      <c r="Z17">
        <v>55489</v>
      </c>
      <c r="AA17">
        <v>23879</v>
      </c>
      <c r="AB17">
        <v>19265</v>
      </c>
      <c r="AC17">
        <v>19630</v>
      </c>
      <c r="AD17">
        <v>14194</v>
      </c>
      <c r="AE17">
        <v>425</v>
      </c>
      <c r="AF17">
        <v>710</v>
      </c>
      <c r="AH17" t="s">
        <v>393</v>
      </c>
      <c r="AI17">
        <v>6419</v>
      </c>
      <c r="AJ17">
        <v>612.70400373890004</v>
      </c>
      <c r="AK17">
        <v>5147</v>
      </c>
      <c r="AL17">
        <v>1134</v>
      </c>
      <c r="AM17">
        <v>9627</v>
      </c>
      <c r="AN17">
        <v>7482</v>
      </c>
      <c r="AO17">
        <v>2068</v>
      </c>
      <c r="AP17">
        <v>1732</v>
      </c>
      <c r="AQ17">
        <v>2924</v>
      </c>
      <c r="AR17">
        <v>2055</v>
      </c>
      <c r="AS17">
        <v>598</v>
      </c>
      <c r="AT17">
        <v>207</v>
      </c>
      <c r="AV17" t="s">
        <v>400</v>
      </c>
      <c r="AW17">
        <v>186</v>
      </c>
      <c r="AX17">
        <v>54.693548387100002</v>
      </c>
      <c r="AY17">
        <v>269</v>
      </c>
      <c r="AZ17">
        <v>8</v>
      </c>
      <c r="BA17">
        <v>253</v>
      </c>
      <c r="BB17">
        <v>9</v>
      </c>
      <c r="BC17">
        <v>0</v>
      </c>
      <c r="BE17">
        <v>4</v>
      </c>
      <c r="BF17">
        <v>4</v>
      </c>
      <c r="BG17">
        <v>257</v>
      </c>
      <c r="BH17">
        <v>32</v>
      </c>
      <c r="BJ17" t="s">
        <v>577</v>
      </c>
      <c r="BK17" t="s">
        <v>391</v>
      </c>
      <c r="BL17">
        <v>2592</v>
      </c>
      <c r="BM17">
        <v>427</v>
      </c>
      <c r="BN17">
        <v>77.201388888899999</v>
      </c>
      <c r="BO17">
        <v>3677</v>
      </c>
      <c r="BP17">
        <v>254</v>
      </c>
      <c r="BQ17">
        <v>111.9382648899</v>
      </c>
      <c r="BR17">
        <v>133.33858267720001</v>
      </c>
      <c r="BS17">
        <v>3181</v>
      </c>
      <c r="BT17">
        <v>769</v>
      </c>
      <c r="BU17">
        <v>92.338572775900005</v>
      </c>
      <c r="BV17">
        <v>5152</v>
      </c>
      <c r="BW17">
        <v>358</v>
      </c>
      <c r="BX17">
        <v>129.1300465839</v>
      </c>
      <c r="BY17">
        <v>143.12569832400001</v>
      </c>
      <c r="CA17" t="s">
        <v>395</v>
      </c>
      <c r="CB17" t="s">
        <v>808</v>
      </c>
      <c r="CC17" t="s">
        <v>1003</v>
      </c>
      <c r="CD17">
        <v>6536</v>
      </c>
      <c r="CE17">
        <v>1955</v>
      </c>
      <c r="CF17">
        <v>102.7532129743</v>
      </c>
      <c r="CG17">
        <v>9865</v>
      </c>
      <c r="CH17">
        <v>874</v>
      </c>
      <c r="CI17">
        <v>146.56218955899999</v>
      </c>
      <c r="CJ17">
        <v>141.9016018307</v>
      </c>
      <c r="CL17" t="s">
        <v>395</v>
      </c>
      <c r="CM17" t="s">
        <v>783</v>
      </c>
      <c r="CN17" t="s">
        <v>782</v>
      </c>
      <c r="CO17">
        <v>671</v>
      </c>
      <c r="CP17">
        <v>127</v>
      </c>
      <c r="CQ17">
        <v>75.311475409799996</v>
      </c>
      <c r="CR17">
        <v>2068</v>
      </c>
      <c r="CS17">
        <v>178</v>
      </c>
      <c r="CT17">
        <v>73.889264990300006</v>
      </c>
      <c r="CU17">
        <v>91.870786516899997</v>
      </c>
      <c r="CW17" t="s">
        <v>395</v>
      </c>
      <c r="CX17" t="s">
        <v>796</v>
      </c>
      <c r="CY17" t="s">
        <v>795</v>
      </c>
      <c r="CZ17">
        <v>211</v>
      </c>
      <c r="DA17">
        <v>60</v>
      </c>
      <c r="DB17">
        <v>91.5687203791</v>
      </c>
      <c r="DC17">
        <v>230</v>
      </c>
      <c r="DD17">
        <v>42</v>
      </c>
      <c r="DE17">
        <v>151.4956521739</v>
      </c>
      <c r="DF17">
        <v>146.57142857139999</v>
      </c>
      <c r="DH17" t="s">
        <v>395</v>
      </c>
      <c r="DI17" t="s">
        <v>770</v>
      </c>
      <c r="DJ17" t="s">
        <v>769</v>
      </c>
      <c r="DK17">
        <v>175</v>
      </c>
      <c r="DL17">
        <v>46</v>
      </c>
      <c r="DM17">
        <v>84.5942857143</v>
      </c>
      <c r="DN17">
        <v>227</v>
      </c>
      <c r="DO17">
        <v>27</v>
      </c>
      <c r="DP17">
        <v>129.62114537439999</v>
      </c>
      <c r="DQ17">
        <v>115.2222222222</v>
      </c>
    </row>
    <row r="18" spans="2:121" x14ac:dyDescent="0.2">
      <c r="B18" t="s">
        <v>123</v>
      </c>
      <c r="C18">
        <v>42</v>
      </c>
      <c r="D18">
        <v>31</v>
      </c>
      <c r="F18" t="s">
        <v>83</v>
      </c>
      <c r="G18">
        <v>18310</v>
      </c>
      <c r="H18">
        <v>322.39961769519999</v>
      </c>
      <c r="I18">
        <v>18238</v>
      </c>
      <c r="J18">
        <v>4931</v>
      </c>
      <c r="K18">
        <v>29778</v>
      </c>
      <c r="L18">
        <v>19796</v>
      </c>
      <c r="M18">
        <v>12116</v>
      </c>
      <c r="N18">
        <v>8901</v>
      </c>
      <c r="O18">
        <v>3791</v>
      </c>
      <c r="P18">
        <v>2633</v>
      </c>
      <c r="Q18">
        <v>0</v>
      </c>
      <c r="R18">
        <v>19</v>
      </c>
      <c r="T18" t="s">
        <v>381</v>
      </c>
      <c r="U18">
        <v>62280</v>
      </c>
      <c r="V18">
        <v>349.74425176620002</v>
      </c>
      <c r="W18">
        <v>66530</v>
      </c>
      <c r="X18">
        <v>17840</v>
      </c>
      <c r="Y18">
        <v>85275</v>
      </c>
      <c r="Z18">
        <v>58452</v>
      </c>
      <c r="AA18">
        <v>26475</v>
      </c>
      <c r="AB18">
        <v>22429</v>
      </c>
      <c r="AC18">
        <v>29927</v>
      </c>
      <c r="AD18">
        <v>22076</v>
      </c>
      <c r="AE18">
        <v>187</v>
      </c>
      <c r="AF18">
        <v>1250</v>
      </c>
      <c r="AH18" t="s">
        <v>400</v>
      </c>
      <c r="AI18">
        <v>1184</v>
      </c>
      <c r="AJ18">
        <v>190.85726351349999</v>
      </c>
      <c r="AK18">
        <v>2710</v>
      </c>
      <c r="AL18">
        <v>476</v>
      </c>
      <c r="AM18">
        <v>1697</v>
      </c>
      <c r="AN18">
        <v>735</v>
      </c>
      <c r="AO18">
        <v>410</v>
      </c>
      <c r="AP18">
        <v>297</v>
      </c>
      <c r="AQ18">
        <v>471</v>
      </c>
      <c r="AR18">
        <v>281</v>
      </c>
      <c r="AS18">
        <v>2</v>
      </c>
      <c r="AT18">
        <v>6</v>
      </c>
      <c r="AV18" t="s">
        <v>429</v>
      </c>
      <c r="AW18">
        <v>25</v>
      </c>
      <c r="AX18">
        <v>56.36</v>
      </c>
      <c r="AY18">
        <v>28</v>
      </c>
      <c r="AZ18">
        <v>1</v>
      </c>
      <c r="BA18">
        <v>32</v>
      </c>
      <c r="BB18">
        <v>2</v>
      </c>
      <c r="BC18">
        <v>1</v>
      </c>
      <c r="BD18">
        <v>1</v>
      </c>
      <c r="BE18">
        <v>2</v>
      </c>
      <c r="BG18">
        <v>70</v>
      </c>
      <c r="BH18">
        <v>12</v>
      </c>
      <c r="BJ18" t="s">
        <v>570</v>
      </c>
      <c r="BK18" t="s">
        <v>391</v>
      </c>
      <c r="BL18">
        <v>7122</v>
      </c>
      <c r="BM18">
        <v>1782</v>
      </c>
      <c r="BN18">
        <v>97.099410277999993</v>
      </c>
      <c r="BO18">
        <v>9896</v>
      </c>
      <c r="BP18">
        <v>792</v>
      </c>
      <c r="BQ18">
        <v>143.17380759900001</v>
      </c>
      <c r="BR18">
        <v>128.13510101009999</v>
      </c>
      <c r="BS18">
        <v>2726</v>
      </c>
      <c r="BT18">
        <v>684</v>
      </c>
      <c r="BU18">
        <v>96.630961115199995</v>
      </c>
      <c r="BV18">
        <v>9943</v>
      </c>
      <c r="BW18">
        <v>900</v>
      </c>
      <c r="BX18">
        <v>140.173991753</v>
      </c>
      <c r="BY18">
        <v>122.1933333333</v>
      </c>
      <c r="CA18" t="s">
        <v>393</v>
      </c>
      <c r="CB18" t="s">
        <v>808</v>
      </c>
      <c r="CC18" t="s">
        <v>1004</v>
      </c>
      <c r="CD18">
        <v>4866</v>
      </c>
      <c r="CE18">
        <v>1048</v>
      </c>
      <c r="CF18">
        <v>86.702424989700006</v>
      </c>
      <c r="CG18">
        <v>7761</v>
      </c>
      <c r="CH18">
        <v>703</v>
      </c>
      <c r="CI18">
        <v>123.97886870249999</v>
      </c>
      <c r="CJ18">
        <v>113.7908961593</v>
      </c>
      <c r="CL18" t="s">
        <v>393</v>
      </c>
      <c r="CM18" t="s">
        <v>783</v>
      </c>
      <c r="CN18" t="s">
        <v>784</v>
      </c>
      <c r="CO18">
        <v>402</v>
      </c>
      <c r="CP18">
        <v>54</v>
      </c>
      <c r="CQ18">
        <v>71.009950248799996</v>
      </c>
      <c r="CR18">
        <v>1244</v>
      </c>
      <c r="CS18">
        <v>86</v>
      </c>
      <c r="CT18">
        <v>73.227491961400005</v>
      </c>
      <c r="CU18">
        <v>70.058139534899993</v>
      </c>
      <c r="CW18" t="s">
        <v>393</v>
      </c>
      <c r="CX18" t="s">
        <v>796</v>
      </c>
      <c r="CY18" t="s">
        <v>797</v>
      </c>
      <c r="CZ18">
        <v>102</v>
      </c>
      <c r="DA18">
        <v>26</v>
      </c>
      <c r="DB18">
        <v>90.578431372500006</v>
      </c>
      <c r="DC18">
        <v>114</v>
      </c>
      <c r="DD18">
        <v>16</v>
      </c>
      <c r="DE18">
        <v>146.9561403509</v>
      </c>
      <c r="DF18">
        <v>156.625</v>
      </c>
      <c r="DH18" t="s">
        <v>393</v>
      </c>
      <c r="DI18" t="s">
        <v>770</v>
      </c>
      <c r="DJ18" t="s">
        <v>771</v>
      </c>
      <c r="DK18">
        <v>81</v>
      </c>
      <c r="DL18">
        <v>32</v>
      </c>
      <c r="DM18">
        <v>102.4567901235</v>
      </c>
      <c r="DN18">
        <v>105</v>
      </c>
      <c r="DO18">
        <v>8</v>
      </c>
      <c r="DP18">
        <v>140.8571428571</v>
      </c>
      <c r="DQ18">
        <v>151.5</v>
      </c>
    </row>
    <row r="19" spans="2:121" x14ac:dyDescent="0.2">
      <c r="B19" t="s">
        <v>116</v>
      </c>
      <c r="C19">
        <v>17893</v>
      </c>
      <c r="D19">
        <v>3017</v>
      </c>
      <c r="F19" t="s">
        <v>68</v>
      </c>
      <c r="G19">
        <v>2948</v>
      </c>
      <c r="H19">
        <v>413.76356852100002</v>
      </c>
      <c r="I19">
        <v>3448</v>
      </c>
      <c r="J19">
        <v>837</v>
      </c>
      <c r="K19">
        <v>3624</v>
      </c>
      <c r="L19">
        <v>2503</v>
      </c>
      <c r="M19">
        <v>609</v>
      </c>
      <c r="N19">
        <v>495</v>
      </c>
      <c r="O19">
        <v>1172</v>
      </c>
      <c r="P19">
        <v>885</v>
      </c>
      <c r="Q19">
        <v>0</v>
      </c>
      <c r="R19">
        <v>121</v>
      </c>
      <c r="T19" t="s">
        <v>462</v>
      </c>
      <c r="U19">
        <v>291714</v>
      </c>
      <c r="V19">
        <v>391.22387681079999</v>
      </c>
      <c r="W19">
        <v>319271</v>
      </c>
      <c r="X19">
        <v>79676</v>
      </c>
      <c r="Y19">
        <v>424913</v>
      </c>
      <c r="Z19">
        <v>287150</v>
      </c>
      <c r="AA19">
        <v>123651</v>
      </c>
      <c r="AB19">
        <v>99341</v>
      </c>
      <c r="AC19">
        <v>161029</v>
      </c>
      <c r="AD19">
        <v>106203</v>
      </c>
      <c r="AE19">
        <v>20066</v>
      </c>
      <c r="AF19">
        <v>4152</v>
      </c>
      <c r="AH19" t="s">
        <v>423</v>
      </c>
      <c r="AI19">
        <v>1882</v>
      </c>
      <c r="AJ19">
        <v>235.86609989370001</v>
      </c>
      <c r="AK19">
        <v>2281</v>
      </c>
      <c r="AL19">
        <v>453</v>
      </c>
      <c r="AM19">
        <v>2825</v>
      </c>
      <c r="AN19">
        <v>1544</v>
      </c>
      <c r="AO19">
        <v>1017</v>
      </c>
      <c r="AP19">
        <v>593</v>
      </c>
      <c r="AQ19">
        <v>649</v>
      </c>
      <c r="AR19">
        <v>398</v>
      </c>
      <c r="AS19">
        <v>11</v>
      </c>
      <c r="AT19">
        <v>12</v>
      </c>
      <c r="AV19" t="s">
        <v>8</v>
      </c>
      <c r="AW19">
        <v>189</v>
      </c>
      <c r="AX19">
        <v>71.470899470899994</v>
      </c>
      <c r="AY19">
        <v>211</v>
      </c>
      <c r="AZ19">
        <v>104</v>
      </c>
      <c r="BA19">
        <v>379</v>
      </c>
      <c r="BB19">
        <v>157</v>
      </c>
      <c r="BC19">
        <v>11</v>
      </c>
      <c r="BD19">
        <v>10</v>
      </c>
      <c r="BE19">
        <v>11</v>
      </c>
      <c r="BF19">
        <v>2</v>
      </c>
      <c r="BG19">
        <v>36</v>
      </c>
      <c r="BH19">
        <v>26</v>
      </c>
      <c r="BJ19" t="s">
        <v>634</v>
      </c>
      <c r="BK19" t="s">
        <v>391</v>
      </c>
      <c r="BL19">
        <v>938</v>
      </c>
      <c r="BM19">
        <v>160</v>
      </c>
      <c r="BN19">
        <v>76.321961620500005</v>
      </c>
      <c r="BO19">
        <v>1507</v>
      </c>
      <c r="BP19">
        <v>130</v>
      </c>
      <c r="BQ19">
        <v>101.1718646317</v>
      </c>
      <c r="BR19">
        <v>94.146153846199994</v>
      </c>
      <c r="BS19">
        <v>1146</v>
      </c>
      <c r="BT19">
        <v>316</v>
      </c>
      <c r="BU19">
        <v>96.972076788799995</v>
      </c>
      <c r="BV19">
        <v>2114</v>
      </c>
      <c r="BW19">
        <v>177</v>
      </c>
      <c r="BX19">
        <v>133.38930936610001</v>
      </c>
      <c r="BY19">
        <v>121.3785310734</v>
      </c>
      <c r="CA19" t="s">
        <v>400</v>
      </c>
      <c r="CB19" t="s">
        <v>808</v>
      </c>
      <c r="CC19" t="s">
        <v>1005</v>
      </c>
      <c r="CD19">
        <v>2655</v>
      </c>
      <c r="CE19">
        <v>456</v>
      </c>
      <c r="CF19">
        <v>78.977401129900002</v>
      </c>
      <c r="CG19">
        <v>3824</v>
      </c>
      <c r="CH19">
        <v>274</v>
      </c>
      <c r="CI19">
        <v>111.0339958159</v>
      </c>
      <c r="CJ19">
        <v>132.67883211680001</v>
      </c>
      <c r="CL19" t="s">
        <v>400</v>
      </c>
      <c r="CM19" t="s">
        <v>783</v>
      </c>
      <c r="CN19" t="s">
        <v>785</v>
      </c>
      <c r="CO19">
        <v>225</v>
      </c>
      <c r="CP19">
        <v>12</v>
      </c>
      <c r="CQ19">
        <v>49.186666666699999</v>
      </c>
      <c r="CR19">
        <v>770</v>
      </c>
      <c r="CS19">
        <v>62</v>
      </c>
      <c r="CT19">
        <v>66.967532467500007</v>
      </c>
      <c r="CU19">
        <v>65.741935483899994</v>
      </c>
      <c r="CW19" t="s">
        <v>400</v>
      </c>
      <c r="CX19" t="s">
        <v>796</v>
      </c>
      <c r="CY19" t="s">
        <v>798</v>
      </c>
      <c r="CZ19">
        <v>41</v>
      </c>
      <c r="DA19">
        <v>10</v>
      </c>
      <c r="DB19">
        <v>86.317073170699999</v>
      </c>
      <c r="DC19">
        <v>63</v>
      </c>
      <c r="DD19">
        <v>10</v>
      </c>
      <c r="DE19">
        <v>142.44444444440001</v>
      </c>
      <c r="DF19">
        <v>139.30000000000001</v>
      </c>
      <c r="DH19" t="s">
        <v>400</v>
      </c>
      <c r="DI19" t="s">
        <v>770</v>
      </c>
      <c r="DJ19" t="s">
        <v>772</v>
      </c>
      <c r="DK19">
        <v>23</v>
      </c>
      <c r="DL19">
        <v>8</v>
      </c>
      <c r="DM19">
        <v>103</v>
      </c>
      <c r="DN19">
        <v>53</v>
      </c>
      <c r="DO19">
        <v>2</v>
      </c>
      <c r="DP19">
        <v>126.9245283019</v>
      </c>
      <c r="DQ19">
        <v>159.5</v>
      </c>
    </row>
    <row r="20" spans="2:121" x14ac:dyDescent="0.2">
      <c r="B20" t="s">
        <v>315</v>
      </c>
      <c r="C20">
        <v>1</v>
      </c>
      <c r="D20">
        <v>1</v>
      </c>
      <c r="F20" t="s">
        <v>74</v>
      </c>
      <c r="G20">
        <v>252</v>
      </c>
      <c r="H20">
        <v>107.93650793650001</v>
      </c>
      <c r="I20">
        <v>896</v>
      </c>
      <c r="J20">
        <v>199</v>
      </c>
      <c r="K20">
        <v>450</v>
      </c>
      <c r="L20">
        <v>92</v>
      </c>
      <c r="M20">
        <v>337</v>
      </c>
      <c r="N20">
        <v>126</v>
      </c>
      <c r="O20">
        <v>39</v>
      </c>
      <c r="P20">
        <v>14</v>
      </c>
      <c r="Q20">
        <v>0</v>
      </c>
      <c r="R20">
        <v>0</v>
      </c>
      <c r="AH20" t="s">
        <v>394</v>
      </c>
      <c r="AI20">
        <v>6428</v>
      </c>
      <c r="AJ20">
        <v>548.38892345989996</v>
      </c>
      <c r="AK20">
        <v>3410</v>
      </c>
      <c r="AL20">
        <v>694</v>
      </c>
      <c r="AM20">
        <v>9136</v>
      </c>
      <c r="AN20">
        <v>6576</v>
      </c>
      <c r="AO20">
        <v>2539</v>
      </c>
      <c r="AP20">
        <v>2177</v>
      </c>
      <c r="AQ20">
        <v>1834</v>
      </c>
      <c r="AR20">
        <v>1005</v>
      </c>
      <c r="AS20">
        <v>559</v>
      </c>
      <c r="AT20">
        <v>148</v>
      </c>
      <c r="AV20" t="s">
        <v>383</v>
      </c>
      <c r="AW20">
        <v>1726</v>
      </c>
      <c r="AX20">
        <v>84.731170336000005</v>
      </c>
      <c r="AY20">
        <v>1644</v>
      </c>
      <c r="AZ20">
        <v>387</v>
      </c>
      <c r="BA20">
        <v>2136</v>
      </c>
      <c r="BB20">
        <v>559</v>
      </c>
      <c r="BC20">
        <v>29</v>
      </c>
      <c r="BD20">
        <v>28</v>
      </c>
      <c r="BE20">
        <v>132</v>
      </c>
      <c r="BF20">
        <v>44</v>
      </c>
      <c r="BG20">
        <v>207</v>
      </c>
      <c r="BH20">
        <v>458</v>
      </c>
      <c r="BJ20" t="s">
        <v>562</v>
      </c>
      <c r="BK20" t="s">
        <v>391</v>
      </c>
      <c r="BL20">
        <v>4733</v>
      </c>
      <c r="BM20">
        <v>1027</v>
      </c>
      <c r="BN20">
        <v>87.277625184900003</v>
      </c>
      <c r="BO20">
        <v>7416</v>
      </c>
      <c r="BP20">
        <v>681</v>
      </c>
      <c r="BQ20">
        <v>127.01307982740001</v>
      </c>
      <c r="BR20">
        <v>115.1395007342</v>
      </c>
      <c r="BS20">
        <v>1513</v>
      </c>
      <c r="BT20">
        <v>404</v>
      </c>
      <c r="BU20">
        <v>92.923331130199998</v>
      </c>
      <c r="BV20">
        <v>8093</v>
      </c>
      <c r="BW20">
        <v>752</v>
      </c>
      <c r="BX20">
        <v>130.89435314470001</v>
      </c>
      <c r="BY20">
        <v>118.82446808509999</v>
      </c>
      <c r="CA20" t="s">
        <v>423</v>
      </c>
      <c r="CB20" t="s">
        <v>808</v>
      </c>
      <c r="CC20" t="s">
        <v>1006</v>
      </c>
      <c r="CD20">
        <v>2107</v>
      </c>
      <c r="CE20">
        <v>389</v>
      </c>
      <c r="CF20">
        <v>78.391077361200004</v>
      </c>
      <c r="CG20">
        <v>4557</v>
      </c>
      <c r="CH20">
        <v>388</v>
      </c>
      <c r="CI20">
        <v>123.1678736011</v>
      </c>
      <c r="CJ20">
        <v>109.6417525773</v>
      </c>
      <c r="CL20" t="s">
        <v>423</v>
      </c>
      <c r="CM20" t="s">
        <v>783</v>
      </c>
      <c r="CN20" t="s">
        <v>786</v>
      </c>
      <c r="CO20">
        <v>202</v>
      </c>
      <c r="CP20">
        <v>24</v>
      </c>
      <c r="CQ20">
        <v>66.539603960400001</v>
      </c>
      <c r="CR20">
        <v>654</v>
      </c>
      <c r="CS20">
        <v>42</v>
      </c>
      <c r="CT20">
        <v>67.577981651399995</v>
      </c>
      <c r="CU20">
        <v>66.166666666699996</v>
      </c>
      <c r="CW20" t="s">
        <v>423</v>
      </c>
      <c r="CX20" t="s">
        <v>796</v>
      </c>
      <c r="CY20" t="s">
        <v>799</v>
      </c>
      <c r="CZ20">
        <v>102</v>
      </c>
      <c r="DA20">
        <v>23</v>
      </c>
      <c r="DB20">
        <v>84.833333333300004</v>
      </c>
      <c r="DC20">
        <v>73</v>
      </c>
      <c r="DD20">
        <v>9</v>
      </c>
      <c r="DE20">
        <v>120.3561643836</v>
      </c>
      <c r="DF20">
        <v>125.7777777778</v>
      </c>
      <c r="DH20" t="s">
        <v>423</v>
      </c>
      <c r="DI20" t="s">
        <v>770</v>
      </c>
      <c r="DJ20" t="s">
        <v>773</v>
      </c>
      <c r="DK20">
        <v>143</v>
      </c>
      <c r="DL20">
        <v>28</v>
      </c>
      <c r="DM20">
        <v>72.440559440599998</v>
      </c>
      <c r="DN20">
        <v>178</v>
      </c>
      <c r="DO20">
        <v>22</v>
      </c>
      <c r="DP20">
        <v>125.7528089888</v>
      </c>
      <c r="DQ20">
        <v>129.04545454550001</v>
      </c>
    </row>
    <row r="21" spans="2:121" x14ac:dyDescent="0.2">
      <c r="B21" t="s">
        <v>109</v>
      </c>
      <c r="C21">
        <v>20118</v>
      </c>
      <c r="D21">
        <v>11811</v>
      </c>
      <c r="F21" t="s">
        <v>8</v>
      </c>
      <c r="G21">
        <v>59</v>
      </c>
      <c r="H21">
        <v>1061.8474576271001</v>
      </c>
      <c r="I21">
        <v>17</v>
      </c>
      <c r="J21">
        <v>6</v>
      </c>
      <c r="K21">
        <v>64</v>
      </c>
      <c r="L21">
        <v>58</v>
      </c>
      <c r="M21">
        <v>12</v>
      </c>
      <c r="N21">
        <v>9</v>
      </c>
      <c r="O21">
        <v>52622</v>
      </c>
      <c r="P21">
        <v>31260</v>
      </c>
      <c r="Q21">
        <v>0</v>
      </c>
      <c r="R21">
        <v>1</v>
      </c>
      <c r="AH21" t="s">
        <v>388</v>
      </c>
      <c r="AI21">
        <v>4760</v>
      </c>
      <c r="AJ21">
        <v>435.17899159659999</v>
      </c>
      <c r="AK21">
        <v>5892</v>
      </c>
      <c r="AL21">
        <v>1527</v>
      </c>
      <c r="AM21">
        <v>7398</v>
      </c>
      <c r="AN21">
        <v>4856</v>
      </c>
      <c r="AO21">
        <v>1730</v>
      </c>
      <c r="AP21">
        <v>1329</v>
      </c>
      <c r="AQ21">
        <v>2290</v>
      </c>
      <c r="AR21">
        <v>1537</v>
      </c>
      <c r="AS21">
        <v>251</v>
      </c>
      <c r="AT21">
        <v>257</v>
      </c>
      <c r="AV21" t="s">
        <v>377</v>
      </c>
      <c r="AW21">
        <v>368</v>
      </c>
      <c r="AX21">
        <v>91.782608695700006</v>
      </c>
      <c r="AY21">
        <v>596</v>
      </c>
      <c r="AZ21">
        <v>144</v>
      </c>
      <c r="BA21">
        <v>511</v>
      </c>
      <c r="BB21">
        <v>147</v>
      </c>
      <c r="BC21">
        <v>11</v>
      </c>
      <c r="BD21">
        <v>11</v>
      </c>
      <c r="BE21">
        <v>36</v>
      </c>
      <c r="BF21">
        <v>13</v>
      </c>
      <c r="BG21">
        <v>47</v>
      </c>
      <c r="BH21">
        <v>162</v>
      </c>
      <c r="BJ21" t="s">
        <v>579</v>
      </c>
      <c r="BK21" t="s">
        <v>391</v>
      </c>
      <c r="BL21">
        <v>2327</v>
      </c>
      <c r="BM21">
        <v>339</v>
      </c>
      <c r="BN21">
        <v>79.713794585299993</v>
      </c>
      <c r="BO21">
        <v>2770</v>
      </c>
      <c r="BP21">
        <v>188</v>
      </c>
      <c r="BQ21">
        <v>121.4355362947</v>
      </c>
      <c r="BR21">
        <v>139.7978723404</v>
      </c>
      <c r="BS21">
        <v>5216</v>
      </c>
      <c r="BT21">
        <v>1507</v>
      </c>
      <c r="BU21">
        <v>113.70820552150001</v>
      </c>
      <c r="BV21">
        <v>8128</v>
      </c>
      <c r="BW21">
        <v>618</v>
      </c>
      <c r="BX21">
        <v>149.54528673390001</v>
      </c>
      <c r="BY21">
        <v>177.24433656959999</v>
      </c>
      <c r="CA21" t="s">
        <v>396</v>
      </c>
      <c r="CB21" t="s">
        <v>808</v>
      </c>
      <c r="CC21" t="s">
        <v>1007</v>
      </c>
      <c r="CD21">
        <v>7189</v>
      </c>
      <c r="CE21">
        <v>1795</v>
      </c>
      <c r="CF21">
        <v>96.787870357499997</v>
      </c>
      <c r="CG21">
        <v>10256</v>
      </c>
      <c r="CH21">
        <v>813</v>
      </c>
      <c r="CI21">
        <v>141.19237519500001</v>
      </c>
      <c r="CJ21">
        <v>124.0307503075</v>
      </c>
      <c r="CL21" t="s">
        <v>396</v>
      </c>
      <c r="CM21" t="s">
        <v>783</v>
      </c>
      <c r="CN21" t="s">
        <v>787</v>
      </c>
      <c r="CO21">
        <v>768</v>
      </c>
      <c r="CP21">
        <v>114</v>
      </c>
      <c r="CQ21">
        <v>71.60546875</v>
      </c>
      <c r="CR21">
        <v>2309</v>
      </c>
      <c r="CS21">
        <v>191</v>
      </c>
      <c r="CT21">
        <v>72.139887397099997</v>
      </c>
      <c r="CU21">
        <v>71.450261780100007</v>
      </c>
      <c r="CW21" t="s">
        <v>396</v>
      </c>
      <c r="CX21" t="s">
        <v>796</v>
      </c>
      <c r="CY21" t="s">
        <v>800</v>
      </c>
      <c r="CZ21">
        <v>171</v>
      </c>
      <c r="DA21">
        <v>49</v>
      </c>
      <c r="DB21">
        <v>87.918128655000004</v>
      </c>
      <c r="DC21">
        <v>171</v>
      </c>
      <c r="DD21">
        <v>19</v>
      </c>
      <c r="DE21">
        <v>148.97076023389999</v>
      </c>
      <c r="DF21">
        <v>150.47368421050001</v>
      </c>
      <c r="DH21" t="s">
        <v>396</v>
      </c>
      <c r="DI21" t="s">
        <v>770</v>
      </c>
      <c r="DJ21" t="s">
        <v>774</v>
      </c>
      <c r="DK21">
        <v>107</v>
      </c>
      <c r="DL21">
        <v>26</v>
      </c>
      <c r="DM21">
        <v>83.542056074800001</v>
      </c>
      <c r="DN21">
        <v>156</v>
      </c>
      <c r="DO21">
        <v>14</v>
      </c>
      <c r="DP21">
        <v>129.641025641</v>
      </c>
      <c r="DQ21">
        <v>138.8571428571</v>
      </c>
    </row>
    <row r="22" spans="2:121" x14ac:dyDescent="0.2">
      <c r="B22" t="s">
        <v>1059</v>
      </c>
      <c r="C22">
        <v>1218</v>
      </c>
      <c r="D22">
        <v>671</v>
      </c>
      <c r="F22" t="s">
        <v>43</v>
      </c>
      <c r="G22">
        <v>80</v>
      </c>
      <c r="H22">
        <v>87.162499999999994</v>
      </c>
      <c r="I22">
        <v>881</v>
      </c>
      <c r="J22">
        <v>160</v>
      </c>
      <c r="K22">
        <v>211</v>
      </c>
      <c r="L22">
        <v>18</v>
      </c>
      <c r="M22">
        <v>101</v>
      </c>
      <c r="N22">
        <v>39</v>
      </c>
      <c r="O22">
        <v>73</v>
      </c>
      <c r="P22">
        <v>38</v>
      </c>
      <c r="Q22">
        <v>0</v>
      </c>
      <c r="R22">
        <v>1</v>
      </c>
      <c r="AH22" t="s">
        <v>417</v>
      </c>
      <c r="AI22">
        <v>1171</v>
      </c>
      <c r="AJ22">
        <v>312.20239111870001</v>
      </c>
      <c r="AK22">
        <v>1429</v>
      </c>
      <c r="AL22">
        <v>226</v>
      </c>
      <c r="AM22">
        <v>1966</v>
      </c>
      <c r="AN22">
        <v>1024</v>
      </c>
      <c r="AO22">
        <v>994</v>
      </c>
      <c r="AP22">
        <v>772</v>
      </c>
      <c r="AQ22">
        <v>387</v>
      </c>
      <c r="AR22">
        <v>243</v>
      </c>
      <c r="AS22">
        <v>344</v>
      </c>
      <c r="AT22">
        <v>2</v>
      </c>
      <c r="AV22" t="s">
        <v>423</v>
      </c>
      <c r="AW22">
        <v>136</v>
      </c>
      <c r="AX22">
        <v>52.036764705899998</v>
      </c>
      <c r="AY22">
        <v>195</v>
      </c>
      <c r="AZ22">
        <v>10</v>
      </c>
      <c r="BA22">
        <v>190</v>
      </c>
      <c r="BB22">
        <v>7</v>
      </c>
      <c r="BC22">
        <v>0</v>
      </c>
      <c r="BE22">
        <v>3</v>
      </c>
      <c r="BG22">
        <v>152</v>
      </c>
      <c r="BH22">
        <v>23</v>
      </c>
      <c r="BJ22" t="s">
        <v>391</v>
      </c>
      <c r="BK22" t="s">
        <v>391</v>
      </c>
      <c r="BL22">
        <v>50968</v>
      </c>
      <c r="BM22">
        <v>11516</v>
      </c>
      <c r="BN22">
        <v>89.409354889300005</v>
      </c>
      <c r="BO22">
        <v>80347</v>
      </c>
      <c r="BP22">
        <v>6889</v>
      </c>
      <c r="BQ22">
        <v>128.8162198492</v>
      </c>
      <c r="BR22">
        <v>125.7845841196</v>
      </c>
      <c r="BS22">
        <v>41331</v>
      </c>
      <c r="BT22">
        <v>10191</v>
      </c>
      <c r="BU22">
        <v>94.6893373013</v>
      </c>
      <c r="BV22">
        <v>90468</v>
      </c>
      <c r="BW22">
        <v>7581</v>
      </c>
      <c r="BX22">
        <v>136.5782393385</v>
      </c>
      <c r="BY22">
        <v>130.94459833799999</v>
      </c>
      <c r="CA22" t="s">
        <v>402</v>
      </c>
      <c r="CB22" t="s">
        <v>808</v>
      </c>
      <c r="CC22" t="s">
        <v>1008</v>
      </c>
      <c r="CD22">
        <v>4371</v>
      </c>
      <c r="CE22">
        <v>794</v>
      </c>
      <c r="CF22">
        <v>77.242278654800003</v>
      </c>
      <c r="CG22">
        <v>9459</v>
      </c>
      <c r="CH22">
        <v>854</v>
      </c>
      <c r="CI22">
        <v>109.76075695110001</v>
      </c>
      <c r="CJ22">
        <v>95.192037470700001</v>
      </c>
      <c r="CL22" t="s">
        <v>402</v>
      </c>
      <c r="CM22" t="s">
        <v>783</v>
      </c>
      <c r="CN22" t="s">
        <v>788</v>
      </c>
      <c r="CO22">
        <v>254</v>
      </c>
      <c r="CP22">
        <v>14</v>
      </c>
      <c r="CQ22">
        <v>58.484251968499997</v>
      </c>
      <c r="CR22">
        <v>914</v>
      </c>
      <c r="CS22">
        <v>68</v>
      </c>
      <c r="CT22">
        <v>65.841356673999996</v>
      </c>
      <c r="CU22">
        <v>76.088235294100002</v>
      </c>
      <c r="CW22" t="s">
        <v>402</v>
      </c>
      <c r="CX22" t="s">
        <v>796</v>
      </c>
      <c r="CY22" t="s">
        <v>801</v>
      </c>
      <c r="CZ22">
        <v>56</v>
      </c>
      <c r="DA22">
        <v>16</v>
      </c>
      <c r="DB22">
        <v>85.464285714300004</v>
      </c>
      <c r="DC22">
        <v>88</v>
      </c>
      <c r="DD22">
        <v>10</v>
      </c>
      <c r="DE22">
        <v>134.3181818182</v>
      </c>
      <c r="DF22">
        <v>140.19999999999999</v>
      </c>
      <c r="DH22" t="s">
        <v>402</v>
      </c>
      <c r="DI22" t="s">
        <v>770</v>
      </c>
      <c r="DJ22" t="s">
        <v>775</v>
      </c>
      <c r="DK22">
        <v>32</v>
      </c>
      <c r="DL22">
        <v>9</v>
      </c>
      <c r="DM22">
        <v>98.75</v>
      </c>
      <c r="DN22">
        <v>48</v>
      </c>
      <c r="DO22">
        <v>7</v>
      </c>
      <c r="DP22">
        <v>125.5833333333</v>
      </c>
      <c r="DQ22">
        <v>93.142857142899999</v>
      </c>
    </row>
    <row r="23" spans="2:121" x14ac:dyDescent="0.2">
      <c r="B23" t="s">
        <v>110</v>
      </c>
      <c r="C23">
        <v>1162</v>
      </c>
      <c r="D23">
        <v>307</v>
      </c>
      <c r="F23" t="s">
        <v>44</v>
      </c>
      <c r="G23">
        <v>1029</v>
      </c>
      <c r="H23">
        <v>308.31098153549999</v>
      </c>
      <c r="I23">
        <v>1741</v>
      </c>
      <c r="J23">
        <v>487</v>
      </c>
      <c r="K23">
        <v>2679</v>
      </c>
      <c r="L23">
        <v>1845</v>
      </c>
      <c r="M23">
        <v>509</v>
      </c>
      <c r="N23">
        <v>380</v>
      </c>
      <c r="O23">
        <v>827</v>
      </c>
      <c r="P23">
        <v>617</v>
      </c>
      <c r="Q23">
        <v>0</v>
      </c>
      <c r="R23">
        <v>6</v>
      </c>
      <c r="AH23" t="s">
        <v>377</v>
      </c>
      <c r="AI23">
        <v>8108</v>
      </c>
      <c r="AJ23">
        <v>665.4933399112</v>
      </c>
      <c r="AK23">
        <v>5437</v>
      </c>
      <c r="AL23">
        <v>1526</v>
      </c>
      <c r="AM23">
        <v>11217</v>
      </c>
      <c r="AN23">
        <v>8585</v>
      </c>
      <c r="AO23">
        <v>3374</v>
      </c>
      <c r="AP23">
        <v>2960</v>
      </c>
      <c r="AQ23">
        <v>2954</v>
      </c>
      <c r="AR23">
        <v>2011</v>
      </c>
      <c r="AS23">
        <v>406</v>
      </c>
      <c r="AT23">
        <v>6</v>
      </c>
      <c r="AV23" t="s">
        <v>404</v>
      </c>
      <c r="AW23">
        <v>167</v>
      </c>
      <c r="AX23">
        <v>46.305389221600002</v>
      </c>
      <c r="AY23">
        <v>225</v>
      </c>
      <c r="AZ23">
        <v>7</v>
      </c>
      <c r="BA23">
        <v>221</v>
      </c>
      <c r="BB23">
        <v>7</v>
      </c>
      <c r="BC23">
        <v>4</v>
      </c>
      <c r="BD23">
        <v>1</v>
      </c>
      <c r="BE23">
        <v>12</v>
      </c>
      <c r="BF23">
        <v>9</v>
      </c>
      <c r="BG23">
        <v>319</v>
      </c>
      <c r="BH23">
        <v>47</v>
      </c>
      <c r="BJ23" t="s">
        <v>572</v>
      </c>
      <c r="BK23" t="s">
        <v>391</v>
      </c>
      <c r="BL23">
        <v>4142</v>
      </c>
      <c r="BM23">
        <v>755</v>
      </c>
      <c r="BN23">
        <v>78.973442781299994</v>
      </c>
      <c r="BO23">
        <v>6271</v>
      </c>
      <c r="BP23">
        <v>608</v>
      </c>
      <c r="BQ23">
        <v>122.8537713283</v>
      </c>
      <c r="BR23">
        <v>123.2582236842</v>
      </c>
      <c r="BS23">
        <v>4229</v>
      </c>
      <c r="BT23">
        <v>875</v>
      </c>
      <c r="BU23">
        <v>85.649562544299997</v>
      </c>
      <c r="BV23">
        <v>7361</v>
      </c>
      <c r="BW23">
        <v>654</v>
      </c>
      <c r="BX23">
        <v>142.37549246029999</v>
      </c>
      <c r="BY23">
        <v>137.33639143729999</v>
      </c>
      <c r="CA23" t="s">
        <v>398</v>
      </c>
      <c r="CB23" t="s">
        <v>808</v>
      </c>
      <c r="CC23" t="s">
        <v>1009</v>
      </c>
      <c r="CD23">
        <v>5879</v>
      </c>
      <c r="CE23">
        <v>1395</v>
      </c>
      <c r="CF23">
        <v>86.2078584793</v>
      </c>
      <c r="CG23">
        <v>9247</v>
      </c>
      <c r="CH23">
        <v>779</v>
      </c>
      <c r="CI23">
        <v>117.5959770736</v>
      </c>
      <c r="CJ23">
        <v>117.3106546855</v>
      </c>
      <c r="CL23" t="s">
        <v>398</v>
      </c>
      <c r="CM23" t="s">
        <v>783</v>
      </c>
      <c r="CN23" t="s">
        <v>789</v>
      </c>
      <c r="CO23">
        <v>508</v>
      </c>
      <c r="CP23">
        <v>77</v>
      </c>
      <c r="CQ23">
        <v>70.316929133900004</v>
      </c>
      <c r="CR23">
        <v>1598</v>
      </c>
      <c r="CS23">
        <v>127</v>
      </c>
      <c r="CT23">
        <v>70.801001251599999</v>
      </c>
      <c r="CU23">
        <v>72.031496063000006</v>
      </c>
      <c r="CW23" t="s">
        <v>398</v>
      </c>
      <c r="CX23" t="s">
        <v>796</v>
      </c>
      <c r="CY23" t="s">
        <v>802</v>
      </c>
      <c r="CZ23">
        <v>170</v>
      </c>
      <c r="DA23">
        <v>36</v>
      </c>
      <c r="DB23">
        <v>75.976470588200002</v>
      </c>
      <c r="DC23">
        <v>204</v>
      </c>
      <c r="DD23">
        <v>20</v>
      </c>
      <c r="DE23">
        <v>135.8725490196</v>
      </c>
      <c r="DF23">
        <v>132.1</v>
      </c>
      <c r="DH23" t="s">
        <v>398</v>
      </c>
      <c r="DI23" t="s">
        <v>770</v>
      </c>
      <c r="DJ23" t="s">
        <v>776</v>
      </c>
      <c r="DK23">
        <v>146</v>
      </c>
      <c r="DL23">
        <v>25</v>
      </c>
      <c r="DM23">
        <v>73.397260274000004</v>
      </c>
      <c r="DN23">
        <v>188</v>
      </c>
      <c r="DO23">
        <v>22</v>
      </c>
      <c r="DP23">
        <v>137.27659574469999</v>
      </c>
      <c r="DQ23">
        <v>137.45454545449999</v>
      </c>
    </row>
    <row r="24" spans="2:121" x14ac:dyDescent="0.2">
      <c r="B24" t="s">
        <v>104</v>
      </c>
      <c r="C24">
        <v>36738</v>
      </c>
      <c r="D24">
        <v>26262</v>
      </c>
      <c r="F24" t="s">
        <v>79</v>
      </c>
      <c r="G24">
        <v>11374</v>
      </c>
      <c r="H24">
        <v>351.69984174429999</v>
      </c>
      <c r="I24">
        <v>16791</v>
      </c>
      <c r="J24">
        <v>3631</v>
      </c>
      <c r="K24">
        <v>13598</v>
      </c>
      <c r="L24">
        <v>8888</v>
      </c>
      <c r="M24">
        <v>3366</v>
      </c>
      <c r="N24">
        <v>2198</v>
      </c>
      <c r="O24">
        <v>6042</v>
      </c>
      <c r="P24">
        <v>2023</v>
      </c>
      <c r="Q24">
        <v>4</v>
      </c>
      <c r="R24">
        <v>195</v>
      </c>
      <c r="T24" t="s">
        <v>648</v>
      </c>
      <c r="U24" t="s">
        <v>306</v>
      </c>
      <c r="V24" t="s">
        <v>133</v>
      </c>
      <c r="W24" t="s">
        <v>214</v>
      </c>
      <c r="X24" t="s">
        <v>215</v>
      </c>
      <c r="Y24" t="s">
        <v>216</v>
      </c>
      <c r="Z24" t="s">
        <v>217</v>
      </c>
      <c r="AA24" t="s">
        <v>218</v>
      </c>
      <c r="AB24" t="s">
        <v>219</v>
      </c>
      <c r="AC24" t="s">
        <v>220</v>
      </c>
      <c r="AD24" t="s">
        <v>221</v>
      </c>
      <c r="AE24" t="s">
        <v>222</v>
      </c>
      <c r="AF24" t="s">
        <v>223</v>
      </c>
      <c r="AH24" t="s">
        <v>372</v>
      </c>
      <c r="AI24">
        <v>4315</v>
      </c>
      <c r="AJ24">
        <v>733.64843568950005</v>
      </c>
      <c r="AK24">
        <v>4574</v>
      </c>
      <c r="AL24">
        <v>1100</v>
      </c>
      <c r="AM24">
        <v>6411</v>
      </c>
      <c r="AN24">
        <v>4871</v>
      </c>
      <c r="AO24">
        <v>2998</v>
      </c>
      <c r="AP24">
        <v>2476</v>
      </c>
      <c r="AQ24">
        <v>1358</v>
      </c>
      <c r="AR24">
        <v>993</v>
      </c>
      <c r="AS24">
        <v>716</v>
      </c>
      <c r="AT24">
        <v>11</v>
      </c>
      <c r="AV24" t="s">
        <v>398</v>
      </c>
      <c r="AW24">
        <v>676</v>
      </c>
      <c r="AX24">
        <v>50.329881656799998</v>
      </c>
      <c r="AY24">
        <v>635</v>
      </c>
      <c r="AZ24">
        <v>81</v>
      </c>
      <c r="BA24">
        <v>857</v>
      </c>
      <c r="BB24">
        <v>44</v>
      </c>
      <c r="BC24">
        <v>3</v>
      </c>
      <c r="BD24">
        <v>1</v>
      </c>
      <c r="BE24">
        <v>31</v>
      </c>
      <c r="BF24">
        <v>7</v>
      </c>
      <c r="BG24">
        <v>113</v>
      </c>
      <c r="BH24">
        <v>61</v>
      </c>
      <c r="BJ24" t="s">
        <v>636</v>
      </c>
      <c r="BK24" t="s">
        <v>391</v>
      </c>
      <c r="BL24">
        <v>961</v>
      </c>
      <c r="BM24">
        <v>199</v>
      </c>
      <c r="BN24">
        <v>79.429760666000007</v>
      </c>
      <c r="BO24">
        <v>1382</v>
      </c>
      <c r="BP24">
        <v>95</v>
      </c>
      <c r="BQ24">
        <v>104.7163531114</v>
      </c>
      <c r="BR24">
        <v>86.210526315799996</v>
      </c>
      <c r="BS24">
        <v>1531</v>
      </c>
      <c r="BT24">
        <v>544</v>
      </c>
      <c r="BU24">
        <v>108.00457217500001</v>
      </c>
      <c r="BV24">
        <v>2483</v>
      </c>
      <c r="BW24">
        <v>174</v>
      </c>
      <c r="BX24">
        <v>139.53443415219999</v>
      </c>
      <c r="BY24">
        <v>117.1666666667</v>
      </c>
      <c r="CA24" t="s">
        <v>401</v>
      </c>
      <c r="CB24" t="s">
        <v>808</v>
      </c>
      <c r="CC24" t="s">
        <v>1010</v>
      </c>
      <c r="CD24">
        <v>2275</v>
      </c>
      <c r="CE24">
        <v>325</v>
      </c>
      <c r="CF24">
        <v>78.939780219799999</v>
      </c>
      <c r="CG24">
        <v>2897</v>
      </c>
      <c r="CH24">
        <v>196</v>
      </c>
      <c r="CI24">
        <v>118.3394337017</v>
      </c>
      <c r="CJ24">
        <v>133.55612244899999</v>
      </c>
      <c r="CL24" t="s">
        <v>401</v>
      </c>
      <c r="CM24" t="s">
        <v>783</v>
      </c>
      <c r="CN24" t="s">
        <v>790</v>
      </c>
      <c r="CO24">
        <v>74</v>
      </c>
      <c r="CP24">
        <v>11</v>
      </c>
      <c r="CQ24">
        <v>83.972972972999997</v>
      </c>
      <c r="CR24">
        <v>283</v>
      </c>
      <c r="CS24">
        <v>27</v>
      </c>
      <c r="CT24">
        <v>67.628975264999994</v>
      </c>
      <c r="CU24">
        <v>76.7037037037</v>
      </c>
      <c r="CW24" t="s">
        <v>401</v>
      </c>
      <c r="CX24" t="s">
        <v>796</v>
      </c>
      <c r="CY24" t="s">
        <v>803</v>
      </c>
      <c r="CZ24">
        <v>48</v>
      </c>
      <c r="DA24">
        <v>12</v>
      </c>
      <c r="DB24">
        <v>95.166666666699996</v>
      </c>
      <c r="DC24">
        <v>47</v>
      </c>
      <c r="DD24">
        <v>7</v>
      </c>
      <c r="DE24">
        <v>125.19148936169999</v>
      </c>
      <c r="DF24">
        <v>134.57142857139999</v>
      </c>
      <c r="DH24" t="s">
        <v>401</v>
      </c>
      <c r="DI24" t="s">
        <v>770</v>
      </c>
      <c r="DJ24" t="s">
        <v>777</v>
      </c>
      <c r="DK24">
        <v>76</v>
      </c>
      <c r="DL24">
        <v>18</v>
      </c>
      <c r="DM24">
        <v>84.736842105299999</v>
      </c>
      <c r="DN24">
        <v>91</v>
      </c>
      <c r="DO24">
        <v>15</v>
      </c>
      <c r="DP24">
        <v>120.6153846154</v>
      </c>
      <c r="DQ24">
        <v>145.13333333329999</v>
      </c>
    </row>
    <row r="25" spans="2:121" x14ac:dyDescent="0.2">
      <c r="B25" t="s">
        <v>103</v>
      </c>
      <c r="C25">
        <v>40</v>
      </c>
      <c r="D25">
        <v>38</v>
      </c>
      <c r="F25" t="s">
        <v>35</v>
      </c>
      <c r="G25">
        <v>4215</v>
      </c>
      <c r="H25">
        <v>621.90581257409997</v>
      </c>
      <c r="I25">
        <v>3590</v>
      </c>
      <c r="J25">
        <v>869</v>
      </c>
      <c r="K25">
        <v>5738</v>
      </c>
      <c r="L25">
        <v>4431</v>
      </c>
      <c r="M25">
        <v>2739</v>
      </c>
      <c r="N25">
        <v>2209</v>
      </c>
      <c r="O25">
        <v>688</v>
      </c>
      <c r="P25">
        <v>577</v>
      </c>
      <c r="Q25">
        <v>0</v>
      </c>
      <c r="R25">
        <v>1</v>
      </c>
      <c r="T25" t="s">
        <v>386</v>
      </c>
      <c r="U25">
        <v>53989</v>
      </c>
      <c r="V25">
        <v>374.03350682550001</v>
      </c>
      <c r="W25">
        <v>65642</v>
      </c>
      <c r="X25">
        <v>15618</v>
      </c>
      <c r="Y25">
        <v>76327</v>
      </c>
      <c r="Z25">
        <v>50599</v>
      </c>
      <c r="AA25">
        <v>18607</v>
      </c>
      <c r="AB25">
        <v>14010</v>
      </c>
      <c r="AC25">
        <v>27835</v>
      </c>
      <c r="AD25">
        <v>16169</v>
      </c>
      <c r="AE25">
        <v>965</v>
      </c>
      <c r="AF25">
        <v>1078</v>
      </c>
      <c r="AH25" t="s">
        <v>396</v>
      </c>
      <c r="AI25">
        <v>3634</v>
      </c>
      <c r="AJ25">
        <v>304.3156301596</v>
      </c>
      <c r="AK25">
        <v>7391</v>
      </c>
      <c r="AL25">
        <v>1912</v>
      </c>
      <c r="AM25">
        <v>6648</v>
      </c>
      <c r="AN25">
        <v>4254</v>
      </c>
      <c r="AO25">
        <v>1250</v>
      </c>
      <c r="AP25">
        <v>948</v>
      </c>
      <c r="AQ25">
        <v>2123</v>
      </c>
      <c r="AR25">
        <v>1238</v>
      </c>
      <c r="AS25">
        <v>849</v>
      </c>
      <c r="AT25">
        <v>199</v>
      </c>
      <c r="AV25" t="s">
        <v>408</v>
      </c>
      <c r="AW25">
        <v>1057</v>
      </c>
      <c r="AX25">
        <v>49.815515610200002</v>
      </c>
      <c r="AY25">
        <v>1569</v>
      </c>
      <c r="AZ25">
        <v>82</v>
      </c>
      <c r="BA25">
        <v>1402</v>
      </c>
      <c r="BB25">
        <v>52</v>
      </c>
      <c r="BC25">
        <v>13</v>
      </c>
      <c r="BD25">
        <v>6</v>
      </c>
      <c r="BE25">
        <v>64</v>
      </c>
      <c r="BF25">
        <v>29</v>
      </c>
      <c r="BG25">
        <v>1274</v>
      </c>
      <c r="BH25">
        <v>295</v>
      </c>
      <c r="BJ25" t="s">
        <v>575</v>
      </c>
      <c r="BK25" t="s">
        <v>391</v>
      </c>
      <c r="BL25">
        <v>5761</v>
      </c>
      <c r="BM25">
        <v>1406</v>
      </c>
      <c r="BN25">
        <v>86.681305328899995</v>
      </c>
      <c r="BO25">
        <v>8596</v>
      </c>
      <c r="BP25">
        <v>738</v>
      </c>
      <c r="BQ25">
        <v>119.94520707309999</v>
      </c>
      <c r="BR25">
        <v>124.039295393</v>
      </c>
      <c r="BS25">
        <v>5823</v>
      </c>
      <c r="BT25">
        <v>1482</v>
      </c>
      <c r="BU25">
        <v>89.192512450600006</v>
      </c>
      <c r="BV25">
        <v>9831</v>
      </c>
      <c r="BW25">
        <v>777</v>
      </c>
      <c r="BX25">
        <v>125.42579595159999</v>
      </c>
      <c r="BY25">
        <v>129.7683397683</v>
      </c>
      <c r="CA25" t="s">
        <v>420</v>
      </c>
      <c r="CB25" t="s">
        <v>808</v>
      </c>
      <c r="CC25" t="s">
        <v>1011</v>
      </c>
      <c r="CD25">
        <v>665</v>
      </c>
      <c r="CE25">
        <v>124</v>
      </c>
      <c r="CF25">
        <v>78.739849624100003</v>
      </c>
      <c r="CG25">
        <v>1133</v>
      </c>
      <c r="CH25">
        <v>95</v>
      </c>
      <c r="CI25">
        <v>99.40070609</v>
      </c>
      <c r="CJ25">
        <v>100.9578947368</v>
      </c>
      <c r="CL25" t="s">
        <v>420</v>
      </c>
      <c r="CM25" t="s">
        <v>783</v>
      </c>
      <c r="CN25" t="s">
        <v>791</v>
      </c>
      <c r="CO25">
        <v>33</v>
      </c>
      <c r="CP25">
        <v>2</v>
      </c>
      <c r="CQ25">
        <v>65.333333333300004</v>
      </c>
      <c r="CR25">
        <v>116</v>
      </c>
      <c r="CS25">
        <v>6</v>
      </c>
      <c r="CT25">
        <v>58.508620689700003</v>
      </c>
      <c r="CU25">
        <v>63.333333333299997</v>
      </c>
      <c r="CW25" t="s">
        <v>420</v>
      </c>
      <c r="CX25" t="s">
        <v>796</v>
      </c>
      <c r="CY25" t="s">
        <v>804</v>
      </c>
      <c r="CZ25">
        <v>17</v>
      </c>
      <c r="DA25">
        <v>5</v>
      </c>
      <c r="DB25">
        <v>94.176470588200004</v>
      </c>
      <c r="DC25">
        <v>21</v>
      </c>
      <c r="DD25">
        <v>2</v>
      </c>
      <c r="DE25">
        <v>106.2857142857</v>
      </c>
      <c r="DF25">
        <v>139</v>
      </c>
      <c r="DH25" t="s">
        <v>420</v>
      </c>
      <c r="DI25" t="s">
        <v>770</v>
      </c>
      <c r="DJ25" t="s">
        <v>778</v>
      </c>
      <c r="DK25">
        <v>3</v>
      </c>
      <c r="DL25">
        <v>0</v>
      </c>
      <c r="DM25">
        <v>39.333333333299997</v>
      </c>
      <c r="DN25">
        <v>7</v>
      </c>
      <c r="DO25">
        <v>1</v>
      </c>
      <c r="DP25">
        <v>121.7142857143</v>
      </c>
      <c r="DQ25">
        <v>192</v>
      </c>
    </row>
    <row r="26" spans="2:121" x14ac:dyDescent="0.2">
      <c r="B26" t="s">
        <v>106</v>
      </c>
      <c r="C26">
        <v>62545</v>
      </c>
      <c r="D26">
        <v>35627</v>
      </c>
      <c r="F26" t="s">
        <v>39</v>
      </c>
      <c r="G26">
        <v>9001</v>
      </c>
      <c r="H26">
        <v>296.67070325520001</v>
      </c>
      <c r="I26">
        <v>8674</v>
      </c>
      <c r="J26">
        <v>2411</v>
      </c>
      <c r="K26">
        <v>14610</v>
      </c>
      <c r="L26">
        <v>10019</v>
      </c>
      <c r="M26">
        <v>2865</v>
      </c>
      <c r="N26">
        <v>2405</v>
      </c>
      <c r="O26">
        <v>1434</v>
      </c>
      <c r="P26">
        <v>583</v>
      </c>
      <c r="Q26">
        <v>1</v>
      </c>
      <c r="R26">
        <v>55</v>
      </c>
      <c r="T26" t="s">
        <v>391</v>
      </c>
      <c r="U26">
        <v>37166</v>
      </c>
      <c r="V26">
        <v>383.10749071729998</v>
      </c>
      <c r="W26">
        <v>50341</v>
      </c>
      <c r="X26">
        <v>11661</v>
      </c>
      <c r="Y26">
        <v>58787</v>
      </c>
      <c r="Z26">
        <v>36272</v>
      </c>
      <c r="AA26">
        <v>13768</v>
      </c>
      <c r="AB26">
        <v>10702</v>
      </c>
      <c r="AC26">
        <v>22935</v>
      </c>
      <c r="AD26">
        <v>15008</v>
      </c>
      <c r="AE26">
        <v>4336</v>
      </c>
      <c r="AF26">
        <v>1042</v>
      </c>
      <c r="AH26" t="s">
        <v>402</v>
      </c>
      <c r="AI26">
        <v>1592</v>
      </c>
      <c r="AJ26">
        <v>185.39384422110001</v>
      </c>
      <c r="AK26">
        <v>4281</v>
      </c>
      <c r="AL26">
        <v>812</v>
      </c>
      <c r="AM26">
        <v>2820</v>
      </c>
      <c r="AN26">
        <v>1130</v>
      </c>
      <c r="AO26">
        <v>755</v>
      </c>
      <c r="AP26">
        <v>310</v>
      </c>
      <c r="AQ26">
        <v>1122</v>
      </c>
      <c r="AR26">
        <v>677</v>
      </c>
      <c r="AS26">
        <v>6</v>
      </c>
      <c r="AT26">
        <v>4</v>
      </c>
      <c r="AV26" t="s">
        <v>375</v>
      </c>
      <c r="AW26">
        <v>470</v>
      </c>
      <c r="AX26">
        <v>101.61489361700001</v>
      </c>
      <c r="AY26">
        <v>776</v>
      </c>
      <c r="AZ26">
        <v>211</v>
      </c>
      <c r="BA26">
        <v>593</v>
      </c>
      <c r="BB26">
        <v>209</v>
      </c>
      <c r="BC26">
        <v>4</v>
      </c>
      <c r="BD26">
        <v>3</v>
      </c>
      <c r="BE26">
        <v>39</v>
      </c>
      <c r="BF26">
        <v>11</v>
      </c>
      <c r="BG26">
        <v>53</v>
      </c>
      <c r="BH26">
        <v>194</v>
      </c>
      <c r="BJ26" t="s">
        <v>581</v>
      </c>
      <c r="BK26" t="s">
        <v>391</v>
      </c>
      <c r="BL26">
        <v>6489</v>
      </c>
      <c r="BM26">
        <v>1244</v>
      </c>
      <c r="BN26">
        <v>80.967483433500007</v>
      </c>
      <c r="BO26">
        <v>11954</v>
      </c>
      <c r="BP26">
        <v>977</v>
      </c>
      <c r="BQ26">
        <v>116.9836874686</v>
      </c>
      <c r="BR26">
        <v>101.76458546569999</v>
      </c>
      <c r="BS26">
        <v>2516</v>
      </c>
      <c r="BT26">
        <v>640</v>
      </c>
      <c r="BU26">
        <v>94.329888712200002</v>
      </c>
      <c r="BV26">
        <v>14072</v>
      </c>
      <c r="BW26">
        <v>1167</v>
      </c>
      <c r="BX26">
        <v>130.5171262081</v>
      </c>
      <c r="BY26">
        <v>107.33247643529999</v>
      </c>
      <c r="CA26" t="s">
        <v>392</v>
      </c>
      <c r="CB26" t="s">
        <v>808</v>
      </c>
      <c r="CC26" t="s">
        <v>1012</v>
      </c>
      <c r="CD26">
        <v>7660</v>
      </c>
      <c r="CE26">
        <v>1900</v>
      </c>
      <c r="CF26">
        <v>99.028198433399993</v>
      </c>
      <c r="CG26">
        <v>13780</v>
      </c>
      <c r="CH26">
        <v>1296</v>
      </c>
      <c r="CI26">
        <v>131.22002902759999</v>
      </c>
      <c r="CJ26">
        <v>139.2060185185</v>
      </c>
      <c r="CL26" t="s">
        <v>392</v>
      </c>
      <c r="CM26" t="s">
        <v>783</v>
      </c>
      <c r="CN26" t="s">
        <v>792</v>
      </c>
      <c r="CO26">
        <v>788</v>
      </c>
      <c r="CP26">
        <v>122</v>
      </c>
      <c r="CQ26">
        <v>75.059644670099999</v>
      </c>
      <c r="CR26">
        <v>2629</v>
      </c>
      <c r="CS26">
        <v>211</v>
      </c>
      <c r="CT26">
        <v>71.460631418800006</v>
      </c>
      <c r="CU26">
        <v>68.540284360200005</v>
      </c>
      <c r="CW26" t="s">
        <v>392</v>
      </c>
      <c r="CX26" t="s">
        <v>796</v>
      </c>
      <c r="CY26" t="s">
        <v>805</v>
      </c>
      <c r="CZ26">
        <v>226</v>
      </c>
      <c r="DA26">
        <v>63</v>
      </c>
      <c r="DB26">
        <v>90.893805309699999</v>
      </c>
      <c r="DC26">
        <v>258</v>
      </c>
      <c r="DD26">
        <v>35</v>
      </c>
      <c r="DE26">
        <v>147.4728682171</v>
      </c>
      <c r="DF26">
        <v>146.25714285710001</v>
      </c>
      <c r="DH26" t="s">
        <v>392</v>
      </c>
      <c r="DI26" t="s">
        <v>770</v>
      </c>
      <c r="DJ26" t="s">
        <v>779</v>
      </c>
      <c r="DK26">
        <v>138</v>
      </c>
      <c r="DL26">
        <v>33</v>
      </c>
      <c r="DM26">
        <v>79.572463768099993</v>
      </c>
      <c r="DN26">
        <v>194</v>
      </c>
      <c r="DO26">
        <v>17</v>
      </c>
      <c r="DP26">
        <v>141.4896907216</v>
      </c>
      <c r="DQ26">
        <v>162.5294117647</v>
      </c>
    </row>
    <row r="27" spans="2:121" x14ac:dyDescent="0.2">
      <c r="B27" t="s">
        <v>88</v>
      </c>
      <c r="C27">
        <v>76415</v>
      </c>
      <c r="D27">
        <v>20868</v>
      </c>
      <c r="F27" t="s">
        <v>55</v>
      </c>
      <c r="G27">
        <v>741</v>
      </c>
      <c r="H27">
        <v>189.07692307689999</v>
      </c>
      <c r="I27">
        <v>841</v>
      </c>
      <c r="J27">
        <v>238</v>
      </c>
      <c r="K27">
        <v>875</v>
      </c>
      <c r="L27">
        <v>510</v>
      </c>
      <c r="M27">
        <v>264</v>
      </c>
      <c r="N27">
        <v>237</v>
      </c>
      <c r="O27">
        <v>773</v>
      </c>
      <c r="P27">
        <v>455</v>
      </c>
      <c r="Q27">
        <v>418</v>
      </c>
      <c r="R27">
        <v>158</v>
      </c>
      <c r="T27" t="s">
        <v>370</v>
      </c>
      <c r="U27">
        <v>67648</v>
      </c>
      <c r="V27">
        <v>427.01812322609999</v>
      </c>
      <c r="W27">
        <v>70159</v>
      </c>
      <c r="X27">
        <v>18093</v>
      </c>
      <c r="Y27">
        <v>97991</v>
      </c>
      <c r="Z27">
        <v>67381</v>
      </c>
      <c r="AA27">
        <v>36316</v>
      </c>
      <c r="AB27">
        <v>29968</v>
      </c>
      <c r="AC27">
        <v>35586</v>
      </c>
      <c r="AD27">
        <v>23870</v>
      </c>
      <c r="AE27">
        <v>8464</v>
      </c>
      <c r="AF27">
        <v>137</v>
      </c>
      <c r="AH27" t="s">
        <v>390</v>
      </c>
      <c r="AI27">
        <v>4233</v>
      </c>
      <c r="AJ27">
        <v>404.89369241669999</v>
      </c>
      <c r="AK27">
        <v>4347</v>
      </c>
      <c r="AL27">
        <v>1488</v>
      </c>
      <c r="AM27">
        <v>6349</v>
      </c>
      <c r="AN27">
        <v>4764</v>
      </c>
      <c r="AO27">
        <v>1444</v>
      </c>
      <c r="AP27">
        <v>1183</v>
      </c>
      <c r="AQ27">
        <v>2662</v>
      </c>
      <c r="AR27">
        <v>1984</v>
      </c>
      <c r="AS27">
        <v>323</v>
      </c>
      <c r="AT27">
        <v>163</v>
      </c>
      <c r="AV27" t="s">
        <v>80</v>
      </c>
      <c r="AW27">
        <v>210</v>
      </c>
      <c r="AX27">
        <v>47.880952381</v>
      </c>
      <c r="AY27">
        <v>391</v>
      </c>
      <c r="AZ27">
        <v>28</v>
      </c>
      <c r="BA27">
        <v>317</v>
      </c>
      <c r="BB27">
        <v>33</v>
      </c>
      <c r="BC27">
        <v>2</v>
      </c>
      <c r="BE27">
        <v>15</v>
      </c>
      <c r="BF27">
        <v>8</v>
      </c>
      <c r="BG27">
        <v>393</v>
      </c>
      <c r="BH27">
        <v>70</v>
      </c>
      <c r="BJ27" t="s">
        <v>640</v>
      </c>
      <c r="BK27" t="s">
        <v>391</v>
      </c>
      <c r="BL27">
        <v>2157</v>
      </c>
      <c r="BM27">
        <v>396</v>
      </c>
      <c r="BN27">
        <v>79.878535002299998</v>
      </c>
      <c r="BO27">
        <v>4288</v>
      </c>
      <c r="BP27">
        <v>370</v>
      </c>
      <c r="BQ27">
        <v>131.87290111940001</v>
      </c>
      <c r="BR27">
        <v>112.172972973</v>
      </c>
      <c r="BS27">
        <v>1896</v>
      </c>
      <c r="BT27">
        <v>213</v>
      </c>
      <c r="BU27">
        <v>69.302215189899997</v>
      </c>
      <c r="BV27">
        <v>3158</v>
      </c>
      <c r="BW27">
        <v>290</v>
      </c>
      <c r="BX27">
        <v>138.86447118429999</v>
      </c>
      <c r="BY27">
        <v>99.989655172400006</v>
      </c>
      <c r="CA27" t="s">
        <v>421</v>
      </c>
      <c r="CB27" t="s">
        <v>808</v>
      </c>
      <c r="CC27" t="s">
        <v>1013</v>
      </c>
      <c r="CD27">
        <v>994</v>
      </c>
      <c r="CE27">
        <v>201</v>
      </c>
      <c r="CF27">
        <v>79.060362173000001</v>
      </c>
      <c r="CG27">
        <v>1486</v>
      </c>
      <c r="CH27">
        <v>99</v>
      </c>
      <c r="CI27">
        <v>107.2254374159</v>
      </c>
      <c r="CJ27">
        <v>88.313131313100001</v>
      </c>
      <c r="CL27" t="s">
        <v>421</v>
      </c>
      <c r="CM27" t="s">
        <v>783</v>
      </c>
      <c r="CN27" t="s">
        <v>793</v>
      </c>
      <c r="CO27">
        <v>47</v>
      </c>
      <c r="CP27">
        <v>3</v>
      </c>
      <c r="CQ27">
        <v>51.574468085100001</v>
      </c>
      <c r="CR27">
        <v>191</v>
      </c>
      <c r="CS27">
        <v>13</v>
      </c>
      <c r="CT27">
        <v>65.073298429299996</v>
      </c>
      <c r="CU27">
        <v>70.846153846199996</v>
      </c>
      <c r="CW27" t="s">
        <v>421</v>
      </c>
      <c r="CX27" t="s">
        <v>796</v>
      </c>
      <c r="CY27" t="s">
        <v>806</v>
      </c>
      <c r="CZ27">
        <v>12</v>
      </c>
      <c r="DA27">
        <v>4</v>
      </c>
      <c r="DB27">
        <v>93.833333333300004</v>
      </c>
      <c r="DC27">
        <v>16</v>
      </c>
      <c r="DD27">
        <v>2</v>
      </c>
      <c r="DE27">
        <v>148</v>
      </c>
      <c r="DF27">
        <v>96</v>
      </c>
      <c r="DH27" t="s">
        <v>421</v>
      </c>
      <c r="DI27" t="s">
        <v>770</v>
      </c>
      <c r="DJ27" t="s">
        <v>780</v>
      </c>
      <c r="DK27">
        <v>5</v>
      </c>
      <c r="DL27">
        <v>0</v>
      </c>
      <c r="DM27">
        <v>71.8</v>
      </c>
      <c r="DN27">
        <v>18</v>
      </c>
      <c r="DO27">
        <v>3</v>
      </c>
      <c r="DP27">
        <v>154.7222222222</v>
      </c>
      <c r="DQ27">
        <v>135</v>
      </c>
    </row>
    <row r="28" spans="2:121" x14ac:dyDescent="0.2">
      <c r="B28" t="s">
        <v>96</v>
      </c>
      <c r="C28">
        <v>116890</v>
      </c>
      <c r="D28">
        <v>68864</v>
      </c>
      <c r="F28" t="s">
        <v>69</v>
      </c>
      <c r="G28">
        <v>16372</v>
      </c>
      <c r="H28">
        <v>412.18440019550002</v>
      </c>
      <c r="I28">
        <v>11369</v>
      </c>
      <c r="J28">
        <v>2963</v>
      </c>
      <c r="K28">
        <v>19008</v>
      </c>
      <c r="L28">
        <v>13040</v>
      </c>
      <c r="M28">
        <v>8890</v>
      </c>
      <c r="N28">
        <v>8149</v>
      </c>
      <c r="O28">
        <v>4482</v>
      </c>
      <c r="P28">
        <v>3842</v>
      </c>
      <c r="Q28">
        <v>5</v>
      </c>
      <c r="R28">
        <v>5</v>
      </c>
      <c r="T28" t="s">
        <v>8</v>
      </c>
      <c r="U28">
        <v>3834</v>
      </c>
      <c r="V28">
        <v>377.52243088159997</v>
      </c>
      <c r="W28">
        <v>4323</v>
      </c>
      <c r="X28">
        <v>1913</v>
      </c>
      <c r="Y28">
        <v>5256</v>
      </c>
      <c r="Z28">
        <v>3788</v>
      </c>
      <c r="AA28">
        <v>1476</v>
      </c>
      <c r="AB28">
        <v>1043</v>
      </c>
      <c r="AC28">
        <v>1654</v>
      </c>
      <c r="AD28">
        <v>1040</v>
      </c>
      <c r="AE28">
        <v>458</v>
      </c>
      <c r="AF28">
        <v>152</v>
      </c>
      <c r="AH28" t="s">
        <v>398</v>
      </c>
      <c r="AI28">
        <v>4773</v>
      </c>
      <c r="AJ28">
        <v>256.84202807460002</v>
      </c>
      <c r="AK28">
        <v>6196</v>
      </c>
      <c r="AL28">
        <v>1426</v>
      </c>
      <c r="AM28">
        <v>7058</v>
      </c>
      <c r="AN28">
        <v>4016</v>
      </c>
      <c r="AO28">
        <v>2299</v>
      </c>
      <c r="AP28">
        <v>1965</v>
      </c>
      <c r="AQ28">
        <v>6816</v>
      </c>
      <c r="AR28">
        <v>5084</v>
      </c>
      <c r="AS28">
        <v>753</v>
      </c>
      <c r="AT28">
        <v>55</v>
      </c>
      <c r="AV28" t="s">
        <v>382</v>
      </c>
      <c r="AW28">
        <v>1417</v>
      </c>
      <c r="AX28">
        <v>97.627381792500003</v>
      </c>
      <c r="AY28">
        <v>1786</v>
      </c>
      <c r="AZ28">
        <v>429</v>
      </c>
      <c r="BA28">
        <v>1768</v>
      </c>
      <c r="BB28">
        <v>564</v>
      </c>
      <c r="BC28">
        <v>11</v>
      </c>
      <c r="BD28">
        <v>10</v>
      </c>
      <c r="BE28">
        <v>120</v>
      </c>
      <c r="BF28">
        <v>31</v>
      </c>
      <c r="BG28">
        <v>162</v>
      </c>
      <c r="BH28">
        <v>492</v>
      </c>
      <c r="BJ28" t="s">
        <v>534</v>
      </c>
      <c r="BK28" t="s">
        <v>370</v>
      </c>
      <c r="BL28">
        <v>4559</v>
      </c>
      <c r="BM28">
        <v>1303</v>
      </c>
      <c r="BN28">
        <v>105.3818819917</v>
      </c>
      <c r="BO28">
        <v>6458</v>
      </c>
      <c r="BP28">
        <v>465</v>
      </c>
      <c r="BQ28">
        <v>145.42341644730001</v>
      </c>
      <c r="BR28">
        <v>143.1204301075</v>
      </c>
      <c r="BS28">
        <v>1090</v>
      </c>
      <c r="BT28">
        <v>352</v>
      </c>
      <c r="BU28">
        <v>111.6743119266</v>
      </c>
      <c r="BV28">
        <v>4033</v>
      </c>
      <c r="BW28">
        <v>223</v>
      </c>
      <c r="BX28">
        <v>134.71825396829999</v>
      </c>
      <c r="BY28">
        <v>144.86547085199999</v>
      </c>
      <c r="CA28" t="s">
        <v>397</v>
      </c>
      <c r="CB28" t="s">
        <v>808</v>
      </c>
      <c r="CC28" t="s">
        <v>1014</v>
      </c>
      <c r="CD28">
        <v>3753</v>
      </c>
      <c r="CE28">
        <v>718</v>
      </c>
      <c r="CF28">
        <v>81.529443112199999</v>
      </c>
      <c r="CG28">
        <v>6062</v>
      </c>
      <c r="CH28">
        <v>563</v>
      </c>
      <c r="CI28">
        <v>119.11085450349999</v>
      </c>
      <c r="CJ28">
        <v>123.7637655417</v>
      </c>
      <c r="CL28" t="s">
        <v>397</v>
      </c>
      <c r="CM28" t="s">
        <v>783</v>
      </c>
      <c r="CN28" t="s">
        <v>794</v>
      </c>
      <c r="CO28">
        <v>295</v>
      </c>
      <c r="CP28">
        <v>34</v>
      </c>
      <c r="CQ28">
        <v>62.8847457627</v>
      </c>
      <c r="CR28">
        <v>967</v>
      </c>
      <c r="CS28">
        <v>61</v>
      </c>
      <c r="CT28">
        <v>59.1168562565</v>
      </c>
      <c r="CU28">
        <v>64.016393442600005</v>
      </c>
      <c r="CW28" t="s">
        <v>397</v>
      </c>
      <c r="CX28" t="s">
        <v>796</v>
      </c>
      <c r="CY28" t="s">
        <v>807</v>
      </c>
      <c r="CZ28">
        <v>81</v>
      </c>
      <c r="DA28">
        <v>18</v>
      </c>
      <c r="DB28">
        <v>77.1604938272</v>
      </c>
      <c r="DC28">
        <v>106</v>
      </c>
      <c r="DD28">
        <v>14</v>
      </c>
      <c r="DE28">
        <v>141.42452830190001</v>
      </c>
      <c r="DF28">
        <v>143.3571428571</v>
      </c>
      <c r="DH28" t="s">
        <v>397</v>
      </c>
      <c r="DI28" t="s">
        <v>770</v>
      </c>
      <c r="DJ28" t="s">
        <v>781</v>
      </c>
      <c r="DK28">
        <v>46</v>
      </c>
      <c r="DL28">
        <v>10</v>
      </c>
      <c r="DM28">
        <v>81.739130434800003</v>
      </c>
      <c r="DN28">
        <v>75</v>
      </c>
      <c r="DO28">
        <v>5</v>
      </c>
      <c r="DP28">
        <v>129.91999999999999</v>
      </c>
      <c r="DQ28">
        <v>149.80000000000001</v>
      </c>
    </row>
    <row r="29" spans="2:121" x14ac:dyDescent="0.2">
      <c r="B29" t="s">
        <v>20</v>
      </c>
      <c r="C29">
        <v>289</v>
      </c>
      <c r="D29">
        <v>160</v>
      </c>
      <c r="F29" t="s">
        <v>41</v>
      </c>
      <c r="G29">
        <v>888</v>
      </c>
      <c r="H29">
        <v>117.9583333333</v>
      </c>
      <c r="I29">
        <v>2523</v>
      </c>
      <c r="J29">
        <v>423</v>
      </c>
      <c r="K29">
        <v>1282</v>
      </c>
      <c r="L29">
        <v>423</v>
      </c>
      <c r="M29">
        <v>336</v>
      </c>
      <c r="N29">
        <v>250</v>
      </c>
      <c r="O29">
        <v>215</v>
      </c>
      <c r="P29">
        <v>96</v>
      </c>
      <c r="Q29">
        <v>0</v>
      </c>
      <c r="R29">
        <v>4</v>
      </c>
      <c r="T29" t="s">
        <v>405</v>
      </c>
      <c r="U29">
        <v>59468</v>
      </c>
      <c r="V29">
        <v>390.83902266770002</v>
      </c>
      <c r="W29">
        <v>57946</v>
      </c>
      <c r="X29">
        <v>13726</v>
      </c>
      <c r="Y29">
        <v>86125</v>
      </c>
      <c r="Z29">
        <v>61318</v>
      </c>
      <c r="AA29">
        <v>23519</v>
      </c>
      <c r="AB29">
        <v>18845</v>
      </c>
      <c r="AC29">
        <v>30235</v>
      </c>
      <c r="AD29">
        <v>20033</v>
      </c>
      <c r="AE29">
        <v>100</v>
      </c>
      <c r="AF29">
        <v>581</v>
      </c>
      <c r="AH29" t="s">
        <v>419</v>
      </c>
      <c r="AI29">
        <v>682</v>
      </c>
      <c r="AJ29">
        <v>261.82697947209999</v>
      </c>
      <c r="AK29">
        <v>740</v>
      </c>
      <c r="AL29">
        <v>73</v>
      </c>
      <c r="AM29">
        <v>1092</v>
      </c>
      <c r="AN29">
        <v>594</v>
      </c>
      <c r="AO29">
        <v>452</v>
      </c>
      <c r="AP29">
        <v>279</v>
      </c>
      <c r="AQ29">
        <v>342</v>
      </c>
      <c r="AR29">
        <v>179</v>
      </c>
      <c r="AS29">
        <v>1</v>
      </c>
      <c r="AT29">
        <v>6</v>
      </c>
      <c r="AV29" t="s">
        <v>419</v>
      </c>
      <c r="AW29">
        <v>42</v>
      </c>
      <c r="AX29">
        <v>36.785714285700003</v>
      </c>
      <c r="AY29">
        <v>73</v>
      </c>
      <c r="AZ29">
        <v>5</v>
      </c>
      <c r="BA29">
        <v>52</v>
      </c>
      <c r="BB29">
        <v>1</v>
      </c>
      <c r="BC29">
        <v>0</v>
      </c>
      <c r="BE29">
        <v>1</v>
      </c>
      <c r="BG29">
        <v>127</v>
      </c>
      <c r="BH29">
        <v>9</v>
      </c>
      <c r="BJ29" t="s">
        <v>513</v>
      </c>
      <c r="BK29" t="s">
        <v>370</v>
      </c>
      <c r="BL29">
        <v>3800</v>
      </c>
      <c r="BM29">
        <v>881</v>
      </c>
      <c r="BN29">
        <v>92.038157894700007</v>
      </c>
      <c r="BO29">
        <v>4735</v>
      </c>
      <c r="BP29">
        <v>355</v>
      </c>
      <c r="BQ29">
        <v>135.87539598730001</v>
      </c>
      <c r="BR29">
        <v>147.52394366199999</v>
      </c>
      <c r="BS29">
        <v>3422</v>
      </c>
      <c r="BT29">
        <v>797</v>
      </c>
      <c r="BU29">
        <v>89.532437171200002</v>
      </c>
      <c r="BV29">
        <v>4398</v>
      </c>
      <c r="BW29">
        <v>326</v>
      </c>
      <c r="BX29">
        <v>127.0286493861</v>
      </c>
      <c r="BY29">
        <v>142.96932515340001</v>
      </c>
      <c r="CA29" t="s">
        <v>391</v>
      </c>
      <c r="CB29" t="s">
        <v>808</v>
      </c>
      <c r="CD29">
        <v>48950</v>
      </c>
      <c r="CE29">
        <v>11100</v>
      </c>
      <c r="CF29">
        <v>89.553953013300003</v>
      </c>
      <c r="CG29">
        <v>80327</v>
      </c>
      <c r="CH29">
        <v>6934</v>
      </c>
      <c r="CI29">
        <v>125.89377038569999</v>
      </c>
      <c r="CJ29">
        <v>122.73276608019999</v>
      </c>
      <c r="CL29" t="s">
        <v>391</v>
      </c>
      <c r="CM29" t="s">
        <v>783</v>
      </c>
      <c r="CO29">
        <v>4267</v>
      </c>
      <c r="CP29">
        <v>594</v>
      </c>
      <c r="CQ29">
        <v>69.756034684799999</v>
      </c>
      <c r="CR29">
        <v>13743</v>
      </c>
      <c r="CS29">
        <v>1072</v>
      </c>
      <c r="CT29">
        <v>70.0676708142</v>
      </c>
      <c r="CU29">
        <v>73.638992537299998</v>
      </c>
      <c r="CW29" t="s">
        <v>391</v>
      </c>
      <c r="CX29" t="s">
        <v>796</v>
      </c>
      <c r="CZ29">
        <v>1237</v>
      </c>
      <c r="DA29">
        <v>322</v>
      </c>
      <c r="DB29">
        <v>86.964430072799999</v>
      </c>
      <c r="DC29">
        <v>1391</v>
      </c>
      <c r="DD29">
        <v>186</v>
      </c>
      <c r="DE29">
        <v>142.26599568660001</v>
      </c>
      <c r="DF29">
        <v>143.1612903226</v>
      </c>
      <c r="DH29" t="s">
        <v>391</v>
      </c>
      <c r="DI29" t="s">
        <v>770</v>
      </c>
      <c r="DK29">
        <v>975</v>
      </c>
      <c r="DL29">
        <v>235</v>
      </c>
      <c r="DM29">
        <v>82.363076923099996</v>
      </c>
      <c r="DN29">
        <v>1340</v>
      </c>
      <c r="DO29">
        <v>143</v>
      </c>
      <c r="DP29">
        <v>132.23208955219999</v>
      </c>
      <c r="DQ29">
        <v>135.57342657340001</v>
      </c>
    </row>
    <row r="30" spans="2:121" x14ac:dyDescent="0.2">
      <c r="B30" t="s">
        <v>22</v>
      </c>
      <c r="C30">
        <v>193741</v>
      </c>
      <c r="D30">
        <v>42406</v>
      </c>
      <c r="F30" t="s">
        <v>45</v>
      </c>
      <c r="G30">
        <v>1514</v>
      </c>
      <c r="H30">
        <v>263.40422721269999</v>
      </c>
      <c r="I30">
        <v>2001</v>
      </c>
      <c r="J30">
        <v>380</v>
      </c>
      <c r="K30">
        <v>1847</v>
      </c>
      <c r="L30">
        <v>1251</v>
      </c>
      <c r="M30">
        <v>992</v>
      </c>
      <c r="N30">
        <v>611</v>
      </c>
      <c r="O30">
        <v>314</v>
      </c>
      <c r="P30">
        <v>98</v>
      </c>
      <c r="Q30">
        <v>0</v>
      </c>
      <c r="R30">
        <v>1</v>
      </c>
      <c r="T30" t="s">
        <v>381</v>
      </c>
      <c r="U30">
        <v>69609</v>
      </c>
      <c r="V30">
        <v>375.18792110219999</v>
      </c>
      <c r="W30">
        <v>70860</v>
      </c>
      <c r="X30">
        <v>18665</v>
      </c>
      <c r="Y30">
        <v>100427</v>
      </c>
      <c r="Z30">
        <v>67792</v>
      </c>
      <c r="AA30">
        <v>29965</v>
      </c>
      <c r="AB30">
        <v>24773</v>
      </c>
      <c r="AC30">
        <v>42784</v>
      </c>
      <c r="AD30">
        <v>30083</v>
      </c>
      <c r="AE30">
        <v>5743</v>
      </c>
      <c r="AF30">
        <v>1162</v>
      </c>
      <c r="AH30" t="s">
        <v>401</v>
      </c>
      <c r="AI30">
        <v>1157</v>
      </c>
      <c r="AJ30">
        <v>223.14261019880001</v>
      </c>
      <c r="AK30">
        <v>2257</v>
      </c>
      <c r="AL30">
        <v>350</v>
      </c>
      <c r="AM30">
        <v>1989</v>
      </c>
      <c r="AN30">
        <v>1017</v>
      </c>
      <c r="AO30">
        <v>798</v>
      </c>
      <c r="AP30">
        <v>595</v>
      </c>
      <c r="AQ30">
        <v>594</v>
      </c>
      <c r="AR30">
        <v>336</v>
      </c>
      <c r="AS30">
        <v>2</v>
      </c>
      <c r="AT30">
        <v>13</v>
      </c>
      <c r="AV30" t="s">
        <v>385</v>
      </c>
      <c r="AW30">
        <v>732</v>
      </c>
      <c r="AX30">
        <v>54.827868852500004</v>
      </c>
      <c r="AY30">
        <v>692</v>
      </c>
      <c r="AZ30">
        <v>78</v>
      </c>
      <c r="BA30">
        <v>895</v>
      </c>
      <c r="BB30">
        <v>70</v>
      </c>
      <c r="BC30">
        <v>1</v>
      </c>
      <c r="BD30">
        <v>1</v>
      </c>
      <c r="BE30">
        <v>66</v>
      </c>
      <c r="BF30">
        <v>13</v>
      </c>
      <c r="BG30">
        <v>138</v>
      </c>
      <c r="BH30">
        <v>72</v>
      </c>
      <c r="BJ30" t="s">
        <v>521</v>
      </c>
      <c r="BK30" t="s">
        <v>370</v>
      </c>
      <c r="BL30">
        <v>3864</v>
      </c>
      <c r="BM30">
        <v>703</v>
      </c>
      <c r="BN30">
        <v>86.262681159400003</v>
      </c>
      <c r="BO30">
        <v>5594</v>
      </c>
      <c r="BP30">
        <v>412</v>
      </c>
      <c r="BQ30">
        <v>144.52466928850001</v>
      </c>
      <c r="BR30">
        <v>133.7233009709</v>
      </c>
      <c r="BS30">
        <v>3525</v>
      </c>
      <c r="BT30">
        <v>453</v>
      </c>
      <c r="BU30">
        <v>77.102411347499995</v>
      </c>
      <c r="BV30">
        <v>4351</v>
      </c>
      <c r="BW30">
        <v>334</v>
      </c>
      <c r="BX30">
        <v>139.86807630429999</v>
      </c>
      <c r="BY30">
        <v>127.4431137725</v>
      </c>
      <c r="CA30" t="s">
        <v>374</v>
      </c>
      <c r="CB30" t="s">
        <v>857</v>
      </c>
      <c r="CC30" t="s">
        <v>980</v>
      </c>
      <c r="CD30">
        <v>1801</v>
      </c>
      <c r="CE30">
        <v>457</v>
      </c>
      <c r="CF30">
        <v>91.6907273737</v>
      </c>
      <c r="CG30">
        <v>2931</v>
      </c>
      <c r="CH30">
        <v>353</v>
      </c>
      <c r="CI30">
        <v>114.9297168202</v>
      </c>
      <c r="CJ30">
        <v>99.439093484400004</v>
      </c>
      <c r="CL30" t="s">
        <v>374</v>
      </c>
      <c r="CM30" t="s">
        <v>826</v>
      </c>
      <c r="CN30" t="s">
        <v>825</v>
      </c>
      <c r="CO30">
        <v>215</v>
      </c>
      <c r="CP30">
        <v>35</v>
      </c>
      <c r="CQ30">
        <v>73.4604651163</v>
      </c>
      <c r="CR30">
        <v>389</v>
      </c>
      <c r="CS30">
        <v>33</v>
      </c>
      <c r="CT30">
        <v>90.614395886899999</v>
      </c>
      <c r="CU30">
        <v>96.848484848499993</v>
      </c>
      <c r="CW30" t="s">
        <v>374</v>
      </c>
      <c r="CX30" t="s">
        <v>842</v>
      </c>
      <c r="CY30" t="s">
        <v>841</v>
      </c>
      <c r="CZ30">
        <v>49</v>
      </c>
      <c r="DA30">
        <v>16</v>
      </c>
      <c r="DB30">
        <v>85</v>
      </c>
      <c r="DC30">
        <v>60</v>
      </c>
      <c r="DD30">
        <v>7</v>
      </c>
      <c r="DE30">
        <v>140.44999999999999</v>
      </c>
      <c r="DF30">
        <v>155.71428571429999</v>
      </c>
      <c r="DH30" t="s">
        <v>374</v>
      </c>
      <c r="DI30" t="s">
        <v>810</v>
      </c>
      <c r="DJ30" t="s">
        <v>809</v>
      </c>
      <c r="DK30">
        <v>50</v>
      </c>
      <c r="DL30">
        <v>14</v>
      </c>
      <c r="DM30">
        <v>87.26</v>
      </c>
      <c r="DN30">
        <v>72</v>
      </c>
      <c r="DO30">
        <v>8</v>
      </c>
      <c r="DP30">
        <v>144.625</v>
      </c>
      <c r="DQ30">
        <v>135.875</v>
      </c>
    </row>
    <row r="31" spans="2:121" x14ac:dyDescent="0.2">
      <c r="B31" t="s">
        <v>157</v>
      </c>
      <c r="C31">
        <v>3881</v>
      </c>
      <c r="D31">
        <v>3679</v>
      </c>
      <c r="F31" t="s">
        <v>73</v>
      </c>
      <c r="G31">
        <v>10946</v>
      </c>
      <c r="H31">
        <v>384.03846153849997</v>
      </c>
      <c r="I31">
        <v>7261</v>
      </c>
      <c r="J31">
        <v>1311</v>
      </c>
      <c r="K31">
        <v>15915</v>
      </c>
      <c r="L31">
        <v>11342</v>
      </c>
      <c r="M31">
        <v>4743</v>
      </c>
      <c r="N31">
        <v>3669</v>
      </c>
      <c r="O31">
        <v>4296</v>
      </c>
      <c r="P31">
        <v>3541</v>
      </c>
      <c r="Q31">
        <v>2</v>
      </c>
      <c r="R31">
        <v>149</v>
      </c>
      <c r="T31" t="s">
        <v>462</v>
      </c>
      <c r="U31">
        <v>291714</v>
      </c>
      <c r="V31">
        <v>391.22387681079999</v>
      </c>
      <c r="W31">
        <v>319271</v>
      </c>
      <c r="X31">
        <v>79676</v>
      </c>
      <c r="Y31">
        <v>424913</v>
      </c>
      <c r="Z31">
        <v>287150</v>
      </c>
      <c r="AA31">
        <v>123651</v>
      </c>
      <c r="AB31">
        <v>99341</v>
      </c>
      <c r="AC31">
        <v>161029</v>
      </c>
      <c r="AD31">
        <v>106203</v>
      </c>
      <c r="AE31">
        <v>20066</v>
      </c>
      <c r="AF31">
        <v>4152</v>
      </c>
      <c r="AH31" t="s">
        <v>414</v>
      </c>
      <c r="AI31">
        <v>3523</v>
      </c>
      <c r="AJ31">
        <v>408.19954584160001</v>
      </c>
      <c r="AK31">
        <v>3711</v>
      </c>
      <c r="AL31">
        <v>914</v>
      </c>
      <c r="AM31">
        <v>4856</v>
      </c>
      <c r="AN31">
        <v>3298</v>
      </c>
      <c r="AO31">
        <v>1024</v>
      </c>
      <c r="AP31">
        <v>827</v>
      </c>
      <c r="AQ31">
        <v>1925</v>
      </c>
      <c r="AR31">
        <v>1370</v>
      </c>
      <c r="AS31">
        <v>6</v>
      </c>
      <c r="AT31">
        <v>122</v>
      </c>
      <c r="AV31" t="s">
        <v>406</v>
      </c>
      <c r="AW31">
        <v>68</v>
      </c>
      <c r="AX31">
        <v>50.661764705899998</v>
      </c>
      <c r="AY31">
        <v>135</v>
      </c>
      <c r="AZ31">
        <v>5</v>
      </c>
      <c r="BA31">
        <v>96</v>
      </c>
      <c r="BB31">
        <v>3</v>
      </c>
      <c r="BC31">
        <v>0</v>
      </c>
      <c r="BE31">
        <v>6</v>
      </c>
      <c r="BF31">
        <v>3</v>
      </c>
      <c r="BG31">
        <v>213</v>
      </c>
      <c r="BH31">
        <v>25</v>
      </c>
      <c r="BJ31" t="s">
        <v>523</v>
      </c>
      <c r="BK31" t="s">
        <v>370</v>
      </c>
      <c r="BL31">
        <v>1776</v>
      </c>
      <c r="BM31">
        <v>455</v>
      </c>
      <c r="BN31">
        <v>91.925112612600003</v>
      </c>
      <c r="BO31">
        <v>2841</v>
      </c>
      <c r="BP31">
        <v>361</v>
      </c>
      <c r="BQ31">
        <v>116.0447025695</v>
      </c>
      <c r="BR31">
        <v>100.2880886427</v>
      </c>
      <c r="BS31">
        <v>2373</v>
      </c>
      <c r="BT31">
        <v>724</v>
      </c>
      <c r="BU31">
        <v>98.317319848300002</v>
      </c>
      <c r="BV31">
        <v>4187</v>
      </c>
      <c r="BW31">
        <v>425</v>
      </c>
      <c r="BX31">
        <v>134.91354191549999</v>
      </c>
      <c r="BY31">
        <v>107.6635294118</v>
      </c>
      <c r="CA31" t="s">
        <v>424</v>
      </c>
      <c r="CB31" t="s">
        <v>857</v>
      </c>
      <c r="CC31" t="s">
        <v>981</v>
      </c>
      <c r="CD31">
        <v>849</v>
      </c>
      <c r="CE31">
        <v>234</v>
      </c>
      <c r="CF31">
        <v>102.05418138989999</v>
      </c>
      <c r="CG31">
        <v>1308</v>
      </c>
      <c r="CH31">
        <v>88</v>
      </c>
      <c r="CI31">
        <v>142.98547400609999</v>
      </c>
      <c r="CJ31">
        <v>124.7272727273</v>
      </c>
      <c r="CL31" t="s">
        <v>424</v>
      </c>
      <c r="CM31" t="s">
        <v>826</v>
      </c>
      <c r="CN31" t="s">
        <v>827</v>
      </c>
      <c r="CO31">
        <v>75</v>
      </c>
      <c r="CP31">
        <v>13</v>
      </c>
      <c r="CQ31">
        <v>82.48</v>
      </c>
      <c r="CR31">
        <v>121</v>
      </c>
      <c r="CS31">
        <v>5</v>
      </c>
      <c r="CT31">
        <v>93.140495867799999</v>
      </c>
      <c r="CU31">
        <v>110.2</v>
      </c>
      <c r="CW31" t="s">
        <v>424</v>
      </c>
      <c r="CX31" t="s">
        <v>842</v>
      </c>
      <c r="CY31" t="s">
        <v>843</v>
      </c>
      <c r="CZ31">
        <v>19</v>
      </c>
      <c r="DA31">
        <v>7</v>
      </c>
      <c r="DB31">
        <v>106.3684210526</v>
      </c>
      <c r="DC31">
        <v>18</v>
      </c>
      <c r="DD31">
        <v>0</v>
      </c>
      <c r="DE31">
        <v>141</v>
      </c>
      <c r="DF31">
        <v>0</v>
      </c>
      <c r="DH31" t="s">
        <v>424</v>
      </c>
      <c r="DI31" t="s">
        <v>810</v>
      </c>
      <c r="DJ31" t="s">
        <v>811</v>
      </c>
      <c r="DK31">
        <v>23</v>
      </c>
      <c r="DL31">
        <v>10</v>
      </c>
      <c r="DM31">
        <v>105.6086956522</v>
      </c>
      <c r="DN31">
        <v>23</v>
      </c>
      <c r="DO31">
        <v>4</v>
      </c>
      <c r="DP31">
        <v>155.13043478259999</v>
      </c>
      <c r="DQ31">
        <v>131.5</v>
      </c>
    </row>
    <row r="32" spans="2:121" x14ac:dyDescent="0.2">
      <c r="B32" t="s">
        <v>114</v>
      </c>
      <c r="C32">
        <v>5516</v>
      </c>
      <c r="D32">
        <v>1467</v>
      </c>
      <c r="F32" t="s">
        <v>65</v>
      </c>
      <c r="G32">
        <v>3965</v>
      </c>
      <c r="H32">
        <v>476.82597730139997</v>
      </c>
      <c r="I32">
        <v>4899</v>
      </c>
      <c r="J32">
        <v>1627</v>
      </c>
      <c r="K32">
        <v>5470</v>
      </c>
      <c r="L32">
        <v>4121</v>
      </c>
      <c r="M32">
        <v>788</v>
      </c>
      <c r="N32">
        <v>681</v>
      </c>
      <c r="O32">
        <v>895</v>
      </c>
      <c r="P32">
        <v>586</v>
      </c>
      <c r="Q32">
        <v>0</v>
      </c>
      <c r="R32">
        <v>2</v>
      </c>
      <c r="AH32" t="s">
        <v>416</v>
      </c>
      <c r="AI32">
        <v>1355</v>
      </c>
      <c r="AJ32">
        <v>354.32472324719998</v>
      </c>
      <c r="AK32">
        <v>1088</v>
      </c>
      <c r="AL32">
        <v>249</v>
      </c>
      <c r="AM32">
        <v>2040</v>
      </c>
      <c r="AN32">
        <v>1294</v>
      </c>
      <c r="AO32">
        <v>464</v>
      </c>
      <c r="AP32">
        <v>397</v>
      </c>
      <c r="AQ32">
        <v>244</v>
      </c>
      <c r="AR32">
        <v>154</v>
      </c>
      <c r="AS32">
        <v>163</v>
      </c>
      <c r="AT32">
        <v>4</v>
      </c>
      <c r="AV32" t="s">
        <v>416</v>
      </c>
      <c r="AW32">
        <v>109</v>
      </c>
      <c r="AX32">
        <v>105.2935779817</v>
      </c>
      <c r="AY32">
        <v>160</v>
      </c>
      <c r="AZ32">
        <v>32</v>
      </c>
      <c r="BA32">
        <v>143</v>
      </c>
      <c r="BB32">
        <v>52</v>
      </c>
      <c r="BC32">
        <v>1</v>
      </c>
      <c r="BE32">
        <v>17</v>
      </c>
      <c r="BF32">
        <v>3</v>
      </c>
      <c r="BG32">
        <v>10</v>
      </c>
      <c r="BH32">
        <v>34</v>
      </c>
      <c r="BJ32" t="s">
        <v>538</v>
      </c>
      <c r="BK32" t="s">
        <v>370</v>
      </c>
      <c r="BL32">
        <v>2583</v>
      </c>
      <c r="BM32">
        <v>534</v>
      </c>
      <c r="BN32">
        <v>86.442895857500005</v>
      </c>
      <c r="BO32">
        <v>3685</v>
      </c>
      <c r="BP32">
        <v>374</v>
      </c>
      <c r="BQ32">
        <v>120.9913161465</v>
      </c>
      <c r="BR32">
        <v>122.7085561497</v>
      </c>
      <c r="BS32">
        <v>4192</v>
      </c>
      <c r="BT32">
        <v>1201</v>
      </c>
      <c r="BU32">
        <v>106.4988072519</v>
      </c>
      <c r="BV32">
        <v>8013</v>
      </c>
      <c r="BW32">
        <v>731</v>
      </c>
      <c r="BX32">
        <v>138.22126544369999</v>
      </c>
      <c r="BY32">
        <v>138.7469220246</v>
      </c>
      <c r="CA32" t="s">
        <v>415</v>
      </c>
      <c r="CB32" t="s">
        <v>857</v>
      </c>
      <c r="CC32" t="s">
        <v>982</v>
      </c>
      <c r="CD32">
        <v>370</v>
      </c>
      <c r="CE32">
        <v>94</v>
      </c>
      <c r="CF32">
        <v>101.1081081081</v>
      </c>
      <c r="CG32">
        <v>598</v>
      </c>
      <c r="CH32">
        <v>43</v>
      </c>
      <c r="CI32">
        <v>147.6036789298</v>
      </c>
      <c r="CJ32">
        <v>163.76744186050001</v>
      </c>
      <c r="CL32" t="s">
        <v>415</v>
      </c>
      <c r="CM32" t="s">
        <v>826</v>
      </c>
      <c r="CN32" t="s">
        <v>828</v>
      </c>
      <c r="CO32">
        <v>65</v>
      </c>
      <c r="CP32">
        <v>16</v>
      </c>
      <c r="CQ32">
        <v>84.153846153800004</v>
      </c>
      <c r="CR32">
        <v>127</v>
      </c>
      <c r="CS32">
        <v>9</v>
      </c>
      <c r="CT32">
        <v>95.456692913400005</v>
      </c>
      <c r="CU32">
        <v>102.3333333333</v>
      </c>
      <c r="CW32" t="s">
        <v>415</v>
      </c>
      <c r="CX32" t="s">
        <v>842</v>
      </c>
      <c r="CY32" t="s">
        <v>844</v>
      </c>
      <c r="CZ32">
        <v>21</v>
      </c>
      <c r="DA32">
        <v>8</v>
      </c>
      <c r="DB32">
        <v>109.2857142857</v>
      </c>
      <c r="DC32">
        <v>17</v>
      </c>
      <c r="DD32">
        <v>2</v>
      </c>
      <c r="DE32">
        <v>161.5294117647</v>
      </c>
      <c r="DF32">
        <v>173</v>
      </c>
      <c r="DH32" t="s">
        <v>415</v>
      </c>
      <c r="DI32" t="s">
        <v>810</v>
      </c>
      <c r="DJ32" t="s">
        <v>812</v>
      </c>
      <c r="DK32">
        <v>23</v>
      </c>
      <c r="DL32">
        <v>5</v>
      </c>
      <c r="DM32">
        <v>79.304347826099999</v>
      </c>
      <c r="DN32">
        <v>27</v>
      </c>
      <c r="DO32">
        <v>1</v>
      </c>
      <c r="DP32">
        <v>143.74074074070001</v>
      </c>
      <c r="DQ32">
        <v>75</v>
      </c>
    </row>
    <row r="33" spans="2:121" x14ac:dyDescent="0.2">
      <c r="B33" t="s">
        <v>122</v>
      </c>
      <c r="C33">
        <v>699</v>
      </c>
      <c r="D33">
        <v>18</v>
      </c>
      <c r="F33" t="s">
        <v>67</v>
      </c>
      <c r="G33">
        <v>776</v>
      </c>
      <c r="H33">
        <v>192.0270618557</v>
      </c>
      <c r="I33">
        <v>2051</v>
      </c>
      <c r="J33">
        <v>434</v>
      </c>
      <c r="K33">
        <v>3657</v>
      </c>
      <c r="L33">
        <v>1464</v>
      </c>
      <c r="M33">
        <v>2842</v>
      </c>
      <c r="N33">
        <v>2764</v>
      </c>
      <c r="O33">
        <v>451</v>
      </c>
      <c r="P33">
        <v>248</v>
      </c>
      <c r="Q33">
        <v>0</v>
      </c>
      <c r="R33">
        <v>1</v>
      </c>
      <c r="AH33" t="s">
        <v>375</v>
      </c>
      <c r="AI33">
        <v>2222</v>
      </c>
      <c r="AJ33">
        <v>323.80198019800002</v>
      </c>
      <c r="AK33">
        <v>4010</v>
      </c>
      <c r="AL33">
        <v>969</v>
      </c>
      <c r="AM33">
        <v>3711</v>
      </c>
      <c r="AN33">
        <v>2306</v>
      </c>
      <c r="AO33">
        <v>1322</v>
      </c>
      <c r="AP33">
        <v>1155</v>
      </c>
      <c r="AQ33">
        <v>2216</v>
      </c>
      <c r="AR33">
        <v>1597</v>
      </c>
      <c r="AS33">
        <v>708</v>
      </c>
      <c r="AT33">
        <v>4</v>
      </c>
      <c r="AV33" t="s">
        <v>427</v>
      </c>
      <c r="AW33">
        <v>245</v>
      </c>
      <c r="AX33">
        <v>51.457142857100003</v>
      </c>
      <c r="AY33">
        <v>400</v>
      </c>
      <c r="AZ33">
        <v>22</v>
      </c>
      <c r="BA33">
        <v>323</v>
      </c>
      <c r="BB33">
        <v>12</v>
      </c>
      <c r="BC33">
        <v>1</v>
      </c>
      <c r="BD33">
        <v>1</v>
      </c>
      <c r="BE33">
        <v>6</v>
      </c>
      <c r="BF33">
        <v>4</v>
      </c>
      <c r="BG33">
        <v>368</v>
      </c>
      <c r="BH33">
        <v>74</v>
      </c>
      <c r="BJ33" t="s">
        <v>623</v>
      </c>
      <c r="BK33" t="s">
        <v>370</v>
      </c>
      <c r="BL33">
        <v>1059</v>
      </c>
      <c r="BM33">
        <v>203</v>
      </c>
      <c r="BN33">
        <v>83.525023607199998</v>
      </c>
      <c r="BO33">
        <v>1776</v>
      </c>
      <c r="BP33">
        <v>170</v>
      </c>
      <c r="BQ33">
        <v>138.7567567568</v>
      </c>
      <c r="BR33">
        <v>139.95294117649999</v>
      </c>
      <c r="BS33">
        <v>1150</v>
      </c>
      <c r="BT33">
        <v>206</v>
      </c>
      <c r="BU33">
        <v>81.466086956500007</v>
      </c>
      <c r="BV33">
        <v>1806</v>
      </c>
      <c r="BW33">
        <v>173</v>
      </c>
      <c r="BX33">
        <v>143.67441860470001</v>
      </c>
      <c r="BY33">
        <v>144.30057803470001</v>
      </c>
      <c r="CA33" t="s">
        <v>417</v>
      </c>
      <c r="CB33" t="s">
        <v>857</v>
      </c>
      <c r="CC33" t="s">
        <v>983</v>
      </c>
      <c r="CD33">
        <v>1512</v>
      </c>
      <c r="CE33">
        <v>213</v>
      </c>
      <c r="CF33">
        <v>75.363095238100001</v>
      </c>
      <c r="CG33">
        <v>2014</v>
      </c>
      <c r="CH33">
        <v>146</v>
      </c>
      <c r="CI33">
        <v>111.4853452558</v>
      </c>
      <c r="CJ33">
        <v>123.1438356164</v>
      </c>
      <c r="CL33" t="s">
        <v>417</v>
      </c>
      <c r="CM33" t="s">
        <v>826</v>
      </c>
      <c r="CN33" t="s">
        <v>829</v>
      </c>
      <c r="CO33">
        <v>121</v>
      </c>
      <c r="CP33">
        <v>14</v>
      </c>
      <c r="CQ33">
        <v>66.876033057900003</v>
      </c>
      <c r="CR33">
        <v>249</v>
      </c>
      <c r="CS33">
        <v>17</v>
      </c>
      <c r="CT33">
        <v>81.176706827299995</v>
      </c>
      <c r="CU33">
        <v>86.058823529400001</v>
      </c>
      <c r="CW33" t="s">
        <v>417</v>
      </c>
      <c r="CX33" t="s">
        <v>842</v>
      </c>
      <c r="CY33" t="s">
        <v>845</v>
      </c>
      <c r="CZ33">
        <v>20</v>
      </c>
      <c r="DA33">
        <v>10</v>
      </c>
      <c r="DB33">
        <v>101.75</v>
      </c>
      <c r="DC33">
        <v>26</v>
      </c>
      <c r="DD33">
        <v>7</v>
      </c>
      <c r="DE33">
        <v>150.5</v>
      </c>
      <c r="DF33">
        <v>136.42857142860001</v>
      </c>
      <c r="DH33" t="s">
        <v>417</v>
      </c>
      <c r="DI33" t="s">
        <v>810</v>
      </c>
      <c r="DJ33" t="s">
        <v>813</v>
      </c>
      <c r="DK33">
        <v>16</v>
      </c>
      <c r="DL33">
        <v>5</v>
      </c>
      <c r="DM33">
        <v>90.5625</v>
      </c>
      <c r="DN33">
        <v>24</v>
      </c>
      <c r="DO33">
        <v>1</v>
      </c>
      <c r="DP33">
        <v>162.9583333333</v>
      </c>
      <c r="DQ33">
        <v>126</v>
      </c>
    </row>
    <row r="34" spans="2:121" x14ac:dyDescent="0.2">
      <c r="B34" t="s">
        <v>93</v>
      </c>
      <c r="C34">
        <v>227</v>
      </c>
      <c r="D34">
        <v>172</v>
      </c>
      <c r="F34" t="s">
        <v>71</v>
      </c>
      <c r="G34">
        <v>6595</v>
      </c>
      <c r="H34">
        <v>345.66974981049998</v>
      </c>
      <c r="I34">
        <v>10918</v>
      </c>
      <c r="J34">
        <v>2409</v>
      </c>
      <c r="K34">
        <v>17286</v>
      </c>
      <c r="L34">
        <v>10559</v>
      </c>
      <c r="M34">
        <v>5383</v>
      </c>
      <c r="N34">
        <v>3776</v>
      </c>
      <c r="O34">
        <v>2363</v>
      </c>
      <c r="P34">
        <v>1514</v>
      </c>
      <c r="Q34">
        <v>0</v>
      </c>
      <c r="R34">
        <v>60</v>
      </c>
      <c r="AH34" t="s">
        <v>406</v>
      </c>
      <c r="AI34">
        <v>1280</v>
      </c>
      <c r="AJ34">
        <v>231.48281249999999</v>
      </c>
      <c r="AK34">
        <v>2700</v>
      </c>
      <c r="AL34">
        <v>596</v>
      </c>
      <c r="AM34">
        <v>2080</v>
      </c>
      <c r="AN34">
        <v>968</v>
      </c>
      <c r="AO34">
        <v>578</v>
      </c>
      <c r="AP34">
        <v>388</v>
      </c>
      <c r="AQ34">
        <v>844</v>
      </c>
      <c r="AR34">
        <v>535</v>
      </c>
      <c r="AS34">
        <v>5</v>
      </c>
      <c r="AT34">
        <v>12</v>
      </c>
      <c r="AV34" t="s">
        <v>396</v>
      </c>
      <c r="AW34">
        <v>720</v>
      </c>
      <c r="AX34">
        <v>57.815277777799999</v>
      </c>
      <c r="AY34">
        <v>1033</v>
      </c>
      <c r="AZ34">
        <v>139</v>
      </c>
      <c r="BA34">
        <v>917</v>
      </c>
      <c r="BB34">
        <v>70</v>
      </c>
      <c r="BC34">
        <v>1</v>
      </c>
      <c r="BD34">
        <v>1</v>
      </c>
      <c r="BE34">
        <v>55</v>
      </c>
      <c r="BF34">
        <v>14</v>
      </c>
      <c r="BG34">
        <v>100</v>
      </c>
      <c r="BH34">
        <v>91</v>
      </c>
      <c r="BJ34" t="s">
        <v>519</v>
      </c>
      <c r="BK34" t="s">
        <v>370</v>
      </c>
      <c r="BL34">
        <v>4595</v>
      </c>
      <c r="BM34">
        <v>1360</v>
      </c>
      <c r="BN34">
        <v>103.2450489663</v>
      </c>
      <c r="BO34">
        <v>6399</v>
      </c>
      <c r="BP34">
        <v>543</v>
      </c>
      <c r="BQ34">
        <v>137.0757930927</v>
      </c>
      <c r="BR34">
        <v>128.56169429100001</v>
      </c>
      <c r="BS34">
        <v>3912</v>
      </c>
      <c r="BT34">
        <v>1019</v>
      </c>
      <c r="BU34">
        <v>96.491308793499996</v>
      </c>
      <c r="BV34">
        <v>5179</v>
      </c>
      <c r="BW34">
        <v>469</v>
      </c>
      <c r="BX34">
        <v>130.81096736820001</v>
      </c>
      <c r="BY34">
        <v>122.5735607676</v>
      </c>
      <c r="CA34" t="s">
        <v>377</v>
      </c>
      <c r="CB34" t="s">
        <v>857</v>
      </c>
      <c r="CC34" t="s">
        <v>984</v>
      </c>
      <c r="CD34">
        <v>5026</v>
      </c>
      <c r="CE34">
        <v>1449</v>
      </c>
      <c r="CF34">
        <v>106.1416633506</v>
      </c>
      <c r="CG34">
        <v>7632</v>
      </c>
      <c r="CH34">
        <v>605</v>
      </c>
      <c r="CI34">
        <v>137.75389857159999</v>
      </c>
      <c r="CJ34">
        <v>133.65123966940001</v>
      </c>
      <c r="CL34" t="s">
        <v>377</v>
      </c>
      <c r="CM34" t="s">
        <v>826</v>
      </c>
      <c r="CN34" t="s">
        <v>830</v>
      </c>
      <c r="CO34">
        <v>445</v>
      </c>
      <c r="CP34">
        <v>64</v>
      </c>
      <c r="CQ34">
        <v>73.595505618000004</v>
      </c>
      <c r="CR34">
        <v>859</v>
      </c>
      <c r="CS34">
        <v>68</v>
      </c>
      <c r="CT34">
        <v>92.316647264300002</v>
      </c>
      <c r="CU34">
        <v>106.5735294118</v>
      </c>
      <c r="CW34" t="s">
        <v>377</v>
      </c>
      <c r="CX34" t="s">
        <v>842</v>
      </c>
      <c r="CY34" t="s">
        <v>846</v>
      </c>
      <c r="CZ34">
        <v>218</v>
      </c>
      <c r="DA34">
        <v>65</v>
      </c>
      <c r="DB34">
        <v>88.807339449500006</v>
      </c>
      <c r="DC34">
        <v>257</v>
      </c>
      <c r="DD34">
        <v>33</v>
      </c>
      <c r="DE34">
        <v>152.3190661479</v>
      </c>
      <c r="DF34">
        <v>149.69696969699999</v>
      </c>
      <c r="DH34" t="s">
        <v>377</v>
      </c>
      <c r="DI34" t="s">
        <v>810</v>
      </c>
      <c r="DJ34" t="s">
        <v>814</v>
      </c>
      <c r="DK34">
        <v>309</v>
      </c>
      <c r="DL34">
        <v>91</v>
      </c>
      <c r="DM34">
        <v>88.961165048500007</v>
      </c>
      <c r="DN34">
        <v>333</v>
      </c>
      <c r="DO34">
        <v>38</v>
      </c>
      <c r="DP34">
        <v>152.18318318319999</v>
      </c>
      <c r="DQ34">
        <v>148.2894736842</v>
      </c>
    </row>
    <row r="35" spans="2:121" x14ac:dyDescent="0.2">
      <c r="B35" t="s">
        <v>89</v>
      </c>
      <c r="C35">
        <v>1</v>
      </c>
      <c r="F35" t="s">
        <v>37</v>
      </c>
      <c r="G35">
        <v>5446</v>
      </c>
      <c r="H35">
        <v>503.19023136250001</v>
      </c>
      <c r="I35">
        <v>5994</v>
      </c>
      <c r="J35">
        <v>1788</v>
      </c>
      <c r="K35">
        <v>7098</v>
      </c>
      <c r="L35">
        <v>5263</v>
      </c>
      <c r="M35">
        <v>1809</v>
      </c>
      <c r="N35">
        <v>1676</v>
      </c>
      <c r="O35">
        <v>1409</v>
      </c>
      <c r="P35">
        <v>711</v>
      </c>
      <c r="Q35">
        <v>0</v>
      </c>
      <c r="R35">
        <v>216</v>
      </c>
      <c r="AH35" t="s">
        <v>60</v>
      </c>
      <c r="AI35">
        <v>4777</v>
      </c>
      <c r="AJ35">
        <v>304.57358174590001</v>
      </c>
      <c r="AK35">
        <v>8815</v>
      </c>
      <c r="AL35">
        <v>2129</v>
      </c>
      <c r="AM35">
        <v>8425</v>
      </c>
      <c r="AN35">
        <v>4820</v>
      </c>
      <c r="AO35">
        <v>4031</v>
      </c>
      <c r="AP35">
        <v>3191</v>
      </c>
      <c r="AQ35">
        <v>4645</v>
      </c>
      <c r="AR35">
        <v>1596</v>
      </c>
      <c r="AS35">
        <v>1532</v>
      </c>
      <c r="AT35">
        <v>10</v>
      </c>
      <c r="AV35" t="s">
        <v>373</v>
      </c>
      <c r="AW35">
        <v>98</v>
      </c>
      <c r="AX35">
        <v>85.244897959200003</v>
      </c>
      <c r="AY35">
        <v>167</v>
      </c>
      <c r="AZ35">
        <v>50</v>
      </c>
      <c r="BA35">
        <v>139</v>
      </c>
      <c r="BB35">
        <v>34</v>
      </c>
      <c r="BC35">
        <v>1</v>
      </c>
      <c r="BD35">
        <v>1</v>
      </c>
      <c r="BE35">
        <v>20</v>
      </c>
      <c r="BF35">
        <v>6</v>
      </c>
      <c r="BG35">
        <v>9</v>
      </c>
      <c r="BH35">
        <v>31</v>
      </c>
      <c r="BJ35" t="s">
        <v>525</v>
      </c>
      <c r="BK35" t="s">
        <v>370</v>
      </c>
      <c r="BL35">
        <v>2791</v>
      </c>
      <c r="BM35">
        <v>532</v>
      </c>
      <c r="BN35">
        <v>82.328914367600007</v>
      </c>
      <c r="BO35">
        <v>3544</v>
      </c>
      <c r="BP35">
        <v>237</v>
      </c>
      <c r="BQ35">
        <v>143.0426072235</v>
      </c>
      <c r="BR35">
        <v>164.44303797469999</v>
      </c>
      <c r="BS35">
        <v>2491</v>
      </c>
      <c r="BT35">
        <v>330</v>
      </c>
      <c r="BU35">
        <v>73.142914492200006</v>
      </c>
      <c r="BV35">
        <v>2733</v>
      </c>
      <c r="BW35">
        <v>186</v>
      </c>
      <c r="BX35">
        <v>138.36187339919999</v>
      </c>
      <c r="BY35">
        <v>155.4247311828</v>
      </c>
      <c r="CA35" t="s">
        <v>372</v>
      </c>
      <c r="CB35" t="s">
        <v>857</v>
      </c>
      <c r="CC35" t="s">
        <v>985</v>
      </c>
      <c r="CD35">
        <v>4560</v>
      </c>
      <c r="CE35">
        <v>1060</v>
      </c>
      <c r="CF35">
        <v>92.481798245600004</v>
      </c>
      <c r="CG35">
        <v>5882</v>
      </c>
      <c r="CH35">
        <v>445</v>
      </c>
      <c r="CI35">
        <v>132.47985036559999</v>
      </c>
      <c r="CJ35">
        <v>137.28089887639999</v>
      </c>
      <c r="CL35" t="s">
        <v>372</v>
      </c>
      <c r="CM35" t="s">
        <v>826</v>
      </c>
      <c r="CN35" t="s">
        <v>831</v>
      </c>
      <c r="CO35">
        <v>470</v>
      </c>
      <c r="CP35">
        <v>59</v>
      </c>
      <c r="CQ35">
        <v>70.914893617000004</v>
      </c>
      <c r="CR35">
        <v>818</v>
      </c>
      <c r="CS35">
        <v>65</v>
      </c>
      <c r="CT35">
        <v>85.634474327600003</v>
      </c>
      <c r="CU35">
        <v>110.6307692308</v>
      </c>
      <c r="CW35" t="s">
        <v>372</v>
      </c>
      <c r="CX35" t="s">
        <v>842</v>
      </c>
      <c r="CY35" t="s">
        <v>847</v>
      </c>
      <c r="CZ35">
        <v>65</v>
      </c>
      <c r="DA35">
        <v>20</v>
      </c>
      <c r="DB35">
        <v>98.523076923100007</v>
      </c>
      <c r="DC35">
        <v>105</v>
      </c>
      <c r="DD35">
        <v>11</v>
      </c>
      <c r="DE35">
        <v>146.91428571430001</v>
      </c>
      <c r="DF35">
        <v>198.54545454550001</v>
      </c>
      <c r="DH35" t="s">
        <v>372</v>
      </c>
      <c r="DI35" t="s">
        <v>810</v>
      </c>
      <c r="DJ35" t="s">
        <v>815</v>
      </c>
      <c r="DK35">
        <v>36</v>
      </c>
      <c r="DL35">
        <v>6</v>
      </c>
      <c r="DM35">
        <v>78.833333333300004</v>
      </c>
      <c r="DN35">
        <v>64</v>
      </c>
      <c r="DO35">
        <v>5</v>
      </c>
      <c r="DP35">
        <v>134.078125</v>
      </c>
      <c r="DQ35">
        <v>152.6</v>
      </c>
    </row>
    <row r="36" spans="2:121" x14ac:dyDescent="0.2">
      <c r="B36" t="s">
        <v>95</v>
      </c>
      <c r="C36">
        <v>1212</v>
      </c>
      <c r="D36">
        <v>816</v>
      </c>
      <c r="F36" t="s">
        <v>47</v>
      </c>
      <c r="G36">
        <v>1965</v>
      </c>
      <c r="H36">
        <v>238.00050890590001</v>
      </c>
      <c r="I36">
        <v>2296</v>
      </c>
      <c r="J36">
        <v>516</v>
      </c>
      <c r="K36">
        <v>3222</v>
      </c>
      <c r="L36">
        <v>2124</v>
      </c>
      <c r="M36">
        <v>479</v>
      </c>
      <c r="N36">
        <v>432</v>
      </c>
      <c r="O36">
        <v>1265</v>
      </c>
      <c r="P36">
        <v>922</v>
      </c>
      <c r="Q36">
        <v>0</v>
      </c>
      <c r="R36">
        <v>10</v>
      </c>
      <c r="T36" t="s">
        <v>647</v>
      </c>
      <c r="U36" t="s">
        <v>306</v>
      </c>
      <c r="V36" t="s">
        <v>133</v>
      </c>
      <c r="W36" t="s">
        <v>214</v>
      </c>
      <c r="X36" t="s">
        <v>460</v>
      </c>
      <c r="Y36" t="s">
        <v>216</v>
      </c>
      <c r="Z36" t="s">
        <v>217</v>
      </c>
      <c r="AA36" t="s">
        <v>218</v>
      </c>
      <c r="AB36" t="s">
        <v>461</v>
      </c>
      <c r="AC36" t="s">
        <v>220</v>
      </c>
      <c r="AD36" t="s">
        <v>221</v>
      </c>
      <c r="AE36" t="s">
        <v>222</v>
      </c>
      <c r="AF36" t="s">
        <v>223</v>
      </c>
      <c r="AH36" t="s">
        <v>383</v>
      </c>
      <c r="AI36">
        <v>15645</v>
      </c>
      <c r="AJ36">
        <v>313.90028763179998</v>
      </c>
      <c r="AK36">
        <v>17170</v>
      </c>
      <c r="AL36">
        <v>4550</v>
      </c>
      <c r="AM36">
        <v>21171</v>
      </c>
      <c r="AN36">
        <v>14271</v>
      </c>
      <c r="AO36">
        <v>9546</v>
      </c>
      <c r="AP36">
        <v>7290</v>
      </c>
      <c r="AQ36">
        <v>6844</v>
      </c>
      <c r="AR36">
        <v>4402</v>
      </c>
      <c r="AS36">
        <v>1207</v>
      </c>
      <c r="AT36">
        <v>48</v>
      </c>
      <c r="AV36" t="s">
        <v>384</v>
      </c>
      <c r="AW36">
        <v>1049</v>
      </c>
      <c r="AX36">
        <v>92.272640610099998</v>
      </c>
      <c r="AY36">
        <v>1045</v>
      </c>
      <c r="AZ36">
        <v>251</v>
      </c>
      <c r="BA36">
        <v>1308</v>
      </c>
      <c r="BB36">
        <v>394</v>
      </c>
      <c r="BC36">
        <v>6</v>
      </c>
      <c r="BD36">
        <v>4</v>
      </c>
      <c r="BE36">
        <v>53</v>
      </c>
      <c r="BF36">
        <v>15</v>
      </c>
      <c r="BG36">
        <v>114</v>
      </c>
      <c r="BH36">
        <v>288</v>
      </c>
      <c r="BJ36" t="s">
        <v>370</v>
      </c>
      <c r="BK36" t="s">
        <v>370</v>
      </c>
      <c r="BL36">
        <v>68926</v>
      </c>
      <c r="BM36">
        <v>17695</v>
      </c>
      <c r="BN36">
        <v>95.448176305000004</v>
      </c>
      <c r="BO36">
        <v>102704</v>
      </c>
      <c r="BP36">
        <v>8437</v>
      </c>
      <c r="BQ36">
        <v>135.1718906708</v>
      </c>
      <c r="BR36">
        <v>133.0855754415</v>
      </c>
      <c r="BS36">
        <v>59357</v>
      </c>
      <c r="BT36">
        <v>14942</v>
      </c>
      <c r="BU36">
        <v>94.535000084199993</v>
      </c>
      <c r="BV36">
        <v>101025</v>
      </c>
      <c r="BW36">
        <v>8204</v>
      </c>
      <c r="BX36">
        <v>133.67930112849999</v>
      </c>
      <c r="BY36">
        <v>131.67052657240001</v>
      </c>
      <c r="CA36" t="s">
        <v>416</v>
      </c>
      <c r="CB36" t="s">
        <v>857</v>
      </c>
      <c r="CC36" t="s">
        <v>986</v>
      </c>
      <c r="CD36">
        <v>1130</v>
      </c>
      <c r="CE36">
        <v>228</v>
      </c>
      <c r="CF36">
        <v>85.667256637199998</v>
      </c>
      <c r="CG36">
        <v>1872</v>
      </c>
      <c r="CH36">
        <v>173</v>
      </c>
      <c r="CI36">
        <v>136.85256410260001</v>
      </c>
      <c r="CJ36">
        <v>143.3641618497</v>
      </c>
      <c r="CL36" t="s">
        <v>416</v>
      </c>
      <c r="CM36" t="s">
        <v>826</v>
      </c>
      <c r="CN36" t="s">
        <v>832</v>
      </c>
      <c r="CO36">
        <v>110</v>
      </c>
      <c r="CP36">
        <v>11</v>
      </c>
      <c r="CQ36">
        <v>65.8</v>
      </c>
      <c r="CR36">
        <v>191</v>
      </c>
      <c r="CS36">
        <v>11</v>
      </c>
      <c r="CT36">
        <v>94.795811518299999</v>
      </c>
      <c r="CU36">
        <v>119.1818181818</v>
      </c>
      <c r="CW36" t="s">
        <v>416</v>
      </c>
      <c r="CX36" t="s">
        <v>842</v>
      </c>
      <c r="CY36" t="s">
        <v>848</v>
      </c>
      <c r="CZ36">
        <v>25</v>
      </c>
      <c r="DA36">
        <v>9</v>
      </c>
      <c r="DB36">
        <v>105.68</v>
      </c>
      <c r="DC36">
        <v>20</v>
      </c>
      <c r="DD36">
        <v>2</v>
      </c>
      <c r="DE36">
        <v>149.44999999999999</v>
      </c>
      <c r="DF36">
        <v>139.5</v>
      </c>
      <c r="DH36" t="s">
        <v>416</v>
      </c>
      <c r="DI36" t="s">
        <v>810</v>
      </c>
      <c r="DJ36" t="s">
        <v>816</v>
      </c>
      <c r="DK36">
        <v>15</v>
      </c>
      <c r="DL36">
        <v>6</v>
      </c>
      <c r="DM36">
        <v>96.8</v>
      </c>
      <c r="DN36">
        <v>28</v>
      </c>
      <c r="DO36">
        <v>2</v>
      </c>
      <c r="DP36">
        <v>135.46428571429999</v>
      </c>
      <c r="DQ36">
        <v>196.5</v>
      </c>
    </row>
    <row r="37" spans="2:121" x14ac:dyDescent="0.2">
      <c r="B37" t="s">
        <v>1060</v>
      </c>
      <c r="C37">
        <v>117</v>
      </c>
      <c r="D37">
        <v>113</v>
      </c>
      <c r="F37" t="s">
        <v>82</v>
      </c>
      <c r="G37">
        <v>607</v>
      </c>
      <c r="H37">
        <v>402.92586490939999</v>
      </c>
      <c r="I37">
        <v>719</v>
      </c>
      <c r="J37">
        <v>203</v>
      </c>
      <c r="K37">
        <v>677</v>
      </c>
      <c r="L37">
        <v>531</v>
      </c>
      <c r="M37">
        <v>53</v>
      </c>
      <c r="N37">
        <v>50</v>
      </c>
      <c r="O37">
        <v>144</v>
      </c>
      <c r="P37">
        <v>76</v>
      </c>
      <c r="Q37">
        <v>0</v>
      </c>
      <c r="R37">
        <v>0</v>
      </c>
      <c r="T37" t="s">
        <v>391</v>
      </c>
      <c r="U37">
        <v>4084</v>
      </c>
      <c r="V37">
        <v>53.9116062684</v>
      </c>
      <c r="W37">
        <v>5361</v>
      </c>
      <c r="X37">
        <v>672</v>
      </c>
      <c r="Y37">
        <v>5390</v>
      </c>
      <c r="Z37">
        <v>329</v>
      </c>
      <c r="AA37">
        <v>15</v>
      </c>
      <c r="AB37">
        <v>13</v>
      </c>
      <c r="AC37">
        <v>271</v>
      </c>
      <c r="AD37">
        <v>68</v>
      </c>
      <c r="AE37">
        <v>1880</v>
      </c>
      <c r="AF37">
        <v>608</v>
      </c>
      <c r="AH37" t="s">
        <v>420</v>
      </c>
      <c r="AI37">
        <v>153</v>
      </c>
      <c r="AJ37">
        <v>266.4640522876</v>
      </c>
      <c r="AK37">
        <v>653</v>
      </c>
      <c r="AL37">
        <v>126</v>
      </c>
      <c r="AM37">
        <v>321</v>
      </c>
      <c r="AN37">
        <v>135</v>
      </c>
      <c r="AO37">
        <v>115</v>
      </c>
      <c r="AP37">
        <v>62</v>
      </c>
      <c r="AQ37">
        <v>152</v>
      </c>
      <c r="AR37">
        <v>95</v>
      </c>
      <c r="AS37">
        <v>2</v>
      </c>
      <c r="AT37">
        <v>0</v>
      </c>
      <c r="AV37" t="s">
        <v>392</v>
      </c>
      <c r="AW37">
        <v>704</v>
      </c>
      <c r="AX37">
        <v>55.971590909100001</v>
      </c>
      <c r="AY37">
        <v>1105</v>
      </c>
      <c r="AZ37">
        <v>162</v>
      </c>
      <c r="BA37">
        <v>1012</v>
      </c>
      <c r="BB37">
        <v>81</v>
      </c>
      <c r="BC37">
        <v>6</v>
      </c>
      <c r="BD37">
        <v>6</v>
      </c>
      <c r="BE37">
        <v>74</v>
      </c>
      <c r="BF37">
        <v>17</v>
      </c>
      <c r="BG37">
        <v>113</v>
      </c>
      <c r="BH37">
        <v>106</v>
      </c>
      <c r="BJ37" t="s">
        <v>527</v>
      </c>
      <c r="BK37" t="s">
        <v>370</v>
      </c>
      <c r="BL37">
        <v>7072</v>
      </c>
      <c r="BM37">
        <v>2248</v>
      </c>
      <c r="BN37">
        <v>112.15285633480001</v>
      </c>
      <c r="BO37">
        <v>11126</v>
      </c>
      <c r="BP37">
        <v>860</v>
      </c>
      <c r="BQ37">
        <v>150.18092755710001</v>
      </c>
      <c r="BR37">
        <v>150.78604651160001</v>
      </c>
      <c r="BS37">
        <v>7014</v>
      </c>
      <c r="BT37">
        <v>2263</v>
      </c>
      <c r="BU37">
        <v>112.00784145990001</v>
      </c>
      <c r="BV37">
        <v>11526</v>
      </c>
      <c r="BW37">
        <v>883</v>
      </c>
      <c r="BX37">
        <v>150.11400312340001</v>
      </c>
      <c r="BY37">
        <v>152.355605889</v>
      </c>
      <c r="CA37" t="s">
        <v>375</v>
      </c>
      <c r="CB37" t="s">
        <v>857</v>
      </c>
      <c r="CC37" t="s">
        <v>987</v>
      </c>
      <c r="CD37">
        <v>3940</v>
      </c>
      <c r="CE37">
        <v>917</v>
      </c>
      <c r="CF37">
        <v>93.277411167500006</v>
      </c>
      <c r="CG37">
        <v>5733</v>
      </c>
      <c r="CH37">
        <v>410</v>
      </c>
      <c r="CI37">
        <v>140.72928658640001</v>
      </c>
      <c r="CJ37">
        <v>150.18292682929999</v>
      </c>
      <c r="CL37" t="s">
        <v>375</v>
      </c>
      <c r="CM37" t="s">
        <v>826</v>
      </c>
      <c r="CN37" t="s">
        <v>833</v>
      </c>
      <c r="CO37">
        <v>510</v>
      </c>
      <c r="CP37">
        <v>67</v>
      </c>
      <c r="CQ37">
        <v>69.1568627451</v>
      </c>
      <c r="CR37">
        <v>885</v>
      </c>
      <c r="CS37">
        <v>70</v>
      </c>
      <c r="CT37">
        <v>90.903954802300007</v>
      </c>
      <c r="CU37">
        <v>98.271428571399994</v>
      </c>
      <c r="CW37" t="s">
        <v>375</v>
      </c>
      <c r="CX37" t="s">
        <v>842</v>
      </c>
      <c r="CY37" t="s">
        <v>849</v>
      </c>
      <c r="CZ37">
        <v>111</v>
      </c>
      <c r="DA37">
        <v>32</v>
      </c>
      <c r="DB37">
        <v>95.567567567599994</v>
      </c>
      <c r="DC37">
        <v>92</v>
      </c>
      <c r="DD37">
        <v>15</v>
      </c>
      <c r="DE37">
        <v>150.8913043478</v>
      </c>
      <c r="DF37">
        <v>162.6666666667</v>
      </c>
      <c r="DH37" t="s">
        <v>375</v>
      </c>
      <c r="DI37" t="s">
        <v>810</v>
      </c>
      <c r="DJ37" t="s">
        <v>817</v>
      </c>
      <c r="DK37">
        <v>69</v>
      </c>
      <c r="DL37">
        <v>17</v>
      </c>
      <c r="DM37">
        <v>80.405797101399997</v>
      </c>
      <c r="DN37">
        <v>103</v>
      </c>
      <c r="DO37">
        <v>10</v>
      </c>
      <c r="DP37">
        <v>139.21359223300001</v>
      </c>
      <c r="DQ37">
        <v>142</v>
      </c>
    </row>
    <row r="38" spans="2:121" x14ac:dyDescent="0.2">
      <c r="B38" t="s">
        <v>115</v>
      </c>
      <c r="C38">
        <v>3582</v>
      </c>
      <c r="D38">
        <v>872</v>
      </c>
      <c r="F38" t="s">
        <v>60</v>
      </c>
      <c r="G38">
        <v>3272</v>
      </c>
      <c r="H38">
        <v>317.95507334960001</v>
      </c>
      <c r="I38">
        <v>4468</v>
      </c>
      <c r="J38">
        <v>1320</v>
      </c>
      <c r="K38">
        <v>4706</v>
      </c>
      <c r="L38">
        <v>3176</v>
      </c>
      <c r="M38">
        <v>3103</v>
      </c>
      <c r="N38">
        <v>2658</v>
      </c>
      <c r="O38">
        <v>2871</v>
      </c>
      <c r="P38">
        <v>245</v>
      </c>
      <c r="Q38">
        <v>0</v>
      </c>
      <c r="R38">
        <v>2</v>
      </c>
      <c r="T38" t="s">
        <v>381</v>
      </c>
      <c r="U38">
        <v>9132</v>
      </c>
      <c r="V38">
        <v>81.517520805999993</v>
      </c>
      <c r="W38">
        <v>8991</v>
      </c>
      <c r="X38">
        <v>1974</v>
      </c>
      <c r="Y38">
        <v>11268</v>
      </c>
      <c r="Z38">
        <v>2669</v>
      </c>
      <c r="AA38">
        <v>68</v>
      </c>
      <c r="AB38">
        <v>60</v>
      </c>
      <c r="AC38">
        <v>543</v>
      </c>
      <c r="AD38">
        <v>147</v>
      </c>
      <c r="AE38">
        <v>1011</v>
      </c>
      <c r="AF38">
        <v>1893</v>
      </c>
      <c r="AH38" t="s">
        <v>392</v>
      </c>
      <c r="AI38">
        <v>5907</v>
      </c>
      <c r="AJ38">
        <v>431.2175385136</v>
      </c>
      <c r="AK38">
        <v>8011</v>
      </c>
      <c r="AL38">
        <v>2042</v>
      </c>
      <c r="AM38">
        <v>10375</v>
      </c>
      <c r="AN38">
        <v>6119</v>
      </c>
      <c r="AO38">
        <v>1907</v>
      </c>
      <c r="AP38">
        <v>1618</v>
      </c>
      <c r="AQ38">
        <v>3868</v>
      </c>
      <c r="AR38">
        <v>2597</v>
      </c>
      <c r="AS38">
        <v>883</v>
      </c>
      <c r="AT38">
        <v>325</v>
      </c>
      <c r="AV38" t="s">
        <v>397</v>
      </c>
      <c r="AW38">
        <v>358</v>
      </c>
      <c r="AX38">
        <v>49.695530726299999</v>
      </c>
      <c r="AY38">
        <v>382</v>
      </c>
      <c r="AZ38">
        <v>43</v>
      </c>
      <c r="BA38">
        <v>470</v>
      </c>
      <c r="BB38">
        <v>19</v>
      </c>
      <c r="BC38">
        <v>1</v>
      </c>
      <c r="BD38">
        <v>1</v>
      </c>
      <c r="BE38">
        <v>28</v>
      </c>
      <c r="BF38">
        <v>8</v>
      </c>
      <c r="BG38">
        <v>64</v>
      </c>
      <c r="BH38">
        <v>41</v>
      </c>
      <c r="BJ38" t="s">
        <v>530</v>
      </c>
      <c r="BK38" t="s">
        <v>370</v>
      </c>
      <c r="BL38">
        <v>4605</v>
      </c>
      <c r="BM38">
        <v>1532</v>
      </c>
      <c r="BN38">
        <v>111.7952225841</v>
      </c>
      <c r="BO38">
        <v>5954</v>
      </c>
      <c r="BP38">
        <v>437</v>
      </c>
      <c r="BQ38">
        <v>160.8392677192</v>
      </c>
      <c r="BR38">
        <v>161.96796338670001</v>
      </c>
      <c r="BS38">
        <v>4168</v>
      </c>
      <c r="BT38">
        <v>1600</v>
      </c>
      <c r="BU38">
        <v>121.7209692898</v>
      </c>
      <c r="BV38">
        <v>4734</v>
      </c>
      <c r="BW38">
        <v>336</v>
      </c>
      <c r="BX38">
        <v>176.42184199409999</v>
      </c>
      <c r="BY38">
        <v>184.11309523809999</v>
      </c>
      <c r="CA38" t="s">
        <v>60</v>
      </c>
      <c r="CB38" t="s">
        <v>857</v>
      </c>
      <c r="CC38" t="s">
        <v>519</v>
      </c>
      <c r="CD38">
        <v>8397</v>
      </c>
      <c r="CE38">
        <v>1992</v>
      </c>
      <c r="CF38">
        <v>93.8410146481</v>
      </c>
      <c r="CG38">
        <v>12551</v>
      </c>
      <c r="CH38">
        <v>994</v>
      </c>
      <c r="CI38">
        <v>134.76209067010001</v>
      </c>
      <c r="CJ38">
        <v>127.46277666</v>
      </c>
      <c r="CL38" t="s">
        <v>60</v>
      </c>
      <c r="CM38" t="s">
        <v>826</v>
      </c>
      <c r="CN38" t="s">
        <v>834</v>
      </c>
      <c r="CO38">
        <v>1274</v>
      </c>
      <c r="CP38">
        <v>192</v>
      </c>
      <c r="CQ38">
        <v>74.2715855573</v>
      </c>
      <c r="CR38">
        <v>2226</v>
      </c>
      <c r="CS38">
        <v>172</v>
      </c>
      <c r="CT38">
        <v>93.097933513000001</v>
      </c>
      <c r="CU38">
        <v>105.7034883721</v>
      </c>
      <c r="CW38" t="s">
        <v>60</v>
      </c>
      <c r="CX38" t="s">
        <v>842</v>
      </c>
      <c r="CY38" t="s">
        <v>850</v>
      </c>
      <c r="CZ38">
        <v>241</v>
      </c>
      <c r="DA38">
        <v>77</v>
      </c>
      <c r="DB38">
        <v>92.232365145200006</v>
      </c>
      <c r="DC38">
        <v>233</v>
      </c>
      <c r="DD38">
        <v>38</v>
      </c>
      <c r="DE38">
        <v>138.0515021459</v>
      </c>
      <c r="DF38">
        <v>143.86842105260001</v>
      </c>
      <c r="DH38" t="s">
        <v>60</v>
      </c>
      <c r="DI38" t="s">
        <v>810</v>
      </c>
      <c r="DJ38" t="s">
        <v>818</v>
      </c>
      <c r="DK38">
        <v>139</v>
      </c>
      <c r="DL38">
        <v>36</v>
      </c>
      <c r="DM38">
        <v>89.115107913700001</v>
      </c>
      <c r="DN38">
        <v>189</v>
      </c>
      <c r="DO38">
        <v>20</v>
      </c>
      <c r="DP38">
        <v>138.44444444440001</v>
      </c>
      <c r="DQ38">
        <v>113.2</v>
      </c>
    </row>
    <row r="39" spans="2:121" x14ac:dyDescent="0.2">
      <c r="B39" t="s">
        <v>99</v>
      </c>
      <c r="C39">
        <v>15730</v>
      </c>
      <c r="D39">
        <v>3337</v>
      </c>
      <c r="F39" t="s">
        <v>49</v>
      </c>
      <c r="G39">
        <v>3786</v>
      </c>
      <c r="H39">
        <v>416.50607501320002</v>
      </c>
      <c r="I39">
        <v>4116</v>
      </c>
      <c r="J39">
        <v>1484</v>
      </c>
      <c r="K39">
        <v>5892</v>
      </c>
      <c r="L39">
        <v>4538</v>
      </c>
      <c r="M39">
        <v>2145</v>
      </c>
      <c r="N39">
        <v>1878</v>
      </c>
      <c r="O39">
        <v>2060</v>
      </c>
      <c r="P39">
        <v>1694</v>
      </c>
      <c r="Q39">
        <v>46</v>
      </c>
      <c r="R39">
        <v>203</v>
      </c>
      <c r="T39" t="s">
        <v>370</v>
      </c>
      <c r="U39">
        <v>7822</v>
      </c>
      <c r="V39">
        <v>92.829071848599995</v>
      </c>
      <c r="W39">
        <v>10859</v>
      </c>
      <c r="X39">
        <v>2853</v>
      </c>
      <c r="Y39">
        <v>10285</v>
      </c>
      <c r="Z39">
        <v>3035</v>
      </c>
      <c r="AA39">
        <v>217</v>
      </c>
      <c r="AB39">
        <v>211</v>
      </c>
      <c r="AC39">
        <v>631</v>
      </c>
      <c r="AD39">
        <v>184</v>
      </c>
      <c r="AE39">
        <v>910</v>
      </c>
      <c r="AF39">
        <v>2422</v>
      </c>
      <c r="AH39" t="s">
        <v>413</v>
      </c>
      <c r="AI39">
        <v>2572</v>
      </c>
      <c r="AJ39">
        <v>298.018273717</v>
      </c>
      <c r="AK39">
        <v>6066</v>
      </c>
      <c r="AL39">
        <v>1049</v>
      </c>
      <c r="AM39">
        <v>3906</v>
      </c>
      <c r="AN39">
        <v>1661</v>
      </c>
      <c r="AO39">
        <v>1159</v>
      </c>
      <c r="AP39">
        <v>538</v>
      </c>
      <c r="AQ39">
        <v>2615</v>
      </c>
      <c r="AR39">
        <v>1451</v>
      </c>
      <c r="AS39">
        <v>7</v>
      </c>
      <c r="AT39">
        <v>69</v>
      </c>
      <c r="AV39" t="s">
        <v>415</v>
      </c>
      <c r="AW39">
        <v>39</v>
      </c>
      <c r="AX39">
        <v>118.9230769231</v>
      </c>
      <c r="AY39">
        <v>62</v>
      </c>
      <c r="AZ39">
        <v>18</v>
      </c>
      <c r="BA39">
        <v>60</v>
      </c>
      <c r="BB39">
        <v>23</v>
      </c>
      <c r="BC39">
        <v>2</v>
      </c>
      <c r="BD39">
        <v>2</v>
      </c>
      <c r="BE39">
        <v>0</v>
      </c>
      <c r="BG39">
        <v>9</v>
      </c>
      <c r="BH39">
        <v>19</v>
      </c>
      <c r="BJ39" t="s">
        <v>515</v>
      </c>
      <c r="BK39" t="s">
        <v>370</v>
      </c>
      <c r="BL39">
        <v>2365</v>
      </c>
      <c r="BM39">
        <v>448</v>
      </c>
      <c r="BN39">
        <v>76.043128964100006</v>
      </c>
      <c r="BO39">
        <v>9311</v>
      </c>
      <c r="BP39">
        <v>867</v>
      </c>
      <c r="BQ39">
        <v>58.403114930199997</v>
      </c>
      <c r="BR39">
        <v>58.190311418699999</v>
      </c>
      <c r="BS39">
        <v>3827</v>
      </c>
      <c r="BT39">
        <v>954</v>
      </c>
      <c r="BU39">
        <v>90.889992160999995</v>
      </c>
      <c r="BV39">
        <v>11293</v>
      </c>
      <c r="BW39">
        <v>965</v>
      </c>
      <c r="BX39">
        <v>80.552692171399997</v>
      </c>
      <c r="BY39">
        <v>69.614507771999996</v>
      </c>
      <c r="CA39" t="s">
        <v>383</v>
      </c>
      <c r="CB39" t="s">
        <v>857</v>
      </c>
      <c r="CC39" t="s">
        <v>988</v>
      </c>
      <c r="CD39">
        <v>15979</v>
      </c>
      <c r="CE39">
        <v>4067</v>
      </c>
      <c r="CF39">
        <v>93.574003379399997</v>
      </c>
      <c r="CG39">
        <v>22867</v>
      </c>
      <c r="CH39">
        <v>1908</v>
      </c>
      <c r="CI39">
        <v>141.8428165318</v>
      </c>
      <c r="CJ39">
        <v>134.1661425577</v>
      </c>
      <c r="CL39" t="s">
        <v>383</v>
      </c>
      <c r="CM39" t="s">
        <v>826</v>
      </c>
      <c r="CN39" t="s">
        <v>835</v>
      </c>
      <c r="CO39">
        <v>1407</v>
      </c>
      <c r="CP39">
        <v>192</v>
      </c>
      <c r="CQ39">
        <v>70.701492537299998</v>
      </c>
      <c r="CR39">
        <v>2210</v>
      </c>
      <c r="CS39">
        <v>195</v>
      </c>
      <c r="CT39">
        <v>91.214027149299994</v>
      </c>
      <c r="CU39">
        <v>110.7282051282</v>
      </c>
      <c r="CW39" t="s">
        <v>383</v>
      </c>
      <c r="CX39" t="s">
        <v>842</v>
      </c>
      <c r="CY39" t="s">
        <v>851</v>
      </c>
      <c r="CZ39">
        <v>541</v>
      </c>
      <c r="DA39">
        <v>179</v>
      </c>
      <c r="DB39">
        <v>96.890942698700002</v>
      </c>
      <c r="DC39">
        <v>558</v>
      </c>
      <c r="DD39">
        <v>81</v>
      </c>
      <c r="DE39">
        <v>153.9193548387</v>
      </c>
      <c r="DF39">
        <v>154.38271604939999</v>
      </c>
      <c r="DH39" t="s">
        <v>383</v>
      </c>
      <c r="DI39" t="s">
        <v>810</v>
      </c>
      <c r="DJ39" t="s">
        <v>819</v>
      </c>
      <c r="DK39">
        <v>1060</v>
      </c>
      <c r="DL39">
        <v>272</v>
      </c>
      <c r="DM39">
        <v>85.491509433999994</v>
      </c>
      <c r="DN39">
        <v>1002</v>
      </c>
      <c r="DO39">
        <v>109</v>
      </c>
      <c r="DP39">
        <v>147.07984031940001</v>
      </c>
      <c r="DQ39">
        <v>144.2293577982</v>
      </c>
    </row>
    <row r="40" spans="2:121" x14ac:dyDescent="0.2">
      <c r="B40" t="s">
        <v>124</v>
      </c>
      <c r="C40">
        <v>291</v>
      </c>
      <c r="D40">
        <v>117</v>
      </c>
      <c r="F40" t="s">
        <v>52</v>
      </c>
      <c r="G40">
        <v>7553</v>
      </c>
      <c r="H40">
        <v>392.57566529859997</v>
      </c>
      <c r="I40">
        <v>9498</v>
      </c>
      <c r="J40">
        <v>2178</v>
      </c>
      <c r="K40">
        <v>9061</v>
      </c>
      <c r="L40">
        <v>6733</v>
      </c>
      <c r="M40">
        <v>1044</v>
      </c>
      <c r="N40">
        <v>887</v>
      </c>
      <c r="O40">
        <v>4015</v>
      </c>
      <c r="P40">
        <v>3314</v>
      </c>
      <c r="Q40">
        <v>4</v>
      </c>
      <c r="R40">
        <v>30</v>
      </c>
      <c r="T40" t="s">
        <v>8</v>
      </c>
      <c r="U40">
        <v>189</v>
      </c>
      <c r="V40">
        <v>71.470899470899994</v>
      </c>
      <c r="W40">
        <v>211</v>
      </c>
      <c r="X40">
        <v>104</v>
      </c>
      <c r="Y40">
        <v>379</v>
      </c>
      <c r="Z40">
        <v>157</v>
      </c>
      <c r="AA40">
        <v>11</v>
      </c>
      <c r="AB40">
        <v>10</v>
      </c>
      <c r="AC40">
        <v>11</v>
      </c>
      <c r="AD40">
        <v>2</v>
      </c>
      <c r="AE40">
        <v>36</v>
      </c>
      <c r="AF40">
        <v>26</v>
      </c>
      <c r="AH40" t="s">
        <v>410</v>
      </c>
      <c r="AI40">
        <v>6962</v>
      </c>
      <c r="AJ40">
        <v>461.7005170928</v>
      </c>
      <c r="AK40">
        <v>4780</v>
      </c>
      <c r="AL40">
        <v>1223</v>
      </c>
      <c r="AM40">
        <v>9461</v>
      </c>
      <c r="AN40">
        <v>7346</v>
      </c>
      <c r="AO40">
        <v>3012</v>
      </c>
      <c r="AP40">
        <v>2734</v>
      </c>
      <c r="AQ40">
        <v>2801</v>
      </c>
      <c r="AR40">
        <v>1779</v>
      </c>
      <c r="AS40">
        <v>7</v>
      </c>
      <c r="AT40">
        <v>82</v>
      </c>
      <c r="AV40" t="s">
        <v>411</v>
      </c>
      <c r="AW40">
        <v>962</v>
      </c>
      <c r="AX40">
        <v>52.545738045699999</v>
      </c>
      <c r="AY40">
        <v>1285</v>
      </c>
      <c r="AZ40">
        <v>65</v>
      </c>
      <c r="BA40">
        <v>1322</v>
      </c>
      <c r="BB40">
        <v>64</v>
      </c>
      <c r="BC40">
        <v>8</v>
      </c>
      <c r="BD40">
        <v>8</v>
      </c>
      <c r="BE40">
        <v>61</v>
      </c>
      <c r="BF40">
        <v>31</v>
      </c>
      <c r="BG40">
        <v>1235</v>
      </c>
      <c r="BH40">
        <v>317</v>
      </c>
      <c r="BJ40" t="s">
        <v>536</v>
      </c>
      <c r="BK40" t="s">
        <v>370</v>
      </c>
      <c r="BL40">
        <v>10443</v>
      </c>
      <c r="BM40">
        <v>2757</v>
      </c>
      <c r="BN40">
        <v>92.122187111000002</v>
      </c>
      <c r="BO40">
        <v>14693</v>
      </c>
      <c r="BP40">
        <v>1218</v>
      </c>
      <c r="BQ40">
        <v>139.5444769618</v>
      </c>
      <c r="BR40">
        <v>149.9252873563</v>
      </c>
      <c r="BS40">
        <v>3499</v>
      </c>
      <c r="BT40">
        <v>957</v>
      </c>
      <c r="BU40">
        <v>93.034867104900002</v>
      </c>
      <c r="BV40">
        <v>14657</v>
      </c>
      <c r="BW40">
        <v>1054</v>
      </c>
      <c r="BX40">
        <v>135.75759022989999</v>
      </c>
      <c r="BY40">
        <v>149.59677419350001</v>
      </c>
      <c r="CA40" t="s">
        <v>376</v>
      </c>
      <c r="CB40" t="s">
        <v>857</v>
      </c>
      <c r="CC40" t="s">
        <v>989</v>
      </c>
      <c r="CD40">
        <v>8346</v>
      </c>
      <c r="CE40">
        <v>2430</v>
      </c>
      <c r="CF40">
        <v>104.4394919722</v>
      </c>
      <c r="CG40">
        <v>13500</v>
      </c>
      <c r="CH40">
        <v>995</v>
      </c>
      <c r="CI40">
        <v>143.5762962963</v>
      </c>
      <c r="CJ40">
        <v>140.04221105529999</v>
      </c>
      <c r="CL40" t="s">
        <v>376</v>
      </c>
      <c r="CM40" t="s">
        <v>826</v>
      </c>
      <c r="CN40" t="s">
        <v>836</v>
      </c>
      <c r="CO40">
        <v>1564</v>
      </c>
      <c r="CP40">
        <v>226</v>
      </c>
      <c r="CQ40">
        <v>71.398337595900003</v>
      </c>
      <c r="CR40">
        <v>2626</v>
      </c>
      <c r="CS40">
        <v>204</v>
      </c>
      <c r="CT40">
        <v>90.103579588700001</v>
      </c>
      <c r="CU40">
        <v>101.89215686270001</v>
      </c>
      <c r="CW40" t="s">
        <v>376</v>
      </c>
      <c r="CX40" t="s">
        <v>842</v>
      </c>
      <c r="CY40" t="s">
        <v>852</v>
      </c>
      <c r="CZ40">
        <v>185</v>
      </c>
      <c r="DA40">
        <v>62</v>
      </c>
      <c r="DB40">
        <v>94.351351351399998</v>
      </c>
      <c r="DC40">
        <v>200</v>
      </c>
      <c r="DD40">
        <v>29</v>
      </c>
      <c r="DE40">
        <v>143.56</v>
      </c>
      <c r="DF40">
        <v>138.82758620690001</v>
      </c>
      <c r="DH40" t="s">
        <v>376</v>
      </c>
      <c r="DI40" t="s">
        <v>810</v>
      </c>
      <c r="DJ40" t="s">
        <v>820</v>
      </c>
      <c r="DK40">
        <v>112</v>
      </c>
      <c r="DL40">
        <v>20</v>
      </c>
      <c r="DM40">
        <v>81.160714285699996</v>
      </c>
      <c r="DN40">
        <v>190</v>
      </c>
      <c r="DO40">
        <v>15</v>
      </c>
      <c r="DP40">
        <v>134.0684210526</v>
      </c>
      <c r="DQ40">
        <v>145.80000000000001</v>
      </c>
    </row>
    <row r="41" spans="2:121" x14ac:dyDescent="0.2">
      <c r="B41" t="s">
        <v>105</v>
      </c>
      <c r="C41">
        <v>7393</v>
      </c>
      <c r="D41">
        <v>5871</v>
      </c>
      <c r="F41" t="s">
        <v>25</v>
      </c>
      <c r="G41">
        <v>12609</v>
      </c>
      <c r="H41">
        <v>348.06582599730001</v>
      </c>
      <c r="I41">
        <v>16296</v>
      </c>
      <c r="J41">
        <v>4686</v>
      </c>
      <c r="K41">
        <v>18015</v>
      </c>
      <c r="L41">
        <v>12947</v>
      </c>
      <c r="M41">
        <v>7432</v>
      </c>
      <c r="N41">
        <v>6038</v>
      </c>
      <c r="O41">
        <v>10332</v>
      </c>
      <c r="P41">
        <v>9503</v>
      </c>
      <c r="Q41">
        <v>68</v>
      </c>
      <c r="R41">
        <v>11</v>
      </c>
      <c r="T41" t="s">
        <v>386</v>
      </c>
      <c r="U41">
        <v>2758</v>
      </c>
      <c r="V41">
        <v>52.036983321199997</v>
      </c>
      <c r="W41">
        <v>2982</v>
      </c>
      <c r="X41">
        <v>214</v>
      </c>
      <c r="Y41">
        <v>3519</v>
      </c>
      <c r="Z41">
        <v>175</v>
      </c>
      <c r="AA41">
        <v>24</v>
      </c>
      <c r="AB41">
        <v>20</v>
      </c>
      <c r="AC41">
        <v>164</v>
      </c>
      <c r="AD41">
        <v>62</v>
      </c>
      <c r="AE41">
        <v>2614</v>
      </c>
      <c r="AF41">
        <v>557</v>
      </c>
      <c r="AH41" t="s">
        <v>8</v>
      </c>
      <c r="AI41">
        <v>3834</v>
      </c>
      <c r="AJ41">
        <v>377.52243088159997</v>
      </c>
      <c r="AK41">
        <v>4323</v>
      </c>
      <c r="AL41">
        <v>1913</v>
      </c>
      <c r="AM41">
        <v>5256</v>
      </c>
      <c r="AN41">
        <v>3788</v>
      </c>
      <c r="AO41">
        <v>1476</v>
      </c>
      <c r="AP41">
        <v>1043</v>
      </c>
      <c r="AQ41">
        <v>1654</v>
      </c>
      <c r="AR41">
        <v>1040</v>
      </c>
      <c r="AS41">
        <v>458</v>
      </c>
      <c r="AT41">
        <v>152</v>
      </c>
      <c r="AV41" t="s">
        <v>60</v>
      </c>
      <c r="AW41">
        <v>1243</v>
      </c>
      <c r="AX41">
        <v>99.816572807699998</v>
      </c>
      <c r="AY41">
        <v>2228</v>
      </c>
      <c r="AZ41">
        <v>622</v>
      </c>
      <c r="BA41">
        <v>1715</v>
      </c>
      <c r="BB41">
        <v>563</v>
      </c>
      <c r="BC41">
        <v>13</v>
      </c>
      <c r="BD41">
        <v>12</v>
      </c>
      <c r="BE41">
        <v>85</v>
      </c>
      <c r="BF41">
        <v>25</v>
      </c>
      <c r="BG41">
        <v>139</v>
      </c>
      <c r="BH41">
        <v>368</v>
      </c>
      <c r="BJ41" t="s">
        <v>628</v>
      </c>
      <c r="BK41" t="s">
        <v>370</v>
      </c>
      <c r="BL41">
        <v>1505</v>
      </c>
      <c r="BM41">
        <v>201</v>
      </c>
      <c r="BN41">
        <v>73.700332225899999</v>
      </c>
      <c r="BO41">
        <v>1934</v>
      </c>
      <c r="BP41">
        <v>147</v>
      </c>
      <c r="BQ41">
        <v>111.90998448009999</v>
      </c>
      <c r="BR41">
        <v>125.0544217687</v>
      </c>
      <c r="BS41">
        <v>4242</v>
      </c>
      <c r="BT41">
        <v>1378</v>
      </c>
      <c r="BU41">
        <v>110.06718529</v>
      </c>
      <c r="BV41">
        <v>7794</v>
      </c>
      <c r="BW41">
        <v>651</v>
      </c>
      <c r="BX41">
        <v>138.25876010779999</v>
      </c>
      <c r="BY41">
        <v>149.00307219659999</v>
      </c>
      <c r="CA41" t="s">
        <v>373</v>
      </c>
      <c r="CB41" t="s">
        <v>857</v>
      </c>
      <c r="CC41" t="s">
        <v>990</v>
      </c>
      <c r="CD41">
        <v>847</v>
      </c>
      <c r="CE41">
        <v>186</v>
      </c>
      <c r="CF41">
        <v>84.452184179499994</v>
      </c>
      <c r="CG41">
        <v>1430</v>
      </c>
      <c r="CH41">
        <v>117</v>
      </c>
      <c r="CI41">
        <v>116.2748251748</v>
      </c>
      <c r="CJ41">
        <v>108.23076923079999</v>
      </c>
      <c r="CL41" t="s">
        <v>373</v>
      </c>
      <c r="CM41" t="s">
        <v>826</v>
      </c>
      <c r="CN41" t="s">
        <v>837</v>
      </c>
      <c r="CO41">
        <v>103</v>
      </c>
      <c r="CP41">
        <v>14</v>
      </c>
      <c r="CQ41">
        <v>72.116504854400006</v>
      </c>
      <c r="CR41">
        <v>217</v>
      </c>
      <c r="CS41">
        <v>15</v>
      </c>
      <c r="CT41">
        <v>93.207373271899996</v>
      </c>
      <c r="CU41">
        <v>82.866666666699999</v>
      </c>
      <c r="CW41" t="s">
        <v>373</v>
      </c>
      <c r="CX41" t="s">
        <v>842</v>
      </c>
      <c r="CY41" t="s">
        <v>853</v>
      </c>
      <c r="CZ41">
        <v>10</v>
      </c>
      <c r="DA41">
        <v>4</v>
      </c>
      <c r="DB41">
        <v>94.1</v>
      </c>
      <c r="DC41">
        <v>13</v>
      </c>
      <c r="DD41">
        <v>2</v>
      </c>
      <c r="DE41">
        <v>172.23076923080001</v>
      </c>
      <c r="DF41">
        <v>144.5</v>
      </c>
      <c r="DH41" t="s">
        <v>373</v>
      </c>
      <c r="DI41" t="s">
        <v>810</v>
      </c>
      <c r="DJ41" t="s">
        <v>821</v>
      </c>
      <c r="DK41">
        <v>9</v>
      </c>
      <c r="DL41">
        <v>3</v>
      </c>
      <c r="DM41">
        <v>88.333333333300004</v>
      </c>
      <c r="DN41">
        <v>14</v>
      </c>
      <c r="DO41">
        <v>1</v>
      </c>
      <c r="DP41">
        <v>124.8571428571</v>
      </c>
      <c r="DQ41">
        <v>125</v>
      </c>
    </row>
    <row r="42" spans="2:121" x14ac:dyDescent="0.2">
      <c r="B42" t="s">
        <v>113</v>
      </c>
      <c r="C42">
        <v>16044</v>
      </c>
      <c r="D42">
        <v>4663</v>
      </c>
      <c r="F42" t="s">
        <v>66</v>
      </c>
      <c r="G42">
        <v>6470</v>
      </c>
      <c r="H42">
        <v>468.1372488408</v>
      </c>
      <c r="I42">
        <v>4619</v>
      </c>
      <c r="J42">
        <v>1148</v>
      </c>
      <c r="K42">
        <v>7970</v>
      </c>
      <c r="L42">
        <v>6149</v>
      </c>
      <c r="M42">
        <v>2948</v>
      </c>
      <c r="N42">
        <v>2773</v>
      </c>
      <c r="O42">
        <v>1953</v>
      </c>
      <c r="P42">
        <v>1256</v>
      </c>
      <c r="Q42">
        <v>1</v>
      </c>
      <c r="R42">
        <v>80</v>
      </c>
      <c r="T42" t="s">
        <v>405</v>
      </c>
      <c r="U42">
        <v>1983</v>
      </c>
      <c r="V42">
        <v>50.075138678800002</v>
      </c>
      <c r="W42">
        <v>3025</v>
      </c>
      <c r="X42">
        <v>159</v>
      </c>
      <c r="Y42">
        <v>2688</v>
      </c>
      <c r="Z42">
        <v>121</v>
      </c>
      <c r="AA42">
        <v>19</v>
      </c>
      <c r="AB42">
        <v>10</v>
      </c>
      <c r="AC42">
        <v>114</v>
      </c>
      <c r="AD42">
        <v>55</v>
      </c>
      <c r="AE42">
        <v>2898</v>
      </c>
      <c r="AF42">
        <v>569</v>
      </c>
      <c r="AH42" t="s">
        <v>376</v>
      </c>
      <c r="AI42">
        <v>7009</v>
      </c>
      <c r="AJ42">
        <v>461.08531887570001</v>
      </c>
      <c r="AK42">
        <v>8757</v>
      </c>
      <c r="AL42">
        <v>2509</v>
      </c>
      <c r="AM42">
        <v>10948</v>
      </c>
      <c r="AN42">
        <v>8237</v>
      </c>
      <c r="AO42">
        <v>2037</v>
      </c>
      <c r="AP42">
        <v>1692</v>
      </c>
      <c r="AQ42">
        <v>6369</v>
      </c>
      <c r="AR42">
        <v>5069</v>
      </c>
      <c r="AS42">
        <v>1489</v>
      </c>
      <c r="AT42">
        <v>13</v>
      </c>
      <c r="AV42" t="s">
        <v>412</v>
      </c>
      <c r="AW42">
        <v>310</v>
      </c>
      <c r="AX42">
        <v>51.574193548399997</v>
      </c>
      <c r="AY42">
        <v>274</v>
      </c>
      <c r="AZ42">
        <v>29</v>
      </c>
      <c r="BA42">
        <v>384</v>
      </c>
      <c r="BB42">
        <v>18</v>
      </c>
      <c r="BC42">
        <v>5</v>
      </c>
      <c r="BD42">
        <v>4</v>
      </c>
      <c r="BE42">
        <v>23</v>
      </c>
      <c r="BF42">
        <v>4</v>
      </c>
      <c r="BG42">
        <v>68</v>
      </c>
      <c r="BH42">
        <v>25</v>
      </c>
      <c r="BJ42" t="s">
        <v>630</v>
      </c>
      <c r="BK42" t="s">
        <v>370</v>
      </c>
      <c r="BL42">
        <v>535</v>
      </c>
      <c r="BM42">
        <v>163</v>
      </c>
      <c r="BN42">
        <v>94.831775700899996</v>
      </c>
      <c r="BO42">
        <v>639</v>
      </c>
      <c r="BP42">
        <v>51</v>
      </c>
      <c r="BQ42">
        <v>137.79029733959999</v>
      </c>
      <c r="BR42">
        <v>145.3137254902</v>
      </c>
      <c r="BS42">
        <v>719</v>
      </c>
      <c r="BT42">
        <v>187</v>
      </c>
      <c r="BU42">
        <v>96.116828929099995</v>
      </c>
      <c r="BV42">
        <v>891</v>
      </c>
      <c r="BW42">
        <v>67</v>
      </c>
      <c r="BX42">
        <v>160.80808080809999</v>
      </c>
      <c r="BY42">
        <v>143.4626865672</v>
      </c>
      <c r="CA42" t="s">
        <v>418</v>
      </c>
      <c r="CB42" t="s">
        <v>857</v>
      </c>
      <c r="CC42" t="s">
        <v>991</v>
      </c>
      <c r="CD42">
        <v>504</v>
      </c>
      <c r="CE42">
        <v>142</v>
      </c>
      <c r="CF42">
        <v>90.420634920599994</v>
      </c>
      <c r="CG42">
        <v>635</v>
      </c>
      <c r="CH42">
        <v>50</v>
      </c>
      <c r="CI42">
        <v>135.04409448819999</v>
      </c>
      <c r="CJ42">
        <v>129.72</v>
      </c>
      <c r="CL42" t="s">
        <v>418</v>
      </c>
      <c r="CM42" t="s">
        <v>826</v>
      </c>
      <c r="CN42" t="s">
        <v>838</v>
      </c>
      <c r="CO42">
        <v>48</v>
      </c>
      <c r="CP42">
        <v>6</v>
      </c>
      <c r="CQ42">
        <v>75.395833333300004</v>
      </c>
      <c r="CR42">
        <v>71</v>
      </c>
      <c r="CS42">
        <v>6</v>
      </c>
      <c r="CT42">
        <v>93.690140845100004</v>
      </c>
      <c r="CU42">
        <v>83.5</v>
      </c>
      <c r="CW42" t="s">
        <v>418</v>
      </c>
      <c r="CX42" t="s">
        <v>842</v>
      </c>
      <c r="CY42" t="s">
        <v>854</v>
      </c>
      <c r="CZ42">
        <v>4</v>
      </c>
      <c r="DA42">
        <v>1</v>
      </c>
      <c r="DB42">
        <v>70</v>
      </c>
      <c r="DC42">
        <v>6</v>
      </c>
      <c r="DD42">
        <v>1</v>
      </c>
      <c r="DE42">
        <v>135.1666666667</v>
      </c>
      <c r="DF42">
        <v>186</v>
      </c>
      <c r="DH42" t="s">
        <v>418</v>
      </c>
      <c r="DI42" t="s">
        <v>810</v>
      </c>
      <c r="DJ42" t="s">
        <v>822</v>
      </c>
      <c r="DK42">
        <v>3</v>
      </c>
      <c r="DL42">
        <v>0</v>
      </c>
      <c r="DM42">
        <v>88.333333333300004</v>
      </c>
      <c r="DN42">
        <v>9</v>
      </c>
      <c r="DO42">
        <v>0</v>
      </c>
      <c r="DP42">
        <v>112.6666666667</v>
      </c>
      <c r="DQ42">
        <v>0</v>
      </c>
    </row>
    <row r="43" spans="2:121" x14ac:dyDescent="0.2">
      <c r="B43" t="s">
        <v>112</v>
      </c>
      <c r="C43">
        <v>7587</v>
      </c>
      <c r="D43">
        <v>788</v>
      </c>
      <c r="F43" t="s">
        <v>75</v>
      </c>
      <c r="G43">
        <v>4114</v>
      </c>
      <c r="H43">
        <v>225.32134175979999</v>
      </c>
      <c r="I43">
        <v>5928</v>
      </c>
      <c r="J43">
        <v>1363</v>
      </c>
      <c r="K43">
        <v>5708</v>
      </c>
      <c r="L43">
        <v>3257</v>
      </c>
      <c r="M43">
        <v>2237</v>
      </c>
      <c r="N43">
        <v>1987</v>
      </c>
      <c r="O43">
        <v>3648</v>
      </c>
      <c r="P43">
        <v>3307</v>
      </c>
      <c r="Q43">
        <v>0</v>
      </c>
      <c r="R43">
        <v>41</v>
      </c>
      <c r="AH43" t="s">
        <v>428</v>
      </c>
      <c r="AI43">
        <v>1686</v>
      </c>
      <c r="AJ43">
        <v>304.27520759190003</v>
      </c>
      <c r="AK43">
        <v>2883</v>
      </c>
      <c r="AL43">
        <v>889</v>
      </c>
      <c r="AM43">
        <v>4243</v>
      </c>
      <c r="AN43">
        <v>2158</v>
      </c>
      <c r="AO43">
        <v>924</v>
      </c>
      <c r="AP43">
        <v>755</v>
      </c>
      <c r="AQ43">
        <v>1647</v>
      </c>
      <c r="AR43">
        <v>1214</v>
      </c>
      <c r="AS43">
        <v>366</v>
      </c>
      <c r="AT43">
        <v>4</v>
      </c>
      <c r="AV43" t="s">
        <v>417</v>
      </c>
      <c r="AW43">
        <v>145</v>
      </c>
      <c r="AX43">
        <v>96.020689655200002</v>
      </c>
      <c r="AY43">
        <v>146</v>
      </c>
      <c r="AZ43">
        <v>33</v>
      </c>
      <c r="BA43">
        <v>184</v>
      </c>
      <c r="BB43">
        <v>58</v>
      </c>
      <c r="BC43">
        <v>1</v>
      </c>
      <c r="BD43">
        <v>1</v>
      </c>
      <c r="BE43">
        <v>15</v>
      </c>
      <c r="BF43">
        <v>3</v>
      </c>
      <c r="BG43">
        <v>19</v>
      </c>
      <c r="BH43">
        <v>34</v>
      </c>
      <c r="BJ43" t="s">
        <v>644</v>
      </c>
      <c r="BK43" t="s">
        <v>370</v>
      </c>
      <c r="BL43">
        <v>738</v>
      </c>
      <c r="BM43">
        <v>213</v>
      </c>
      <c r="BN43">
        <v>102.1490514905</v>
      </c>
      <c r="BO43">
        <v>1087</v>
      </c>
      <c r="BP43">
        <v>60</v>
      </c>
      <c r="BQ43">
        <v>143.37994480219999</v>
      </c>
      <c r="BR43">
        <v>130.80000000000001</v>
      </c>
      <c r="BS43">
        <v>634</v>
      </c>
      <c r="BT43">
        <v>124</v>
      </c>
      <c r="BU43">
        <v>81.897476340699995</v>
      </c>
      <c r="BV43">
        <v>599</v>
      </c>
      <c r="BW43">
        <v>44</v>
      </c>
      <c r="BX43">
        <v>120.7128547579</v>
      </c>
      <c r="BY43">
        <v>100.04545454549999</v>
      </c>
      <c r="CA43" t="s">
        <v>379</v>
      </c>
      <c r="CB43" t="s">
        <v>857</v>
      </c>
      <c r="CC43" t="s">
        <v>992</v>
      </c>
      <c r="CD43">
        <v>10157</v>
      </c>
      <c r="CE43">
        <v>2640</v>
      </c>
      <c r="CF43">
        <v>91.494535788099995</v>
      </c>
      <c r="CG43">
        <v>15382</v>
      </c>
      <c r="CH43">
        <v>1257</v>
      </c>
      <c r="CI43">
        <v>134.9266025224</v>
      </c>
      <c r="CJ43">
        <v>142.8345266508</v>
      </c>
      <c r="CL43" t="s">
        <v>379</v>
      </c>
      <c r="CM43" t="s">
        <v>826</v>
      </c>
      <c r="CN43" t="s">
        <v>839</v>
      </c>
      <c r="CO43">
        <v>781</v>
      </c>
      <c r="CP43">
        <v>132</v>
      </c>
      <c r="CQ43">
        <v>72.317541613299994</v>
      </c>
      <c r="CR43">
        <v>1428</v>
      </c>
      <c r="CS43">
        <v>109</v>
      </c>
      <c r="CT43">
        <v>98.226190476200003</v>
      </c>
      <c r="CU43">
        <v>113.623853211</v>
      </c>
      <c r="CW43" t="s">
        <v>379</v>
      </c>
      <c r="CX43" t="s">
        <v>842</v>
      </c>
      <c r="CY43" t="s">
        <v>855</v>
      </c>
      <c r="CZ43">
        <v>614</v>
      </c>
      <c r="DA43">
        <v>198</v>
      </c>
      <c r="DB43">
        <v>93.079804560300005</v>
      </c>
      <c r="DC43">
        <v>631</v>
      </c>
      <c r="DD43">
        <v>84</v>
      </c>
      <c r="DE43">
        <v>164.37559429480001</v>
      </c>
      <c r="DF43">
        <v>153.9761904762</v>
      </c>
      <c r="DH43" t="s">
        <v>379</v>
      </c>
      <c r="DI43" t="s">
        <v>810</v>
      </c>
      <c r="DJ43" t="s">
        <v>823</v>
      </c>
      <c r="DK43">
        <v>1038</v>
      </c>
      <c r="DL43">
        <v>344</v>
      </c>
      <c r="DM43">
        <v>93.408477841999996</v>
      </c>
      <c r="DN43">
        <v>1045</v>
      </c>
      <c r="DO43">
        <v>123</v>
      </c>
      <c r="DP43">
        <v>156.9578947368</v>
      </c>
      <c r="DQ43">
        <v>163.61788617889999</v>
      </c>
    </row>
    <row r="44" spans="2:121" x14ac:dyDescent="0.2">
      <c r="B44" t="s">
        <v>127</v>
      </c>
      <c r="C44">
        <v>62950</v>
      </c>
      <c r="D44">
        <v>54696</v>
      </c>
      <c r="F44" t="s">
        <v>32</v>
      </c>
      <c r="G44">
        <v>2062</v>
      </c>
      <c r="H44">
        <v>471.00193986419998</v>
      </c>
      <c r="I44">
        <v>1204</v>
      </c>
      <c r="J44">
        <v>378</v>
      </c>
      <c r="K44">
        <v>2797</v>
      </c>
      <c r="L44">
        <v>2148</v>
      </c>
      <c r="M44">
        <v>2121</v>
      </c>
      <c r="N44">
        <v>1804</v>
      </c>
      <c r="O44">
        <v>562</v>
      </c>
      <c r="P44">
        <v>278</v>
      </c>
      <c r="Q44">
        <v>0</v>
      </c>
      <c r="R44">
        <v>2</v>
      </c>
      <c r="AH44" t="s">
        <v>373</v>
      </c>
      <c r="AI44">
        <v>263</v>
      </c>
      <c r="AJ44">
        <v>260.82129277569999</v>
      </c>
      <c r="AK44">
        <v>841</v>
      </c>
      <c r="AL44">
        <v>198</v>
      </c>
      <c r="AM44">
        <v>582</v>
      </c>
      <c r="AN44">
        <v>304</v>
      </c>
      <c r="AO44">
        <v>261</v>
      </c>
      <c r="AP44">
        <v>220</v>
      </c>
      <c r="AQ44">
        <v>205</v>
      </c>
      <c r="AR44">
        <v>112</v>
      </c>
      <c r="AS44">
        <v>186</v>
      </c>
      <c r="AT44">
        <v>2</v>
      </c>
      <c r="AV44" t="s">
        <v>395</v>
      </c>
      <c r="AW44">
        <v>517</v>
      </c>
      <c r="AX44">
        <v>56.197292069600003</v>
      </c>
      <c r="AY44">
        <v>800</v>
      </c>
      <c r="AZ44">
        <v>136</v>
      </c>
      <c r="BA44">
        <v>670</v>
      </c>
      <c r="BB44">
        <v>50</v>
      </c>
      <c r="BC44">
        <v>1</v>
      </c>
      <c r="BD44">
        <v>1</v>
      </c>
      <c r="BE44">
        <v>38</v>
      </c>
      <c r="BF44">
        <v>9</v>
      </c>
      <c r="BG44">
        <v>93</v>
      </c>
      <c r="BH44">
        <v>121</v>
      </c>
      <c r="BJ44" t="s">
        <v>544</v>
      </c>
      <c r="BK44" t="s">
        <v>370</v>
      </c>
      <c r="BL44">
        <v>16636</v>
      </c>
      <c r="BM44">
        <v>4162</v>
      </c>
      <c r="BN44">
        <v>93.129358018800005</v>
      </c>
      <c r="BO44">
        <v>22928</v>
      </c>
      <c r="BP44">
        <v>1880</v>
      </c>
      <c r="BQ44">
        <v>148.4029049987</v>
      </c>
      <c r="BR44">
        <v>142.02021276599999</v>
      </c>
      <c r="BS44">
        <v>13099</v>
      </c>
      <c r="BT44">
        <v>2397</v>
      </c>
      <c r="BU44">
        <v>78.178257882300002</v>
      </c>
      <c r="BV44">
        <v>14831</v>
      </c>
      <c r="BW44">
        <v>1337</v>
      </c>
      <c r="BX44">
        <v>138.14078619110001</v>
      </c>
      <c r="BY44">
        <v>125.6133133882</v>
      </c>
      <c r="CA44" t="s">
        <v>380</v>
      </c>
      <c r="CB44" t="s">
        <v>857</v>
      </c>
      <c r="CC44" t="s">
        <v>993</v>
      </c>
      <c r="CD44">
        <v>2676</v>
      </c>
      <c r="CE44">
        <v>540</v>
      </c>
      <c r="CF44">
        <v>85.118460388599999</v>
      </c>
      <c r="CG44">
        <v>3741</v>
      </c>
      <c r="CH44">
        <v>362</v>
      </c>
      <c r="CI44">
        <v>123.6025126971</v>
      </c>
      <c r="CJ44">
        <v>126.28729281770001</v>
      </c>
      <c r="CL44" t="s">
        <v>380</v>
      </c>
      <c r="CM44" t="s">
        <v>826</v>
      </c>
      <c r="CN44" t="s">
        <v>840</v>
      </c>
      <c r="CO44">
        <v>264</v>
      </c>
      <c r="CP44">
        <v>42</v>
      </c>
      <c r="CQ44">
        <v>76.477272727300004</v>
      </c>
      <c r="CR44">
        <v>468</v>
      </c>
      <c r="CS44">
        <v>26</v>
      </c>
      <c r="CT44">
        <v>93.376068376099994</v>
      </c>
      <c r="CU44">
        <v>116.1153846154</v>
      </c>
      <c r="CW44" t="s">
        <v>380</v>
      </c>
      <c r="CX44" t="s">
        <v>842</v>
      </c>
      <c r="CY44" t="s">
        <v>856</v>
      </c>
      <c r="CZ44">
        <v>18</v>
      </c>
      <c r="DA44">
        <v>4</v>
      </c>
      <c r="DB44">
        <v>89.722222222200003</v>
      </c>
      <c r="DC44">
        <v>24</v>
      </c>
      <c r="DD44">
        <v>4</v>
      </c>
      <c r="DE44">
        <v>147.4166666667</v>
      </c>
      <c r="DF44">
        <v>147</v>
      </c>
      <c r="DH44" t="s">
        <v>380</v>
      </c>
      <c r="DI44" t="s">
        <v>810</v>
      </c>
      <c r="DJ44" t="s">
        <v>824</v>
      </c>
      <c r="DK44">
        <v>22</v>
      </c>
      <c r="DL44">
        <v>6</v>
      </c>
      <c r="DM44">
        <v>87.772727272699996</v>
      </c>
      <c r="DN44">
        <v>37</v>
      </c>
      <c r="DO44">
        <v>6</v>
      </c>
      <c r="DP44">
        <v>147.7567567568</v>
      </c>
      <c r="DQ44">
        <v>156.3333333333</v>
      </c>
    </row>
    <row r="45" spans="2:121" x14ac:dyDescent="0.2">
      <c r="B45" t="s">
        <v>126</v>
      </c>
      <c r="C45">
        <v>10227</v>
      </c>
      <c r="D45">
        <v>7316</v>
      </c>
      <c r="F45" t="s">
        <v>63</v>
      </c>
      <c r="G45">
        <v>5433</v>
      </c>
      <c r="H45">
        <v>413.36738450209998</v>
      </c>
      <c r="I45">
        <v>11710</v>
      </c>
      <c r="J45">
        <v>3125</v>
      </c>
      <c r="K45">
        <v>8593</v>
      </c>
      <c r="L45">
        <v>6487</v>
      </c>
      <c r="M45">
        <v>2401</v>
      </c>
      <c r="N45">
        <v>1404</v>
      </c>
      <c r="O45">
        <v>7243</v>
      </c>
      <c r="P45">
        <v>6355</v>
      </c>
      <c r="Q45">
        <v>12570</v>
      </c>
      <c r="R45">
        <v>0</v>
      </c>
      <c r="AH45" t="s">
        <v>384</v>
      </c>
      <c r="AI45">
        <v>9226</v>
      </c>
      <c r="AJ45">
        <v>415.83177975289999</v>
      </c>
      <c r="AK45">
        <v>9275</v>
      </c>
      <c r="AL45">
        <v>2622</v>
      </c>
      <c r="AM45">
        <v>12623</v>
      </c>
      <c r="AN45">
        <v>9113</v>
      </c>
      <c r="AO45">
        <v>2828</v>
      </c>
      <c r="AP45">
        <v>2281</v>
      </c>
      <c r="AQ45">
        <v>3373</v>
      </c>
      <c r="AR45">
        <v>1919</v>
      </c>
      <c r="AS45">
        <v>648</v>
      </c>
      <c r="AT45">
        <v>61</v>
      </c>
      <c r="AV45" t="s">
        <v>422</v>
      </c>
      <c r="AW45">
        <v>19</v>
      </c>
      <c r="AX45">
        <v>63.473684210499997</v>
      </c>
      <c r="AY45">
        <v>27</v>
      </c>
      <c r="AZ45">
        <v>2</v>
      </c>
      <c r="BA45">
        <v>32</v>
      </c>
      <c r="BB45">
        <v>5</v>
      </c>
      <c r="BC45">
        <v>0</v>
      </c>
      <c r="BE45">
        <v>0</v>
      </c>
      <c r="BG45">
        <v>63</v>
      </c>
      <c r="BH45">
        <v>3</v>
      </c>
      <c r="BJ45" t="s">
        <v>8</v>
      </c>
      <c r="BK45" t="s">
        <v>8</v>
      </c>
      <c r="BL45">
        <v>108</v>
      </c>
      <c r="BM45">
        <v>83</v>
      </c>
      <c r="BN45">
        <v>247.0462962963</v>
      </c>
      <c r="BO45">
        <v>456</v>
      </c>
      <c r="BP45">
        <v>15</v>
      </c>
      <c r="BQ45">
        <v>214.91008771930001</v>
      </c>
      <c r="BR45">
        <v>203.8</v>
      </c>
      <c r="BS45">
        <v>38744</v>
      </c>
      <c r="BT45">
        <v>10291</v>
      </c>
      <c r="BU45">
        <v>98.578850918900002</v>
      </c>
      <c r="BV45">
        <v>9</v>
      </c>
      <c r="BW45">
        <v>1</v>
      </c>
      <c r="BX45">
        <v>115</v>
      </c>
      <c r="BY45">
        <v>9</v>
      </c>
      <c r="CA45" t="s">
        <v>370</v>
      </c>
      <c r="CB45" t="s">
        <v>857</v>
      </c>
      <c r="CD45">
        <v>66094</v>
      </c>
      <c r="CE45">
        <v>16649</v>
      </c>
      <c r="CF45">
        <v>94.587768935200003</v>
      </c>
      <c r="CG45">
        <v>98076</v>
      </c>
      <c r="CH45">
        <v>7946</v>
      </c>
      <c r="CI45">
        <v>136.5607875927</v>
      </c>
      <c r="CJ45">
        <v>134.1381827335</v>
      </c>
      <c r="CL45" t="s">
        <v>370</v>
      </c>
      <c r="CM45" t="s">
        <v>826</v>
      </c>
      <c r="CO45">
        <v>7452</v>
      </c>
      <c r="CP45">
        <v>1083</v>
      </c>
      <c r="CQ45">
        <v>72.143451422400005</v>
      </c>
      <c r="CR45">
        <v>12885</v>
      </c>
      <c r="CS45">
        <v>1005</v>
      </c>
      <c r="CT45">
        <v>91.814978657400005</v>
      </c>
      <c r="CU45">
        <v>105.93631840800001</v>
      </c>
      <c r="CW45" t="s">
        <v>370</v>
      </c>
      <c r="CX45" t="s">
        <v>842</v>
      </c>
      <c r="CZ45">
        <v>2141</v>
      </c>
      <c r="DA45">
        <v>692</v>
      </c>
      <c r="DB45">
        <v>94.170014012099998</v>
      </c>
      <c r="DC45">
        <v>2260</v>
      </c>
      <c r="DD45">
        <v>316</v>
      </c>
      <c r="DE45">
        <v>153.15973451330001</v>
      </c>
      <c r="DF45">
        <v>152.6234177215</v>
      </c>
      <c r="DH45" t="s">
        <v>370</v>
      </c>
      <c r="DI45" t="s">
        <v>810</v>
      </c>
      <c r="DK45">
        <v>2924</v>
      </c>
      <c r="DL45">
        <v>835</v>
      </c>
      <c r="DM45">
        <v>88.7274281806</v>
      </c>
      <c r="DN45">
        <v>3160</v>
      </c>
      <c r="DO45">
        <v>343</v>
      </c>
      <c r="DP45">
        <v>148.86898734179999</v>
      </c>
      <c r="DQ45">
        <v>149.81049562679999</v>
      </c>
    </row>
    <row r="46" spans="2:121" x14ac:dyDescent="0.2">
      <c r="B46" t="s">
        <v>108</v>
      </c>
      <c r="C46">
        <v>529</v>
      </c>
      <c r="D46">
        <v>446</v>
      </c>
      <c r="F46" t="s">
        <v>81</v>
      </c>
      <c r="G46">
        <v>1629</v>
      </c>
      <c r="H46">
        <v>188.8311847759</v>
      </c>
      <c r="I46">
        <v>2327</v>
      </c>
      <c r="J46">
        <v>443</v>
      </c>
      <c r="K46">
        <v>2325</v>
      </c>
      <c r="L46">
        <v>1194</v>
      </c>
      <c r="M46">
        <v>1023</v>
      </c>
      <c r="N46">
        <v>555</v>
      </c>
      <c r="O46">
        <v>210</v>
      </c>
      <c r="P46">
        <v>98</v>
      </c>
      <c r="Q46">
        <v>0</v>
      </c>
      <c r="R46">
        <v>6</v>
      </c>
      <c r="AH46" t="s">
        <v>421</v>
      </c>
      <c r="AI46">
        <v>375</v>
      </c>
      <c r="AJ46">
        <v>258.34933333330002</v>
      </c>
      <c r="AK46">
        <v>954</v>
      </c>
      <c r="AL46">
        <v>205</v>
      </c>
      <c r="AM46">
        <v>621</v>
      </c>
      <c r="AN46">
        <v>264</v>
      </c>
      <c r="AO46">
        <v>310</v>
      </c>
      <c r="AP46">
        <v>122</v>
      </c>
      <c r="AQ46">
        <v>126</v>
      </c>
      <c r="AR46">
        <v>74</v>
      </c>
      <c r="AS46">
        <v>1</v>
      </c>
      <c r="AT46">
        <v>1</v>
      </c>
      <c r="AV46" t="s">
        <v>390</v>
      </c>
      <c r="AW46">
        <v>332</v>
      </c>
      <c r="AX46">
        <v>53.9548192771</v>
      </c>
      <c r="AY46">
        <v>271</v>
      </c>
      <c r="AZ46">
        <v>36</v>
      </c>
      <c r="BA46">
        <v>388</v>
      </c>
      <c r="BB46">
        <v>21</v>
      </c>
      <c r="BC46">
        <v>3</v>
      </c>
      <c r="BD46">
        <v>3</v>
      </c>
      <c r="BE46">
        <v>36</v>
      </c>
      <c r="BF46">
        <v>7</v>
      </c>
      <c r="BG46">
        <v>77</v>
      </c>
      <c r="BH46">
        <v>22</v>
      </c>
      <c r="BJ46" t="s">
        <v>687</v>
      </c>
      <c r="BK46" t="s">
        <v>8</v>
      </c>
      <c r="BL46">
        <v>108</v>
      </c>
      <c r="BM46">
        <v>83</v>
      </c>
      <c r="BN46">
        <v>247.0462962963</v>
      </c>
      <c r="BO46">
        <v>456</v>
      </c>
      <c r="BP46">
        <v>15</v>
      </c>
      <c r="BQ46">
        <v>214.91008771930001</v>
      </c>
      <c r="BR46">
        <v>203.8</v>
      </c>
      <c r="BS46">
        <v>38744</v>
      </c>
      <c r="BT46">
        <v>10291</v>
      </c>
      <c r="BU46">
        <v>98.578850918900002</v>
      </c>
      <c r="BV46">
        <v>9</v>
      </c>
      <c r="BW46">
        <v>1</v>
      </c>
      <c r="BX46">
        <v>115</v>
      </c>
      <c r="BY46">
        <v>9</v>
      </c>
      <c r="CA46" t="s">
        <v>8</v>
      </c>
      <c r="CB46" t="s">
        <v>687</v>
      </c>
      <c r="CC46" t="s">
        <v>687</v>
      </c>
      <c r="CD46">
        <v>3510</v>
      </c>
      <c r="CE46">
        <v>1394</v>
      </c>
      <c r="CF46">
        <v>125.3427350427</v>
      </c>
      <c r="CG46">
        <v>4113</v>
      </c>
      <c r="CH46">
        <v>325</v>
      </c>
      <c r="CI46">
        <v>176.34014101630001</v>
      </c>
      <c r="CJ46">
        <v>164.8430769231</v>
      </c>
      <c r="CL46" t="s">
        <v>8</v>
      </c>
      <c r="CM46" t="s">
        <v>859</v>
      </c>
      <c r="CN46" t="s">
        <v>859</v>
      </c>
      <c r="CO46">
        <v>188</v>
      </c>
      <c r="CP46">
        <v>42</v>
      </c>
      <c r="CQ46">
        <v>86.074468085099994</v>
      </c>
      <c r="CR46">
        <v>387</v>
      </c>
      <c r="CS46">
        <v>23</v>
      </c>
      <c r="CT46">
        <v>95.496124030999994</v>
      </c>
      <c r="CU46">
        <v>126.3043478261</v>
      </c>
      <c r="CW46" t="s">
        <v>8</v>
      </c>
      <c r="CX46" t="s">
        <v>860</v>
      </c>
      <c r="CY46" t="s">
        <v>860</v>
      </c>
      <c r="CZ46">
        <v>21</v>
      </c>
      <c r="DA46">
        <v>6</v>
      </c>
      <c r="DB46">
        <v>95.142857142899999</v>
      </c>
      <c r="DC46">
        <v>26</v>
      </c>
      <c r="DD46">
        <v>1</v>
      </c>
      <c r="DE46">
        <v>144.42307692310001</v>
      </c>
      <c r="DF46">
        <v>125</v>
      </c>
      <c r="DH46" t="s">
        <v>8</v>
      </c>
      <c r="DI46" t="s">
        <v>858</v>
      </c>
      <c r="DJ46" t="s">
        <v>858</v>
      </c>
      <c r="DK46">
        <v>77</v>
      </c>
      <c r="DL46">
        <v>21</v>
      </c>
      <c r="DM46">
        <v>83.415584415599994</v>
      </c>
      <c r="DN46">
        <v>72</v>
      </c>
      <c r="DO46">
        <v>10</v>
      </c>
      <c r="DP46">
        <v>121.5972222222</v>
      </c>
      <c r="DQ46">
        <v>125.1</v>
      </c>
    </row>
    <row r="47" spans="2:121" x14ac:dyDescent="0.2">
      <c r="B47" t="s">
        <v>21</v>
      </c>
      <c r="C47">
        <v>37942</v>
      </c>
      <c r="D47">
        <v>13487</v>
      </c>
      <c r="F47" t="s">
        <v>78</v>
      </c>
      <c r="G47">
        <v>1203</v>
      </c>
      <c r="H47">
        <v>266.81296758100001</v>
      </c>
      <c r="I47">
        <v>1341</v>
      </c>
      <c r="J47">
        <v>199</v>
      </c>
      <c r="K47">
        <v>1975</v>
      </c>
      <c r="L47">
        <v>1099</v>
      </c>
      <c r="M47">
        <v>1021</v>
      </c>
      <c r="N47">
        <v>838</v>
      </c>
      <c r="O47">
        <v>348</v>
      </c>
      <c r="P47">
        <v>173</v>
      </c>
      <c r="Q47">
        <v>1</v>
      </c>
      <c r="R47">
        <v>0</v>
      </c>
      <c r="AH47" t="s">
        <v>385</v>
      </c>
      <c r="AI47">
        <v>5424</v>
      </c>
      <c r="AJ47">
        <v>269.53023598819999</v>
      </c>
      <c r="AK47">
        <v>8780</v>
      </c>
      <c r="AL47">
        <v>1918</v>
      </c>
      <c r="AM47">
        <v>9265</v>
      </c>
      <c r="AN47">
        <v>5069</v>
      </c>
      <c r="AO47">
        <v>3342</v>
      </c>
      <c r="AP47">
        <v>2797</v>
      </c>
      <c r="AQ47">
        <v>2644</v>
      </c>
      <c r="AR47">
        <v>1684</v>
      </c>
      <c r="AS47">
        <v>630</v>
      </c>
      <c r="AT47">
        <v>265</v>
      </c>
      <c r="AV47" t="s">
        <v>424</v>
      </c>
      <c r="AW47">
        <v>61</v>
      </c>
      <c r="AX47">
        <v>96.934426229500005</v>
      </c>
      <c r="AY47">
        <v>99</v>
      </c>
      <c r="AZ47">
        <v>32</v>
      </c>
      <c r="BA47">
        <v>80</v>
      </c>
      <c r="BB47">
        <v>27</v>
      </c>
      <c r="BC47">
        <v>2</v>
      </c>
      <c r="BD47">
        <v>2</v>
      </c>
      <c r="BE47">
        <v>7</v>
      </c>
      <c r="BF47">
        <v>1</v>
      </c>
      <c r="BG47">
        <v>9</v>
      </c>
      <c r="BH47">
        <v>25</v>
      </c>
      <c r="BJ47" t="s">
        <v>587</v>
      </c>
      <c r="BK47" t="s">
        <v>405</v>
      </c>
      <c r="BL47">
        <v>2751</v>
      </c>
      <c r="BM47">
        <v>652</v>
      </c>
      <c r="BN47">
        <v>89.915303526000002</v>
      </c>
      <c r="BO47">
        <v>4168</v>
      </c>
      <c r="BP47">
        <v>373</v>
      </c>
      <c r="BQ47">
        <v>142.35150060020001</v>
      </c>
      <c r="BR47">
        <v>137.84450402140001</v>
      </c>
      <c r="BS47">
        <v>902</v>
      </c>
      <c r="BT47">
        <v>162</v>
      </c>
      <c r="BU47">
        <v>80.430155210600006</v>
      </c>
      <c r="BV47">
        <v>3569</v>
      </c>
      <c r="BW47">
        <v>391</v>
      </c>
      <c r="BX47">
        <v>144.02495793610001</v>
      </c>
      <c r="BY47">
        <v>131.09207161130001</v>
      </c>
      <c r="CA47" t="s">
        <v>8</v>
      </c>
      <c r="CB47" t="s">
        <v>687</v>
      </c>
      <c r="CC47" t="s">
        <v>687</v>
      </c>
      <c r="CD47">
        <v>3510</v>
      </c>
      <c r="CE47">
        <v>1394</v>
      </c>
      <c r="CF47">
        <v>125.3427350427</v>
      </c>
      <c r="CG47">
        <v>4113</v>
      </c>
      <c r="CH47">
        <v>325</v>
      </c>
      <c r="CI47">
        <v>176.34014101630001</v>
      </c>
      <c r="CJ47">
        <v>164.8430769231</v>
      </c>
      <c r="CL47" t="s">
        <v>8</v>
      </c>
      <c r="CM47" t="s">
        <v>859</v>
      </c>
      <c r="CN47" t="s">
        <v>859</v>
      </c>
      <c r="CO47">
        <v>188</v>
      </c>
      <c r="CP47">
        <v>42</v>
      </c>
      <c r="CQ47">
        <v>86.074468085099994</v>
      </c>
      <c r="CR47">
        <v>387</v>
      </c>
      <c r="CS47">
        <v>23</v>
      </c>
      <c r="CT47">
        <v>95.496124030999994</v>
      </c>
      <c r="CU47">
        <v>126.3043478261</v>
      </c>
      <c r="CW47" t="s">
        <v>8</v>
      </c>
      <c r="CX47" t="s">
        <v>860</v>
      </c>
      <c r="CY47" t="s">
        <v>860</v>
      </c>
      <c r="CZ47">
        <v>21</v>
      </c>
      <c r="DA47">
        <v>6</v>
      </c>
      <c r="DB47">
        <v>95.142857142899999</v>
      </c>
      <c r="DC47">
        <v>26</v>
      </c>
      <c r="DD47">
        <v>1</v>
      </c>
      <c r="DE47">
        <v>144.42307692310001</v>
      </c>
      <c r="DF47">
        <v>125</v>
      </c>
      <c r="DH47" t="s">
        <v>8</v>
      </c>
      <c r="DI47" t="s">
        <v>858</v>
      </c>
      <c r="DJ47" t="s">
        <v>858</v>
      </c>
      <c r="DK47">
        <v>77</v>
      </c>
      <c r="DL47">
        <v>21</v>
      </c>
      <c r="DM47">
        <v>83.415584415599994</v>
      </c>
      <c r="DN47">
        <v>72</v>
      </c>
      <c r="DO47">
        <v>10</v>
      </c>
      <c r="DP47">
        <v>121.5972222222</v>
      </c>
      <c r="DQ47">
        <v>125.1</v>
      </c>
    </row>
    <row r="48" spans="2:121" x14ac:dyDescent="0.2">
      <c r="B48" t="s">
        <v>102</v>
      </c>
      <c r="C48">
        <v>20042</v>
      </c>
      <c r="D48">
        <v>14666</v>
      </c>
      <c r="F48" t="s">
        <v>48</v>
      </c>
      <c r="G48">
        <v>7003</v>
      </c>
      <c r="H48">
        <v>559.38569184640005</v>
      </c>
      <c r="I48">
        <v>4713</v>
      </c>
      <c r="J48">
        <v>1021</v>
      </c>
      <c r="K48">
        <v>10360</v>
      </c>
      <c r="L48">
        <v>8131</v>
      </c>
      <c r="M48">
        <v>1956</v>
      </c>
      <c r="N48">
        <v>1463</v>
      </c>
      <c r="O48">
        <v>2002</v>
      </c>
      <c r="P48">
        <v>1429</v>
      </c>
      <c r="Q48">
        <v>1</v>
      </c>
      <c r="R48">
        <v>210</v>
      </c>
      <c r="AH48" t="s">
        <v>411</v>
      </c>
      <c r="AI48">
        <v>28389</v>
      </c>
      <c r="AJ48">
        <v>358.82563669029997</v>
      </c>
      <c r="AK48">
        <v>35039</v>
      </c>
      <c r="AL48">
        <v>8237</v>
      </c>
      <c r="AM48">
        <v>38628</v>
      </c>
      <c r="AN48">
        <v>25950</v>
      </c>
      <c r="AO48">
        <v>8042</v>
      </c>
      <c r="AP48">
        <v>6048</v>
      </c>
      <c r="AQ48">
        <v>15202</v>
      </c>
      <c r="AR48">
        <v>8265</v>
      </c>
      <c r="AS48">
        <v>29</v>
      </c>
      <c r="AT48">
        <v>424</v>
      </c>
      <c r="AV48" t="s">
        <v>420</v>
      </c>
      <c r="AW48">
        <v>37</v>
      </c>
      <c r="AX48">
        <v>47.918918918899998</v>
      </c>
      <c r="AY48">
        <v>30</v>
      </c>
      <c r="AZ48">
        <v>2</v>
      </c>
      <c r="BA48">
        <v>45</v>
      </c>
      <c r="BB48">
        <v>1</v>
      </c>
      <c r="BC48">
        <v>0</v>
      </c>
      <c r="BE48">
        <v>1</v>
      </c>
      <c r="BG48">
        <v>47</v>
      </c>
      <c r="BH48">
        <v>6</v>
      </c>
      <c r="BJ48" t="s">
        <v>646</v>
      </c>
      <c r="BK48" t="s">
        <v>405</v>
      </c>
      <c r="BL48">
        <v>1349</v>
      </c>
      <c r="BM48">
        <v>396</v>
      </c>
      <c r="BN48">
        <v>95.385470719099999</v>
      </c>
      <c r="BO48">
        <v>1165</v>
      </c>
      <c r="BP48">
        <v>115</v>
      </c>
      <c r="BQ48">
        <v>149.36137339059999</v>
      </c>
      <c r="BR48">
        <v>142.19999999999999</v>
      </c>
      <c r="BS48">
        <v>1016</v>
      </c>
      <c r="BT48">
        <v>391</v>
      </c>
      <c r="BU48">
        <v>100.907480315</v>
      </c>
      <c r="BV48">
        <v>1111</v>
      </c>
      <c r="BW48">
        <v>94</v>
      </c>
      <c r="BX48">
        <v>156.1719171917</v>
      </c>
      <c r="BY48">
        <v>162.51063829789999</v>
      </c>
      <c r="CA48" t="s">
        <v>8</v>
      </c>
      <c r="CB48" t="s">
        <v>687</v>
      </c>
      <c r="CC48" t="s">
        <v>687</v>
      </c>
      <c r="CD48">
        <v>3510</v>
      </c>
      <c r="CE48">
        <v>1394</v>
      </c>
      <c r="CF48">
        <v>125.3427350427</v>
      </c>
      <c r="CG48">
        <v>4113</v>
      </c>
      <c r="CH48">
        <v>325</v>
      </c>
      <c r="CI48">
        <v>176.34014101630001</v>
      </c>
      <c r="CJ48">
        <v>164.8430769231</v>
      </c>
      <c r="CL48" t="s">
        <v>8</v>
      </c>
      <c r="CM48" t="s">
        <v>859</v>
      </c>
      <c r="CN48" t="s">
        <v>859</v>
      </c>
      <c r="CO48">
        <v>188</v>
      </c>
      <c r="CP48">
        <v>42</v>
      </c>
      <c r="CQ48">
        <v>86.074468085099994</v>
      </c>
      <c r="CR48">
        <v>387</v>
      </c>
      <c r="CS48">
        <v>23</v>
      </c>
      <c r="CT48">
        <v>95.496124030999994</v>
      </c>
      <c r="CU48">
        <v>126.3043478261</v>
      </c>
      <c r="CW48" t="s">
        <v>8</v>
      </c>
      <c r="CX48" t="s">
        <v>860</v>
      </c>
      <c r="CY48" t="s">
        <v>860</v>
      </c>
      <c r="CZ48">
        <v>21</v>
      </c>
      <c r="DA48">
        <v>6</v>
      </c>
      <c r="DB48">
        <v>95.142857142899999</v>
      </c>
      <c r="DC48">
        <v>26</v>
      </c>
      <c r="DD48">
        <v>1</v>
      </c>
      <c r="DE48">
        <v>144.42307692310001</v>
      </c>
      <c r="DF48">
        <v>125</v>
      </c>
      <c r="DH48" t="s">
        <v>8</v>
      </c>
      <c r="DI48" t="s">
        <v>858</v>
      </c>
      <c r="DJ48" t="s">
        <v>858</v>
      </c>
      <c r="DK48">
        <v>77</v>
      </c>
      <c r="DL48">
        <v>21</v>
      </c>
      <c r="DM48">
        <v>83.415584415599994</v>
      </c>
      <c r="DN48">
        <v>72</v>
      </c>
      <c r="DO48">
        <v>10</v>
      </c>
      <c r="DP48">
        <v>121.5972222222</v>
      </c>
      <c r="DQ48">
        <v>125.1</v>
      </c>
    </row>
    <row r="49" spans="2:121" x14ac:dyDescent="0.2">
      <c r="B49" t="s">
        <v>117</v>
      </c>
      <c r="C49">
        <v>4903</v>
      </c>
      <c r="D49">
        <v>832</v>
      </c>
      <c r="F49" t="s">
        <v>42</v>
      </c>
      <c r="G49">
        <v>2976</v>
      </c>
      <c r="H49">
        <v>305.1979166667</v>
      </c>
      <c r="I49">
        <v>6810</v>
      </c>
      <c r="J49">
        <v>1761</v>
      </c>
      <c r="K49">
        <v>8324</v>
      </c>
      <c r="L49">
        <v>3795</v>
      </c>
      <c r="M49">
        <v>1644</v>
      </c>
      <c r="N49">
        <v>1256</v>
      </c>
      <c r="O49">
        <v>1012</v>
      </c>
      <c r="P49">
        <v>490</v>
      </c>
      <c r="Q49">
        <v>2</v>
      </c>
      <c r="R49">
        <v>199</v>
      </c>
      <c r="AH49" t="s">
        <v>407</v>
      </c>
      <c r="AI49">
        <v>1605</v>
      </c>
      <c r="AJ49">
        <v>276.18504672900002</v>
      </c>
      <c r="AK49">
        <v>2267</v>
      </c>
      <c r="AL49">
        <v>632</v>
      </c>
      <c r="AM49">
        <v>2100</v>
      </c>
      <c r="AN49">
        <v>1270</v>
      </c>
      <c r="AO49">
        <v>511</v>
      </c>
      <c r="AP49">
        <v>339</v>
      </c>
      <c r="AQ49">
        <v>449</v>
      </c>
      <c r="AR49">
        <v>231</v>
      </c>
      <c r="AS49">
        <v>1</v>
      </c>
      <c r="AT49">
        <v>1</v>
      </c>
      <c r="AV49" t="s">
        <v>379</v>
      </c>
      <c r="AW49">
        <v>909</v>
      </c>
      <c r="AX49">
        <v>91.266226622700003</v>
      </c>
      <c r="AY49">
        <v>855</v>
      </c>
      <c r="AZ49">
        <v>222</v>
      </c>
      <c r="BA49">
        <v>1156</v>
      </c>
      <c r="BB49">
        <v>328</v>
      </c>
      <c r="BC49">
        <v>142</v>
      </c>
      <c r="BD49">
        <v>140</v>
      </c>
      <c r="BE49">
        <v>58</v>
      </c>
      <c r="BF49">
        <v>28</v>
      </c>
      <c r="BG49">
        <v>140</v>
      </c>
      <c r="BH49">
        <v>310</v>
      </c>
      <c r="BJ49" t="s">
        <v>602</v>
      </c>
      <c r="BK49" t="s">
        <v>405</v>
      </c>
      <c r="BL49">
        <v>1371</v>
      </c>
      <c r="BM49">
        <v>293</v>
      </c>
      <c r="BN49">
        <v>83.663749088299994</v>
      </c>
      <c r="BO49">
        <v>2287</v>
      </c>
      <c r="BP49">
        <v>161</v>
      </c>
      <c r="BQ49">
        <v>116.0454943132</v>
      </c>
      <c r="BR49">
        <v>110.9130434783</v>
      </c>
      <c r="BS49">
        <v>1755</v>
      </c>
      <c r="BT49">
        <v>394</v>
      </c>
      <c r="BU49">
        <v>90.942450142499993</v>
      </c>
      <c r="BV49">
        <v>2662</v>
      </c>
      <c r="BW49">
        <v>210</v>
      </c>
      <c r="BX49">
        <v>125.2934986847</v>
      </c>
      <c r="BY49">
        <v>111.8571428571</v>
      </c>
      <c r="CA49" t="s">
        <v>8</v>
      </c>
      <c r="CB49" t="s">
        <v>687</v>
      </c>
      <c r="CD49">
        <v>3510</v>
      </c>
      <c r="CE49">
        <v>1394</v>
      </c>
      <c r="CF49">
        <v>125.3427350427</v>
      </c>
      <c r="CG49">
        <v>4113</v>
      </c>
      <c r="CH49">
        <v>325</v>
      </c>
      <c r="CI49">
        <v>176.34014101630001</v>
      </c>
      <c r="CJ49">
        <v>164.8430769231</v>
      </c>
      <c r="CL49" t="s">
        <v>8</v>
      </c>
      <c r="CM49" t="s">
        <v>859</v>
      </c>
      <c r="CO49">
        <v>188</v>
      </c>
      <c r="CP49">
        <v>42</v>
      </c>
      <c r="CQ49">
        <v>86.074468085099994</v>
      </c>
      <c r="CR49">
        <v>387</v>
      </c>
      <c r="CS49">
        <v>23</v>
      </c>
      <c r="CT49">
        <v>95.496124030999994</v>
      </c>
      <c r="CU49">
        <v>126.3043478261</v>
      </c>
      <c r="CW49" t="s">
        <v>8</v>
      </c>
      <c r="CX49" t="s">
        <v>860</v>
      </c>
      <c r="CZ49">
        <v>21</v>
      </c>
      <c r="DA49">
        <v>6</v>
      </c>
      <c r="DB49">
        <v>95.142857142899999</v>
      </c>
      <c r="DC49">
        <v>26</v>
      </c>
      <c r="DD49">
        <v>1</v>
      </c>
      <c r="DE49">
        <v>144.42307692310001</v>
      </c>
      <c r="DF49">
        <v>125</v>
      </c>
      <c r="DH49" t="s">
        <v>8</v>
      </c>
      <c r="DI49" t="s">
        <v>858</v>
      </c>
      <c r="DK49">
        <v>77</v>
      </c>
      <c r="DL49">
        <v>21</v>
      </c>
      <c r="DM49">
        <v>83.415584415599994</v>
      </c>
      <c r="DN49">
        <v>72</v>
      </c>
      <c r="DO49">
        <v>10</v>
      </c>
      <c r="DP49">
        <v>121.5972222222</v>
      </c>
      <c r="DQ49">
        <v>125.1</v>
      </c>
    </row>
    <row r="50" spans="2:121" x14ac:dyDescent="0.2">
      <c r="B50" t="s">
        <v>101</v>
      </c>
      <c r="C50">
        <v>189834</v>
      </c>
      <c r="D50">
        <v>134140</v>
      </c>
      <c r="F50" t="s">
        <v>76</v>
      </c>
      <c r="G50">
        <v>2836</v>
      </c>
      <c r="H50">
        <v>156.797954866</v>
      </c>
      <c r="I50">
        <v>9042</v>
      </c>
      <c r="J50">
        <v>1629</v>
      </c>
      <c r="K50">
        <v>9976</v>
      </c>
      <c r="L50">
        <v>3805</v>
      </c>
      <c r="M50">
        <v>1457</v>
      </c>
      <c r="N50">
        <v>490</v>
      </c>
      <c r="O50">
        <v>1125</v>
      </c>
      <c r="P50">
        <v>503</v>
      </c>
      <c r="Q50">
        <v>35</v>
      </c>
      <c r="R50">
        <v>0</v>
      </c>
      <c r="AH50" t="s">
        <v>418</v>
      </c>
      <c r="AI50">
        <v>506</v>
      </c>
      <c r="AJ50">
        <v>372.1501976285</v>
      </c>
      <c r="AK50">
        <v>518</v>
      </c>
      <c r="AL50">
        <v>144</v>
      </c>
      <c r="AM50">
        <v>942</v>
      </c>
      <c r="AN50">
        <v>532</v>
      </c>
      <c r="AO50">
        <v>248</v>
      </c>
      <c r="AP50">
        <v>169</v>
      </c>
      <c r="AQ50">
        <v>123</v>
      </c>
      <c r="AR50">
        <v>79</v>
      </c>
      <c r="AS50">
        <v>70</v>
      </c>
      <c r="AT50">
        <v>1</v>
      </c>
      <c r="AV50" t="s">
        <v>374</v>
      </c>
      <c r="AW50">
        <v>218</v>
      </c>
      <c r="AX50">
        <v>95.385321100900001</v>
      </c>
      <c r="AY50">
        <v>363</v>
      </c>
      <c r="AZ50">
        <v>108</v>
      </c>
      <c r="BA50">
        <v>295</v>
      </c>
      <c r="BB50">
        <v>77</v>
      </c>
      <c r="BC50">
        <v>2</v>
      </c>
      <c r="BD50">
        <v>2</v>
      </c>
      <c r="BE50">
        <v>23</v>
      </c>
      <c r="BF50">
        <v>5</v>
      </c>
      <c r="BG50">
        <v>20</v>
      </c>
      <c r="BH50">
        <v>61</v>
      </c>
      <c r="BJ50" t="s">
        <v>642</v>
      </c>
      <c r="BK50" t="s">
        <v>405</v>
      </c>
      <c r="BL50">
        <v>1849</v>
      </c>
      <c r="BM50">
        <v>353</v>
      </c>
      <c r="BN50">
        <v>82.943212547300007</v>
      </c>
      <c r="BO50">
        <v>3362</v>
      </c>
      <c r="BP50">
        <v>229</v>
      </c>
      <c r="BQ50">
        <v>134.0446162998</v>
      </c>
      <c r="BR50">
        <v>108.5676855895</v>
      </c>
      <c r="BS50">
        <v>1727</v>
      </c>
      <c r="BT50">
        <v>306</v>
      </c>
      <c r="BU50">
        <v>75.457440648499997</v>
      </c>
      <c r="BV50">
        <v>2968</v>
      </c>
      <c r="BW50">
        <v>229</v>
      </c>
      <c r="BX50">
        <v>123.07008086250001</v>
      </c>
      <c r="BY50">
        <v>96.510917030599998</v>
      </c>
      <c r="CA50" t="s">
        <v>425</v>
      </c>
      <c r="CB50" t="s">
        <v>891</v>
      </c>
      <c r="CC50" t="s">
        <v>1015</v>
      </c>
      <c r="CD50">
        <v>1315</v>
      </c>
      <c r="CE50">
        <v>361</v>
      </c>
      <c r="CF50">
        <v>92.142965779500003</v>
      </c>
      <c r="CG50">
        <v>1587</v>
      </c>
      <c r="CH50">
        <v>151</v>
      </c>
      <c r="CI50">
        <v>114.8349086326</v>
      </c>
      <c r="CJ50">
        <v>109.0331125828</v>
      </c>
      <c r="CL50" t="s">
        <v>425</v>
      </c>
      <c r="CM50" t="s">
        <v>872</v>
      </c>
      <c r="CN50" t="s">
        <v>871</v>
      </c>
      <c r="CO50">
        <v>34</v>
      </c>
      <c r="CP50">
        <v>4</v>
      </c>
      <c r="CQ50">
        <v>72.470588235299999</v>
      </c>
      <c r="CR50">
        <v>90</v>
      </c>
      <c r="CS50">
        <v>12</v>
      </c>
      <c r="CT50">
        <v>71.877777777800006</v>
      </c>
      <c r="CU50">
        <v>56.5</v>
      </c>
      <c r="CW50" t="s">
        <v>425</v>
      </c>
      <c r="CX50" t="s">
        <v>882</v>
      </c>
      <c r="CY50" t="s">
        <v>881</v>
      </c>
      <c r="CZ50">
        <v>25</v>
      </c>
      <c r="DA50">
        <v>5</v>
      </c>
      <c r="DB50">
        <v>72.239999999999995</v>
      </c>
      <c r="DC50">
        <v>22</v>
      </c>
      <c r="DD50">
        <v>5</v>
      </c>
      <c r="DE50">
        <v>128.95454545449999</v>
      </c>
      <c r="DF50">
        <v>109.8</v>
      </c>
      <c r="DH50" t="s">
        <v>425</v>
      </c>
      <c r="DI50" t="s">
        <v>862</v>
      </c>
      <c r="DJ50" t="s">
        <v>861</v>
      </c>
      <c r="DK50">
        <v>33</v>
      </c>
      <c r="DL50">
        <v>9</v>
      </c>
      <c r="DM50">
        <v>85.636363636400006</v>
      </c>
      <c r="DN50">
        <v>46</v>
      </c>
      <c r="DO50">
        <v>5</v>
      </c>
      <c r="DP50">
        <v>130.63043478259999</v>
      </c>
      <c r="DQ50">
        <v>128.80000000000001</v>
      </c>
    </row>
    <row r="51" spans="2:121" x14ac:dyDescent="0.2">
      <c r="B51" t="s">
        <v>125</v>
      </c>
      <c r="C51">
        <v>29415</v>
      </c>
      <c r="D51">
        <v>5934</v>
      </c>
      <c r="F51" t="s">
        <v>40</v>
      </c>
      <c r="G51">
        <v>7313</v>
      </c>
      <c r="H51">
        <v>479.48434295089999</v>
      </c>
      <c r="I51">
        <v>8179</v>
      </c>
      <c r="J51">
        <v>2812</v>
      </c>
      <c r="K51">
        <v>9608</v>
      </c>
      <c r="L51">
        <v>7139</v>
      </c>
      <c r="M51">
        <v>3211</v>
      </c>
      <c r="N51">
        <v>2619</v>
      </c>
      <c r="O51">
        <v>847</v>
      </c>
      <c r="P51">
        <v>448</v>
      </c>
      <c r="Q51">
        <v>0</v>
      </c>
      <c r="R51">
        <v>53</v>
      </c>
      <c r="AH51" t="s">
        <v>379</v>
      </c>
      <c r="AI51">
        <v>17771</v>
      </c>
      <c r="AJ51">
        <v>416.36210680319999</v>
      </c>
      <c r="AK51">
        <v>11767</v>
      </c>
      <c r="AL51">
        <v>3068</v>
      </c>
      <c r="AM51">
        <v>22607</v>
      </c>
      <c r="AN51">
        <v>15649</v>
      </c>
      <c r="AO51">
        <v>9526</v>
      </c>
      <c r="AP51">
        <v>8444</v>
      </c>
      <c r="AQ51">
        <v>7114</v>
      </c>
      <c r="AR51">
        <v>5340</v>
      </c>
      <c r="AS51">
        <v>912</v>
      </c>
      <c r="AT51">
        <v>16</v>
      </c>
      <c r="AV51" t="s">
        <v>407</v>
      </c>
      <c r="AW51">
        <v>79</v>
      </c>
      <c r="AX51">
        <v>60.645569620300002</v>
      </c>
      <c r="AY51">
        <v>138</v>
      </c>
      <c r="AZ51">
        <v>6</v>
      </c>
      <c r="BA51">
        <v>101</v>
      </c>
      <c r="BB51">
        <v>4</v>
      </c>
      <c r="BC51">
        <v>0</v>
      </c>
      <c r="BE51">
        <v>3</v>
      </c>
      <c r="BG51">
        <v>117</v>
      </c>
      <c r="BH51">
        <v>16</v>
      </c>
      <c r="BJ51" t="s">
        <v>594</v>
      </c>
      <c r="BK51" t="s">
        <v>405</v>
      </c>
      <c r="BL51">
        <v>9169</v>
      </c>
      <c r="BM51">
        <v>2123</v>
      </c>
      <c r="BN51">
        <v>87.2155087796</v>
      </c>
      <c r="BO51">
        <v>12564</v>
      </c>
      <c r="BP51">
        <v>942</v>
      </c>
      <c r="BQ51">
        <v>138.94810569879999</v>
      </c>
      <c r="BR51">
        <v>126.5817409766</v>
      </c>
      <c r="BS51">
        <v>7506</v>
      </c>
      <c r="BT51">
        <v>1656</v>
      </c>
      <c r="BU51">
        <v>81.071009858799997</v>
      </c>
      <c r="BV51">
        <v>10338</v>
      </c>
      <c r="BW51">
        <v>772</v>
      </c>
      <c r="BX51">
        <v>119.87744244530001</v>
      </c>
      <c r="BY51">
        <v>122.6593264249</v>
      </c>
      <c r="CA51" t="s">
        <v>427</v>
      </c>
      <c r="CB51" t="s">
        <v>891</v>
      </c>
      <c r="CC51" t="s">
        <v>1016</v>
      </c>
      <c r="CD51">
        <v>5176</v>
      </c>
      <c r="CE51">
        <v>1263</v>
      </c>
      <c r="CF51">
        <v>93.462712519299998</v>
      </c>
      <c r="CG51">
        <v>9813</v>
      </c>
      <c r="CH51">
        <v>903</v>
      </c>
      <c r="CI51">
        <v>127.9731933544</v>
      </c>
      <c r="CJ51">
        <v>116.2779623477</v>
      </c>
      <c r="CL51" t="s">
        <v>427</v>
      </c>
      <c r="CM51" t="s">
        <v>872</v>
      </c>
      <c r="CN51" t="s">
        <v>873</v>
      </c>
      <c r="CO51">
        <v>465</v>
      </c>
      <c r="CP51">
        <v>38</v>
      </c>
      <c r="CQ51">
        <v>63.4946236559</v>
      </c>
      <c r="CR51">
        <v>1529</v>
      </c>
      <c r="CS51">
        <v>127</v>
      </c>
      <c r="CT51">
        <v>68.275997383900005</v>
      </c>
      <c r="CU51">
        <v>82.527559055099999</v>
      </c>
      <c r="CW51" t="s">
        <v>427</v>
      </c>
      <c r="CX51" t="s">
        <v>882</v>
      </c>
      <c r="CY51" t="s">
        <v>883</v>
      </c>
      <c r="CZ51">
        <v>173</v>
      </c>
      <c r="DA51">
        <v>46</v>
      </c>
      <c r="DB51">
        <v>87.826589595399994</v>
      </c>
      <c r="DC51">
        <v>228</v>
      </c>
      <c r="DD51">
        <v>16</v>
      </c>
      <c r="DE51">
        <v>142.75</v>
      </c>
      <c r="DF51">
        <v>134.5625</v>
      </c>
      <c r="DH51" t="s">
        <v>427</v>
      </c>
      <c r="DI51" t="s">
        <v>862</v>
      </c>
      <c r="DJ51" t="s">
        <v>863</v>
      </c>
      <c r="DK51">
        <v>112</v>
      </c>
      <c r="DL51">
        <v>26</v>
      </c>
      <c r="DM51">
        <v>81.946428571400006</v>
      </c>
      <c r="DN51">
        <v>183</v>
      </c>
      <c r="DO51">
        <v>18</v>
      </c>
      <c r="DP51">
        <v>135.09289617490001</v>
      </c>
      <c r="DQ51">
        <v>135.8888888889</v>
      </c>
    </row>
    <row r="52" spans="2:121" x14ac:dyDescent="0.2">
      <c r="B52" t="s">
        <v>120</v>
      </c>
      <c r="C52">
        <v>261</v>
      </c>
      <c r="D52">
        <v>259</v>
      </c>
      <c r="F52" t="s">
        <v>431</v>
      </c>
      <c r="G52">
        <v>18995</v>
      </c>
      <c r="H52">
        <v>603.96883390369999</v>
      </c>
      <c r="I52">
        <v>1086</v>
      </c>
      <c r="J52">
        <v>452</v>
      </c>
      <c r="K52">
        <v>19416</v>
      </c>
      <c r="L52">
        <v>18446</v>
      </c>
      <c r="M52">
        <v>1066</v>
      </c>
      <c r="N52">
        <v>751</v>
      </c>
      <c r="O52">
        <v>1293</v>
      </c>
      <c r="P52">
        <v>1213</v>
      </c>
      <c r="Q52">
        <v>0</v>
      </c>
      <c r="R52">
        <v>0</v>
      </c>
      <c r="AH52" t="s">
        <v>80</v>
      </c>
      <c r="AI52">
        <v>10881</v>
      </c>
      <c r="AJ52">
        <v>391.01148791470001</v>
      </c>
      <c r="AK52">
        <v>6181</v>
      </c>
      <c r="AL52">
        <v>1269</v>
      </c>
      <c r="AM52">
        <v>16138</v>
      </c>
      <c r="AN52">
        <v>11856</v>
      </c>
      <c r="AO52">
        <v>4212</v>
      </c>
      <c r="AP52">
        <v>3191</v>
      </c>
      <c r="AQ52">
        <v>5897</v>
      </c>
      <c r="AR52">
        <v>4173</v>
      </c>
      <c r="AS52">
        <v>10</v>
      </c>
      <c r="AT52">
        <v>141</v>
      </c>
      <c r="AV52" t="s">
        <v>393</v>
      </c>
      <c r="AW52">
        <v>366</v>
      </c>
      <c r="AX52">
        <v>58.770491803299997</v>
      </c>
      <c r="AY52">
        <v>545</v>
      </c>
      <c r="AZ52">
        <v>73</v>
      </c>
      <c r="BA52">
        <v>500</v>
      </c>
      <c r="BB52">
        <v>36</v>
      </c>
      <c r="BC52">
        <v>2</v>
      </c>
      <c r="BD52">
        <v>2</v>
      </c>
      <c r="BE52">
        <v>28</v>
      </c>
      <c r="BF52">
        <v>7</v>
      </c>
      <c r="BG52">
        <v>65</v>
      </c>
      <c r="BH52">
        <v>69</v>
      </c>
      <c r="BJ52" t="s">
        <v>616</v>
      </c>
      <c r="BK52" t="s">
        <v>405</v>
      </c>
      <c r="BL52">
        <v>779</v>
      </c>
      <c r="BM52">
        <v>220</v>
      </c>
      <c r="BN52">
        <v>102.3145057766</v>
      </c>
      <c r="BO52">
        <v>1253</v>
      </c>
      <c r="BP52">
        <v>99</v>
      </c>
      <c r="BQ52">
        <v>131.58100558660001</v>
      </c>
      <c r="BR52">
        <v>117.0808080808</v>
      </c>
      <c r="BS52">
        <v>1298</v>
      </c>
      <c r="BT52">
        <v>686</v>
      </c>
      <c r="BU52">
        <v>140.031587057</v>
      </c>
      <c r="BV52">
        <v>2526</v>
      </c>
      <c r="BW52">
        <v>197</v>
      </c>
      <c r="BX52">
        <v>174.9524940618</v>
      </c>
      <c r="BY52">
        <v>154.8274111675</v>
      </c>
      <c r="CA52" t="s">
        <v>408</v>
      </c>
      <c r="CB52" t="s">
        <v>891</v>
      </c>
      <c r="CC52" t="s">
        <v>1017</v>
      </c>
      <c r="CD52">
        <v>28748</v>
      </c>
      <c r="CE52">
        <v>6994</v>
      </c>
      <c r="CF52">
        <v>90.850354807299993</v>
      </c>
      <c r="CG52">
        <v>40586</v>
      </c>
      <c r="CH52">
        <v>3395</v>
      </c>
      <c r="CI52">
        <v>136.55434273750001</v>
      </c>
      <c r="CJ52">
        <v>124.0309278351</v>
      </c>
      <c r="CL52" t="s">
        <v>408</v>
      </c>
      <c r="CM52" t="s">
        <v>872</v>
      </c>
      <c r="CN52" t="s">
        <v>874</v>
      </c>
      <c r="CO52">
        <v>1728</v>
      </c>
      <c r="CP52">
        <v>155</v>
      </c>
      <c r="CQ52">
        <v>62.348958333299997</v>
      </c>
      <c r="CR52">
        <v>6323</v>
      </c>
      <c r="CS52">
        <v>463</v>
      </c>
      <c r="CT52">
        <v>65.853685542500003</v>
      </c>
      <c r="CU52">
        <v>69.341252699799995</v>
      </c>
      <c r="CW52" t="s">
        <v>408</v>
      </c>
      <c r="CX52" t="s">
        <v>882</v>
      </c>
      <c r="CY52" t="s">
        <v>884</v>
      </c>
      <c r="CZ52">
        <v>1273</v>
      </c>
      <c r="DA52">
        <v>309</v>
      </c>
      <c r="DB52">
        <v>82.098978790299995</v>
      </c>
      <c r="DC52">
        <v>1524</v>
      </c>
      <c r="DD52">
        <v>183</v>
      </c>
      <c r="DE52">
        <v>138.47572178479999</v>
      </c>
      <c r="DF52">
        <v>140.4426229508</v>
      </c>
      <c r="DH52" t="s">
        <v>408</v>
      </c>
      <c r="DI52" t="s">
        <v>862</v>
      </c>
      <c r="DJ52" t="s">
        <v>864</v>
      </c>
      <c r="DK52">
        <v>686</v>
      </c>
      <c r="DL52">
        <v>125</v>
      </c>
      <c r="DM52">
        <v>71.307580174899996</v>
      </c>
      <c r="DN52">
        <v>982</v>
      </c>
      <c r="DO52">
        <v>106</v>
      </c>
      <c r="DP52">
        <v>128.08146639509999</v>
      </c>
      <c r="DQ52">
        <v>126.77358490570001</v>
      </c>
    </row>
    <row r="53" spans="2:121" x14ac:dyDescent="0.2">
      <c r="F53" t="s">
        <v>72</v>
      </c>
      <c r="G53">
        <v>1445</v>
      </c>
      <c r="H53">
        <v>312.16816609</v>
      </c>
      <c r="I53">
        <v>2794</v>
      </c>
      <c r="J53">
        <v>875</v>
      </c>
      <c r="K53">
        <v>2375</v>
      </c>
      <c r="L53">
        <v>1684</v>
      </c>
      <c r="M53">
        <v>845</v>
      </c>
      <c r="N53">
        <v>776</v>
      </c>
      <c r="O53">
        <v>1128</v>
      </c>
      <c r="P53">
        <v>836</v>
      </c>
      <c r="Q53">
        <v>0</v>
      </c>
      <c r="R53">
        <v>3</v>
      </c>
      <c r="AH53" t="s">
        <v>380</v>
      </c>
      <c r="AI53">
        <v>2053</v>
      </c>
      <c r="AJ53">
        <v>269.32586458840001</v>
      </c>
      <c r="AK53">
        <v>2588</v>
      </c>
      <c r="AL53">
        <v>575</v>
      </c>
      <c r="AM53">
        <v>3437</v>
      </c>
      <c r="AN53">
        <v>2290</v>
      </c>
      <c r="AO53">
        <v>465</v>
      </c>
      <c r="AP53">
        <v>374</v>
      </c>
      <c r="AQ53">
        <v>1352</v>
      </c>
      <c r="AR53">
        <v>1030</v>
      </c>
      <c r="AS53">
        <v>334</v>
      </c>
      <c r="AT53">
        <v>13</v>
      </c>
      <c r="AV53" t="s">
        <v>402</v>
      </c>
      <c r="AW53">
        <v>240</v>
      </c>
      <c r="AX53">
        <v>46.4</v>
      </c>
      <c r="AY53">
        <v>260</v>
      </c>
      <c r="AZ53">
        <v>10</v>
      </c>
      <c r="BA53">
        <v>299</v>
      </c>
      <c r="BB53">
        <v>10</v>
      </c>
      <c r="BC53">
        <v>1</v>
      </c>
      <c r="BD53">
        <v>1</v>
      </c>
      <c r="BE53">
        <v>5</v>
      </c>
      <c r="BF53">
        <v>1</v>
      </c>
      <c r="BG53">
        <v>616</v>
      </c>
      <c r="BH53">
        <v>38</v>
      </c>
      <c r="BJ53" t="s">
        <v>592</v>
      </c>
      <c r="BK53" t="s">
        <v>405</v>
      </c>
      <c r="BL53">
        <v>10798</v>
      </c>
      <c r="BM53">
        <v>3212</v>
      </c>
      <c r="BN53">
        <v>103.3265419522</v>
      </c>
      <c r="BO53">
        <v>12962</v>
      </c>
      <c r="BP53">
        <v>1202</v>
      </c>
      <c r="BQ53">
        <v>151.21794476159999</v>
      </c>
      <c r="BR53">
        <v>141.14475873539999</v>
      </c>
      <c r="BS53">
        <v>2969</v>
      </c>
      <c r="BT53">
        <v>913</v>
      </c>
      <c r="BU53">
        <v>104.99023240149999</v>
      </c>
      <c r="BV53">
        <v>7914</v>
      </c>
      <c r="BW53">
        <v>671</v>
      </c>
      <c r="BX53">
        <v>141.92481678039999</v>
      </c>
      <c r="BY53">
        <v>149.77943368109999</v>
      </c>
      <c r="CA53" t="s">
        <v>429</v>
      </c>
      <c r="CB53" t="s">
        <v>891</v>
      </c>
      <c r="CC53" t="s">
        <v>1018</v>
      </c>
      <c r="CD53">
        <v>1645</v>
      </c>
      <c r="CE53">
        <v>370</v>
      </c>
      <c r="CF53">
        <v>82.839513677799999</v>
      </c>
      <c r="CG53">
        <v>3391</v>
      </c>
      <c r="CH53">
        <v>259</v>
      </c>
      <c r="CI53">
        <v>113.23768799760001</v>
      </c>
      <c r="CJ53">
        <v>98.810810810800007</v>
      </c>
      <c r="CL53" t="s">
        <v>429</v>
      </c>
      <c r="CM53" t="s">
        <v>872</v>
      </c>
      <c r="CN53" t="s">
        <v>875</v>
      </c>
      <c r="CO53">
        <v>67</v>
      </c>
      <c r="CP53">
        <v>10</v>
      </c>
      <c r="CQ53">
        <v>81.865671641800006</v>
      </c>
      <c r="CR53">
        <v>197</v>
      </c>
      <c r="CS53">
        <v>18</v>
      </c>
      <c r="CT53">
        <v>67.817258883199997</v>
      </c>
      <c r="CU53">
        <v>92.055555555599994</v>
      </c>
      <c r="CW53" t="s">
        <v>429</v>
      </c>
      <c r="CX53" t="s">
        <v>882</v>
      </c>
      <c r="CY53" t="s">
        <v>885</v>
      </c>
      <c r="CZ53">
        <v>36</v>
      </c>
      <c r="DA53">
        <v>8</v>
      </c>
      <c r="DB53">
        <v>93.694444444400006</v>
      </c>
      <c r="DC53">
        <v>43</v>
      </c>
      <c r="DD53">
        <v>5</v>
      </c>
      <c r="DE53">
        <v>136.51162790699999</v>
      </c>
      <c r="DF53">
        <v>121.2</v>
      </c>
      <c r="DH53" t="s">
        <v>429</v>
      </c>
      <c r="DI53" t="s">
        <v>862</v>
      </c>
      <c r="DJ53" t="s">
        <v>865</v>
      </c>
      <c r="DK53">
        <v>96</v>
      </c>
      <c r="DL53">
        <v>13</v>
      </c>
      <c r="DM53">
        <v>67.416666666699996</v>
      </c>
      <c r="DN53">
        <v>93</v>
      </c>
      <c r="DO53">
        <v>17</v>
      </c>
      <c r="DP53">
        <v>124.4516129032</v>
      </c>
      <c r="DQ53">
        <v>119.23529411760001</v>
      </c>
    </row>
    <row r="54" spans="2:121" x14ac:dyDescent="0.2">
      <c r="F54" t="s">
        <v>53</v>
      </c>
      <c r="G54">
        <v>7762</v>
      </c>
      <c r="H54">
        <v>496.64931718629998</v>
      </c>
      <c r="I54">
        <v>3644</v>
      </c>
      <c r="J54">
        <v>974</v>
      </c>
      <c r="K54">
        <v>11202</v>
      </c>
      <c r="L54">
        <v>7969</v>
      </c>
      <c r="M54">
        <v>3232</v>
      </c>
      <c r="N54">
        <v>3026</v>
      </c>
      <c r="O54">
        <v>1393</v>
      </c>
      <c r="P54">
        <v>675</v>
      </c>
      <c r="Q54">
        <v>109</v>
      </c>
      <c r="R54">
        <v>284</v>
      </c>
      <c r="AH54" t="s">
        <v>397</v>
      </c>
      <c r="AI54">
        <v>3655</v>
      </c>
      <c r="AJ54">
        <v>266.47140902870001</v>
      </c>
      <c r="AK54">
        <v>3742</v>
      </c>
      <c r="AL54">
        <v>760</v>
      </c>
      <c r="AM54">
        <v>5461</v>
      </c>
      <c r="AN54">
        <v>3274</v>
      </c>
      <c r="AO54">
        <v>687</v>
      </c>
      <c r="AP54">
        <v>536</v>
      </c>
      <c r="AQ54">
        <v>976</v>
      </c>
      <c r="AR54">
        <v>538</v>
      </c>
      <c r="AS54">
        <v>436</v>
      </c>
      <c r="AT54">
        <v>6</v>
      </c>
      <c r="AV54" t="s">
        <v>380</v>
      </c>
      <c r="AW54">
        <v>295</v>
      </c>
      <c r="AX54">
        <v>88.216949152500007</v>
      </c>
      <c r="AY54">
        <v>305</v>
      </c>
      <c r="AZ54">
        <v>73</v>
      </c>
      <c r="BA54">
        <v>368</v>
      </c>
      <c r="BB54">
        <v>95</v>
      </c>
      <c r="BC54">
        <v>0</v>
      </c>
      <c r="BE54">
        <v>19</v>
      </c>
      <c r="BF54">
        <v>6</v>
      </c>
      <c r="BG54">
        <v>52</v>
      </c>
      <c r="BH54">
        <v>84</v>
      </c>
      <c r="BJ54" t="s">
        <v>405</v>
      </c>
      <c r="BK54" t="s">
        <v>405</v>
      </c>
      <c r="BL54">
        <v>57272</v>
      </c>
      <c r="BM54">
        <v>13445</v>
      </c>
      <c r="BN54">
        <v>89.241007822300006</v>
      </c>
      <c r="BO54">
        <v>97422</v>
      </c>
      <c r="BP54">
        <v>7824</v>
      </c>
      <c r="BQ54">
        <v>119.745113739</v>
      </c>
      <c r="BR54">
        <v>110.0461400818</v>
      </c>
      <c r="BS54">
        <v>48345</v>
      </c>
      <c r="BT54">
        <v>11024</v>
      </c>
      <c r="BU54">
        <v>87.1694694384</v>
      </c>
      <c r="BV54">
        <v>94518</v>
      </c>
      <c r="BW54">
        <v>7635</v>
      </c>
      <c r="BX54">
        <v>116.72085026240001</v>
      </c>
      <c r="BY54">
        <v>109.39214145379999</v>
      </c>
      <c r="CA54" t="s">
        <v>409</v>
      </c>
      <c r="CB54" t="s">
        <v>891</v>
      </c>
      <c r="CC54" t="s">
        <v>1019</v>
      </c>
      <c r="CD54">
        <v>1440</v>
      </c>
      <c r="CE54">
        <v>306</v>
      </c>
      <c r="CF54">
        <v>83.6430555556</v>
      </c>
      <c r="CG54">
        <v>2476</v>
      </c>
      <c r="CH54">
        <v>180</v>
      </c>
      <c r="CI54">
        <v>113.9163974152</v>
      </c>
      <c r="CJ54">
        <v>107.8611111111</v>
      </c>
      <c r="CL54" t="s">
        <v>409</v>
      </c>
      <c r="CM54" t="s">
        <v>872</v>
      </c>
      <c r="CN54" t="s">
        <v>876</v>
      </c>
      <c r="CO54">
        <v>117</v>
      </c>
      <c r="CP54">
        <v>13</v>
      </c>
      <c r="CQ54">
        <v>67.598290598299997</v>
      </c>
      <c r="CR54">
        <v>346</v>
      </c>
      <c r="CS54">
        <v>28</v>
      </c>
      <c r="CT54">
        <v>61.806358381499997</v>
      </c>
      <c r="CU54">
        <v>62.25</v>
      </c>
      <c r="CW54" t="s">
        <v>409</v>
      </c>
      <c r="CX54" t="s">
        <v>882</v>
      </c>
      <c r="CY54" t="s">
        <v>886</v>
      </c>
      <c r="CZ54">
        <v>32</v>
      </c>
      <c r="DA54">
        <v>11</v>
      </c>
      <c r="DB54">
        <v>97.84375</v>
      </c>
      <c r="DC54">
        <v>43</v>
      </c>
      <c r="DD54">
        <v>6</v>
      </c>
      <c r="DE54">
        <v>141.6511627907</v>
      </c>
      <c r="DF54">
        <v>162</v>
      </c>
      <c r="DH54" t="s">
        <v>409</v>
      </c>
      <c r="DI54" t="s">
        <v>862</v>
      </c>
      <c r="DJ54" t="s">
        <v>866</v>
      </c>
      <c r="DK54">
        <v>50</v>
      </c>
      <c r="DL54">
        <v>10</v>
      </c>
      <c r="DM54">
        <v>74.44</v>
      </c>
      <c r="DN54">
        <v>62</v>
      </c>
      <c r="DO54">
        <v>7</v>
      </c>
      <c r="DP54">
        <v>123.4032258065</v>
      </c>
      <c r="DQ54">
        <v>134.42857142860001</v>
      </c>
    </row>
    <row r="55" spans="2:121" x14ac:dyDescent="0.2">
      <c r="F55" t="s">
        <v>50</v>
      </c>
      <c r="G55">
        <v>1701</v>
      </c>
      <c r="H55">
        <v>137.2533803645</v>
      </c>
      <c r="I55">
        <v>2239</v>
      </c>
      <c r="J55">
        <v>341</v>
      </c>
      <c r="K55">
        <v>2911</v>
      </c>
      <c r="L55">
        <v>1161</v>
      </c>
      <c r="M55">
        <v>865</v>
      </c>
      <c r="N55">
        <v>649</v>
      </c>
      <c r="O55">
        <v>787</v>
      </c>
      <c r="P55">
        <v>293</v>
      </c>
      <c r="Q55">
        <v>2</v>
      </c>
      <c r="R55">
        <v>16</v>
      </c>
      <c r="AH55" t="s">
        <v>422</v>
      </c>
      <c r="AI55">
        <v>423</v>
      </c>
      <c r="AJ55">
        <v>306.09692671390002</v>
      </c>
      <c r="AK55">
        <v>853</v>
      </c>
      <c r="AL55">
        <v>119</v>
      </c>
      <c r="AM55">
        <v>763</v>
      </c>
      <c r="AN55">
        <v>478</v>
      </c>
      <c r="AO55">
        <v>167</v>
      </c>
      <c r="AP55">
        <v>127</v>
      </c>
      <c r="AQ55">
        <v>172</v>
      </c>
      <c r="AR55">
        <v>97</v>
      </c>
      <c r="AS55">
        <v>2</v>
      </c>
      <c r="AT55">
        <v>2</v>
      </c>
      <c r="AV55" t="s">
        <v>425</v>
      </c>
      <c r="AW55">
        <v>17</v>
      </c>
      <c r="AX55">
        <v>54.764705882400001</v>
      </c>
      <c r="AY55">
        <v>18</v>
      </c>
      <c r="BA55">
        <v>27</v>
      </c>
      <c r="BB55">
        <v>1</v>
      </c>
      <c r="BC55">
        <v>0</v>
      </c>
      <c r="BE55">
        <v>2</v>
      </c>
      <c r="BF55">
        <v>1</v>
      </c>
      <c r="BG55">
        <v>29</v>
      </c>
      <c r="BH55">
        <v>6</v>
      </c>
      <c r="BJ55" t="s">
        <v>596</v>
      </c>
      <c r="BK55" t="s">
        <v>405</v>
      </c>
      <c r="BL55">
        <v>3899</v>
      </c>
      <c r="BM55">
        <v>886</v>
      </c>
      <c r="BN55">
        <v>92.8897153116</v>
      </c>
      <c r="BO55">
        <v>7541</v>
      </c>
      <c r="BP55">
        <v>669</v>
      </c>
      <c r="BQ55">
        <v>131.79164456230001</v>
      </c>
      <c r="BR55">
        <v>117.4439461883</v>
      </c>
      <c r="BS55">
        <v>6112</v>
      </c>
      <c r="BT55">
        <v>1325</v>
      </c>
      <c r="BU55">
        <v>92.895615183199993</v>
      </c>
      <c r="BV55">
        <v>10767</v>
      </c>
      <c r="BW55">
        <v>999</v>
      </c>
      <c r="BX55">
        <v>139.02842281260001</v>
      </c>
      <c r="BY55">
        <v>121.77677677680001</v>
      </c>
      <c r="CA55" t="s">
        <v>414</v>
      </c>
      <c r="CB55" t="s">
        <v>891</v>
      </c>
      <c r="CC55" t="s">
        <v>1020</v>
      </c>
      <c r="CD55">
        <v>3655</v>
      </c>
      <c r="CE55">
        <v>937</v>
      </c>
      <c r="CF55">
        <v>91.694664842700007</v>
      </c>
      <c r="CG55">
        <v>5272</v>
      </c>
      <c r="CH55">
        <v>366</v>
      </c>
      <c r="CI55">
        <v>142.7558338076</v>
      </c>
      <c r="CJ55">
        <v>139.00273224040001</v>
      </c>
      <c r="CL55" t="s">
        <v>414</v>
      </c>
      <c r="CM55" t="s">
        <v>872</v>
      </c>
      <c r="CN55" t="s">
        <v>877</v>
      </c>
      <c r="CO55">
        <v>203</v>
      </c>
      <c r="CP55">
        <v>22</v>
      </c>
      <c r="CQ55">
        <v>69.507389162600006</v>
      </c>
      <c r="CR55">
        <v>690</v>
      </c>
      <c r="CS55">
        <v>62</v>
      </c>
      <c r="CT55">
        <v>64.124637681199999</v>
      </c>
      <c r="CU55">
        <v>78.354838709700005</v>
      </c>
      <c r="CW55" t="s">
        <v>414</v>
      </c>
      <c r="CX55" t="s">
        <v>882</v>
      </c>
      <c r="CY55" t="s">
        <v>887</v>
      </c>
      <c r="CZ55">
        <v>92</v>
      </c>
      <c r="DA55">
        <v>23</v>
      </c>
      <c r="DB55">
        <v>88.641304347800002</v>
      </c>
      <c r="DC55">
        <v>114</v>
      </c>
      <c r="DD55">
        <v>13</v>
      </c>
      <c r="DE55">
        <v>146.52631578949999</v>
      </c>
      <c r="DF55">
        <v>135.1538461538</v>
      </c>
      <c r="DH55" t="s">
        <v>414</v>
      </c>
      <c r="DI55" t="s">
        <v>862</v>
      </c>
      <c r="DJ55" t="s">
        <v>867</v>
      </c>
      <c r="DK55">
        <v>98</v>
      </c>
      <c r="DL55">
        <v>11</v>
      </c>
      <c r="DM55">
        <v>65.081632653100002</v>
      </c>
      <c r="DN55">
        <v>133</v>
      </c>
      <c r="DO55">
        <v>13</v>
      </c>
      <c r="DP55">
        <v>133.6390977444</v>
      </c>
      <c r="DQ55">
        <v>131.61538461539999</v>
      </c>
    </row>
    <row r="56" spans="2:121" x14ac:dyDescent="0.2">
      <c r="F56" t="s">
        <v>62</v>
      </c>
      <c r="G56">
        <v>10793</v>
      </c>
      <c r="H56">
        <v>422.89122579449997</v>
      </c>
      <c r="I56">
        <v>10759</v>
      </c>
      <c r="J56">
        <v>3063</v>
      </c>
      <c r="K56">
        <v>14187</v>
      </c>
      <c r="L56">
        <v>11081</v>
      </c>
      <c r="M56">
        <v>4275</v>
      </c>
      <c r="N56">
        <v>3811</v>
      </c>
      <c r="O56">
        <v>2342</v>
      </c>
      <c r="P56">
        <v>1859</v>
      </c>
      <c r="Q56">
        <v>0</v>
      </c>
      <c r="R56">
        <v>31</v>
      </c>
      <c r="BJ56" t="s">
        <v>604</v>
      </c>
      <c r="BK56" t="s">
        <v>405</v>
      </c>
      <c r="BL56">
        <v>4911</v>
      </c>
      <c r="BM56">
        <v>1162</v>
      </c>
      <c r="BN56">
        <v>93.394827937299993</v>
      </c>
      <c r="BO56">
        <v>6532</v>
      </c>
      <c r="BP56">
        <v>421</v>
      </c>
      <c r="BQ56">
        <v>142.74219228410001</v>
      </c>
      <c r="BR56">
        <v>136.3681710214</v>
      </c>
      <c r="BS56">
        <v>4817</v>
      </c>
      <c r="BT56">
        <v>1163</v>
      </c>
      <c r="BU56">
        <v>95.610545982999994</v>
      </c>
      <c r="BV56">
        <v>6712</v>
      </c>
      <c r="BW56">
        <v>420</v>
      </c>
      <c r="BX56">
        <v>138.47109654350001</v>
      </c>
      <c r="BY56">
        <v>136.34523809519999</v>
      </c>
      <c r="CA56" t="s">
        <v>406</v>
      </c>
      <c r="CB56" t="s">
        <v>891</v>
      </c>
      <c r="CC56" t="s">
        <v>1021</v>
      </c>
      <c r="CD56">
        <v>2624</v>
      </c>
      <c r="CE56">
        <v>562</v>
      </c>
      <c r="CF56">
        <v>87.639100609799996</v>
      </c>
      <c r="CG56">
        <v>3861</v>
      </c>
      <c r="CH56">
        <v>344</v>
      </c>
      <c r="CI56">
        <v>143.83596786730001</v>
      </c>
      <c r="CJ56">
        <v>132.91279069769999</v>
      </c>
      <c r="CL56" t="s">
        <v>406</v>
      </c>
      <c r="CM56" t="s">
        <v>872</v>
      </c>
      <c r="CN56" t="s">
        <v>878</v>
      </c>
      <c r="CO56">
        <v>186</v>
      </c>
      <c r="CP56">
        <v>14</v>
      </c>
      <c r="CQ56">
        <v>60.639784946200002</v>
      </c>
      <c r="CR56">
        <v>525</v>
      </c>
      <c r="CS56">
        <v>44</v>
      </c>
      <c r="CT56">
        <v>58.777142857100003</v>
      </c>
      <c r="CU56">
        <v>64.727272727300004</v>
      </c>
      <c r="CW56" t="s">
        <v>406</v>
      </c>
      <c r="CX56" t="s">
        <v>882</v>
      </c>
      <c r="CY56" t="s">
        <v>888</v>
      </c>
      <c r="CZ56">
        <v>66</v>
      </c>
      <c r="DA56">
        <v>15</v>
      </c>
      <c r="DB56">
        <v>85.924242424200003</v>
      </c>
      <c r="DC56">
        <v>61</v>
      </c>
      <c r="DD56">
        <v>7</v>
      </c>
      <c r="DE56">
        <v>164.57377049179999</v>
      </c>
      <c r="DF56">
        <v>133.71428571429999</v>
      </c>
      <c r="DH56" t="s">
        <v>406</v>
      </c>
      <c r="DI56" t="s">
        <v>862</v>
      </c>
      <c r="DJ56" t="s">
        <v>868</v>
      </c>
      <c r="DK56">
        <v>73</v>
      </c>
      <c r="DL56">
        <v>11</v>
      </c>
      <c r="DM56">
        <v>68.726027397300001</v>
      </c>
      <c r="DN56">
        <v>86</v>
      </c>
      <c r="DO56">
        <v>18</v>
      </c>
      <c r="DP56">
        <v>144.48837209300001</v>
      </c>
      <c r="DQ56">
        <v>129.05555555559999</v>
      </c>
    </row>
    <row r="57" spans="2:121" x14ac:dyDescent="0.2">
      <c r="F57" t="s">
        <v>64</v>
      </c>
      <c r="G57">
        <v>3727</v>
      </c>
      <c r="H57">
        <v>247.4445935068</v>
      </c>
      <c r="I57">
        <v>3802</v>
      </c>
      <c r="J57">
        <v>876</v>
      </c>
      <c r="K57">
        <v>4515</v>
      </c>
      <c r="L57">
        <v>2740</v>
      </c>
      <c r="M57">
        <v>930</v>
      </c>
      <c r="N57">
        <v>826</v>
      </c>
      <c r="O57">
        <v>1205</v>
      </c>
      <c r="P57">
        <v>649</v>
      </c>
      <c r="Q57">
        <v>0</v>
      </c>
      <c r="R57">
        <v>68</v>
      </c>
      <c r="BJ57" t="s">
        <v>612</v>
      </c>
      <c r="BK57" t="s">
        <v>405</v>
      </c>
      <c r="BL57">
        <v>3549</v>
      </c>
      <c r="BM57">
        <v>905</v>
      </c>
      <c r="BN57">
        <v>91.980557903600001</v>
      </c>
      <c r="BO57">
        <v>4853</v>
      </c>
      <c r="BP57">
        <v>355</v>
      </c>
      <c r="BQ57">
        <v>146.60024726969999</v>
      </c>
      <c r="BR57">
        <v>140.1633802817</v>
      </c>
      <c r="BS57">
        <v>2962</v>
      </c>
      <c r="BT57">
        <v>744</v>
      </c>
      <c r="BU57">
        <v>86.117825793400002</v>
      </c>
      <c r="BV57">
        <v>3849</v>
      </c>
      <c r="BW57">
        <v>301</v>
      </c>
      <c r="BX57">
        <v>127.65861262670001</v>
      </c>
      <c r="BY57">
        <v>132.08637873750001</v>
      </c>
      <c r="CA57" t="s">
        <v>410</v>
      </c>
      <c r="CB57" t="s">
        <v>891</v>
      </c>
      <c r="CC57" t="s">
        <v>1022</v>
      </c>
      <c r="CD57">
        <v>4832</v>
      </c>
      <c r="CE57">
        <v>1170</v>
      </c>
      <c r="CF57">
        <v>94.427152317899996</v>
      </c>
      <c r="CG57">
        <v>6674</v>
      </c>
      <c r="CH57">
        <v>429</v>
      </c>
      <c r="CI57">
        <v>141.88567575670001</v>
      </c>
      <c r="CJ57">
        <v>136.1701631702</v>
      </c>
      <c r="CL57" t="s">
        <v>410</v>
      </c>
      <c r="CM57" t="s">
        <v>872</v>
      </c>
      <c r="CN57" t="s">
        <v>879</v>
      </c>
      <c r="CO57">
        <v>286</v>
      </c>
      <c r="CP57">
        <v>35</v>
      </c>
      <c r="CQ57">
        <v>68.304195804200006</v>
      </c>
      <c r="CR57">
        <v>991</v>
      </c>
      <c r="CS57">
        <v>75</v>
      </c>
      <c r="CT57">
        <v>68.913218970700001</v>
      </c>
      <c r="CU57">
        <v>79.373333333299996</v>
      </c>
      <c r="CW57" t="s">
        <v>410</v>
      </c>
      <c r="CX57" t="s">
        <v>882</v>
      </c>
      <c r="CY57" t="s">
        <v>889</v>
      </c>
      <c r="CZ57">
        <v>85</v>
      </c>
      <c r="DA57">
        <v>28</v>
      </c>
      <c r="DB57">
        <v>98.635294117599997</v>
      </c>
      <c r="DC57">
        <v>113</v>
      </c>
      <c r="DD57">
        <v>14</v>
      </c>
      <c r="DE57">
        <v>145.76106194690001</v>
      </c>
      <c r="DF57">
        <v>162</v>
      </c>
      <c r="DH57" t="s">
        <v>410</v>
      </c>
      <c r="DI57" t="s">
        <v>862</v>
      </c>
      <c r="DJ57" t="s">
        <v>869</v>
      </c>
      <c r="DK57">
        <v>44</v>
      </c>
      <c r="DL57">
        <v>14</v>
      </c>
      <c r="DM57">
        <v>142.4090909091</v>
      </c>
      <c r="DN57">
        <v>58</v>
      </c>
      <c r="DO57">
        <v>7</v>
      </c>
      <c r="DP57">
        <v>127</v>
      </c>
      <c r="DQ57">
        <v>121.42857142859999</v>
      </c>
    </row>
    <row r="58" spans="2:121" x14ac:dyDescent="0.2">
      <c r="F58" t="s">
        <v>54</v>
      </c>
      <c r="G58">
        <v>1284</v>
      </c>
      <c r="H58">
        <v>343.82165109030001</v>
      </c>
      <c r="I58">
        <v>935</v>
      </c>
      <c r="J58">
        <v>199</v>
      </c>
      <c r="K58">
        <v>1816</v>
      </c>
      <c r="L58">
        <v>1145</v>
      </c>
      <c r="M58">
        <v>329</v>
      </c>
      <c r="N58">
        <v>302</v>
      </c>
      <c r="O58">
        <v>84</v>
      </c>
      <c r="P58">
        <v>47</v>
      </c>
      <c r="Q58">
        <v>0</v>
      </c>
      <c r="R58">
        <v>1</v>
      </c>
      <c r="BJ58" t="s">
        <v>625</v>
      </c>
      <c r="BK58" t="s">
        <v>405</v>
      </c>
      <c r="BL58">
        <v>9498</v>
      </c>
      <c r="BM58">
        <v>2048</v>
      </c>
      <c r="BN58">
        <v>83.7596336071</v>
      </c>
      <c r="BO58">
        <v>14900</v>
      </c>
      <c r="BP58">
        <v>1238</v>
      </c>
      <c r="BQ58">
        <v>129.6010067114</v>
      </c>
      <c r="BR58">
        <v>116.6098546042</v>
      </c>
      <c r="BS58">
        <v>8962</v>
      </c>
      <c r="BT58">
        <v>1954</v>
      </c>
      <c r="BU58">
        <v>84.113255969600004</v>
      </c>
      <c r="BV58">
        <v>15277</v>
      </c>
      <c r="BW58">
        <v>1203</v>
      </c>
      <c r="BX58">
        <v>137.18465667340001</v>
      </c>
      <c r="BY58">
        <v>119.6608478803</v>
      </c>
      <c r="CA58" t="s">
        <v>80</v>
      </c>
      <c r="CB58" t="s">
        <v>891</v>
      </c>
      <c r="CC58" t="s">
        <v>1023</v>
      </c>
      <c r="CD58">
        <v>5556</v>
      </c>
      <c r="CE58">
        <v>1088</v>
      </c>
      <c r="CF58">
        <v>82.952483801300005</v>
      </c>
      <c r="CG58">
        <v>11456</v>
      </c>
      <c r="CH58">
        <v>882</v>
      </c>
      <c r="CI58">
        <v>112.3639141061</v>
      </c>
      <c r="CJ58">
        <v>99.867346938799997</v>
      </c>
      <c r="CL58" t="s">
        <v>80</v>
      </c>
      <c r="CM58" t="s">
        <v>872</v>
      </c>
      <c r="CN58" t="s">
        <v>880</v>
      </c>
      <c r="CO58">
        <v>472</v>
      </c>
      <c r="CP58">
        <v>55</v>
      </c>
      <c r="CQ58">
        <v>69.908898305099996</v>
      </c>
      <c r="CR58">
        <v>1533</v>
      </c>
      <c r="CS58">
        <v>116</v>
      </c>
      <c r="CT58">
        <v>68.172211350300003</v>
      </c>
      <c r="CU58">
        <v>66.974137931000001</v>
      </c>
      <c r="CW58" t="s">
        <v>80</v>
      </c>
      <c r="CX58" t="s">
        <v>882</v>
      </c>
      <c r="CY58" t="s">
        <v>890</v>
      </c>
      <c r="CZ58">
        <v>331</v>
      </c>
      <c r="DA58">
        <v>80</v>
      </c>
      <c r="DB58">
        <v>79.341389728099998</v>
      </c>
      <c r="DC58">
        <v>318</v>
      </c>
      <c r="DD58">
        <v>42</v>
      </c>
      <c r="DE58">
        <v>136.59119496860001</v>
      </c>
      <c r="DF58">
        <v>135.30952380950001</v>
      </c>
      <c r="DH58" t="s">
        <v>80</v>
      </c>
      <c r="DI58" t="s">
        <v>862</v>
      </c>
      <c r="DJ58" t="s">
        <v>870</v>
      </c>
      <c r="DK58">
        <v>410</v>
      </c>
      <c r="DL58">
        <v>66</v>
      </c>
      <c r="DM58">
        <v>69.407317073200005</v>
      </c>
      <c r="DN58">
        <v>633</v>
      </c>
      <c r="DO58">
        <v>70</v>
      </c>
      <c r="DP58">
        <v>128.27330173780001</v>
      </c>
      <c r="DQ58">
        <v>128.78571428570001</v>
      </c>
    </row>
    <row r="59" spans="2:121" x14ac:dyDescent="0.2">
      <c r="F59" t="s">
        <v>46</v>
      </c>
      <c r="G59">
        <v>13191</v>
      </c>
      <c r="H59">
        <v>348.8215449928</v>
      </c>
      <c r="I59">
        <v>15906</v>
      </c>
      <c r="J59">
        <v>4067</v>
      </c>
      <c r="K59">
        <v>17356</v>
      </c>
      <c r="L59">
        <v>12170</v>
      </c>
      <c r="M59">
        <v>3101</v>
      </c>
      <c r="N59">
        <v>2523</v>
      </c>
      <c r="O59">
        <v>3464</v>
      </c>
      <c r="P59">
        <v>2631</v>
      </c>
      <c r="Q59">
        <v>1</v>
      </c>
      <c r="R59">
        <v>234</v>
      </c>
      <c r="BJ59" t="s">
        <v>598</v>
      </c>
      <c r="BK59" t="s">
        <v>405</v>
      </c>
      <c r="BL59">
        <v>7349</v>
      </c>
      <c r="BM59">
        <v>1195</v>
      </c>
      <c r="BN59">
        <v>71.980541570300005</v>
      </c>
      <c r="BO59">
        <v>25835</v>
      </c>
      <c r="BP59">
        <v>2020</v>
      </c>
      <c r="BQ59">
        <v>67.467020205899999</v>
      </c>
      <c r="BR59">
        <v>59.3683168317</v>
      </c>
      <c r="BS59">
        <v>8319</v>
      </c>
      <c r="BT59">
        <v>1330</v>
      </c>
      <c r="BU59">
        <v>73.324317826699996</v>
      </c>
      <c r="BV59">
        <v>26825</v>
      </c>
      <c r="BW59">
        <v>2148</v>
      </c>
      <c r="BX59">
        <v>68.147964509399998</v>
      </c>
      <c r="BY59">
        <v>62.736964618199998</v>
      </c>
      <c r="CA59" t="s">
        <v>405</v>
      </c>
      <c r="CB59" t="s">
        <v>891</v>
      </c>
      <c r="CD59">
        <v>54991</v>
      </c>
      <c r="CE59">
        <v>13051</v>
      </c>
      <c r="CF59">
        <v>90.118001127499994</v>
      </c>
      <c r="CG59">
        <v>85116</v>
      </c>
      <c r="CH59">
        <v>6909</v>
      </c>
      <c r="CI59">
        <v>131.44879567620001</v>
      </c>
      <c r="CJ59">
        <v>120.2275293096</v>
      </c>
      <c r="CL59" t="s">
        <v>405</v>
      </c>
      <c r="CM59" t="s">
        <v>872</v>
      </c>
      <c r="CO59">
        <v>3558</v>
      </c>
      <c r="CP59">
        <v>346</v>
      </c>
      <c r="CQ59">
        <v>64.936200112400002</v>
      </c>
      <c r="CR59">
        <v>12224</v>
      </c>
      <c r="CS59">
        <v>945</v>
      </c>
      <c r="CT59">
        <v>66.255420109599996</v>
      </c>
      <c r="CU59">
        <v>72.055026455000004</v>
      </c>
      <c r="CW59" t="s">
        <v>405</v>
      </c>
      <c r="CX59" t="s">
        <v>882</v>
      </c>
      <c r="CZ59">
        <v>2113</v>
      </c>
      <c r="DA59">
        <v>525</v>
      </c>
      <c r="DB59">
        <v>83.524846190299996</v>
      </c>
      <c r="DC59">
        <v>2466</v>
      </c>
      <c r="DD59">
        <v>291</v>
      </c>
      <c r="DE59">
        <v>139.9156528792</v>
      </c>
      <c r="DF59">
        <v>139.60481099660001</v>
      </c>
      <c r="DH59" t="s">
        <v>405</v>
      </c>
      <c r="DI59" t="s">
        <v>862</v>
      </c>
      <c r="DK59">
        <v>1602</v>
      </c>
      <c r="DL59">
        <v>285</v>
      </c>
      <c r="DM59">
        <v>73.179151061200002</v>
      </c>
      <c r="DN59">
        <v>2276</v>
      </c>
      <c r="DO59">
        <v>261</v>
      </c>
      <c r="DP59">
        <v>129.39252747250001</v>
      </c>
      <c r="DQ59">
        <v>127.9501915709</v>
      </c>
    </row>
    <row r="60" spans="2:121" x14ac:dyDescent="0.2">
      <c r="F60" t="s">
        <v>135</v>
      </c>
      <c r="G60">
        <v>593</v>
      </c>
      <c r="H60">
        <v>380.81450252949998</v>
      </c>
      <c r="I60">
        <v>522</v>
      </c>
      <c r="J60">
        <v>154</v>
      </c>
      <c r="K60">
        <v>803</v>
      </c>
      <c r="L60">
        <v>530</v>
      </c>
      <c r="M60">
        <v>166</v>
      </c>
      <c r="N60">
        <v>100</v>
      </c>
      <c r="O60">
        <v>114</v>
      </c>
      <c r="P60">
        <v>57</v>
      </c>
      <c r="Q60">
        <v>0</v>
      </c>
      <c r="R60">
        <v>1</v>
      </c>
      <c r="BJ60" t="s">
        <v>540</v>
      </c>
      <c r="BK60" t="s">
        <v>381</v>
      </c>
      <c r="BL60">
        <v>15666</v>
      </c>
      <c r="BM60">
        <v>4540</v>
      </c>
      <c r="BN60">
        <v>96.993233754599999</v>
      </c>
      <c r="BO60">
        <v>21391</v>
      </c>
      <c r="BP60">
        <v>1620</v>
      </c>
      <c r="BQ60">
        <v>150.02552475339999</v>
      </c>
      <c r="BR60">
        <v>142.19259259259999</v>
      </c>
      <c r="BS60">
        <v>14600</v>
      </c>
      <c r="BT60">
        <v>3714</v>
      </c>
      <c r="BU60">
        <v>88.147465753399999</v>
      </c>
      <c r="BV60">
        <v>16995</v>
      </c>
      <c r="BW60">
        <v>1489</v>
      </c>
      <c r="BX60">
        <v>141.529508679</v>
      </c>
      <c r="BY60">
        <v>133.26930826060001</v>
      </c>
      <c r="CA60" t="s">
        <v>389</v>
      </c>
      <c r="CB60" t="s">
        <v>916</v>
      </c>
      <c r="CC60" t="s">
        <v>1024</v>
      </c>
      <c r="CD60">
        <v>6885</v>
      </c>
      <c r="CE60">
        <v>1711</v>
      </c>
      <c r="CF60">
        <v>89.824400871500004</v>
      </c>
      <c r="CG60">
        <v>10709</v>
      </c>
      <c r="CH60">
        <v>560</v>
      </c>
      <c r="CI60">
        <v>138.34759058649999</v>
      </c>
      <c r="CJ60">
        <v>143.49107142860001</v>
      </c>
      <c r="CL60" t="s">
        <v>389</v>
      </c>
      <c r="CM60" t="s">
        <v>901</v>
      </c>
      <c r="CN60" t="s">
        <v>900</v>
      </c>
      <c r="CO60">
        <v>645</v>
      </c>
      <c r="CP60">
        <v>109</v>
      </c>
      <c r="CQ60">
        <v>76.139534883699994</v>
      </c>
      <c r="CR60">
        <v>2099</v>
      </c>
      <c r="CS60">
        <v>145</v>
      </c>
      <c r="CT60">
        <v>65.930919485499999</v>
      </c>
      <c r="CU60">
        <v>68.620689655199996</v>
      </c>
      <c r="CW60" t="s">
        <v>389</v>
      </c>
      <c r="CX60" t="s">
        <v>909</v>
      </c>
      <c r="CY60" t="s">
        <v>908</v>
      </c>
      <c r="CZ60">
        <v>198</v>
      </c>
      <c r="DA60">
        <v>69</v>
      </c>
      <c r="DB60">
        <v>100.8737373737</v>
      </c>
      <c r="DC60">
        <v>160</v>
      </c>
      <c r="DD60">
        <v>20</v>
      </c>
      <c r="DE60">
        <v>154.16874999999999</v>
      </c>
      <c r="DF60">
        <v>158.94999999999999</v>
      </c>
      <c r="DH60" t="s">
        <v>389</v>
      </c>
      <c r="DI60" t="s">
        <v>893</v>
      </c>
      <c r="DJ60" t="s">
        <v>892</v>
      </c>
      <c r="DK60">
        <v>175</v>
      </c>
      <c r="DL60">
        <v>53</v>
      </c>
      <c r="DM60">
        <v>95.131428571399994</v>
      </c>
      <c r="DN60">
        <v>207</v>
      </c>
      <c r="DO60">
        <v>14</v>
      </c>
      <c r="DP60">
        <v>152.5024154589</v>
      </c>
      <c r="DQ60">
        <v>135.5</v>
      </c>
    </row>
    <row r="61" spans="2:121" x14ac:dyDescent="0.2">
      <c r="F61" t="s">
        <v>56</v>
      </c>
      <c r="G61">
        <v>4449</v>
      </c>
      <c r="H61">
        <v>198.3002922005</v>
      </c>
      <c r="I61">
        <v>6226</v>
      </c>
      <c r="J61">
        <v>1192</v>
      </c>
      <c r="K61">
        <v>5927</v>
      </c>
      <c r="L61">
        <v>2814</v>
      </c>
      <c r="M61">
        <v>606</v>
      </c>
      <c r="N61">
        <v>436</v>
      </c>
      <c r="O61">
        <v>628</v>
      </c>
      <c r="P61">
        <v>330</v>
      </c>
      <c r="Q61">
        <v>6781</v>
      </c>
      <c r="R61">
        <v>0</v>
      </c>
      <c r="BJ61" t="s">
        <v>548</v>
      </c>
      <c r="BK61" t="s">
        <v>381</v>
      </c>
      <c r="BL61">
        <v>8464</v>
      </c>
      <c r="BM61">
        <v>2317</v>
      </c>
      <c r="BN61">
        <v>100.22731569</v>
      </c>
      <c r="BO61">
        <v>11617</v>
      </c>
      <c r="BP61">
        <v>989</v>
      </c>
      <c r="BQ61">
        <v>137.60079221559999</v>
      </c>
      <c r="BR61">
        <v>130.52072800810001</v>
      </c>
      <c r="BS61">
        <v>8410</v>
      </c>
      <c r="BT61">
        <v>2323</v>
      </c>
      <c r="BU61">
        <v>99.618549345999995</v>
      </c>
      <c r="BV61">
        <v>11843</v>
      </c>
      <c r="BW61">
        <v>1011</v>
      </c>
      <c r="BX61">
        <v>137.8471999324</v>
      </c>
      <c r="BY61">
        <v>132.3264094955</v>
      </c>
      <c r="CA61" t="s">
        <v>426</v>
      </c>
      <c r="CB61" t="s">
        <v>916</v>
      </c>
      <c r="CC61" t="s">
        <v>1025</v>
      </c>
      <c r="CD61">
        <v>19828</v>
      </c>
      <c r="CE61">
        <v>5355</v>
      </c>
      <c r="CF61">
        <v>99.366552350199996</v>
      </c>
      <c r="CG61">
        <v>34265</v>
      </c>
      <c r="CH61">
        <v>2789</v>
      </c>
      <c r="CI61">
        <v>142.52530352560001</v>
      </c>
      <c r="CJ61">
        <v>131.9727500896</v>
      </c>
      <c r="CL61" t="s">
        <v>426</v>
      </c>
      <c r="CM61" t="s">
        <v>901</v>
      </c>
      <c r="CN61" t="s">
        <v>902</v>
      </c>
      <c r="CO61">
        <v>2620</v>
      </c>
      <c r="CP61">
        <v>316</v>
      </c>
      <c r="CQ61">
        <v>68.2561068702</v>
      </c>
      <c r="CR61">
        <v>4596</v>
      </c>
      <c r="CS61">
        <v>395</v>
      </c>
      <c r="CT61">
        <v>90.029808529199997</v>
      </c>
      <c r="CU61">
        <v>101.7063291139</v>
      </c>
      <c r="CW61" t="s">
        <v>426</v>
      </c>
      <c r="CX61" t="s">
        <v>909</v>
      </c>
      <c r="CY61" t="s">
        <v>910</v>
      </c>
      <c r="CZ61">
        <v>769</v>
      </c>
      <c r="DA61">
        <v>265</v>
      </c>
      <c r="DB61">
        <v>97.569570871300002</v>
      </c>
      <c r="DC61">
        <v>757</v>
      </c>
      <c r="DD61">
        <v>108</v>
      </c>
      <c r="DE61">
        <v>156.11228533689999</v>
      </c>
      <c r="DF61">
        <v>155.44444444440001</v>
      </c>
      <c r="DH61" t="s">
        <v>426</v>
      </c>
      <c r="DI61" t="s">
        <v>893</v>
      </c>
      <c r="DJ61" t="s">
        <v>894</v>
      </c>
      <c r="DK61">
        <v>967</v>
      </c>
      <c r="DL61">
        <v>297</v>
      </c>
      <c r="DM61">
        <v>91.729058945199995</v>
      </c>
      <c r="DN61">
        <v>1067</v>
      </c>
      <c r="DO61">
        <v>119</v>
      </c>
      <c r="DP61">
        <v>147.9503280225</v>
      </c>
      <c r="DQ61">
        <v>149.1512605042</v>
      </c>
    </row>
    <row r="62" spans="2:121" x14ac:dyDescent="0.2">
      <c r="BJ62" t="s">
        <v>564</v>
      </c>
      <c r="BK62" t="s">
        <v>381</v>
      </c>
      <c r="BL62">
        <v>3551</v>
      </c>
      <c r="BM62">
        <v>809</v>
      </c>
      <c r="BN62">
        <v>99.119402985099995</v>
      </c>
      <c r="BO62">
        <v>7607</v>
      </c>
      <c r="BP62">
        <v>651</v>
      </c>
      <c r="BQ62">
        <v>141.4042329433</v>
      </c>
      <c r="BR62">
        <v>117.9278033794</v>
      </c>
      <c r="BS62">
        <v>2478</v>
      </c>
      <c r="BT62">
        <v>825</v>
      </c>
      <c r="BU62">
        <v>128.2062146893</v>
      </c>
      <c r="BV62">
        <v>9693</v>
      </c>
      <c r="BW62">
        <v>839</v>
      </c>
      <c r="BX62">
        <v>166.01176106470001</v>
      </c>
      <c r="BY62">
        <v>135.70441001189999</v>
      </c>
      <c r="CA62" t="s">
        <v>382</v>
      </c>
      <c r="CB62" t="s">
        <v>916</v>
      </c>
      <c r="CC62" t="s">
        <v>1026</v>
      </c>
      <c r="CD62">
        <v>16703</v>
      </c>
      <c r="CE62">
        <v>4658</v>
      </c>
      <c r="CF62">
        <v>96.151948751700004</v>
      </c>
      <c r="CG62">
        <v>23744</v>
      </c>
      <c r="CH62">
        <v>1818</v>
      </c>
      <c r="CI62">
        <v>141.14289925880001</v>
      </c>
      <c r="CJ62">
        <v>135.28767876789999</v>
      </c>
      <c r="CL62" t="s">
        <v>382</v>
      </c>
      <c r="CM62" t="s">
        <v>901</v>
      </c>
      <c r="CN62" t="s">
        <v>903</v>
      </c>
      <c r="CO62">
        <v>1346</v>
      </c>
      <c r="CP62">
        <v>178</v>
      </c>
      <c r="CQ62">
        <v>70.724368499299999</v>
      </c>
      <c r="CR62">
        <v>2310</v>
      </c>
      <c r="CS62">
        <v>181</v>
      </c>
      <c r="CT62">
        <v>93.438528138500004</v>
      </c>
      <c r="CU62">
        <v>113.14917127069999</v>
      </c>
      <c r="CW62" t="s">
        <v>382</v>
      </c>
      <c r="CX62" t="s">
        <v>909</v>
      </c>
      <c r="CY62" t="s">
        <v>911</v>
      </c>
      <c r="CZ62">
        <v>463</v>
      </c>
      <c r="DA62">
        <v>141</v>
      </c>
      <c r="DB62">
        <v>88.647948164100001</v>
      </c>
      <c r="DC62">
        <v>444</v>
      </c>
      <c r="DD62">
        <v>55</v>
      </c>
      <c r="DE62">
        <v>159.64864864859999</v>
      </c>
      <c r="DF62">
        <v>153.5090909091</v>
      </c>
      <c r="DH62" t="s">
        <v>382</v>
      </c>
      <c r="DI62" t="s">
        <v>893</v>
      </c>
      <c r="DJ62" t="s">
        <v>895</v>
      </c>
      <c r="DK62">
        <v>488</v>
      </c>
      <c r="DL62">
        <v>149</v>
      </c>
      <c r="DM62">
        <v>93.25</v>
      </c>
      <c r="DN62">
        <v>544</v>
      </c>
      <c r="DO62">
        <v>47</v>
      </c>
      <c r="DP62">
        <v>149.5275735294</v>
      </c>
      <c r="DQ62">
        <v>151.02127659569999</v>
      </c>
    </row>
    <row r="63" spans="2:121" x14ac:dyDescent="0.2">
      <c r="BJ63" t="s">
        <v>554</v>
      </c>
      <c r="BK63" t="s">
        <v>381</v>
      </c>
      <c r="BL63">
        <v>6978</v>
      </c>
      <c r="BM63">
        <v>1649</v>
      </c>
      <c r="BN63">
        <v>89.466466036100002</v>
      </c>
      <c r="BO63">
        <v>10163</v>
      </c>
      <c r="BP63">
        <v>504</v>
      </c>
      <c r="BQ63">
        <v>141.77484747099999</v>
      </c>
      <c r="BR63">
        <v>149.58531746029999</v>
      </c>
      <c r="BS63">
        <v>6658</v>
      </c>
      <c r="BT63">
        <v>1523</v>
      </c>
      <c r="BU63">
        <v>86.1557524782</v>
      </c>
      <c r="BV63">
        <v>9433</v>
      </c>
      <c r="BW63">
        <v>482</v>
      </c>
      <c r="BX63">
        <v>139.75742154369999</v>
      </c>
      <c r="BY63">
        <v>145.95228215770001</v>
      </c>
      <c r="CA63" t="s">
        <v>394</v>
      </c>
      <c r="CB63" t="s">
        <v>916</v>
      </c>
      <c r="CC63" t="s">
        <v>1027</v>
      </c>
      <c r="CD63">
        <v>3255</v>
      </c>
      <c r="CE63">
        <v>601</v>
      </c>
      <c r="CF63">
        <v>86.878955453100005</v>
      </c>
      <c r="CG63">
        <v>7618</v>
      </c>
      <c r="CH63">
        <v>704</v>
      </c>
      <c r="CI63">
        <v>124.7599107377</v>
      </c>
      <c r="CJ63">
        <v>106.8977272727</v>
      </c>
      <c r="CL63" t="s">
        <v>394</v>
      </c>
      <c r="CM63" t="s">
        <v>901</v>
      </c>
      <c r="CN63" t="s">
        <v>904</v>
      </c>
      <c r="CO63">
        <v>358</v>
      </c>
      <c r="CP63">
        <v>46</v>
      </c>
      <c r="CQ63">
        <v>63.974860335199999</v>
      </c>
      <c r="CR63">
        <v>1124</v>
      </c>
      <c r="CS63">
        <v>109</v>
      </c>
      <c r="CT63">
        <v>72.637900355900001</v>
      </c>
      <c r="CU63">
        <v>66.174311926599998</v>
      </c>
      <c r="CW63" t="s">
        <v>394</v>
      </c>
      <c r="CX63" t="s">
        <v>909</v>
      </c>
      <c r="CY63" t="s">
        <v>912</v>
      </c>
      <c r="CZ63">
        <v>112</v>
      </c>
      <c r="DA63">
        <v>45</v>
      </c>
      <c r="DB63">
        <v>99.910714285699996</v>
      </c>
      <c r="DC63">
        <v>100</v>
      </c>
      <c r="DD63">
        <v>14</v>
      </c>
      <c r="DE63">
        <v>149.97</v>
      </c>
      <c r="DF63">
        <v>147.6428571429</v>
      </c>
      <c r="DH63" t="s">
        <v>394</v>
      </c>
      <c r="DI63" t="s">
        <v>893</v>
      </c>
      <c r="DJ63" t="s">
        <v>896</v>
      </c>
      <c r="DK63">
        <v>159</v>
      </c>
      <c r="DL63">
        <v>44</v>
      </c>
      <c r="DM63">
        <v>86.100628930799999</v>
      </c>
      <c r="DN63">
        <v>164</v>
      </c>
      <c r="DO63">
        <v>26</v>
      </c>
      <c r="DP63">
        <v>150.11585365849999</v>
      </c>
      <c r="DQ63">
        <v>154.3461538462</v>
      </c>
    </row>
    <row r="64" spans="2:121" x14ac:dyDescent="0.2">
      <c r="BJ64" t="s">
        <v>550</v>
      </c>
      <c r="BK64" t="s">
        <v>381</v>
      </c>
      <c r="BL64">
        <v>8638</v>
      </c>
      <c r="BM64">
        <v>1671</v>
      </c>
      <c r="BN64">
        <v>82.436327853700007</v>
      </c>
      <c r="BO64">
        <v>14063</v>
      </c>
      <c r="BP64">
        <v>1421</v>
      </c>
      <c r="BQ64">
        <v>129.83730356250001</v>
      </c>
      <c r="BR64">
        <v>114.17874736100001</v>
      </c>
      <c r="BS64">
        <v>8530</v>
      </c>
      <c r="BT64">
        <v>1634</v>
      </c>
      <c r="BU64">
        <v>82.161664712800004</v>
      </c>
      <c r="BV64">
        <v>14822</v>
      </c>
      <c r="BW64">
        <v>1428</v>
      </c>
      <c r="BX64">
        <v>135.7732424774</v>
      </c>
      <c r="BY64">
        <v>116.41316526609999</v>
      </c>
      <c r="CA64" t="s">
        <v>428</v>
      </c>
      <c r="CB64" t="s">
        <v>916</v>
      </c>
      <c r="CC64" t="s">
        <v>1028</v>
      </c>
      <c r="CD64">
        <v>2809</v>
      </c>
      <c r="CE64">
        <v>877</v>
      </c>
      <c r="CF64">
        <v>108.9433962264</v>
      </c>
      <c r="CG64">
        <v>3933</v>
      </c>
      <c r="CH64">
        <v>461</v>
      </c>
      <c r="CI64">
        <v>158.36231884060001</v>
      </c>
      <c r="CJ64">
        <v>135.5249457701</v>
      </c>
      <c r="CL64" t="s">
        <v>428</v>
      </c>
      <c r="CM64" t="s">
        <v>901</v>
      </c>
      <c r="CN64" t="s">
        <v>905</v>
      </c>
      <c r="CO64">
        <v>473</v>
      </c>
      <c r="CP64">
        <v>68</v>
      </c>
      <c r="CQ64">
        <v>74.471458773799995</v>
      </c>
      <c r="CR64">
        <v>833</v>
      </c>
      <c r="CS64">
        <v>73</v>
      </c>
      <c r="CT64">
        <v>100.46698679470001</v>
      </c>
      <c r="CU64">
        <v>108.095890411</v>
      </c>
      <c r="CW64" t="s">
        <v>428</v>
      </c>
      <c r="CX64" t="s">
        <v>909</v>
      </c>
      <c r="CY64" t="s">
        <v>913</v>
      </c>
      <c r="CZ64">
        <v>17</v>
      </c>
      <c r="DA64">
        <v>1</v>
      </c>
      <c r="DB64">
        <v>70.294117647099995</v>
      </c>
      <c r="DC64">
        <v>7</v>
      </c>
      <c r="DD64">
        <v>1</v>
      </c>
      <c r="DE64">
        <v>143.42857142860001</v>
      </c>
      <c r="DF64">
        <v>162</v>
      </c>
      <c r="DH64" t="s">
        <v>428</v>
      </c>
      <c r="DI64" t="s">
        <v>893</v>
      </c>
      <c r="DJ64" t="s">
        <v>897</v>
      </c>
      <c r="DK64">
        <v>13</v>
      </c>
      <c r="DL64">
        <v>2</v>
      </c>
      <c r="DM64">
        <v>93.461538461499998</v>
      </c>
      <c r="DN64">
        <v>21</v>
      </c>
      <c r="DO64">
        <v>2</v>
      </c>
      <c r="DP64">
        <v>118.42857142859999</v>
      </c>
      <c r="DQ64">
        <v>173</v>
      </c>
    </row>
    <row r="65" spans="62:121" x14ac:dyDescent="0.2">
      <c r="BJ65" t="s">
        <v>614</v>
      </c>
      <c r="BK65" t="s">
        <v>381</v>
      </c>
      <c r="BL65">
        <v>2834</v>
      </c>
      <c r="BM65">
        <v>891</v>
      </c>
      <c r="BN65">
        <v>109.14925899790001</v>
      </c>
      <c r="BO65">
        <v>3878</v>
      </c>
      <c r="BP65">
        <v>467</v>
      </c>
      <c r="BQ65">
        <v>161.7351727695</v>
      </c>
      <c r="BR65">
        <v>139.61027837259999</v>
      </c>
      <c r="BS65">
        <v>2814</v>
      </c>
      <c r="BT65">
        <v>878</v>
      </c>
      <c r="BU65">
        <v>110.3614072495</v>
      </c>
      <c r="BV65">
        <v>3858</v>
      </c>
      <c r="BW65">
        <v>462</v>
      </c>
      <c r="BX65">
        <v>173.55417314670001</v>
      </c>
      <c r="BY65">
        <v>140.08008658009999</v>
      </c>
      <c r="CA65" t="s">
        <v>384</v>
      </c>
      <c r="CB65" t="s">
        <v>916</v>
      </c>
      <c r="CC65" t="s">
        <v>1029</v>
      </c>
      <c r="CD65">
        <v>8729</v>
      </c>
      <c r="CE65">
        <v>2434</v>
      </c>
      <c r="CF65">
        <v>100.656776263</v>
      </c>
      <c r="CG65">
        <v>12522</v>
      </c>
      <c r="CH65">
        <v>1052</v>
      </c>
      <c r="CI65">
        <v>134.89678862439999</v>
      </c>
      <c r="CJ65">
        <v>129.21482889730001</v>
      </c>
      <c r="CL65" t="s">
        <v>384</v>
      </c>
      <c r="CM65" t="s">
        <v>901</v>
      </c>
      <c r="CN65" t="s">
        <v>906</v>
      </c>
      <c r="CO65">
        <v>796</v>
      </c>
      <c r="CP65">
        <v>87</v>
      </c>
      <c r="CQ65">
        <v>67.002512562800007</v>
      </c>
      <c r="CR65">
        <v>1370</v>
      </c>
      <c r="CS65">
        <v>114</v>
      </c>
      <c r="CT65">
        <v>89.862773722599997</v>
      </c>
      <c r="CU65">
        <v>97.192982456099998</v>
      </c>
      <c r="CW65" t="s">
        <v>384</v>
      </c>
      <c r="CX65" t="s">
        <v>909</v>
      </c>
      <c r="CY65" t="s">
        <v>914</v>
      </c>
      <c r="CZ65">
        <v>257</v>
      </c>
      <c r="DA65">
        <v>95</v>
      </c>
      <c r="DB65">
        <v>101.47470817120001</v>
      </c>
      <c r="DC65">
        <v>236</v>
      </c>
      <c r="DD65">
        <v>25</v>
      </c>
      <c r="DE65">
        <v>160.22033898309999</v>
      </c>
      <c r="DF65">
        <v>164.36</v>
      </c>
      <c r="DH65" t="s">
        <v>384</v>
      </c>
      <c r="DI65" t="s">
        <v>893</v>
      </c>
      <c r="DJ65" t="s">
        <v>898</v>
      </c>
      <c r="DK65">
        <v>257</v>
      </c>
      <c r="DL65">
        <v>76</v>
      </c>
      <c r="DM65">
        <v>89.871595330700004</v>
      </c>
      <c r="DN65">
        <v>273</v>
      </c>
      <c r="DO65">
        <v>29</v>
      </c>
      <c r="DP65">
        <v>146.04761904759999</v>
      </c>
      <c r="DQ65">
        <v>162.62068965520001</v>
      </c>
    </row>
    <row r="66" spans="62:121" x14ac:dyDescent="0.2">
      <c r="BJ66" t="s">
        <v>381</v>
      </c>
      <c r="BK66" t="s">
        <v>381</v>
      </c>
      <c r="BL66">
        <v>64792</v>
      </c>
      <c r="BM66">
        <v>17008</v>
      </c>
      <c r="BN66">
        <v>96.354503642400005</v>
      </c>
      <c r="BO66">
        <v>100075</v>
      </c>
      <c r="BP66">
        <v>8203</v>
      </c>
      <c r="BQ66">
        <v>143.527905745</v>
      </c>
      <c r="BR66">
        <v>132.74046080700001</v>
      </c>
      <c r="BS66">
        <v>61433</v>
      </c>
      <c r="BT66">
        <v>15410</v>
      </c>
      <c r="BU66">
        <v>92.944297039099993</v>
      </c>
      <c r="BV66">
        <v>95130</v>
      </c>
      <c r="BW66">
        <v>8168</v>
      </c>
      <c r="BX66">
        <v>141.9936398806</v>
      </c>
      <c r="BY66">
        <v>130.53648383940001</v>
      </c>
      <c r="CA66" t="s">
        <v>385</v>
      </c>
      <c r="CB66" t="s">
        <v>916</v>
      </c>
      <c r="CC66" t="s">
        <v>1030</v>
      </c>
      <c r="CD66">
        <v>8630</v>
      </c>
      <c r="CE66">
        <v>1671</v>
      </c>
      <c r="CF66">
        <v>82.2615295481</v>
      </c>
      <c r="CG66">
        <v>14321</v>
      </c>
      <c r="CH66">
        <v>1368</v>
      </c>
      <c r="CI66">
        <v>126.7850708749</v>
      </c>
      <c r="CJ66">
        <v>112.8347953216</v>
      </c>
      <c r="CL66" t="s">
        <v>385</v>
      </c>
      <c r="CM66" t="s">
        <v>901</v>
      </c>
      <c r="CN66" t="s">
        <v>907</v>
      </c>
      <c r="CO66">
        <v>655</v>
      </c>
      <c r="CP66">
        <v>91</v>
      </c>
      <c r="CQ66">
        <v>70.419847328200007</v>
      </c>
      <c r="CR66">
        <v>1875</v>
      </c>
      <c r="CS66">
        <v>138</v>
      </c>
      <c r="CT66">
        <v>68.279466666700003</v>
      </c>
      <c r="CU66">
        <v>71.115942028999996</v>
      </c>
      <c r="CW66" t="s">
        <v>385</v>
      </c>
      <c r="CX66" t="s">
        <v>909</v>
      </c>
      <c r="CY66" t="s">
        <v>915</v>
      </c>
      <c r="CZ66">
        <v>260</v>
      </c>
      <c r="DA66">
        <v>101</v>
      </c>
      <c r="DB66">
        <v>105.30769230769999</v>
      </c>
      <c r="DC66">
        <v>198</v>
      </c>
      <c r="DD66">
        <v>26</v>
      </c>
      <c r="DE66">
        <v>155.41919191919999</v>
      </c>
      <c r="DF66">
        <v>163.4615384615</v>
      </c>
      <c r="DH66" t="s">
        <v>385</v>
      </c>
      <c r="DI66" t="s">
        <v>893</v>
      </c>
      <c r="DJ66" t="s">
        <v>899</v>
      </c>
      <c r="DK66">
        <v>383</v>
      </c>
      <c r="DL66">
        <v>120</v>
      </c>
      <c r="DM66">
        <v>92.138381201000001</v>
      </c>
      <c r="DN66">
        <v>444</v>
      </c>
      <c r="DO66">
        <v>43</v>
      </c>
      <c r="DP66">
        <v>147.1914414414</v>
      </c>
      <c r="DQ66">
        <v>148.44186046510001</v>
      </c>
    </row>
    <row r="67" spans="62:121" x14ac:dyDescent="0.2">
      <c r="BJ67" t="s">
        <v>542</v>
      </c>
      <c r="BK67" t="s">
        <v>381</v>
      </c>
      <c r="BL67">
        <v>18661</v>
      </c>
      <c r="BM67">
        <v>5131</v>
      </c>
      <c r="BN67">
        <v>100.61073897430001</v>
      </c>
      <c r="BO67">
        <v>31356</v>
      </c>
      <c r="BP67">
        <v>2551</v>
      </c>
      <c r="BQ67">
        <v>146.26219103810001</v>
      </c>
      <c r="BR67">
        <v>137.13249705999999</v>
      </c>
      <c r="BS67">
        <v>17943</v>
      </c>
      <c r="BT67">
        <v>4513</v>
      </c>
      <c r="BU67">
        <v>93.762804436300001</v>
      </c>
      <c r="BV67">
        <v>28486</v>
      </c>
      <c r="BW67">
        <v>2457</v>
      </c>
      <c r="BX67">
        <v>135.5235738108</v>
      </c>
      <c r="BY67">
        <v>129.76882376879999</v>
      </c>
      <c r="CA67" t="s">
        <v>381</v>
      </c>
      <c r="CB67" t="s">
        <v>916</v>
      </c>
      <c r="CD67">
        <v>66839</v>
      </c>
      <c r="CE67">
        <v>17307</v>
      </c>
      <c r="CF67">
        <v>95.334610033100006</v>
      </c>
      <c r="CG67">
        <v>107112</v>
      </c>
      <c r="CH67">
        <v>8752</v>
      </c>
      <c r="CI67">
        <v>138.12295296249999</v>
      </c>
      <c r="CJ67">
        <v>128.24554387570001</v>
      </c>
      <c r="CL67" t="s">
        <v>381</v>
      </c>
      <c r="CM67" t="s">
        <v>901</v>
      </c>
      <c r="CO67">
        <v>6893</v>
      </c>
      <c r="CP67">
        <v>895</v>
      </c>
      <c r="CQ67">
        <v>69.740751486999997</v>
      </c>
      <c r="CR67">
        <v>14207</v>
      </c>
      <c r="CS67">
        <v>1155</v>
      </c>
      <c r="CT67">
        <v>83.372914760300006</v>
      </c>
      <c r="CU67">
        <v>92.296103896100007</v>
      </c>
      <c r="CW67" t="s">
        <v>381</v>
      </c>
      <c r="CX67" t="s">
        <v>909</v>
      </c>
      <c r="CZ67">
        <v>2076</v>
      </c>
      <c r="DA67">
        <v>717</v>
      </c>
      <c r="DB67">
        <v>97.250481695600001</v>
      </c>
      <c r="DC67">
        <v>1902</v>
      </c>
      <c r="DD67">
        <v>249</v>
      </c>
      <c r="DE67">
        <v>156.84227129339999</v>
      </c>
      <c r="DF67">
        <v>156.6184738956</v>
      </c>
      <c r="DH67" t="s">
        <v>381</v>
      </c>
      <c r="DI67" t="s">
        <v>893</v>
      </c>
      <c r="DK67">
        <v>2442</v>
      </c>
      <c r="DL67">
        <v>741</v>
      </c>
      <c r="DM67">
        <v>91.788288288299995</v>
      </c>
      <c r="DN67">
        <v>2720</v>
      </c>
      <c r="DO67">
        <v>280</v>
      </c>
      <c r="DP67">
        <v>148.19999999999999</v>
      </c>
      <c r="DQ67">
        <v>150.7214285714</v>
      </c>
    </row>
    <row r="68" spans="62:121" x14ac:dyDescent="0.2">
      <c r="BJ68" t="s">
        <v>308</v>
      </c>
      <c r="BK68" t="s">
        <v>696</v>
      </c>
      <c r="BL68">
        <v>8361</v>
      </c>
      <c r="BM68">
        <v>2093</v>
      </c>
      <c r="BN68">
        <v>82.990551369499997</v>
      </c>
      <c r="BO68">
        <v>9941</v>
      </c>
      <c r="BP68">
        <v>1194</v>
      </c>
      <c r="BQ68">
        <v>137.54295774650001</v>
      </c>
      <c r="BR68">
        <v>136.7495812395</v>
      </c>
      <c r="BS68">
        <v>1478</v>
      </c>
      <c r="BT68">
        <v>1137</v>
      </c>
      <c r="BU68">
        <v>136.43978349119999</v>
      </c>
      <c r="BV68">
        <v>2255</v>
      </c>
      <c r="BW68">
        <v>530</v>
      </c>
      <c r="BX68">
        <v>135.42128603099999</v>
      </c>
      <c r="BY68">
        <v>139.32830188680001</v>
      </c>
      <c r="CA68" t="s">
        <v>699</v>
      </c>
      <c r="CD68">
        <v>348658</v>
      </c>
      <c r="CE68">
        <v>83178</v>
      </c>
      <c r="CF68">
        <v>90.591129416200005</v>
      </c>
      <c r="CG68">
        <v>558275</v>
      </c>
      <c r="CH68">
        <v>46507</v>
      </c>
      <c r="CI68">
        <v>127.19974921630001</v>
      </c>
      <c r="CJ68">
        <v>122.6656417314</v>
      </c>
      <c r="CL68" t="s">
        <v>699</v>
      </c>
      <c r="CO68">
        <v>348658</v>
      </c>
      <c r="CP68">
        <v>83178</v>
      </c>
      <c r="CQ68">
        <v>90.591129416200005</v>
      </c>
      <c r="CR68">
        <v>558275</v>
      </c>
      <c r="CS68">
        <v>46507</v>
      </c>
      <c r="CT68">
        <v>127.19974921630001</v>
      </c>
      <c r="CU68">
        <v>122.6656417314</v>
      </c>
      <c r="CW68" t="s">
        <v>699</v>
      </c>
      <c r="CZ68">
        <v>348658</v>
      </c>
      <c r="DA68">
        <v>83178</v>
      </c>
      <c r="DB68">
        <v>90.591129416200005</v>
      </c>
      <c r="DC68">
        <v>558275</v>
      </c>
      <c r="DD68">
        <v>46507</v>
      </c>
      <c r="DE68">
        <v>127.19974921630001</v>
      </c>
      <c r="DF68">
        <v>122.6656417314</v>
      </c>
      <c r="DH68" t="s">
        <v>699</v>
      </c>
      <c r="DK68">
        <v>348658</v>
      </c>
      <c r="DL68">
        <v>83178</v>
      </c>
      <c r="DM68">
        <v>90.591129416200005</v>
      </c>
      <c r="DN68">
        <v>558275</v>
      </c>
      <c r="DO68">
        <v>46507</v>
      </c>
      <c r="DP68">
        <v>127.19974921630001</v>
      </c>
      <c r="DQ68">
        <v>122.6656417314</v>
      </c>
    </row>
    <row r="69" spans="62:121" x14ac:dyDescent="0.2">
      <c r="BJ69" t="s">
        <v>211</v>
      </c>
      <c r="BK69" t="s">
        <v>696</v>
      </c>
      <c r="BL69">
        <v>63</v>
      </c>
      <c r="BM69">
        <v>20</v>
      </c>
      <c r="BN69">
        <v>86.777777777799997</v>
      </c>
      <c r="BO69">
        <v>90</v>
      </c>
      <c r="BP69">
        <v>13</v>
      </c>
      <c r="BQ69">
        <v>138.2222222222</v>
      </c>
      <c r="BR69">
        <v>130.8461538462</v>
      </c>
      <c r="BS69">
        <v>3436</v>
      </c>
      <c r="BT69">
        <v>373</v>
      </c>
      <c r="BU69">
        <v>65.849243306199995</v>
      </c>
      <c r="BV69">
        <v>4814</v>
      </c>
      <c r="BW69">
        <v>407</v>
      </c>
      <c r="BX69">
        <v>127.3473924787</v>
      </c>
      <c r="BY69">
        <v>119.26781326779999</v>
      </c>
    </row>
    <row r="70" spans="62:121" x14ac:dyDescent="0.2">
      <c r="BJ70" t="s">
        <v>696</v>
      </c>
      <c r="BK70" t="s">
        <v>696</v>
      </c>
      <c r="BL70">
        <v>9944</v>
      </c>
      <c r="BM70">
        <v>2521</v>
      </c>
      <c r="BN70">
        <v>83.997687047499994</v>
      </c>
      <c r="BO70">
        <v>12102</v>
      </c>
      <c r="BP70">
        <v>1380</v>
      </c>
      <c r="BQ70">
        <v>139.4174035204</v>
      </c>
      <c r="BR70">
        <v>138.47898550720001</v>
      </c>
      <c r="BS70">
        <v>9944</v>
      </c>
      <c r="BT70">
        <v>2521</v>
      </c>
      <c r="BU70">
        <v>83.997687047499994</v>
      </c>
      <c r="BV70">
        <v>12102</v>
      </c>
      <c r="BW70">
        <v>1380</v>
      </c>
      <c r="BX70">
        <v>139.4174035204</v>
      </c>
      <c r="BY70">
        <v>138.47898550720001</v>
      </c>
    </row>
    <row r="71" spans="62:121" x14ac:dyDescent="0.2">
      <c r="BJ71" t="s">
        <v>213</v>
      </c>
      <c r="BK71" t="s">
        <v>696</v>
      </c>
      <c r="BL71">
        <v>1520</v>
      </c>
      <c r="BM71">
        <v>408</v>
      </c>
      <c r="BN71">
        <v>89.422368421100003</v>
      </c>
      <c r="BO71">
        <v>2071</v>
      </c>
      <c r="BP71">
        <v>173</v>
      </c>
      <c r="BQ71">
        <v>148.46595847419999</v>
      </c>
      <c r="BR71">
        <v>150.98843930640001</v>
      </c>
      <c r="BS71">
        <v>5030</v>
      </c>
      <c r="BT71">
        <v>1011</v>
      </c>
      <c r="BU71">
        <v>80.985487077499997</v>
      </c>
      <c r="BV71">
        <v>5033</v>
      </c>
      <c r="BW71">
        <v>443</v>
      </c>
      <c r="BX71">
        <v>152.75024836079999</v>
      </c>
      <c r="BY71">
        <v>155.1128668172</v>
      </c>
    </row>
    <row r="72" spans="62:121" x14ac:dyDescent="0.2">
      <c r="BJ72" t="s">
        <v>209</v>
      </c>
      <c r="BK72" t="s">
        <v>697</v>
      </c>
      <c r="BL72">
        <v>5947</v>
      </c>
      <c r="BM72">
        <v>829</v>
      </c>
      <c r="BN72">
        <v>68.106776526000004</v>
      </c>
      <c r="BO72">
        <v>18516</v>
      </c>
      <c r="BP72">
        <v>1442</v>
      </c>
      <c r="BQ72">
        <v>71.2371462519</v>
      </c>
      <c r="BR72">
        <v>74.677531206699996</v>
      </c>
      <c r="BS72">
        <v>5966</v>
      </c>
      <c r="BT72">
        <v>828</v>
      </c>
      <c r="BU72">
        <v>67.851156553799996</v>
      </c>
      <c r="BV72">
        <v>18601</v>
      </c>
      <c r="BW72">
        <v>1456</v>
      </c>
      <c r="BX72">
        <v>71.412397182899994</v>
      </c>
      <c r="BY72">
        <v>74.931318681299999</v>
      </c>
    </row>
    <row r="73" spans="62:121" x14ac:dyDescent="0.2">
      <c r="BJ73" t="s">
        <v>224</v>
      </c>
      <c r="BK73" t="s">
        <v>697</v>
      </c>
      <c r="BL73">
        <v>765</v>
      </c>
      <c r="BM73">
        <v>401</v>
      </c>
      <c r="BN73">
        <v>175.34379084970001</v>
      </c>
      <c r="BO73">
        <v>2341</v>
      </c>
      <c r="BP73">
        <v>165</v>
      </c>
      <c r="BQ73">
        <v>54.4284493806</v>
      </c>
      <c r="BR73">
        <v>55.218181818200001</v>
      </c>
      <c r="BS73">
        <v>675</v>
      </c>
      <c r="BT73">
        <v>383</v>
      </c>
      <c r="BU73">
        <v>191.37777777779999</v>
      </c>
      <c r="BV73">
        <v>1972</v>
      </c>
      <c r="BW73">
        <v>131</v>
      </c>
      <c r="BX73">
        <v>41.761663286000001</v>
      </c>
      <c r="BY73">
        <v>38.175572519100001</v>
      </c>
    </row>
    <row r="74" spans="62:121" x14ac:dyDescent="0.2">
      <c r="BJ74" t="s">
        <v>210</v>
      </c>
      <c r="BK74" t="s">
        <v>697</v>
      </c>
      <c r="BL74">
        <v>12457</v>
      </c>
      <c r="BM74">
        <v>1561</v>
      </c>
      <c r="BN74">
        <v>68.0132455647</v>
      </c>
      <c r="BO74">
        <v>20800</v>
      </c>
      <c r="BP74">
        <v>1716</v>
      </c>
      <c r="BQ74">
        <v>92.788701923100007</v>
      </c>
      <c r="BR74">
        <v>106.63927738930001</v>
      </c>
      <c r="BS74">
        <v>12499</v>
      </c>
      <c r="BT74">
        <v>1581</v>
      </c>
      <c r="BU74">
        <v>68.161932954600005</v>
      </c>
      <c r="BV74">
        <v>20936</v>
      </c>
      <c r="BW74">
        <v>1724</v>
      </c>
      <c r="BX74">
        <v>93.212982422600007</v>
      </c>
      <c r="BY74">
        <v>106.9245939675</v>
      </c>
    </row>
    <row r="75" spans="62:121" x14ac:dyDescent="0.2">
      <c r="BJ75" t="s">
        <v>212</v>
      </c>
      <c r="BK75" t="s">
        <v>697</v>
      </c>
      <c r="BL75">
        <v>6927</v>
      </c>
      <c r="BM75">
        <v>566</v>
      </c>
      <c r="BN75">
        <v>60.722246282699999</v>
      </c>
      <c r="BO75">
        <v>23204</v>
      </c>
      <c r="BP75">
        <v>1847</v>
      </c>
      <c r="BQ75">
        <v>67.581329195799995</v>
      </c>
      <c r="BR75">
        <v>72.685977260399994</v>
      </c>
      <c r="BS75">
        <v>6955</v>
      </c>
      <c r="BT75">
        <v>564</v>
      </c>
      <c r="BU75">
        <v>60.490007189099998</v>
      </c>
      <c r="BV75">
        <v>23352</v>
      </c>
      <c r="BW75">
        <v>1859</v>
      </c>
      <c r="BX75">
        <v>67.763083511800005</v>
      </c>
      <c r="BY75">
        <v>72.9429800968</v>
      </c>
    </row>
    <row r="76" spans="62:121" x14ac:dyDescent="0.2">
      <c r="BJ76" t="s">
        <v>697</v>
      </c>
      <c r="BK76" t="s">
        <v>697</v>
      </c>
      <c r="BL76">
        <v>26096</v>
      </c>
      <c r="BM76">
        <v>3357</v>
      </c>
      <c r="BN76">
        <v>69.245593194400001</v>
      </c>
      <c r="BO76">
        <v>64861</v>
      </c>
      <c r="BP76">
        <v>5170</v>
      </c>
      <c r="BQ76">
        <v>76.234154088099999</v>
      </c>
      <c r="BR76">
        <v>83.953578336600003</v>
      </c>
      <c r="BS76">
        <v>26095</v>
      </c>
      <c r="BT76">
        <v>3356</v>
      </c>
      <c r="BU76">
        <v>69.233339720299995</v>
      </c>
      <c r="BV76">
        <v>64861</v>
      </c>
      <c r="BW76">
        <v>5170</v>
      </c>
      <c r="BX76">
        <v>76.234154088099999</v>
      </c>
      <c r="BY76">
        <v>83.953578336600003</v>
      </c>
    </row>
    <row r="77" spans="62:121" x14ac:dyDescent="0.2">
      <c r="BJ77" t="s">
        <v>307</v>
      </c>
      <c r="BK77" t="s">
        <v>698</v>
      </c>
      <c r="BL77">
        <v>6644</v>
      </c>
      <c r="BM77">
        <v>1920</v>
      </c>
      <c r="BN77">
        <v>89.507977122200003</v>
      </c>
      <c r="BO77">
        <v>6159</v>
      </c>
      <c r="BP77">
        <v>872</v>
      </c>
      <c r="BQ77">
        <v>149.56015586949999</v>
      </c>
      <c r="BR77">
        <v>147.21788990830001</v>
      </c>
      <c r="BS77">
        <v>958</v>
      </c>
      <c r="BT77">
        <v>657</v>
      </c>
      <c r="BU77">
        <v>116.4018789144</v>
      </c>
      <c r="BV77">
        <v>955</v>
      </c>
      <c r="BW77">
        <v>371</v>
      </c>
      <c r="BX77">
        <v>136.55183246070001</v>
      </c>
      <c r="BY77">
        <v>140.92183288410001</v>
      </c>
    </row>
    <row r="78" spans="62:121" x14ac:dyDescent="0.2">
      <c r="BJ78" t="s">
        <v>957</v>
      </c>
      <c r="BK78" t="s">
        <v>698</v>
      </c>
      <c r="BL78">
        <v>1421</v>
      </c>
      <c r="BM78">
        <v>338</v>
      </c>
      <c r="BN78">
        <v>81.232934553099994</v>
      </c>
      <c r="BO78">
        <v>2103</v>
      </c>
      <c r="BP78">
        <v>201</v>
      </c>
      <c r="BQ78">
        <v>132.57441749879999</v>
      </c>
      <c r="BR78">
        <v>134.83582089550001</v>
      </c>
      <c r="BS78">
        <v>3938</v>
      </c>
      <c r="BT78">
        <v>626</v>
      </c>
      <c r="BU78">
        <v>74.910360589099994</v>
      </c>
      <c r="BV78">
        <v>4507</v>
      </c>
      <c r="BW78">
        <v>427</v>
      </c>
      <c r="BX78">
        <v>134.58287108939999</v>
      </c>
      <c r="BY78">
        <v>131.48477751760001</v>
      </c>
    </row>
    <row r="79" spans="62:121" x14ac:dyDescent="0.2">
      <c r="BJ79" t="s">
        <v>698</v>
      </c>
      <c r="BK79" t="s">
        <v>698</v>
      </c>
      <c r="BL79">
        <v>9491</v>
      </c>
      <c r="BM79">
        <v>2762</v>
      </c>
      <c r="BN79">
        <v>89.785902433900006</v>
      </c>
      <c r="BO79">
        <v>9968</v>
      </c>
      <c r="BP79">
        <v>1314</v>
      </c>
      <c r="BQ79">
        <v>147.1851926164</v>
      </c>
      <c r="BR79">
        <v>146.95662100460001</v>
      </c>
      <c r="BS79">
        <v>9491</v>
      </c>
      <c r="BT79">
        <v>2762</v>
      </c>
      <c r="BU79">
        <v>89.785902433900006</v>
      </c>
      <c r="BV79">
        <v>9968</v>
      </c>
      <c r="BW79">
        <v>1314</v>
      </c>
      <c r="BX79">
        <v>147.1851926164</v>
      </c>
      <c r="BY79">
        <v>146.95662100460001</v>
      </c>
    </row>
    <row r="80" spans="62:121" x14ac:dyDescent="0.2">
      <c r="BJ80" t="s">
        <v>958</v>
      </c>
      <c r="BK80" t="s">
        <v>698</v>
      </c>
      <c r="BL80">
        <v>1426</v>
      </c>
      <c r="BM80">
        <v>504</v>
      </c>
      <c r="BN80">
        <v>99.603786816300001</v>
      </c>
      <c r="BO80">
        <v>1706</v>
      </c>
      <c r="BP80">
        <v>241</v>
      </c>
      <c r="BQ80">
        <v>156.62192262600001</v>
      </c>
      <c r="BR80">
        <v>156.12033195020001</v>
      </c>
      <c r="BS80">
        <v>4595</v>
      </c>
      <c r="BT80">
        <v>1479</v>
      </c>
      <c r="BU80">
        <v>96.985418933600002</v>
      </c>
      <c r="BV80">
        <v>4506</v>
      </c>
      <c r="BW80">
        <v>516</v>
      </c>
      <c r="BX80">
        <v>162.04394141149999</v>
      </c>
      <c r="BY80">
        <v>164.0988372093</v>
      </c>
    </row>
    <row r="81" spans="62:77" x14ac:dyDescent="0.2">
      <c r="BJ81" t="s">
        <v>699</v>
      </c>
      <c r="BL81">
        <v>348658</v>
      </c>
      <c r="BM81">
        <v>83178</v>
      </c>
      <c r="BN81" s="153">
        <v>90.591129416200005</v>
      </c>
      <c r="BO81">
        <v>558275</v>
      </c>
      <c r="BP81">
        <v>46507</v>
      </c>
      <c r="BQ81">
        <v>127.19974921630001</v>
      </c>
      <c r="BR81">
        <v>122.6656417314</v>
      </c>
      <c r="BS81">
        <v>348658</v>
      </c>
      <c r="BT81">
        <v>83178</v>
      </c>
      <c r="BU81">
        <v>90.591129416200005</v>
      </c>
      <c r="BV81">
        <v>558275</v>
      </c>
      <c r="BW81">
        <v>46507</v>
      </c>
      <c r="BX81">
        <v>127.19974921630001</v>
      </c>
      <c r="BY81">
        <v>122.6656417314</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348658</CP_Inventory>
    <Fiscal_Year xmlns="c9744be7-b815-40bc-84fa-afc9c406d9bc">2016</Fiscal_Year>
    <CP_Backlog xmlns="c9744be7-b815-40bc-84fa-afc9c406d9bc">83178</CP_Backlog>
    <Creation_date xmlns="c9744be7-b815-40bc-84fa-afc9c406d9bc">2016-03-14T00:00:00</Creation_date>
    <Data_date xmlns="c9744be7-b815-40bc-84fa-afc9c406d9bc">2016-03-12T00:00:00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metadata/properties"/>
    <ds:schemaRef ds:uri="c9744be7-b815-40bc-84fa-afc9c406d9bc"/>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 ds:uri="fef9c9dc-374b-4157-9e06-089f148416e5"/>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14,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2016-03-14T12:55:49Z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