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<sst xmlns="http://schemas.openxmlformats.org/spreadsheetml/2006/main" count="4090" uniqueCount="1065">
  <si>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</si>
  <si>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</si>
  <si>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</si>
  <si>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</si>
  <si>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</si>
  <si>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</si>
  <si>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</si>
  <si>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</si>
  <si>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</si>
  <si>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</si>
  <si>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</si>
  <si>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</si>
  <si>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</si>
  <si>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</si>
  <si>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</si>
  <si>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</si>
  <si>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</si>
  <si>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</si>
  <si>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</si>
  <si>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</si>
  <si>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</si>
  <si>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</si>
  <si>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</si>
  <si>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</si>
  <si>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</si>
  <si>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</si>
  <si>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</si>
  <si>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</si>
  <si>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</si>
  <si>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</si>
  <si>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</si>
  <si>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</si>
  <si>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</si>
  <si>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</si>
  <si>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</si>
  <si>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</si>
  <si>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</si>
  <si>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</si>
  <si>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</si>
  <si>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</si>
  <si>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</si>
  <si>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</si>
  <si>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</si>
  <si>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</si>
  <si>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</si>
  <si>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</si>
  <si>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</si>
  <si>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</si>
  <si>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</si>
  <si>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</si>
  <si>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</si>
  <si>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</si>
  <si>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</si>
  <si>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</si>
  <si>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</si>
  <si>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</si>
  <si>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</si>
  <si>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</si>
  <si>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</si>
  <si>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</si>
  <si>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</si>
  <si>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</si>
  <si>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</si>
  <si>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</si>
  <si>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</si>
  <si>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</si>
  <si>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</si>
  <si>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</si>
  <si>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</si>
  <si>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</si>
  <si>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</si>
  <si>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</si>
  <si>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</si>
  <si>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</si>
  <si>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</si>
  <si>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</si>
  <si>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</si>
  <si>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</si>
  <si>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</si>
  <si>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</si>
  <si>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</si>
  <si>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</si>
  <si>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</si>
  <si>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</si>
  <si>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</si>
  <si>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</si>
  <si>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</si>
  <si>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</si>
  <si>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</si>
  <si>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</si>
  <si>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</si>
  <si>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</si>
  <si>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</si>
  <si>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</si>
  <si>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</si>
  <si>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</si>
  <si>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</si>
  <si>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</si>
  <si>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</si>
  <si>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</si>
  <si>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</si>
  <si>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</si>
  <si>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</si>
  <si>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</si>
  <si>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</si>
  <si>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</si>
  <si>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</si>
  <si>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</si>
  <si>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</si>
  <si>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</si>
  <si>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</si>
  <si>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</si>
  <si>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</si>
  <si>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</si>
  <si>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</si>
  <si>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</si>
  <si>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</si>
  <si>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</si>
  <si>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</si>
  <si>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</si>
  <si>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</si>
  <si>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</si>
  <si>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</si>
  <si>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</si>
  <si>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</si>
  <si>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</si>
  <si>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</si>
  <si>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</si>
  <si>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</si>
  <si>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</si>
  <si>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</si>
  <si>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</si>
  <si>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</si>
  <si>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</si>
  <si>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</si>
  <si>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</si>
  <si>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</si>
  <si>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</si>
  <si>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</si>
  <si>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</si>
  <si>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</si>
  <si>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</si>
  <si>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</si>
  <si>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</si>
  <si>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</si>
  <si>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</si>
  <si>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</si>
  <si>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</si>
  <si>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</si>
  <si>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</si>
  <si>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</si>
  <si>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</si>
  <si>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</si>
  <si>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</si>
  <si>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</si>
  <si>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</si>
  <si>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</si>
  <si>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</si>
  <si>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</si>
  <si>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</si>
  <si>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</si>
  <si>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</si>
  <si>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</si>
  <si>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</si>
  <si>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</si>
  <si>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</si>
  <si>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</si>
  <si>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</si>
  <si>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</si>
  <si>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</si>
  <si>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</si>
  <si>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</si>
  <si>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</si>
  <si>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</si>
  <si>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</si>
  <si>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</si>
  <si>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</si>
  <si>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</si>
  <si>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</si>
  <si>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</si>
  <si>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</si>
  <si>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</si>
  <si>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</si>
  <si>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</si>
  <si>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</si>
  <si>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</si>
  <si>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</si>
  <si>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</si>
  <si>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</si>
  <si>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</si>
  <si>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</si>
  <si>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</si>
  <si>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</si>
  <si>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</si>
  <si>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</si>
  <si>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</si>
  <si>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</si>
  <si>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</si>
  <si>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</si>
  <si>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</si>
  <si>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</si>
  <si>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</si>
  <si>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</si>
  <si>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</si>
  <si>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</si>
  <si>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</si>
  <si>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</si>
  <si>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</si>
  <si>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</si>
  <si>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</si>
  <si>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</si>
  <si>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</si>
  <si>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</si>
  <si>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</si>
  <si>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</si>
  <si>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</si>
  <si>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</si>
  <si>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</si>
  <si>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</si>
  <si>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</si>
  <si>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</si>
  <si>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</si>
  <si>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</si>
  <si>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</si>
  <si>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</si>
  <si>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</si>
  <si>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</si>
  <si>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</si>
  <si>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</si>
  <si>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</si>
  <si>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</si>
  <si>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</si>
  <si>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</si>
  <si>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</si>
  <si>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</si>
  <si>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</si>
  <si>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</si>
  <si>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</si>
  <si>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</si>
  <si>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</si>
  <si>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</si>
  <si>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</si>
  <si>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</si>
  <si>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</si>
  <si>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</si>
  <si>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</si>
  <si>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</si>
  <si>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</si>
  <si>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</si>
  <si>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</si>
  <si>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</si>
  <si>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</si>
  <si>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</si>
  <si>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</si>
  <si>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</si>
  <si>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</si>
  <si>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</si>
  <si>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</si>
  <si>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</si>
  <si>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</si>
  <si>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</si>
  <si>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</si>
  <si>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</si>
  <si>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</si>
  <si>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</si>
  <si>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</si>
  <si>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</si>
  <si>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</si>
  <si>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</si>
  <si>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</si>
  <si>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</si>
  <si>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</si>
  <si>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</si>
  <si>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</si>
  <si>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</si>
  <si>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</si>
  <si>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</si>
  <si>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</si>
  <si>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</si>
  <si>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</si>
  <si>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</si>
  <si>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</si>
  <si>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</si>
  <si>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</si>
  <si>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</si>
  <si>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</si>
  <si>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</si>
  <si>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</si>
  <si>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</si>
  <si>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</si>
  <si>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</si>
  <si>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</si>
  <si>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</si>
  <si>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</si>
  <si>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</si>
  <si>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</si>
  <si>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</si>
  <si>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</si>
  <si>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</si>
  <si>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</si>
  <si>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</si>
  <si>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</si>
  <si>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</si>
  <si>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</si>
  <si>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</si>
  <si>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</si>
  <si>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</si>
  <si>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</si>
  <si>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</si>
  <si>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</si>
  <si>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</si>
  <si>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</si>
  <si>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</si>
  <si>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</si>
  <si>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</si>
  <si>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</si>
  <si>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</si>
  <si>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</si>
  <si>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</si>
  <si>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</si>
  <si>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</si>
  <si>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</si>
  <si>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</si>
  <si>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</si>
  <si>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</si>
  <si>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</si>
  <si>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</si>
  <si>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</si>
  <si>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</si>
  <si>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</si>
  <si>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</si>
  <si>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</si>
  <si>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</si>
  <si>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</si>
  <si>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</si>
  <si>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</si>
  <si>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</si>
  <si>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</si>
  <si>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</si>
  <si>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</si>
  <si>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</si>
  <si>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</si>
  <si>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</si>
  <si>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</si>
  <si>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</si>
  <si>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</si>
  <si>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</si>
  <si>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</si>
  <si>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</si>
  <si>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</si>
  <si>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</si>
  <si>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</si>
  <si>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</si>
  <si>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</si>
  <si>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</si>
  <si>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</si>
  <si>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</si>
  <si>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</si>
  <si>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</si>
  <si>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</si>
  <si>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</si>
  <si>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</si>
  <si>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</si>
  <si>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</si>
  <si>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</si>
  <si>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</si>
  <si>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</si>
  <si>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</si>
  <si>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</si>
  <si>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</si>
  <si>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</si>
  <si>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</si>
  <si>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</si>
  <si>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</si>
  <si>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</si>
  <si>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</si>
  <si>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</si>
  <si>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</si>
  <si>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</si>
  <si>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</si>
  <si>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</si>
  <si>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</si>
  <si>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</si>
  <si>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</si>
  <si>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</si>
  <si>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</si>
  <si>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</si>
  <si>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</si>
  <si>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</si>
  <si>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</si>
  <si>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</si>
  <si>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</si>
  <si>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</si>
  <si>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</si>
  <si>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</si>
  <si>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</si>
  <si>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</si>
  <si>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</si>
  <si>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</si>
  <si>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</si>
  <si>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</si>
  <si>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</si>
  <si>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</si>
  <si>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</si>
  <si>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</si>
  <si>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</si>
  <si>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</si>
  <si>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</si>
  <si>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</si>
  <si>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</si>
  <si>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</si>
  <si>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</si>
  <si>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</si>
  <si>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</si>
  <si>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</si>
  <si>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</si>
  <si>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</si>
  <si>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</si>
  <si>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</si>
  <si>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</si>
  <si>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</si>
  <si>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</si>
  <si>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</si>
  <si>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</si>
  <si>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</si>
  <si>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</si>
  <si>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</si>
  <si>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</si>
  <si>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</si>
  <si>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</si>
  <si>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</si>
  <si>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</si>
  <si>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</si>
  <si>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</si>
  <si>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</si>
  <si>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</si>
  <si>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</si>
  <si>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</si>
  <si>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</si>
  <si>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</si>
  <si>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</si>
  <si>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</si>
  <si>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</si>
  <si>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</si>
  <si>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</si>
  <si>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</si>
  <si>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</si>
  <si>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</si>
  <si>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</si>
  <si>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</si>
  <si>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</si>
  <si>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</si>
  <si>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</si>
  <si>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</si>
  <si>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</si>
  <si>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</si>
  <si>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</si>
  <si>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</si>
  <si>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</si>
  <si>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</si>
  <si>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</si>
  <si>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</si>
  <si>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</si>
  <si>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</si>
  <si>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</si>
  <si>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</si>
  <si>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</si>
  <si>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</si>
  <si>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</si>
  <si>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</si>
  <si>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</si>
  <si>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</si>
  <si>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</si>
  <si>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</si>
  <si>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</si>
  <si>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</si>
  <si>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</si>
  <si>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</si>
  <si>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</si>
  <si>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</si>
  <si>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</si>
  <si>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</si>
  <si>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</si>
  <si>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</si>
  <si>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</si>
  <si>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</si>
  <si>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</si>
  <si>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</si>
  <si>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</si>
  <si>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</si>
  <si>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</si>
  <si>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</si>
  <si>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</si>
  <si>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</si>
  <si>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</si>
  <si>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</si>
  <si>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</si>
  <si>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</si>
  <si>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</si>
  <si>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</si>
  <si>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</si>
  <si>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</si>
  <si>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</si>
  <si>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</si>
  <si>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</si>
  <si>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</si>
  <si>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</si>
  <si>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</si>
  <si>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</si>
  <si>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</si>
  <si>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</si>
  <si>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</si>
  <si>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</si>
  <si>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</si>
  <si>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</si>
  <si>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</si>
  <si>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</si>
  <si>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</si>
  <si>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</si>
  <si>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</si>
  <si>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</si>
  <si>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</si>
  <si>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</si>
  <si>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</si>
  <si>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</si>
  <si>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</si>
  <si>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</si>
  <si>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</si>
  <si>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</si>
  <si>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</si>
  <si>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</si>
  <si>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</si>
  <si>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</si>
  <si>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</si>
  <si>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</si>
  <si>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</si>
  <si>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</si>
  <si>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</si>
  <si>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</si>
  <si>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</si>
  <si>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</si>
  <si>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</si>
  <si>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</si>
  <si>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</si>
  <si>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</si>
  <si>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</si>
  <si>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</si>
  <si>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</si>
  <si>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</si>
  <si>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</si>
  <si>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</si>
  <si>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</si>
  <si>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</si>
  <si>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</si>
  <si>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</si>
  <si>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</si>
  <si>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</si>
  <si>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</si>
  <si>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</si>
  <si>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</si>
  <si>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</si>
  <si>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</si>
  <si>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</si>
  <si>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</si>
  <si>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</si>
  <si>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</si>
  <si>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</si>
  <si>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</si>
  <si>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</si>
  <si>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</si>
  <si>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</si>
  <si>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</si>
  <si>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</si>
  <si>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</si>
  <si>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</si>
  <si>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</si>
  <si>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</si>
  <si>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</si>
  <si>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</si>
  <si>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</si>
  <si>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</si>
  <si>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</si>
  <si>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</si>
  <si>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</si>
  <si>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</si>
  <si>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</si>
  <si>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</si>
  <si>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</si>
  <si>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</si>
  <si>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</si>
  <si>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</si>
  <si>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</si>
  <si>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</si>
  <si>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</si>
  <si>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</si>
  <si>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</si>
  <si>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</si>
  <si>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</si>
  <si>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</si>
  <si>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</si>
  <si>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</si>
  <si>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</si>
  <si>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</si>
  <si>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</si>
  <si>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</si>
  <si>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</si>
  <si>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</si>
  <si>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</si>
  <si>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</si>
  <si>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</si>
  <si>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</si>
  <si>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</si>
  <si>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</si>
  <si>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</si>
  <si>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</si>
  <si>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</si>
  <si>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</si>
  <si>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</si>
  <si>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</si>
  <si>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</si>
  <si>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</si>
  <si>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</si>
  <si>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</si>
  <si>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</si>
  <si>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</si>
  <si>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</si>
  <si>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</si>
  <si>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</si>
  <si>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</si>
  <si>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</si>
  <si>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</si>
  <si>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</si>
  <si>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</si>
  <si>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</si>
  <si>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</si>
  <si>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</si>
  <si>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</si>
  <si>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</si>
  <si>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</si>
  <si>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</si>
  <si>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</si>
  <si>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</si>
  <si>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</si>
  <si>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</si>
  <si>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</si>
  <si>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</si>
  <si>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</si>
  <si>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</si>
  <si>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</si>
  <si>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</si>
  <si>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</si>
  <si>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</si>
  <si>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</si>
  <si>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</si>
  <si>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</si>
  <si>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</si>
  <si>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</si>
  <si>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</si>
  <si>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</si>
  <si>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</si>
  <si>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</si>
  <si>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</si>
  <si>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</si>
  <si>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</si>
  <si>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</si>
  <si>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</si>
  <si>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</si>
  <si>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</si>
  <si>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</si>
  <si>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</si>
  <si>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</si>
  <si>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</si>
  <si>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</si>
  <si>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</si>
  <si>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</si>
  <si>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</si>
  <si>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</si>
  <si>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</si>
  <si>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</si>
  <si>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</si>
  <si>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</si>
  <si>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</si>
  <si>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</si>
  <si>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</si>
  <si>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</si>
  <si>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</si>
  <si>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</si>
  <si>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</si>
  <si>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</si>
  <si>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</si>
  <si>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</si>
  <si>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</si>
  <si>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</si>
  <si>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</si>
  <si>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</si>
  <si>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</si>
  <si>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</si>
  <si>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</si>
  <si>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</si>
  <si>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</si>
  <si>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</si>
  <si>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</si>
  <si>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</si>
  <si>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</si>
  <si>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</si>
  <si>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</si>
  <si>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</si>
  <si>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</si>
  <si>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</si>
  <si>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</si>
  <si>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</si>
  <si>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</si>
  <si>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</si>
  <si>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</si>
  <si>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</si>
  <si>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</si>
  <si>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</si>
  <si>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</si>
  <si>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</si>
  <si>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</si>
  <si>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</si>
  <si>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</si>
  <si>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</si>
  <si>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</si>
  <si>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</si>
  <si>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</si>
  <si>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</si>
  <si>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</si>
  <si>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</si>
  <si>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</si>
  <si>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</si>
  <si>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</si>
  <si>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</si>
  <si>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</si>
  <si>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</si>
  <si>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</si>
  <si>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</si>
  <si>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</si>
  <si>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</si>
  <si>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</si>
  <si>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</si>
  <si>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</si>
  <si>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</si>
  <si>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</si>
  <si>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</si>
  <si>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</si>
  <si>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</si>
  <si>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</si>
  <si>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</si>
  <si>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</si>
  <si>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</si>
  <si>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</si>
  <si>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</si>
  <si>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</si>
  <si>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</si>
  <si>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</si>
  <si>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</si>
  <si>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</si>
  <si>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</si>
  <si>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</si>
  <si>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</si>
  <si>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</si>
  <si>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</si>
  <si>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</si>
  <si>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</si>
  <si>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</si>
  <si>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</si>
  <si>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</si>
  <si>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</si>
  <si>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</si>
  <si>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</si>
  <si>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</si>
  <si>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</si>
  <si>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</si>
  <si>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</si>
  <si>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</si>
  <si>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</si>
  <si>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</si>
  <si>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</si>
  <si>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</si>
  <si>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</si>
  <si>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</si>
  <si>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</si>
  <si>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</si>
  <si>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</si>
  <si>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</si>
  <si>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</si>
  <si>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</si>
  <si>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</si>
  <si>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</si>
  <si>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</si>
  <si>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</si>
  <si>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</si>
  <si>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</si>
  <si>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</si>
  <si>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</si>
  <si>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</si>
  <si>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</si>
  <si>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</si>
  <si>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</si>
  <si>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</si>
  <si>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</si>
  <si>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</si>
  <si>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</si>
  <si>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</si>
  <si>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</si>
  <si>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</si>
  <si>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</si>
  <si>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</si>
  <si>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</si>
  <si>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</si>
  <si>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</si>
  <si>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</si>
  <si>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</si>
  <si>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</si>
  <si>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</si>
  <si>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</si>
  <si>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</si>
  <si>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</si>
  <si>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</si>
  <si>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</si>
  <si>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</si>
  <si>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</si>
  <si>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</si>
  <si>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</si>
  <si>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</si>
  <si>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</si>
  <si>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</si>
  <si>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</si>
  <si>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</si>
  <si>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</si>
  <si>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</si>
  <si>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</si>
  <si>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</si>
  <si>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</si>
  <si>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</si>
  <si>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</si>
  <si>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</si>
  <si>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</si>
  <si>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</si>
  <si>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</si>
  <si>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</si>
  <si>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</si>
  <si>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</si>
  <si>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</si>
  <si>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</si>
  <si>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</si>
  <si>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</si>
  <si>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</si>
  <si>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</si>
  <si>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</si>
  <si>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</si>
  <si>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</si>
  <si>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</si>
  <si>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</si>
  <si>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</si>
  <si>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</si>
  <si>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</si>
  <si>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</si>
  <si>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</si>
  <si>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</si>
  <si>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</si>
  <si>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</si>
  <si>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</si>
  <si>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</si>
  <si>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</si>
  <si>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</si>
  <si>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</si>
  <si>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</si>
  <si>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</si>
  <si>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</si>
  <si>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</si>
  <si>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</si>
  <si>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</si>
  <si>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</si>
  <si>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</si>
  <si>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</si>
  <si>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</si>
  <si>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</si>
  <si>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</si>
  <si>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</si>
  <si>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</si>
  <si>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</si>
  <si>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</si>
  <si>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</si>
  <si>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</si>
  <si>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</si>
  <si>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</si>
  <si>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</si>
  <si>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</si>
  <si>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</si>
  <si>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</si>
  <si>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</si>
  <si>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</si>
  <si>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</si>
  <si>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</si>
  <si>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</si>
  <si>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</si>
  <si>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</si>
  <si>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</si>
  <si>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</si>
  <si>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</si>
  <si>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</si>
  <si>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</si>
  <si>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</si>
  <si>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</si>
  <si>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</si>
  <si>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</si>
  <si>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</si>
  <si>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</si>
  <si>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</si>
  <si>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</si>
  <si>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</si>
  <si>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</si>
  <si>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</si>
  <si>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</si>
  <si>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</si>
  <si>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</si>
  <si>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</si>
  <si>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</si>
  <si>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</si>
  <si>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</si>
  <si>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</si>
  <si>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</si>
  <si>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</si>
  <si>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</si>
  <si>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</si>
  <si>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</si>
  <si>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</si>
  <si>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</si>
  <si>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</si>
  <si>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</si>
  <si>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</si>
  <si>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</si>
  <si>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</si>
  <si>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</si>
  <si>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</si>
  <si>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</si>
  <si>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</si>
  <si>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</si>
  <si>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</si>
  <si>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</si>
  <si>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</si>
  <si>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</si>
  <si>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</si>
  <si>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</si>
  <si>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</si>
  <si>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</si>
  <si>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</si>
  <si>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</si>
  <si>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</si>
  <si>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</si>
  <si>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</si>
  <si>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</si>
  <si>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</si>
  <si>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</si>
  <si>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</si>
  <si>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</si>
  <si>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</si>
  <si>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</si>
  <si>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</si>
  <si>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</si>
  <si>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</si>
  <si>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</si>
  <si>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</si>
  <si>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</si>
  <si>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</si>
  <si>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</si>
  <si>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</si>
  <si>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</si>
  <si>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</si>
  <si>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</si>
  <si>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</si>
  <si>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</si>
  <si>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</si>
  <si>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</si>
  <si>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</si>
  <si>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</si>
  <si>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</si>
  <si>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</si>
  <si>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</si>
  <si>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</si>
  <si>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</si>
  <si>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</si>
  <si>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</si>
  <si>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</si>
  <si>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</si>
  <si>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</si>
  <si>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</si>
  <si>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</si>
  <si>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</si>
  <si>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</si>
  <si>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</si>
  <si>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</si>
  <si>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</si>
  <si>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</si>
  <si>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</si>
  <si>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</si>
  <si>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</si>
  <si>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</si>
  <si>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</si>
  <si>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</si>
  <si>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</si>
  <si>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</si>
  <si>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</si>
  <si>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</si>
  <si>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</si>
  <si>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</si>
  <si>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</si>
  <si>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</si>
  <si>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</si>
  <si>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</si>
  <si>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</si>
  <si>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</si>
  <si>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</si>
  <si>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</si>
  <si>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</si>
  <si>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</si>
  <si>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</si>
  <si>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</si>
  <si>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</si>
  <si>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</si>
  <si>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</si>
  <si>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</si>
  <si>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</si>
  <si>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</si>
  <si>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</si>
  <si>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</si>
  <si>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</si>
  <si>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</si>
  <si>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</si>
  <si>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</si>
  <si>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</si>
  <si>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</si>
  <si>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</si>
  <si>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</si>
  <si>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</si>
  <si>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</si>
  <si>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</si>
  <si>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</si>
  <si>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</si>
  <si>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</si>
  <si>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</si>
  <si>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</si>
  <si>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</si>
  <si>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</si>
  <si>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</si>
  <si>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</si>
  <si>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</si>
  <si>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</si>
  <si>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</si>
  <si>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</si>
  <si>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</si>
  <si>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</si>
  <si>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</si>
  <si>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</si>
  <si>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</si>
  <si>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</si>
  <si>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</si>
  <si>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</si>
  <si>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</si>
  <si>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</si>
  <si>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</si>
  <si>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Current Pending on 04/02/2016</t>
  </si>
  <si>
    <t>Prior Pending on 03/25/2016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</si>
</sst>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303</v>
      </c>
      <c r="B1" s="275"/>
      <c r="C1" s="275"/>
      <c r="D1" s="275"/>
      <c r="E1" s="275"/>
      <c r="F1" s="275"/>
      <c r="G1" s="275"/>
      <c r="H1" s="275"/>
      <c r="I1" s="275"/>
      <c r="J1" s="275"/>
      <c r="K1" s="275"/>
      <c r="L1" s="275"/>
      <c r="M1" s="275"/>
      <c r="N1" s="275"/>
      <c r="O1" s="275"/>
      <c r="P1" s="276"/>
    </row>
    <row r="2" spans="1:16" ht="29.25" customHeight="1" x14ac:dyDescent="0.2">
      <c r="A2" s="268" t="s">
        <v>305</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301</v>
      </c>
      <c r="B8" s="266"/>
      <c r="C8" s="266"/>
      <c r="D8" s="266"/>
      <c r="E8" s="266"/>
      <c r="F8" s="266"/>
      <c r="G8" s="267"/>
      <c r="H8" s="265" t="s">
        <v>302</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1049</v>
      </c>
      <c r="C2" t="s">
        <v>503</v>
      </c>
      <c r="D2" t="s">
        <v>919</v>
      </c>
      <c r="E2" t="s">
        <v>920</v>
      </c>
      <c r="F2" t="s">
        <v>921</v>
      </c>
      <c r="G2" t="s">
        <v>922</v>
      </c>
      <c r="H2" t="s">
        <v>924</v>
      </c>
      <c r="I2" t="s">
        <v>1043</v>
      </c>
      <c r="J2" t="s">
        <v>925</v>
      </c>
      <c r="K2" t="s">
        <v>926</v>
      </c>
      <c r="L2" t="s">
        <v>923</v>
      </c>
      <c r="M2" t="s">
        <v>928</v>
      </c>
      <c r="N2" t="s">
        <v>929</v>
      </c>
      <c r="O2" t="s">
        <v>930</v>
      </c>
      <c r="P2" t="s">
        <v>931</v>
      </c>
    </row>
    <row r="3" spans="2:16" x14ac:dyDescent="0.2">
      <c r="B3" t="s">
        <v>587</v>
      </c>
      <c r="C3" t="s">
        <v>405</v>
      </c>
      <c r="D3" s="18">
        <v>42432.520127314812</v>
      </c>
      <c r="E3" t="s">
        <v>163</v>
      </c>
      <c r="F3" s="19">
        <v>0.98152296827327201</v>
      </c>
      <c r="G3" s="19">
        <v>0.93864234537213032</v>
      </c>
      <c r="H3" s="19">
        <v>0.9274861489101075</v>
      </c>
      <c r="I3" s="19">
        <v>4.3011622371369782E-2</v>
      </c>
      <c r="J3" s="19">
        <v>0.90065990368883686</v>
      </c>
      <c r="K3" s="19">
        <v>5.1457019590306033E-2</v>
      </c>
      <c r="L3" s="19"/>
      <c r="M3" s="19"/>
      <c r="N3" s="19"/>
      <c r="O3" s="19"/>
      <c r="P3" s="19"/>
    </row>
    <row r="4" spans="2:16" x14ac:dyDescent="0.2">
      <c r="B4" t="s">
        <v>646</v>
      </c>
      <c r="C4" t="s">
        <v>405</v>
      </c>
      <c r="D4" s="18">
        <v>42432.520127314812</v>
      </c>
      <c r="E4" t="s">
        <v>188</v>
      </c>
      <c r="F4" s="19">
        <v>0.98379024673796445</v>
      </c>
      <c r="G4" s="19">
        <v>0.96342383107088991</v>
      </c>
      <c r="H4" s="19">
        <v>0.89741381585893776</v>
      </c>
      <c r="I4" s="19">
        <v>4.4005792738900734E-2</v>
      </c>
      <c r="J4" s="19">
        <v>0.93758938558644933</v>
      </c>
      <c r="K4" s="19">
        <v>4.4945441302217122E-2</v>
      </c>
      <c r="L4" s="19"/>
      <c r="M4" s="19"/>
      <c r="N4" s="19"/>
      <c r="O4" s="19"/>
      <c r="P4" s="19"/>
    </row>
    <row r="5" spans="2:16" x14ac:dyDescent="0.2">
      <c r="B5" t="s">
        <v>540</v>
      </c>
      <c r="C5" t="s">
        <v>381</v>
      </c>
      <c r="D5" s="18">
        <v>42432.520127314812</v>
      </c>
      <c r="E5" t="s">
        <v>145</v>
      </c>
      <c r="F5" s="19">
        <v>0.9045365367987831</v>
      </c>
      <c r="G5" s="19">
        <v>0.78992502110333196</v>
      </c>
      <c r="H5" s="19">
        <v>0.87395739401998074</v>
      </c>
      <c r="I5" s="19">
        <v>4.9602388493165679E-2</v>
      </c>
      <c r="J5" s="19">
        <v>0.86567098967574874</v>
      </c>
      <c r="K5" s="19">
        <v>5.0072863985853998E-2</v>
      </c>
      <c r="L5" s="19"/>
      <c r="M5" s="19"/>
      <c r="N5" s="19"/>
      <c r="O5" s="19"/>
      <c r="P5" s="19"/>
    </row>
    <row r="6" spans="2:16" x14ac:dyDescent="0.2">
      <c r="B6" t="s">
        <v>534</v>
      </c>
      <c r="C6" t="s">
        <v>370</v>
      </c>
      <c r="D6" s="18">
        <v>42432.520127314812</v>
      </c>
      <c r="E6" t="s">
        <v>143</v>
      </c>
      <c r="F6" s="19">
        <v>0.95664475242074976</v>
      </c>
      <c r="G6" s="19">
        <v>0.86998606431804815</v>
      </c>
      <c r="H6" s="19">
        <v>0.85108545456160656</v>
      </c>
      <c r="I6" s="19">
        <v>4.3496417076770939E-2</v>
      </c>
      <c r="J6" s="19">
        <v>0.89294980607428187</v>
      </c>
      <c r="K6" s="19">
        <v>4.6118555211209722E-2</v>
      </c>
      <c r="L6" s="19"/>
      <c r="M6" s="19"/>
      <c r="N6" s="19"/>
      <c r="O6" s="19"/>
      <c r="P6" s="19"/>
    </row>
    <row r="7" spans="2:16" x14ac:dyDescent="0.2">
      <c r="B7" t="s">
        <v>602</v>
      </c>
      <c r="C7" t="s">
        <v>405</v>
      </c>
      <c r="D7" s="18">
        <v>42432.520127314812</v>
      </c>
      <c r="E7" t="s">
        <v>169</v>
      </c>
      <c r="F7" s="19">
        <v>0.94692742491695814</v>
      </c>
      <c r="G7" s="19">
        <v>0.89536699010471699</v>
      </c>
      <c r="H7" s="19">
        <v>0.93004833512352325</v>
      </c>
      <c r="I7" s="19">
        <v>4.814139549931859E-2</v>
      </c>
      <c r="J7" s="19">
        <v>0.96947133508248129</v>
      </c>
      <c r="K7" s="19">
        <v>2.7484461672568017E-2</v>
      </c>
      <c r="L7" s="19"/>
      <c r="M7" s="19"/>
      <c r="N7" s="19"/>
      <c r="O7" s="19"/>
      <c r="P7" s="19"/>
    </row>
    <row r="8" spans="2:16" x14ac:dyDescent="0.2">
      <c r="B8" t="s">
        <v>513</v>
      </c>
      <c r="C8" t="s">
        <v>370</v>
      </c>
      <c r="D8" s="18">
        <v>42432.520127314812</v>
      </c>
      <c r="E8" t="s">
        <v>136</v>
      </c>
      <c r="F8" s="19">
        <v>0.91190420553369655</v>
      </c>
      <c r="G8" s="19">
        <v>0.84011142566782804</v>
      </c>
      <c r="H8" s="19">
        <v>0.81741423842264183</v>
      </c>
      <c r="I8" s="19">
        <v>5.9520752012706242E-2</v>
      </c>
      <c r="J8" s="19">
        <v>0.90628525230118873</v>
      </c>
      <c r="K8" s="19">
        <v>5.7878499162111796E-2</v>
      </c>
      <c r="L8" s="19"/>
      <c r="M8" s="19"/>
      <c r="N8" s="19"/>
      <c r="O8" s="19"/>
      <c r="P8" s="19"/>
    </row>
    <row r="9" spans="2:16" x14ac:dyDescent="0.2">
      <c r="B9" t="s">
        <v>521</v>
      </c>
      <c r="C9" t="s">
        <v>370</v>
      </c>
      <c r="D9" s="18">
        <v>42432.520127314812</v>
      </c>
      <c r="E9" t="s">
        <v>139</v>
      </c>
      <c r="F9" s="19">
        <v>0.94683501844841622</v>
      </c>
      <c r="G9" s="19">
        <v>0.91499803690616399</v>
      </c>
      <c r="H9" s="19">
        <v>0.88032567070749035</v>
      </c>
      <c r="I9" s="19">
        <v>5.1481816406506696E-2</v>
      </c>
      <c r="J9" s="19">
        <v>0.87020944250579457</v>
      </c>
      <c r="K9" s="19">
        <v>4.9002853568726794E-2</v>
      </c>
      <c r="L9" s="19"/>
      <c r="M9" s="19"/>
      <c r="N9" s="19"/>
      <c r="O9" s="19"/>
      <c r="P9" s="19"/>
    </row>
    <row r="10" spans="2:16" x14ac:dyDescent="0.2">
      <c r="B10" t="s">
        <v>638</v>
      </c>
      <c r="C10" t="s">
        <v>386</v>
      </c>
      <c r="D10" s="18">
        <v>42432.520127314812</v>
      </c>
      <c r="E10" t="s">
        <v>674</v>
      </c>
      <c r="F10" s="19">
        <v>0.94491955413531148</v>
      </c>
      <c r="G10" s="19">
        <v>0.89421603300913655</v>
      </c>
      <c r="H10" s="19">
        <v>0.8659771949027002</v>
      </c>
      <c r="I10" s="19">
        <v>5.5171569626139887E-2</v>
      </c>
      <c r="J10" s="19">
        <v>0.86259074789893075</v>
      </c>
      <c r="K10" s="19">
        <v>5.9432173518089042E-2</v>
      </c>
      <c r="L10" s="19"/>
      <c r="M10" s="19"/>
      <c r="N10" s="19"/>
      <c r="O10" s="19"/>
      <c r="P10" s="19"/>
    </row>
    <row r="11" spans="2:16" x14ac:dyDescent="0.2">
      <c r="B11" t="s">
        <v>568</v>
      </c>
      <c r="C11" t="s">
        <v>391</v>
      </c>
      <c r="D11" s="18">
        <v>42432.520127314812</v>
      </c>
      <c r="E11" t="s">
        <v>155</v>
      </c>
      <c r="F11" s="19">
        <v>0.97693469124062693</v>
      </c>
      <c r="G11" s="19">
        <v>0.9148853530483233</v>
      </c>
      <c r="H11" s="19">
        <v>0.89335585690397079</v>
      </c>
      <c r="I11" s="19">
        <v>4.6480729020327731E-2</v>
      </c>
      <c r="J11" s="19">
        <v>0.8617115142557199</v>
      </c>
      <c r="K11" s="19">
        <v>5.0500034780389315E-2</v>
      </c>
      <c r="L11" s="252"/>
      <c r="M11" s="252"/>
      <c r="N11" s="252"/>
      <c r="O11" s="252"/>
      <c r="P11" s="252"/>
    </row>
    <row r="12" spans="2:16" x14ac:dyDescent="0.2">
      <c r="B12" t="s">
        <v>560</v>
      </c>
      <c r="C12" t="s">
        <v>391</v>
      </c>
      <c r="D12" s="18">
        <v>42432.520127314812</v>
      </c>
      <c r="E12" t="s">
        <v>152</v>
      </c>
      <c r="F12" s="19">
        <v>0.9823086311485022</v>
      </c>
      <c r="G12" s="19">
        <v>0.90810198689132138</v>
      </c>
      <c r="H12" s="19">
        <v>0.91666145598852788</v>
      </c>
      <c r="I12" s="19">
        <v>4.2805220178629713E-2</v>
      </c>
      <c r="J12" s="19">
        <v>0.85177395949867873</v>
      </c>
      <c r="K12" s="19">
        <v>5.9358120505019089E-2</v>
      </c>
      <c r="L12" s="19"/>
      <c r="M12" s="19"/>
      <c r="N12" s="19"/>
      <c r="O12" s="19"/>
      <c r="P12" s="19"/>
    </row>
    <row r="13" spans="2:16" x14ac:dyDescent="0.2">
      <c r="B13" t="s">
        <v>548</v>
      </c>
      <c r="C13" t="s">
        <v>381</v>
      </c>
      <c r="D13" s="18">
        <v>42432.520127314812</v>
      </c>
      <c r="E13" t="s">
        <v>148</v>
      </c>
      <c r="F13" s="19">
        <v>0.96658611977271414</v>
      </c>
      <c r="G13" s="19">
        <v>0.89062883310164354</v>
      </c>
      <c r="H13" s="19">
        <v>0.92558695990187101</v>
      </c>
      <c r="I13" s="19">
        <v>4.9791104860763651E-2</v>
      </c>
      <c r="J13" s="19">
        <v>0.90835349184809333</v>
      </c>
      <c r="K13" s="19">
        <v>5.5294789056758657E-2</v>
      </c>
      <c r="L13" s="19"/>
      <c r="M13" s="19"/>
      <c r="N13" s="19"/>
      <c r="O13" s="19"/>
      <c r="P13" s="19"/>
    </row>
    <row r="14" spans="2:16" x14ac:dyDescent="0.2">
      <c r="B14" t="s">
        <v>386</v>
      </c>
      <c r="C14" t="s">
        <v>386</v>
      </c>
      <c r="D14" s="18">
        <v>42432.520127314812</v>
      </c>
      <c r="E14" t="s">
        <v>665</v>
      </c>
      <c r="F14" s="19">
        <v>0.96094478436313158</v>
      </c>
      <c r="G14" s="19">
        <v>0.89043776381808759</v>
      </c>
      <c r="H14" s="19">
        <v>0.90717514674994282</v>
      </c>
      <c r="I14" s="19">
        <v>1.6758071899728649E-2</v>
      </c>
      <c r="J14" s="19">
        <v>0.92484259781270761</v>
      </c>
      <c r="K14" s="19">
        <v>1.6904742839576416E-2</v>
      </c>
      <c r="L14" s="19"/>
      <c r="M14" s="19"/>
      <c r="N14" s="19"/>
      <c r="O14" s="19"/>
      <c r="P14" s="19"/>
    </row>
    <row r="15" spans="2:16" x14ac:dyDescent="0.2">
      <c r="B15" t="s">
        <v>585</v>
      </c>
      <c r="C15" t="s">
        <v>386</v>
      </c>
      <c r="D15" s="18">
        <v>42432.520127314812</v>
      </c>
      <c r="E15" t="s">
        <v>162</v>
      </c>
      <c r="F15" s="19">
        <v>0.98854472732315035</v>
      </c>
      <c r="G15" s="19">
        <v>0.94132420091324187</v>
      </c>
      <c r="H15" s="19">
        <v>0.9313960550607574</v>
      </c>
      <c r="I15" s="19">
        <v>4.0605707939483864E-2</v>
      </c>
      <c r="J15" s="19">
        <v>0.89792055679258298</v>
      </c>
      <c r="K15" s="19">
        <v>4.7749909021467543E-2</v>
      </c>
      <c r="L15" s="19"/>
      <c r="M15" s="19"/>
      <c r="N15" s="19"/>
      <c r="O15" s="19"/>
      <c r="P15" s="19"/>
    </row>
    <row r="16" spans="2:16" x14ac:dyDescent="0.2">
      <c r="B16" t="s">
        <v>577</v>
      </c>
      <c r="C16" t="s">
        <v>391</v>
      </c>
      <c r="D16" s="18">
        <v>42432.520127314812</v>
      </c>
      <c r="E16" t="s">
        <v>159</v>
      </c>
      <c r="F16" s="19">
        <v>0.94159344918223031</v>
      </c>
      <c r="G16" s="19">
        <v>0.94205839251493639</v>
      </c>
      <c r="H16" s="19">
        <v>0.97437043444828897</v>
      </c>
      <c r="I16" s="19">
        <v>2.8186502447786168E-2</v>
      </c>
      <c r="J16" s="19">
        <v>0.98223689159708116</v>
      </c>
      <c r="K16" s="19">
        <v>1.8955489404097178E-2</v>
      </c>
      <c r="L16" s="252"/>
      <c r="M16" s="252"/>
      <c r="N16" s="252"/>
      <c r="O16" s="252"/>
      <c r="P16" s="252"/>
    </row>
    <row r="17" spans="2:16" x14ac:dyDescent="0.2">
      <c r="B17" t="s">
        <v>570</v>
      </c>
      <c r="C17" t="s">
        <v>391</v>
      </c>
      <c r="D17" s="18">
        <v>42432.520127314812</v>
      </c>
      <c r="E17" t="s">
        <v>156</v>
      </c>
      <c r="F17" s="19">
        <v>0.96879420928038762</v>
      </c>
      <c r="G17" s="19">
        <v>0.96240734453686416</v>
      </c>
      <c r="H17" s="19">
        <v>0.89471414510042446</v>
      </c>
      <c r="I17" s="19">
        <v>4.6704661054438074E-2</v>
      </c>
      <c r="J17" s="19">
        <v>0.90546770241805485</v>
      </c>
      <c r="K17" s="19">
        <v>4.75099778611024E-2</v>
      </c>
      <c r="L17" s="19"/>
      <c r="M17" s="19"/>
      <c r="N17" s="19"/>
      <c r="O17" s="19"/>
      <c r="P17" s="19"/>
    </row>
    <row r="18" spans="2:16" x14ac:dyDescent="0.2">
      <c r="B18" t="s">
        <v>634</v>
      </c>
      <c r="C18" t="s">
        <v>391</v>
      </c>
      <c r="D18" s="18">
        <v>42432.520127314812</v>
      </c>
      <c r="E18" t="s">
        <v>183</v>
      </c>
      <c r="F18" s="19">
        <v>0.95970923826111676</v>
      </c>
      <c r="G18" s="19">
        <v>0.92874911158493267</v>
      </c>
      <c r="H18" s="19">
        <v>0.92311311876529278</v>
      </c>
      <c r="I18" s="19">
        <v>4.3249975424955241E-2</v>
      </c>
      <c r="J18" s="19">
        <v>0.97026422862289119</v>
      </c>
      <c r="K18" s="19">
        <v>3.0068371393810123E-2</v>
      </c>
      <c r="L18" s="19"/>
      <c r="M18" s="19"/>
      <c r="N18" s="19"/>
      <c r="O18" s="19"/>
      <c r="P18" s="19"/>
    </row>
    <row r="19" spans="2:16" x14ac:dyDescent="0.2">
      <c r="B19" t="s">
        <v>632</v>
      </c>
      <c r="C19" t="s">
        <v>386</v>
      </c>
      <c r="D19" s="18">
        <v>42432.520127314812</v>
      </c>
      <c r="E19" t="s">
        <v>182</v>
      </c>
      <c r="F19" s="19">
        <v>1</v>
      </c>
      <c r="G19" s="19">
        <v>1</v>
      </c>
      <c r="H19" s="19">
        <v>0.9574038195405481</v>
      </c>
      <c r="I19" s="19">
        <v>3.6504728883069999E-2</v>
      </c>
      <c r="J19" s="19">
        <v>0.96216613071377177</v>
      </c>
      <c r="K19" s="19">
        <v>3.138725382444342E-2</v>
      </c>
      <c r="L19" s="19"/>
      <c r="M19" s="19"/>
      <c r="N19" s="19"/>
      <c r="O19" s="19"/>
      <c r="P19" s="19"/>
    </row>
    <row r="20" spans="2:16" x14ac:dyDescent="0.2">
      <c r="B20" t="s">
        <v>523</v>
      </c>
      <c r="C20" t="s">
        <v>370</v>
      </c>
      <c r="D20" s="18">
        <v>42432.520127314812</v>
      </c>
      <c r="E20" t="s">
        <v>140</v>
      </c>
      <c r="F20" s="19">
        <v>0.977359311763775</v>
      </c>
      <c r="G20" s="19">
        <v>0.93942667156952875</v>
      </c>
      <c r="H20" s="19">
        <v>0.92156946053007049</v>
      </c>
      <c r="I20" s="19">
        <v>4.3180953110503066E-2</v>
      </c>
      <c r="J20" s="19">
        <v>0.96537208039109179</v>
      </c>
      <c r="K20" s="19">
        <v>3.1791942793363503E-2</v>
      </c>
      <c r="L20" s="19"/>
      <c r="M20" s="19"/>
      <c r="N20" s="19"/>
      <c r="O20" s="19"/>
      <c r="P20" s="19"/>
    </row>
    <row r="21" spans="2:16" x14ac:dyDescent="0.2">
      <c r="B21" t="s">
        <v>642</v>
      </c>
      <c r="C21" t="s">
        <v>405</v>
      </c>
      <c r="D21" s="18">
        <v>42432.520127314812</v>
      </c>
      <c r="E21" t="s">
        <v>186</v>
      </c>
      <c r="F21" s="19">
        <v>0.98268068098193662</v>
      </c>
      <c r="G21" s="19">
        <v>0.91372299351022757</v>
      </c>
      <c r="H21" s="19">
        <v>0.8898439657553161</v>
      </c>
      <c r="I21" s="19">
        <v>4.5913145802491971E-2</v>
      </c>
      <c r="J21" s="19">
        <v>0.96466050505785605</v>
      </c>
      <c r="K21" s="19">
        <v>2.8927610609039717E-2</v>
      </c>
      <c r="L21" s="19"/>
      <c r="M21" s="19"/>
      <c r="N21" s="19"/>
      <c r="O21" s="19"/>
      <c r="P21" s="19"/>
    </row>
    <row r="22" spans="2:16" x14ac:dyDescent="0.2">
      <c r="B22" t="s">
        <v>620</v>
      </c>
      <c r="C22" t="s">
        <v>386</v>
      </c>
      <c r="D22" s="18">
        <v>42432.520127314812</v>
      </c>
      <c r="E22" t="s">
        <v>177</v>
      </c>
      <c r="F22" s="19">
        <v>0.9171244832991009</v>
      </c>
      <c r="G22" s="19">
        <v>0.73470518552485775</v>
      </c>
      <c r="H22" s="19">
        <v>0.85683149317638285</v>
      </c>
      <c r="I22" s="19">
        <v>4.7064771548325411E-2</v>
      </c>
      <c r="J22" s="19">
        <v>0.90269903729862444</v>
      </c>
      <c r="K22" s="19">
        <v>4.4879451013187154E-2</v>
      </c>
      <c r="L22" s="19"/>
      <c r="M22" s="19"/>
      <c r="N22" s="19"/>
      <c r="O22" s="19"/>
      <c r="P22" s="19"/>
    </row>
    <row r="23" spans="2:16" x14ac:dyDescent="0.2">
      <c r="B23" t="s">
        <v>538</v>
      </c>
      <c r="C23" t="s">
        <v>370</v>
      </c>
      <c r="D23" s="18">
        <v>42432.520127314812</v>
      </c>
      <c r="E23" t="s">
        <v>144</v>
      </c>
      <c r="F23" s="19">
        <v>0.96304442126429202</v>
      </c>
      <c r="G23" s="19">
        <v>0.91944325021496132</v>
      </c>
      <c r="H23" s="19">
        <v>0.89204618107666112</v>
      </c>
      <c r="I23" s="19">
        <v>4.6369593936788009E-2</v>
      </c>
      <c r="J23" s="19">
        <v>0.88674323156682033</v>
      </c>
      <c r="K23" s="19">
        <v>5.4365069197528156E-2</v>
      </c>
      <c r="L23" s="19"/>
      <c r="M23" s="19"/>
      <c r="N23" s="19"/>
      <c r="O23" s="19"/>
      <c r="P23" s="19"/>
    </row>
    <row r="24" spans="2:16" x14ac:dyDescent="0.2">
      <c r="B24" t="s">
        <v>562</v>
      </c>
      <c r="C24" t="s">
        <v>391</v>
      </c>
      <c r="D24" s="18">
        <v>42432.520127314812</v>
      </c>
      <c r="E24" t="s">
        <v>153</v>
      </c>
      <c r="F24" s="19">
        <v>0.93407163123260062</v>
      </c>
      <c r="G24" s="19">
        <v>0.91298708288482233</v>
      </c>
      <c r="H24" s="19">
        <v>0.91330169481299961</v>
      </c>
      <c r="I24" s="19">
        <v>4.6682138975066324E-2</v>
      </c>
      <c r="J24" s="19">
        <v>0.9522415792582245</v>
      </c>
      <c r="K24" s="19">
        <v>3.0355908153093338E-2</v>
      </c>
      <c r="L24" s="19"/>
      <c r="M24" s="19"/>
      <c r="N24" s="19"/>
      <c r="O24" s="19"/>
      <c r="P24" s="19"/>
    </row>
    <row r="25" spans="2:16" x14ac:dyDescent="0.2">
      <c r="B25" t="s">
        <v>556</v>
      </c>
      <c r="C25" t="s">
        <v>386</v>
      </c>
      <c r="D25" s="18">
        <v>42432.520127314812</v>
      </c>
      <c r="E25" t="s">
        <v>151</v>
      </c>
      <c r="F25" s="19">
        <v>0.92788263760265488</v>
      </c>
      <c r="G25" s="19">
        <v>0.84558840587779482</v>
      </c>
      <c r="H25" s="19">
        <v>0.88605571139694705</v>
      </c>
      <c r="I25" s="19">
        <v>4.5078307785768316E-2</v>
      </c>
      <c r="J25" s="19">
        <v>0.89925609094045267</v>
      </c>
      <c r="K25" s="19">
        <v>5.0860225114589423E-2</v>
      </c>
      <c r="L25" s="19"/>
      <c r="M25" s="19"/>
      <c r="N25" s="19"/>
      <c r="O25" s="19"/>
      <c r="P25" s="19"/>
    </row>
    <row r="26" spans="2:16" x14ac:dyDescent="0.2">
      <c r="B26" t="s">
        <v>579</v>
      </c>
      <c r="C26" t="s">
        <v>391</v>
      </c>
      <c r="D26" s="18">
        <v>42432.520127314812</v>
      </c>
      <c r="E26" t="s">
        <v>160</v>
      </c>
      <c r="F26" s="19">
        <v>0.95173768637885325</v>
      </c>
      <c r="G26" s="19">
        <v>0.90277314428690569</v>
      </c>
      <c r="H26" s="19">
        <v>0.94156647729774956</v>
      </c>
      <c r="I26" s="19">
        <v>4.1738894869437715E-2</v>
      </c>
      <c r="J26" s="19">
        <v>0.98298273155416016</v>
      </c>
      <c r="K26" s="19">
        <v>2.0823192159682122E-2</v>
      </c>
      <c r="L26" s="19"/>
      <c r="M26" s="19"/>
      <c r="N26" s="19"/>
      <c r="O26" s="19"/>
      <c r="P26" s="19"/>
    </row>
    <row r="27" spans="2:16" x14ac:dyDescent="0.2">
      <c r="B27" t="s">
        <v>608</v>
      </c>
      <c r="C27" t="s">
        <v>386</v>
      </c>
      <c r="D27" s="18">
        <v>42432.520127314812</v>
      </c>
      <c r="E27" t="s">
        <v>172</v>
      </c>
      <c r="F27" s="19">
        <v>0.94467312004996151</v>
      </c>
      <c r="G27" s="19">
        <v>0.85355447388979033</v>
      </c>
      <c r="H27" s="19">
        <v>0.8916521892388648</v>
      </c>
      <c r="I27" s="19">
        <v>5.1683167174944984E-2</v>
      </c>
      <c r="J27" s="19">
        <v>0.93599117562265766</v>
      </c>
      <c r="K27" s="19">
        <v>4.3828472167093083E-2</v>
      </c>
      <c r="L27" s="19"/>
      <c r="M27" s="19"/>
      <c r="N27" s="19"/>
      <c r="O27" s="19"/>
      <c r="P27" s="19"/>
    </row>
    <row r="28" spans="2:16" x14ac:dyDescent="0.2">
      <c r="B28" t="s">
        <v>594</v>
      </c>
      <c r="C28" t="s">
        <v>405</v>
      </c>
      <c r="D28" s="18">
        <v>42432.520127314812</v>
      </c>
      <c r="E28" t="s">
        <v>166</v>
      </c>
      <c r="F28" s="19">
        <v>0.86186304540873859</v>
      </c>
      <c r="G28" s="19">
        <v>0.73284653204707628</v>
      </c>
      <c r="H28" s="19">
        <v>0.85813748152130087</v>
      </c>
      <c r="I28" s="19">
        <v>4.79411838605057E-2</v>
      </c>
      <c r="J28" s="19">
        <v>0.85168372184230889</v>
      </c>
      <c r="K28" s="19">
        <v>5.3998032561480898E-2</v>
      </c>
      <c r="L28" s="19"/>
      <c r="M28" s="19"/>
      <c r="N28" s="19"/>
      <c r="O28" s="19"/>
      <c r="P28" s="19"/>
    </row>
    <row r="29" spans="2:16" x14ac:dyDescent="0.2">
      <c r="B29" t="s">
        <v>564</v>
      </c>
      <c r="C29" t="s">
        <v>381</v>
      </c>
      <c r="D29" s="18">
        <v>42432.520127314812</v>
      </c>
      <c r="E29" t="s">
        <v>154</v>
      </c>
      <c r="F29" s="19">
        <v>0.97548141319867865</v>
      </c>
      <c r="G29" s="19">
        <v>0.88811823236757381</v>
      </c>
      <c r="H29" s="19">
        <v>0.91089763930382517</v>
      </c>
      <c r="I29" s="19">
        <v>4.5533468421649702E-2</v>
      </c>
      <c r="J29" s="19">
        <v>0.90770183602524224</v>
      </c>
      <c r="K29" s="19">
        <v>4.490924236943563E-2</v>
      </c>
      <c r="L29" s="19"/>
      <c r="M29" s="19"/>
      <c r="N29" s="19"/>
      <c r="O29" s="19"/>
      <c r="P29" s="19"/>
    </row>
    <row r="30" spans="2:16" x14ac:dyDescent="0.2">
      <c r="B30" t="s">
        <v>623</v>
      </c>
      <c r="C30" t="s">
        <v>370</v>
      </c>
      <c r="D30" s="18">
        <v>42432.520127314812</v>
      </c>
      <c r="E30" t="s">
        <v>178</v>
      </c>
      <c r="F30" s="19">
        <v>0.89238739469000705</v>
      </c>
      <c r="G30" s="19">
        <v>0.81924244483711661</v>
      </c>
      <c r="H30" s="19">
        <v>0.90718586469957752</v>
      </c>
      <c r="I30" s="19">
        <v>4.3201662546459477E-2</v>
      </c>
      <c r="J30" s="19">
        <v>0.90951602545390842</v>
      </c>
      <c r="K30" s="19">
        <v>4.8228557645968451E-2</v>
      </c>
      <c r="L30" s="19"/>
      <c r="M30" s="19"/>
      <c r="N30" s="19"/>
      <c r="O30" s="19"/>
      <c r="P30" s="19"/>
    </row>
    <row r="31" spans="2:16" x14ac:dyDescent="0.2">
      <c r="B31" t="s">
        <v>616</v>
      </c>
      <c r="C31" t="s">
        <v>405</v>
      </c>
      <c r="D31" s="18">
        <v>42432.520127314812</v>
      </c>
      <c r="E31" t="s">
        <v>176</v>
      </c>
      <c r="F31" s="19">
        <v>0.92795015259409952</v>
      </c>
      <c r="G31" s="19">
        <v>0.91900382226469179</v>
      </c>
      <c r="H31" s="19">
        <v>0.91979233905214886</v>
      </c>
      <c r="I31" s="19">
        <v>4.81348634813763E-2</v>
      </c>
      <c r="J31" s="19">
        <v>0.97392224788298687</v>
      </c>
      <c r="K31" s="19">
        <v>2.7932273387966264E-2</v>
      </c>
      <c r="L31" s="19"/>
      <c r="M31" s="19"/>
      <c r="N31" s="19"/>
      <c r="O31" s="19"/>
      <c r="P31" s="19"/>
    </row>
    <row r="32" spans="2:16" x14ac:dyDescent="0.2">
      <c r="B32" t="s">
        <v>391</v>
      </c>
      <c r="C32" t="s">
        <v>391</v>
      </c>
      <c r="D32" s="18">
        <v>42432.520127314812</v>
      </c>
      <c r="E32" t="s">
        <v>664</v>
      </c>
      <c r="F32" s="19">
        <v>0.96654375648985769</v>
      </c>
      <c r="G32" s="19">
        <v>0.93882634376737817</v>
      </c>
      <c r="H32" s="19">
        <v>0.93057560131290107</v>
      </c>
      <c r="I32" s="19">
        <v>1.3161462427086476E-2</v>
      </c>
      <c r="J32" s="19">
        <v>0.90490140611323477</v>
      </c>
      <c r="K32" s="19">
        <v>1.9758285084876731E-2</v>
      </c>
      <c r="L32" s="19"/>
      <c r="M32" s="19"/>
      <c r="N32" s="19"/>
      <c r="O32" s="19"/>
      <c r="P32" s="19"/>
    </row>
    <row r="33" spans="2:16" x14ac:dyDescent="0.2">
      <c r="B33" t="s">
        <v>209</v>
      </c>
      <c r="C33" t="s">
        <v>391</v>
      </c>
      <c r="D33" s="18">
        <v>42432.520127314812</v>
      </c>
      <c r="E33" t="s">
        <v>157</v>
      </c>
      <c r="F33" s="19">
        <v>0.99374761227712927</v>
      </c>
      <c r="G33" s="19">
        <v>0.97490911964596183</v>
      </c>
      <c r="H33" s="19">
        <v>0.97107923305764543</v>
      </c>
      <c r="I33" s="19">
        <v>3.2062390510806366E-2</v>
      </c>
      <c r="J33" s="19">
        <v>0.90400463072850157</v>
      </c>
      <c r="K33" s="19">
        <v>5.1279790245871197E-2</v>
      </c>
      <c r="L33" s="19">
        <v>0.92422260144103152</v>
      </c>
      <c r="M33" s="19">
        <v>0.93853459984072274</v>
      </c>
      <c r="N33" s="19">
        <v>4.2579632236083145E-2</v>
      </c>
      <c r="O33" s="19">
        <v>0.98716762796096769</v>
      </c>
      <c r="P33" s="19">
        <v>1.4458487764192113E-2</v>
      </c>
    </row>
    <row r="34" spans="2:16" x14ac:dyDescent="0.2">
      <c r="B34" t="s">
        <v>572</v>
      </c>
      <c r="C34" t="s">
        <v>391</v>
      </c>
      <c r="D34" s="18">
        <v>42432.520127314812</v>
      </c>
      <c r="E34" t="s">
        <v>157</v>
      </c>
      <c r="F34" s="19">
        <v>0.99374761227712927</v>
      </c>
      <c r="G34" s="19">
        <v>0.97490911964596183</v>
      </c>
      <c r="H34" s="19">
        <v>0.97107923305764543</v>
      </c>
      <c r="I34" s="19">
        <v>3.2062390510806366E-2</v>
      </c>
      <c r="J34" s="19">
        <v>0.90400463072850157</v>
      </c>
      <c r="K34" s="19">
        <v>5.1279790245871197E-2</v>
      </c>
      <c r="L34" s="19">
        <v>0.92422260144103152</v>
      </c>
      <c r="M34" s="19">
        <v>0.93853459984072274</v>
      </c>
      <c r="N34" s="19">
        <v>4.2579632236083145E-2</v>
      </c>
      <c r="O34" s="19">
        <v>0.98716762796096769</v>
      </c>
      <c r="P34" s="19">
        <v>1.4458487764192113E-2</v>
      </c>
    </row>
    <row r="35" spans="2:16" x14ac:dyDescent="0.2">
      <c r="B35" t="s">
        <v>554</v>
      </c>
      <c r="C35" t="s">
        <v>381</v>
      </c>
      <c r="D35" s="18">
        <v>42432.520127314812</v>
      </c>
      <c r="E35" t="s">
        <v>150</v>
      </c>
      <c r="F35" s="19">
        <v>0.93181630325776965</v>
      </c>
      <c r="G35" s="19">
        <v>0.81388238355451481</v>
      </c>
      <c r="H35" s="19">
        <v>0.8923907853546883</v>
      </c>
      <c r="I35" s="19">
        <v>4.5284891449034956E-2</v>
      </c>
      <c r="J35" s="19">
        <v>0.92311367389328647</v>
      </c>
      <c r="K35" s="19">
        <v>4.5793504549610307E-2</v>
      </c>
      <c r="L35" s="19"/>
      <c r="M35" s="19"/>
      <c r="N35" s="19"/>
      <c r="O35" s="19"/>
      <c r="P35" s="19"/>
    </row>
    <row r="36" spans="2:16" x14ac:dyDescent="0.2">
      <c r="B36" t="s">
        <v>610</v>
      </c>
      <c r="C36" t="s">
        <v>386</v>
      </c>
      <c r="D36" s="18">
        <v>42432.520127314812</v>
      </c>
      <c r="E36" t="s">
        <v>173</v>
      </c>
      <c r="F36" s="19">
        <v>0.95622955285380684</v>
      </c>
      <c r="G36" s="19">
        <v>0.93123100753195454</v>
      </c>
      <c r="H36" s="19">
        <v>0.91546783136339105</v>
      </c>
      <c r="I36" s="19">
        <v>4.680403411782251E-2</v>
      </c>
      <c r="J36" s="19">
        <v>0.93740784048432924</v>
      </c>
      <c r="K36" s="19">
        <v>4.9018211947158011E-2</v>
      </c>
      <c r="L36" s="19"/>
      <c r="M36" s="19"/>
      <c r="N36" s="19"/>
      <c r="O36" s="19"/>
      <c r="P36" s="19"/>
    </row>
    <row r="37" spans="2:16" x14ac:dyDescent="0.2">
      <c r="B37" t="s">
        <v>550</v>
      </c>
      <c r="C37" t="s">
        <v>381</v>
      </c>
      <c r="D37" s="18">
        <v>42432.520127314812</v>
      </c>
      <c r="E37" t="s">
        <v>91</v>
      </c>
      <c r="F37" s="19">
        <v>0.95455890198763771</v>
      </c>
      <c r="G37" s="19">
        <v>0.91044980119284291</v>
      </c>
      <c r="H37" s="19">
        <v>0.94213989037551504</v>
      </c>
      <c r="I37" s="19">
        <v>3.5779999774809286E-2</v>
      </c>
      <c r="J37" s="19">
        <v>0.92455789557569557</v>
      </c>
      <c r="K37" s="19">
        <v>4.4476915489875778E-2</v>
      </c>
      <c r="L37" s="19"/>
      <c r="M37" s="19"/>
      <c r="N37" s="19"/>
      <c r="O37" s="19"/>
      <c r="P37" s="19"/>
    </row>
    <row r="38" spans="2:16" x14ac:dyDescent="0.2">
      <c r="B38" t="s">
        <v>552</v>
      </c>
      <c r="C38" t="s">
        <v>386</v>
      </c>
      <c r="D38" s="18">
        <v>42432.520127314812</v>
      </c>
      <c r="E38" t="s">
        <v>149</v>
      </c>
      <c r="F38" s="19">
        <v>0.93241355209662047</v>
      </c>
      <c r="G38" s="19">
        <v>0.91132390312605238</v>
      </c>
      <c r="H38" s="19">
        <v>0.92132615837130982</v>
      </c>
      <c r="I38" s="19">
        <v>4.3069037507337808E-2</v>
      </c>
      <c r="J38" s="19">
        <v>0.94882740155660894</v>
      </c>
      <c r="K38" s="19">
        <v>3.5634659801475052E-2</v>
      </c>
      <c r="L38" s="19"/>
      <c r="M38" s="19"/>
      <c r="N38" s="19"/>
      <c r="O38" s="19"/>
      <c r="P38" s="19"/>
    </row>
    <row r="39" spans="2:16" x14ac:dyDescent="0.2">
      <c r="B39" t="s">
        <v>519</v>
      </c>
      <c r="C39" t="s">
        <v>370</v>
      </c>
      <c r="D39" s="18">
        <v>42432.520127314812</v>
      </c>
      <c r="E39" t="s">
        <v>138</v>
      </c>
      <c r="F39" s="19">
        <v>0.87175914839889401</v>
      </c>
      <c r="G39" s="19">
        <v>0.80800611026904123</v>
      </c>
      <c r="H39" s="19">
        <v>0.88516471778237038</v>
      </c>
      <c r="I39" s="19">
        <v>5.06192468171556E-2</v>
      </c>
      <c r="J39" s="19">
        <v>0.9259891474205949</v>
      </c>
      <c r="K39" s="19">
        <v>4.1509331338272164E-2</v>
      </c>
      <c r="L39" s="19"/>
      <c r="M39" s="19"/>
      <c r="N39" s="19"/>
      <c r="O39" s="19"/>
      <c r="P39" s="19"/>
    </row>
    <row r="40" spans="2:16" x14ac:dyDescent="0.2">
      <c r="B40" t="s">
        <v>525</v>
      </c>
      <c r="C40" t="s">
        <v>370</v>
      </c>
      <c r="D40" s="18">
        <v>42432.520127314812</v>
      </c>
      <c r="E40" t="s">
        <v>141</v>
      </c>
      <c r="F40" s="19">
        <v>0.93398216035828141</v>
      </c>
      <c r="G40" s="19">
        <v>0.86562082777036053</v>
      </c>
      <c r="H40" s="19">
        <v>0.88854634714594771</v>
      </c>
      <c r="I40" s="19">
        <v>4.3260926008857364E-2</v>
      </c>
      <c r="J40" s="19">
        <v>0.86908732126622024</v>
      </c>
      <c r="K40" s="19">
        <v>4.7505234261764999E-2</v>
      </c>
      <c r="L40" s="19"/>
      <c r="M40" s="19"/>
      <c r="N40" s="19"/>
      <c r="O40" s="19"/>
      <c r="P40" s="19"/>
    </row>
    <row r="41" spans="2:16" x14ac:dyDescent="0.2">
      <c r="B41" t="s">
        <v>370</v>
      </c>
      <c r="C41" t="s">
        <v>370</v>
      </c>
      <c r="D41" s="18">
        <v>42432.520127314812</v>
      </c>
      <c r="E41" t="s">
        <v>663</v>
      </c>
      <c r="F41" s="19">
        <v>0.95557790426099298</v>
      </c>
      <c r="G41" s="19">
        <v>0.88645764313115494</v>
      </c>
      <c r="H41" s="19">
        <v>0.87092179976127115</v>
      </c>
      <c r="I41" s="19">
        <v>1.6816553628524675E-2</v>
      </c>
      <c r="J41" s="19">
        <v>0.88925276889927019</v>
      </c>
      <c r="K41" s="19">
        <v>1.662764650893564E-2</v>
      </c>
      <c r="L41" s="19"/>
      <c r="M41" s="19"/>
      <c r="N41" s="19"/>
      <c r="O41" s="19"/>
      <c r="P41" s="19"/>
    </row>
    <row r="42" spans="2:16" x14ac:dyDescent="0.2">
      <c r="B42" t="s">
        <v>592</v>
      </c>
      <c r="C42" t="s">
        <v>405</v>
      </c>
      <c r="D42" s="18">
        <v>42432.520127314812</v>
      </c>
      <c r="E42" t="s">
        <v>165</v>
      </c>
      <c r="F42" s="19">
        <v>0.96876376806814513</v>
      </c>
      <c r="G42" s="19">
        <v>0.90196561127101949</v>
      </c>
      <c r="H42" s="19">
        <v>0.93112480274760978</v>
      </c>
      <c r="I42" s="19">
        <v>3.8399654089009159E-2</v>
      </c>
      <c r="J42" s="19">
        <v>0.90312454877246173</v>
      </c>
      <c r="K42" s="19">
        <v>4.8906544120157706E-2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405</v>
      </c>
      <c r="C44" t="s">
        <v>405</v>
      </c>
      <c r="D44" s="18">
        <v>42432.520127314812</v>
      </c>
      <c r="E44" t="s">
        <v>666</v>
      </c>
      <c r="F44" s="19">
        <v>0.95916420513250789</v>
      </c>
      <c r="G44" s="19">
        <v>0.86477332638326387</v>
      </c>
      <c r="H44" s="19">
        <v>0.89758404674255499</v>
      </c>
      <c r="I44" s="19">
        <v>1.7002159742744851E-2</v>
      </c>
      <c r="J44" s="19">
        <v>0.92862199401031464</v>
      </c>
      <c r="K44" s="19">
        <v>1.5749008519610898E-2</v>
      </c>
      <c r="L44" s="19"/>
      <c r="M44" s="19"/>
      <c r="N44" s="19"/>
      <c r="O44" s="19"/>
      <c r="P44" s="19"/>
    </row>
    <row r="45" spans="2:16" x14ac:dyDescent="0.2">
      <c r="B45" t="s">
        <v>210</v>
      </c>
      <c r="C45" t="s">
        <v>370</v>
      </c>
      <c r="D45" s="18">
        <v>42432.520127314812</v>
      </c>
      <c r="E45" t="s">
        <v>99</v>
      </c>
      <c r="F45" s="19">
        <v>0.99121389420870898</v>
      </c>
      <c r="G45" s="19">
        <v>0.96566773348850743</v>
      </c>
      <c r="H45" s="19">
        <v>0.8793692893290479</v>
      </c>
      <c r="I45" s="19">
        <v>4.8103667096399363E-2</v>
      </c>
      <c r="J45" s="19">
        <v>0.8849994555440801</v>
      </c>
      <c r="K45" s="19">
        <v>5.325367906225132E-2</v>
      </c>
      <c r="L45" s="19">
        <v>0.87550630160799647</v>
      </c>
      <c r="M45" s="19">
        <v>0.92704294329542236</v>
      </c>
      <c r="N45" s="19">
        <v>4.3471140061487432E-2</v>
      </c>
      <c r="O45" s="19">
        <v>0.92988522134158136</v>
      </c>
      <c r="P45" s="19">
        <v>4.854351026991871E-2</v>
      </c>
    </row>
    <row r="46" spans="2:16" x14ac:dyDescent="0.2">
      <c r="B46" t="s">
        <v>527</v>
      </c>
      <c r="C46" t="s">
        <v>370</v>
      </c>
      <c r="D46" s="18">
        <v>42432.520127314812</v>
      </c>
      <c r="E46" t="s">
        <v>99</v>
      </c>
      <c r="F46" s="19">
        <v>0.99121389420870898</v>
      </c>
      <c r="G46" s="19">
        <v>0.96566773348850743</v>
      </c>
      <c r="H46" s="19">
        <v>0.8793692893290479</v>
      </c>
      <c r="I46" s="19">
        <v>4.8103667096399363E-2</v>
      </c>
      <c r="J46" s="19">
        <v>0.8849994555440801</v>
      </c>
      <c r="K46" s="19">
        <v>5.325367906225132E-2</v>
      </c>
      <c r="L46" s="19">
        <v>0.87550630160799647</v>
      </c>
      <c r="M46" s="19">
        <v>0.92704294329542236</v>
      </c>
      <c r="N46" s="19">
        <v>4.3471140061487432E-2</v>
      </c>
      <c r="O46" s="19">
        <v>0.92988522134158136</v>
      </c>
      <c r="P46" s="19">
        <v>4.854351026991871E-2</v>
      </c>
    </row>
    <row r="47" spans="2:16" x14ac:dyDescent="0.2">
      <c r="B47" t="s">
        <v>596</v>
      </c>
      <c r="C47" t="s">
        <v>405</v>
      </c>
      <c r="D47" s="18">
        <v>42432.520127314812</v>
      </c>
      <c r="E47" t="s">
        <v>167</v>
      </c>
      <c r="F47" s="19">
        <v>0.98663103338674008</v>
      </c>
      <c r="G47" s="19">
        <v>0.94119157678479715</v>
      </c>
      <c r="H47" s="19">
        <v>0.88629979354926036</v>
      </c>
      <c r="I47" s="19">
        <v>5.3236240287481564E-2</v>
      </c>
      <c r="J47" s="19">
        <v>0.92685631792272682</v>
      </c>
      <c r="K47" s="19">
        <v>4.599342356771878E-2</v>
      </c>
      <c r="L47" s="19"/>
      <c r="M47" s="19"/>
      <c r="N47" s="19"/>
      <c r="O47" s="19"/>
      <c r="P47" s="19"/>
    </row>
    <row r="48" spans="2:16" x14ac:dyDescent="0.2">
      <c r="B48" t="s">
        <v>530</v>
      </c>
      <c r="C48" t="s">
        <v>370</v>
      </c>
      <c r="D48" s="18">
        <v>42432.520127314812</v>
      </c>
      <c r="E48" t="s">
        <v>142</v>
      </c>
      <c r="F48" s="19">
        <v>0.90680195341278813</v>
      </c>
      <c r="G48" s="19">
        <v>0.84817855843683421</v>
      </c>
      <c r="H48" s="19">
        <v>0.89047310559173898</v>
      </c>
      <c r="I48" s="19">
        <v>4.7394938646536461E-2</v>
      </c>
      <c r="J48" s="19">
        <v>0.88265955570030807</v>
      </c>
      <c r="K48" s="19">
        <v>6.0579988722067386E-2</v>
      </c>
      <c r="L48" s="19"/>
      <c r="M48" s="19"/>
      <c r="N48" s="19"/>
      <c r="O48" s="19"/>
      <c r="P48" s="19"/>
    </row>
    <row r="49" spans="2:16" x14ac:dyDescent="0.2">
      <c r="B49" t="s">
        <v>604</v>
      </c>
      <c r="C49" t="s">
        <v>405</v>
      </c>
      <c r="D49" s="18">
        <v>42432.520127314812</v>
      </c>
      <c r="E49" t="s">
        <v>170</v>
      </c>
      <c r="F49" s="19">
        <v>0.96593158301548843</v>
      </c>
      <c r="G49" s="19">
        <v>0.91513119533527698</v>
      </c>
      <c r="H49" s="19">
        <v>0.90105212256202083</v>
      </c>
      <c r="I49" s="19">
        <v>5.0741203936989693E-2</v>
      </c>
      <c r="J49" s="19">
        <v>0.95067937878515318</v>
      </c>
      <c r="K49" s="19">
        <v>3.5751202494647957E-2</v>
      </c>
      <c r="L49" s="19"/>
      <c r="M49" s="19"/>
      <c r="N49" s="19"/>
      <c r="O49" s="19"/>
      <c r="P49" s="19"/>
    </row>
    <row r="50" spans="2:16" x14ac:dyDescent="0.2">
      <c r="B50" t="s">
        <v>515</v>
      </c>
      <c r="C50" t="s">
        <v>370</v>
      </c>
      <c r="D50" s="18">
        <v>42432.520127314812</v>
      </c>
      <c r="E50" t="s">
        <v>137</v>
      </c>
      <c r="F50" s="19">
        <v>0.95798786001290515</v>
      </c>
      <c r="G50" s="19">
        <v>0.92001515553034507</v>
      </c>
      <c r="H50" s="19">
        <v>0.85715713301682139</v>
      </c>
      <c r="I50" s="19">
        <v>6.334556323353048E-2</v>
      </c>
      <c r="J50" s="19">
        <v>0.92896146581998584</v>
      </c>
      <c r="K50" s="19">
        <v>4.3014360322444531E-2</v>
      </c>
      <c r="L50" s="19"/>
      <c r="M50" s="19"/>
      <c r="N50" s="19"/>
      <c r="O50" s="19"/>
      <c r="P50" s="19"/>
    </row>
    <row r="51" spans="2:16" x14ac:dyDescent="0.2">
      <c r="B51" t="s">
        <v>612</v>
      </c>
      <c r="C51" t="s">
        <v>405</v>
      </c>
      <c r="D51" s="18">
        <v>42432.520127314812</v>
      </c>
      <c r="E51" t="s">
        <v>174</v>
      </c>
      <c r="F51" s="19">
        <v>0.96016023256924887</v>
      </c>
      <c r="G51" s="19">
        <v>0.93723183902944218</v>
      </c>
      <c r="H51" s="19">
        <v>0.89680159200609699</v>
      </c>
      <c r="I51" s="19">
        <v>4.9644846425214058E-2</v>
      </c>
      <c r="J51" s="19">
        <v>0.93258331458878407</v>
      </c>
      <c r="K51" s="19">
        <v>4.7660624804852107E-2</v>
      </c>
      <c r="L51" s="19"/>
      <c r="M51" s="19"/>
      <c r="N51" s="19"/>
      <c r="O51" s="19"/>
      <c r="P51" s="19"/>
    </row>
    <row r="52" spans="2:16" x14ac:dyDescent="0.2">
      <c r="B52" t="s">
        <v>536</v>
      </c>
      <c r="C52" t="s">
        <v>370</v>
      </c>
      <c r="D52" s="18">
        <v>42432.520127314812</v>
      </c>
      <c r="E52" t="s">
        <v>103</v>
      </c>
      <c r="F52" s="19">
        <v>0.94965168039917702</v>
      </c>
      <c r="G52" s="19">
        <v>0.90889856494541887</v>
      </c>
      <c r="H52" s="19">
        <v>0.90058813212864519</v>
      </c>
      <c r="I52" s="19">
        <v>5.007267739440948E-2</v>
      </c>
      <c r="J52" s="19">
        <v>0.91471194036455505</v>
      </c>
      <c r="K52" s="19">
        <v>4.3935413472033676E-2</v>
      </c>
      <c r="L52" s="19"/>
      <c r="M52" s="19"/>
      <c r="N52" s="19"/>
      <c r="O52" s="19"/>
      <c r="P52" s="19"/>
    </row>
    <row r="53" spans="2:16" x14ac:dyDescent="0.2">
      <c r="B53" t="s">
        <v>589</v>
      </c>
      <c r="C53" t="s">
        <v>386</v>
      </c>
      <c r="D53" s="18">
        <v>42432.520127314812</v>
      </c>
      <c r="E53" t="s">
        <v>164</v>
      </c>
      <c r="F53" s="19">
        <v>0.99386266478604735</v>
      </c>
      <c r="G53" s="19">
        <v>0.96143367955048531</v>
      </c>
      <c r="H53" s="19">
        <v>0.92945347570921011</v>
      </c>
      <c r="I53" s="19">
        <v>3.9703887637157396E-2</v>
      </c>
      <c r="J53" s="19">
        <v>0.95390004562382402</v>
      </c>
      <c r="K53" s="19">
        <v>3.5714699502600811E-2</v>
      </c>
      <c r="L53" s="252"/>
      <c r="M53" s="252"/>
      <c r="N53" s="252"/>
      <c r="O53" s="252"/>
      <c r="P53" s="252"/>
    </row>
    <row r="54" spans="2:16" x14ac:dyDescent="0.2">
      <c r="B54" t="s">
        <v>625</v>
      </c>
      <c r="C54" t="s">
        <v>405</v>
      </c>
      <c r="D54" s="18">
        <v>42432.520127314812</v>
      </c>
      <c r="E54" t="s">
        <v>179</v>
      </c>
      <c r="F54" s="19">
        <v>0.96830034280112354</v>
      </c>
      <c r="G54" s="19">
        <v>0.81870169627622202</v>
      </c>
      <c r="H54" s="19">
        <v>0.8839176898309411</v>
      </c>
      <c r="I54" s="19">
        <v>4.3575290337360288E-2</v>
      </c>
      <c r="J54" s="19">
        <v>0.93299260191001565</v>
      </c>
      <c r="K54" s="19">
        <v>4.1627322536157862E-2</v>
      </c>
      <c r="L54" s="19"/>
      <c r="M54" s="19"/>
      <c r="N54" s="19"/>
      <c r="O54" s="19"/>
      <c r="P54" s="19"/>
    </row>
    <row r="55" spans="2:16" x14ac:dyDescent="0.2">
      <c r="B55" t="s">
        <v>614</v>
      </c>
      <c r="C55" t="s">
        <v>381</v>
      </c>
      <c r="D55" s="18">
        <v>42432.520127314812</v>
      </c>
      <c r="E55" t="s">
        <v>175</v>
      </c>
      <c r="F55" s="19">
        <v>0.93428517600623673</v>
      </c>
      <c r="G55" s="19">
        <v>0.85551628699169679</v>
      </c>
      <c r="H55" s="19">
        <v>0.85150386792054111</v>
      </c>
      <c r="I55" s="19">
        <v>5.2809514863270762E-2</v>
      </c>
      <c r="J55" s="19">
        <v>0.83042336068227907</v>
      </c>
      <c r="K55" s="19">
        <v>5.9586244413741912E-2</v>
      </c>
      <c r="L55" s="19"/>
      <c r="M55" s="19"/>
      <c r="N55" s="19"/>
      <c r="O55" s="19"/>
      <c r="P55" s="19"/>
    </row>
    <row r="56" spans="2:16" x14ac:dyDescent="0.2">
      <c r="B56" t="s">
        <v>598</v>
      </c>
      <c r="C56" t="s">
        <v>405</v>
      </c>
      <c r="D56" s="18">
        <v>42432.520127314812</v>
      </c>
      <c r="E56" t="s">
        <v>168</v>
      </c>
      <c r="F56" s="19">
        <v>0.96569436438145306</v>
      </c>
      <c r="G56" s="19">
        <v>0.85683683822910306</v>
      </c>
      <c r="H56" s="19">
        <v>0.90701802421417488</v>
      </c>
      <c r="I56" s="19">
        <v>4.3449378255961124E-2</v>
      </c>
      <c r="J56" s="19">
        <v>0.9526829111831554</v>
      </c>
      <c r="K56" s="19">
        <v>3.5221274738979957E-2</v>
      </c>
      <c r="L56" s="19"/>
      <c r="M56" s="19"/>
      <c r="N56" s="19"/>
      <c r="O56" s="19"/>
      <c r="P56" s="19"/>
    </row>
    <row r="57" spans="2:16" x14ac:dyDescent="0.2">
      <c r="B57" t="s">
        <v>636</v>
      </c>
      <c r="C57" t="s">
        <v>391</v>
      </c>
      <c r="D57" s="18">
        <v>42432.520127314812</v>
      </c>
      <c r="E57" t="s">
        <v>184</v>
      </c>
      <c r="F57" s="19">
        <v>1</v>
      </c>
      <c r="G57" s="19">
        <v>1</v>
      </c>
      <c r="H57" s="19">
        <v>0.94317302377003864</v>
      </c>
      <c r="I57" s="19">
        <v>3.8310555053824871E-2</v>
      </c>
      <c r="J57" s="19">
        <v>0.94301130524152099</v>
      </c>
      <c r="K57" s="19">
        <v>3.7114093788170377E-2</v>
      </c>
      <c r="L57" s="19"/>
      <c r="M57" s="19"/>
      <c r="N57" s="19"/>
      <c r="O57" s="19"/>
      <c r="P57" s="19"/>
    </row>
    <row r="58" spans="2:16" x14ac:dyDescent="0.2">
      <c r="B58" t="s">
        <v>381</v>
      </c>
      <c r="C58" t="s">
        <v>381</v>
      </c>
      <c r="D58" s="18">
        <v>42432.520127314812</v>
      </c>
      <c r="E58" t="s">
        <v>662</v>
      </c>
      <c r="F58" s="19">
        <v>0.94027790290080937</v>
      </c>
      <c r="G58" s="19">
        <v>0.86635192895393853</v>
      </c>
      <c r="H58" s="19">
        <v>0.89186623714669921</v>
      </c>
      <c r="I58" s="19">
        <v>2.1372312262949153E-2</v>
      </c>
      <c r="J58" s="19">
        <v>0.88760900912379381</v>
      </c>
      <c r="K58" s="19">
        <v>2.6600375327668929E-2</v>
      </c>
      <c r="L58" s="19"/>
      <c r="M58" s="19"/>
      <c r="N58" s="19"/>
      <c r="O58" s="19"/>
      <c r="P58" s="19"/>
    </row>
    <row r="59" spans="2:16" x14ac:dyDescent="0.2">
      <c r="B59" t="s">
        <v>575</v>
      </c>
      <c r="C59" t="s">
        <v>391</v>
      </c>
      <c r="D59" s="18">
        <v>42432.520127314812</v>
      </c>
      <c r="E59" t="s">
        <v>158</v>
      </c>
      <c r="F59" s="19">
        <v>0.91261142814001317</v>
      </c>
      <c r="G59" s="19">
        <v>0.91571619727284326</v>
      </c>
      <c r="H59" s="19">
        <v>0.91634329717346308</v>
      </c>
      <c r="I59" s="19">
        <v>4.2619988561815134E-2</v>
      </c>
      <c r="J59" s="19">
        <v>0.86279298922386682</v>
      </c>
      <c r="K59" s="19">
        <v>5.3623007563230157E-2</v>
      </c>
      <c r="L59" s="19"/>
      <c r="M59" s="19"/>
      <c r="N59" s="19"/>
      <c r="O59" s="19"/>
      <c r="P59" s="19"/>
    </row>
    <row r="60" spans="2:16" x14ac:dyDescent="0.2">
      <c r="B60" t="s">
        <v>212</v>
      </c>
      <c r="C60" t="s">
        <v>391</v>
      </c>
      <c r="D60" s="18">
        <v>42432.520127314812</v>
      </c>
      <c r="E60" t="s">
        <v>161</v>
      </c>
      <c r="F60" s="19">
        <v>1</v>
      </c>
      <c r="G60" s="19">
        <v>1</v>
      </c>
      <c r="H60" s="19">
        <v>0.96325314537684936</v>
      </c>
      <c r="I60" s="19">
        <v>3.2664027871080276E-2</v>
      </c>
      <c r="J60" s="19">
        <v>0.88316225830721928</v>
      </c>
      <c r="K60" s="19">
        <v>5.2493988761096448E-2</v>
      </c>
      <c r="L60" s="19">
        <v>0.90907012593405445</v>
      </c>
      <c r="M60" s="19">
        <v>0.97911641164116403</v>
      </c>
      <c r="N60" s="19">
        <v>2.5382772230777704E-2</v>
      </c>
      <c r="O60" s="19">
        <v>0.99046064280963619</v>
      </c>
      <c r="P60" s="19">
        <v>1.4221748131100186E-2</v>
      </c>
    </row>
    <row r="61" spans="2:16" x14ac:dyDescent="0.2">
      <c r="B61" t="s">
        <v>581</v>
      </c>
      <c r="C61" t="s">
        <v>391</v>
      </c>
      <c r="D61" s="18">
        <v>42432.520127314812</v>
      </c>
      <c r="E61" t="s">
        <v>161</v>
      </c>
      <c r="F61" s="19">
        <v>1</v>
      </c>
      <c r="G61" s="19">
        <v>1</v>
      </c>
      <c r="H61" s="19">
        <v>0.96325314537684936</v>
      </c>
      <c r="I61" s="19">
        <v>3.2664027871080276E-2</v>
      </c>
      <c r="J61" s="19">
        <v>0.88316225830721928</v>
      </c>
      <c r="K61" s="19">
        <v>5.2493988761096448E-2</v>
      </c>
      <c r="L61" s="19">
        <v>0.90907012593405445</v>
      </c>
      <c r="M61" s="19">
        <v>0.97911641164116403</v>
      </c>
      <c r="N61" s="19">
        <v>2.5382772230777704E-2</v>
      </c>
      <c r="O61" s="19">
        <v>0.99046064280963619</v>
      </c>
      <c r="P61" s="19">
        <v>1.4221748131100186E-2</v>
      </c>
    </row>
    <row r="62" spans="2:16" x14ac:dyDescent="0.2">
      <c r="B62" t="s">
        <v>542</v>
      </c>
      <c r="C62" t="s">
        <v>381</v>
      </c>
      <c r="D62" s="18">
        <v>42432.520127314812</v>
      </c>
      <c r="E62" t="s">
        <v>146</v>
      </c>
      <c r="F62" s="19">
        <v>0.93597588130974108</v>
      </c>
      <c r="G62" s="19">
        <v>0.88935845176249917</v>
      </c>
      <c r="H62" s="19">
        <v>0.86308554830531292</v>
      </c>
      <c r="I62" s="19">
        <v>5.539118313573866E-2</v>
      </c>
      <c r="J62" s="19">
        <v>0.86860141925663081</v>
      </c>
      <c r="K62" s="19">
        <v>5.865139267780705E-2</v>
      </c>
      <c r="L62" s="19"/>
      <c r="M62" s="19"/>
      <c r="N62" s="19"/>
      <c r="O62" s="19"/>
      <c r="P62" s="19"/>
    </row>
    <row r="63" spans="2:16" x14ac:dyDescent="0.2">
      <c r="B63" t="s">
        <v>628</v>
      </c>
      <c r="C63" t="s">
        <v>370</v>
      </c>
      <c r="D63" s="18">
        <v>42432.520127314812</v>
      </c>
      <c r="E63" t="s">
        <v>180</v>
      </c>
      <c r="F63" s="19">
        <v>0.98428433183777608</v>
      </c>
      <c r="G63" s="19">
        <v>0.90675241157556274</v>
      </c>
      <c r="H63" s="19">
        <v>0.87796734813943222</v>
      </c>
      <c r="I63" s="19">
        <v>5.6847485559842426E-2</v>
      </c>
      <c r="J63" s="19">
        <v>0.95482820570401983</v>
      </c>
      <c r="K63" s="19">
        <v>3.9342749550427103E-2</v>
      </c>
      <c r="L63" s="19"/>
      <c r="M63" s="19"/>
      <c r="N63" s="19"/>
      <c r="O63" s="19"/>
      <c r="P63" s="19"/>
    </row>
    <row r="64" spans="2:16" x14ac:dyDescent="0.2">
      <c r="B64" t="s">
        <v>697</v>
      </c>
      <c r="C64" t="s">
        <v>6</v>
      </c>
      <c r="D64" s="18">
        <v>42432.520127314812</v>
      </c>
      <c r="E64" t="s">
        <v>438</v>
      </c>
      <c r="F64" s="19"/>
      <c r="G64" s="19"/>
      <c r="H64" s="19"/>
      <c r="I64" s="19"/>
      <c r="J64" s="19"/>
      <c r="K64" s="19"/>
      <c r="L64" s="19">
        <v>0.90256863252037189</v>
      </c>
      <c r="M64" s="19">
        <v>0.94991467966112864</v>
      </c>
      <c r="N64" s="19">
        <v>2.1965192651069002E-2</v>
      </c>
      <c r="O64" s="19">
        <v>0.96860189371887662</v>
      </c>
      <c r="P64" s="19">
        <v>1.8412519106738544E-2</v>
      </c>
    </row>
    <row r="65" spans="2:16" x14ac:dyDescent="0.2">
      <c r="B65" t="s">
        <v>699</v>
      </c>
      <c r="C65" t="s">
        <v>6</v>
      </c>
      <c r="D65" s="18">
        <v>42432.520127314812</v>
      </c>
      <c r="E65" t="s">
        <v>438</v>
      </c>
      <c r="F65" s="19">
        <v>0.95680143989940214</v>
      </c>
      <c r="G65" s="19">
        <v>0.88865938028937774</v>
      </c>
      <c r="H65" s="19">
        <v>0.89849409779437717</v>
      </c>
      <c r="I65" s="19">
        <v>7.721999991102564E-3</v>
      </c>
      <c r="J65" s="19">
        <v>0.9049602630756779</v>
      </c>
      <c r="K65" s="19">
        <v>8.8512179735798207E-3</v>
      </c>
      <c r="L65" s="19">
        <v>0.90256863252037189</v>
      </c>
      <c r="M65" s="19">
        <v>0.94991467966112864</v>
      </c>
      <c r="N65" s="19">
        <v>2.1965192651069002E-2</v>
      </c>
      <c r="O65" s="19">
        <v>0.96860189371887662</v>
      </c>
      <c r="P65" s="19">
        <v>1.8412519106738544E-2</v>
      </c>
    </row>
    <row r="66" spans="2:16" x14ac:dyDescent="0.2">
      <c r="B66" t="s">
        <v>606</v>
      </c>
      <c r="C66" t="s">
        <v>386</v>
      </c>
      <c r="D66" s="18">
        <v>42432.520127314812</v>
      </c>
      <c r="E66" t="s">
        <v>171</v>
      </c>
      <c r="F66" s="19">
        <v>0.96394430454415614</v>
      </c>
      <c r="G66" s="19">
        <v>0.91768157251795368</v>
      </c>
      <c r="H66" s="19">
        <v>0.91671351575184512</v>
      </c>
      <c r="I66" s="19">
        <v>4.2452020283560897E-2</v>
      </c>
      <c r="J66" s="19">
        <v>0.89461209327944691</v>
      </c>
      <c r="K66" s="19">
        <v>4.9437166575368036E-2</v>
      </c>
      <c r="L66" s="19"/>
      <c r="M66" s="19"/>
      <c r="N66" s="19"/>
      <c r="O66" s="19"/>
      <c r="P66" s="19"/>
    </row>
    <row r="67" spans="2:16" x14ac:dyDescent="0.2">
      <c r="B67" t="s">
        <v>671</v>
      </c>
      <c r="C67" t="s">
        <v>370</v>
      </c>
      <c r="D67" s="18">
        <v>42432.520127314812</v>
      </c>
      <c r="E67" t="s">
        <v>670</v>
      </c>
      <c r="F67" s="152">
        <v>0.92441152662073178</v>
      </c>
      <c r="G67" s="152">
        <v>0.89812138728323698</v>
      </c>
      <c r="H67" s="152">
        <v>0.90146484051538556</v>
      </c>
      <c r="I67" s="152">
        <v>0.10254957345666249</v>
      </c>
      <c r="J67" s="152">
        <v>0.81914499539213093</v>
      </c>
      <c r="K67" s="152">
        <v>4.1101219723981404E-2</v>
      </c>
      <c r="L67" s="152"/>
      <c r="M67" s="152"/>
      <c r="N67" s="152"/>
      <c r="O67" s="152"/>
      <c r="P67" s="152"/>
    </row>
    <row r="68" spans="2:16" x14ac:dyDescent="0.2">
      <c r="B68" t="s">
        <v>630</v>
      </c>
      <c r="C68" t="s">
        <v>370</v>
      </c>
      <c r="D68" s="18">
        <v>42432.520127314812</v>
      </c>
      <c r="E68" t="s">
        <v>89</v>
      </c>
      <c r="F68" s="152">
        <v>0.91065920267866485</v>
      </c>
      <c r="G68" s="152">
        <v>0.75269611341039921</v>
      </c>
      <c r="H68" s="152">
        <v>0.83407208913926767</v>
      </c>
      <c r="I68" s="152">
        <v>5.2283654255967489E-2</v>
      </c>
      <c r="J68" s="152">
        <v>0.90382260101010092</v>
      </c>
      <c r="K68" s="152">
        <v>4.0650383914480843E-2</v>
      </c>
      <c r="L68" s="152"/>
      <c r="M68" s="152"/>
      <c r="N68" s="152"/>
      <c r="O68" s="152"/>
      <c r="P68" s="152"/>
    </row>
    <row r="69" spans="2:16" x14ac:dyDescent="0.2">
      <c r="B69" t="s">
        <v>640</v>
      </c>
      <c r="C69" t="s">
        <v>391</v>
      </c>
      <c r="D69" s="18">
        <v>42432.520127314812</v>
      </c>
      <c r="E69" t="s">
        <v>185</v>
      </c>
      <c r="F69" s="152">
        <v>0.9537028314230388</v>
      </c>
      <c r="G69" s="152">
        <v>0.87215088282504016</v>
      </c>
      <c r="H69" s="152">
        <v>0.91660432977273443</v>
      </c>
      <c r="I69" s="152">
        <v>4.3615573179598355E-2</v>
      </c>
      <c r="J69" s="152">
        <v>0.90152308886301891</v>
      </c>
      <c r="K69" s="152">
        <v>6.1635096031135601E-2</v>
      </c>
      <c r="L69" s="152"/>
      <c r="M69" s="152"/>
      <c r="N69" s="152"/>
      <c r="O69" s="152"/>
      <c r="P69" s="152"/>
    </row>
    <row r="70" spans="2:16" x14ac:dyDescent="0.2">
      <c r="B70" t="s">
        <v>644</v>
      </c>
      <c r="C70" t="s">
        <v>370</v>
      </c>
      <c r="D70" s="18">
        <v>42432.520127314812</v>
      </c>
      <c r="E70" t="s">
        <v>187</v>
      </c>
      <c r="F70" s="152">
        <v>0.93981307560078786</v>
      </c>
      <c r="G70" s="152">
        <v>0.89596337910944657</v>
      </c>
      <c r="H70" s="152">
        <v>0.86461939288212908</v>
      </c>
      <c r="I70" s="152">
        <v>4.9839851386708107E-2</v>
      </c>
      <c r="J70" s="152">
        <v>0.87411245155810391</v>
      </c>
      <c r="K70" s="152">
        <v>5.4843963057410294E-2</v>
      </c>
      <c r="L70" s="152"/>
      <c r="M70" s="152"/>
      <c r="N70" s="152"/>
      <c r="O70" s="152"/>
      <c r="P70" s="152"/>
    </row>
    <row r="71" spans="2:16" x14ac:dyDescent="0.2">
      <c r="B71" t="s">
        <v>544</v>
      </c>
      <c r="C71" t="s">
        <v>370</v>
      </c>
      <c r="D71" s="18">
        <v>42432.520127314812</v>
      </c>
      <c r="E71" t="s">
        <v>147</v>
      </c>
      <c r="F71" s="152">
        <v>0.96463071464182426</v>
      </c>
      <c r="G71" s="152">
        <v>0.83396470067788231</v>
      </c>
      <c r="H71" s="152">
        <v>0.83450003385804394</v>
      </c>
      <c r="I71" s="152">
        <v>5.3520418773903559E-2</v>
      </c>
      <c r="J71" s="152">
        <v>0.93483940936385457</v>
      </c>
      <c r="K71" s="152">
        <v>4.0211457684258815E-2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951</v>
      </c>
      <c r="C2" t="s">
        <v>952</v>
      </c>
      <c r="D2" t="s">
        <v>133</v>
      </c>
      <c r="F2" t="s">
        <v>946</v>
      </c>
      <c r="G2" t="s">
        <v>933</v>
      </c>
      <c r="H2" t="s">
        <v>934</v>
      </c>
      <c r="I2" t="s">
        <v>935</v>
      </c>
      <c r="J2" t="s">
        <v>936</v>
      </c>
      <c r="K2" t="s">
        <v>937</v>
      </c>
      <c r="L2" t="s">
        <v>938</v>
      </c>
      <c r="M2" t="s">
        <v>939</v>
      </c>
      <c r="N2" t="s">
        <v>940</v>
      </c>
      <c r="O2" t="s">
        <v>941</v>
      </c>
      <c r="P2" t="s">
        <v>942</v>
      </c>
      <c r="Q2" t="s">
        <v>943</v>
      </c>
      <c r="R2" t="s">
        <v>944</v>
      </c>
      <c r="S2" t="s">
        <v>945</v>
      </c>
      <c r="V2" t="s">
        <v>947</v>
      </c>
      <c r="W2" t="s">
        <v>933</v>
      </c>
      <c r="X2" t="s">
        <v>934</v>
      </c>
      <c r="Y2" t="s">
        <v>935</v>
      </c>
      <c r="Z2" t="s">
        <v>936</v>
      </c>
      <c r="AA2" t="s">
        <v>937</v>
      </c>
      <c r="AB2" t="s">
        <v>938</v>
      </c>
      <c r="AC2" t="s">
        <v>939</v>
      </c>
      <c r="AD2" t="s">
        <v>940</v>
      </c>
      <c r="AE2" t="s">
        <v>941</v>
      </c>
      <c r="AF2" t="s">
        <v>942</v>
      </c>
      <c r="AG2" t="s">
        <v>943</v>
      </c>
      <c r="AH2" t="s">
        <v>944</v>
      </c>
      <c r="AI2" t="s">
        <v>945</v>
      </c>
      <c r="AL2" t="s">
        <v>948</v>
      </c>
      <c r="AM2" t="s">
        <v>933</v>
      </c>
      <c r="AN2" t="s">
        <v>934</v>
      </c>
      <c r="AO2" t="s">
        <v>935</v>
      </c>
      <c r="AP2" t="s">
        <v>936</v>
      </c>
      <c r="AQ2" t="s">
        <v>937</v>
      </c>
      <c r="AR2" t="s">
        <v>938</v>
      </c>
      <c r="AS2" t="s">
        <v>939</v>
      </c>
      <c r="AT2" t="s">
        <v>940</v>
      </c>
      <c r="AU2" t="s">
        <v>941</v>
      </c>
      <c r="AV2" t="s">
        <v>942</v>
      </c>
      <c r="AW2" t="s">
        <v>943</v>
      </c>
      <c r="AX2" t="s">
        <v>944</v>
      </c>
      <c r="AY2" t="s">
        <v>945</v>
      </c>
    </row>
    <row r="3" spans="2:51" x14ac:dyDescent="0.2">
      <c r="B3" t="s">
        <v>954</v>
      </c>
      <c r="C3">
        <v>401444</v>
      </c>
      <c r="D3">
        <v>416.13376081540002</v>
      </c>
      <c r="F3" t="s">
        <v>8</v>
      </c>
      <c r="G3">
        <v>10607</v>
      </c>
      <c r="P3">
        <v>10607</v>
      </c>
      <c r="Q3">
        <v>177.4853371051</v>
      </c>
      <c r="V3" t="s">
        <v>309</v>
      </c>
      <c r="W3">
        <v>426</v>
      </c>
      <c r="X3">
        <v>301</v>
      </c>
      <c r="Y3">
        <v>334.24584717610003</v>
      </c>
      <c r="Z3">
        <v>31</v>
      </c>
      <c r="AA3">
        <v>549.03225806449996</v>
      </c>
      <c r="AB3">
        <v>77</v>
      </c>
      <c r="AC3">
        <v>545.29870129870005</v>
      </c>
      <c r="AD3">
        <v>32</v>
      </c>
      <c r="AE3">
        <v>732.75</v>
      </c>
      <c r="AF3">
        <v>14</v>
      </c>
      <c r="AG3">
        <v>162</v>
      </c>
      <c r="AH3">
        <v>2</v>
      </c>
      <c r="AI3">
        <v>169</v>
      </c>
      <c r="AL3" t="s">
        <v>309</v>
      </c>
      <c r="AM3">
        <v>2</v>
      </c>
      <c r="AN3">
        <v>2</v>
      </c>
      <c r="AO3">
        <v>246.5</v>
      </c>
      <c r="AP3">
        <v>3</v>
      </c>
      <c r="AQ3">
        <v>741</v>
      </c>
    </row>
    <row r="4" spans="2:51" x14ac:dyDescent="0.2">
      <c r="B4" t="s">
        <v>953</v>
      </c>
      <c r="C4">
        <v>35721</v>
      </c>
      <c r="D4">
        <v>416.13376081540002</v>
      </c>
      <c r="F4" t="s">
        <v>8</v>
      </c>
      <c r="G4">
        <v>10607</v>
      </c>
      <c r="P4">
        <v>10607</v>
      </c>
      <c r="Q4">
        <v>177.4853371051</v>
      </c>
      <c r="V4" t="s">
        <v>8</v>
      </c>
      <c r="W4">
        <v>4561</v>
      </c>
      <c r="X4">
        <v>3386</v>
      </c>
      <c r="Y4">
        <v>469.67740029539999</v>
      </c>
      <c r="Z4">
        <v>447</v>
      </c>
      <c r="AA4">
        <v>415.60626398210002</v>
      </c>
      <c r="AB4">
        <v>458</v>
      </c>
      <c r="AC4">
        <v>469.84061135370001</v>
      </c>
      <c r="AD4">
        <v>680</v>
      </c>
      <c r="AE4">
        <v>857.58235294120004</v>
      </c>
      <c r="AF4">
        <v>34</v>
      </c>
      <c r="AG4">
        <v>433.3823529412</v>
      </c>
      <c r="AH4">
        <v>3</v>
      </c>
      <c r="AI4">
        <v>696.66666666670005</v>
      </c>
      <c r="AL4" t="s">
        <v>8</v>
      </c>
      <c r="AM4">
        <v>44</v>
      </c>
      <c r="AN4">
        <v>37</v>
      </c>
      <c r="AO4">
        <v>245.7567567568</v>
      </c>
      <c r="AP4">
        <v>7</v>
      </c>
      <c r="AQ4">
        <v>300.71428571429999</v>
      </c>
      <c r="AR4">
        <v>7</v>
      </c>
      <c r="AS4">
        <v>241.42857142860001</v>
      </c>
    </row>
    <row r="5" spans="2:51" x14ac:dyDescent="0.2">
      <c r="B5" t="s">
        <v>965</v>
      </c>
      <c r="C5">
        <v>23455</v>
      </c>
      <c r="D5">
        <v>543.3253890428</v>
      </c>
      <c r="F5" t="s">
        <v>43</v>
      </c>
      <c r="G5">
        <v>607</v>
      </c>
      <c r="H5">
        <v>514</v>
      </c>
      <c r="I5">
        <v>256.46692607</v>
      </c>
      <c r="J5">
        <v>38</v>
      </c>
      <c r="K5">
        <v>557.47368421049998</v>
      </c>
      <c r="L5">
        <v>69</v>
      </c>
      <c r="M5">
        <v>251.72463768119999</v>
      </c>
      <c r="N5">
        <v>23</v>
      </c>
      <c r="O5">
        <v>252.69565217389999</v>
      </c>
      <c r="R5">
        <v>1</v>
      </c>
      <c r="S5">
        <v>260</v>
      </c>
      <c r="V5" t="s">
        <v>8</v>
      </c>
      <c r="W5">
        <v>4987</v>
      </c>
      <c r="X5">
        <v>3687</v>
      </c>
      <c r="Y5">
        <v>458.61801410739997</v>
      </c>
      <c r="Z5">
        <v>478</v>
      </c>
      <c r="AA5">
        <v>424.2594142259</v>
      </c>
      <c r="AB5">
        <v>535</v>
      </c>
      <c r="AC5">
        <v>480.70093457939998</v>
      </c>
      <c r="AD5">
        <v>712</v>
      </c>
      <c r="AE5">
        <v>851.9719101124</v>
      </c>
      <c r="AF5">
        <v>48</v>
      </c>
      <c r="AG5">
        <v>354.2291666667</v>
      </c>
      <c r="AH5">
        <v>5</v>
      </c>
      <c r="AI5">
        <v>485.6</v>
      </c>
      <c r="AL5" t="s">
        <v>8</v>
      </c>
      <c r="AM5">
        <v>46</v>
      </c>
      <c r="AN5">
        <v>39</v>
      </c>
      <c r="AO5">
        <v>245.79487179489999</v>
      </c>
      <c r="AP5">
        <v>10</v>
      </c>
      <c r="AQ5">
        <v>432.8</v>
      </c>
      <c r="AR5">
        <v>7</v>
      </c>
      <c r="AS5">
        <v>241.42857142860001</v>
      </c>
    </row>
    <row r="6" spans="2:51" x14ac:dyDescent="0.2">
      <c r="B6" t="s">
        <v>241</v>
      </c>
      <c r="C6">
        <v>53868</v>
      </c>
      <c r="D6">
        <v>581.44137521350001</v>
      </c>
      <c r="F6" t="s">
        <v>37</v>
      </c>
      <c r="G6">
        <v>8318</v>
      </c>
      <c r="H6">
        <v>6642</v>
      </c>
      <c r="I6">
        <v>442.89581451369997</v>
      </c>
      <c r="J6">
        <v>299</v>
      </c>
      <c r="K6">
        <v>897.17391304349997</v>
      </c>
      <c r="L6">
        <v>1154</v>
      </c>
      <c r="M6">
        <v>627.8968804159</v>
      </c>
      <c r="N6">
        <v>504</v>
      </c>
      <c r="O6">
        <v>580.30753968249996</v>
      </c>
      <c r="R6">
        <v>18</v>
      </c>
      <c r="S6">
        <v>481.7222222222</v>
      </c>
      <c r="V6" t="s">
        <v>400</v>
      </c>
      <c r="W6">
        <v>1373</v>
      </c>
      <c r="X6">
        <v>719</v>
      </c>
      <c r="Y6">
        <v>190.81363004170001</v>
      </c>
      <c r="Z6">
        <v>177</v>
      </c>
      <c r="AA6">
        <v>260.09604519769999</v>
      </c>
      <c r="AB6">
        <v>455</v>
      </c>
      <c r="AC6">
        <v>294.61538461539999</v>
      </c>
      <c r="AD6">
        <v>126</v>
      </c>
      <c r="AE6">
        <v>295.42063492059998</v>
      </c>
      <c r="AF6">
        <v>71</v>
      </c>
      <c r="AG6">
        <v>184.7605633803</v>
      </c>
      <c r="AH6">
        <v>2</v>
      </c>
      <c r="AI6">
        <v>54</v>
      </c>
      <c r="AL6" t="s">
        <v>400</v>
      </c>
      <c r="AM6">
        <v>27</v>
      </c>
      <c r="AN6">
        <v>21</v>
      </c>
      <c r="AO6">
        <v>85.714285714300004</v>
      </c>
      <c r="AP6">
        <v>16</v>
      </c>
      <c r="AQ6">
        <v>234.125</v>
      </c>
      <c r="AR6">
        <v>6</v>
      </c>
      <c r="AS6">
        <v>169.5</v>
      </c>
    </row>
    <row r="7" spans="2:51" x14ac:dyDescent="0.2">
      <c r="B7" t="s">
        <v>240</v>
      </c>
      <c r="C7">
        <v>238679</v>
      </c>
      <c r="D7">
        <v>405.3933196744</v>
      </c>
      <c r="F7" t="s">
        <v>42</v>
      </c>
      <c r="G7">
        <v>5322</v>
      </c>
      <c r="H7">
        <v>3675</v>
      </c>
      <c r="I7">
        <v>380.6370068027</v>
      </c>
      <c r="J7">
        <v>818</v>
      </c>
      <c r="K7">
        <v>491.20904645479999</v>
      </c>
      <c r="L7">
        <v>1058</v>
      </c>
      <c r="M7">
        <v>540.02079395090004</v>
      </c>
      <c r="N7">
        <v>550</v>
      </c>
      <c r="O7">
        <v>422.3109090909</v>
      </c>
      <c r="R7">
        <v>39</v>
      </c>
      <c r="S7">
        <v>312.28205128209999</v>
      </c>
      <c r="V7" t="s">
        <v>392</v>
      </c>
      <c r="W7">
        <v>13451</v>
      </c>
      <c r="X7">
        <v>9953</v>
      </c>
      <c r="Y7">
        <v>642.00241133329996</v>
      </c>
      <c r="Z7">
        <v>405</v>
      </c>
      <c r="AA7">
        <v>1150.2024691357999</v>
      </c>
      <c r="AB7">
        <v>2457</v>
      </c>
      <c r="AC7">
        <v>1258.5413105412999</v>
      </c>
      <c r="AD7">
        <v>852</v>
      </c>
      <c r="AE7">
        <v>911.36854460090001</v>
      </c>
      <c r="AF7">
        <v>170</v>
      </c>
      <c r="AG7">
        <v>226.87647058819999</v>
      </c>
      <c r="AH7">
        <v>19</v>
      </c>
      <c r="AI7">
        <v>782.52631578950002</v>
      </c>
      <c r="AL7" t="s">
        <v>392</v>
      </c>
      <c r="AM7">
        <v>338</v>
      </c>
      <c r="AN7">
        <v>255</v>
      </c>
      <c r="AO7">
        <v>491.68235294120001</v>
      </c>
      <c r="AP7">
        <v>33</v>
      </c>
      <c r="AQ7">
        <v>858.84848484849999</v>
      </c>
      <c r="AR7">
        <v>81</v>
      </c>
      <c r="AS7">
        <v>463.39506172839998</v>
      </c>
      <c r="AT7">
        <v>2</v>
      </c>
      <c r="AU7">
        <v>87.5</v>
      </c>
    </row>
    <row r="8" spans="2:51" x14ac:dyDescent="0.2">
      <c r="B8" t="s">
        <v>242</v>
      </c>
      <c r="C8">
        <v>24569</v>
      </c>
      <c r="D8">
        <v>518.50018320239997</v>
      </c>
      <c r="F8" t="s">
        <v>50</v>
      </c>
      <c r="G8">
        <v>910</v>
      </c>
      <c r="H8">
        <v>223</v>
      </c>
      <c r="I8">
        <v>95.986547085200002</v>
      </c>
      <c r="J8">
        <v>364</v>
      </c>
      <c r="K8">
        <v>191.8543956044</v>
      </c>
      <c r="L8">
        <v>495</v>
      </c>
      <c r="M8">
        <v>193.80404040400001</v>
      </c>
      <c r="N8">
        <v>190</v>
      </c>
      <c r="O8">
        <v>198.47368421050001</v>
      </c>
      <c r="R8">
        <v>2</v>
      </c>
      <c r="S8">
        <v>378</v>
      </c>
      <c r="V8" t="s">
        <v>423</v>
      </c>
      <c r="W8">
        <v>1345</v>
      </c>
      <c r="X8">
        <v>876</v>
      </c>
      <c r="Y8">
        <v>201.44977168950001</v>
      </c>
      <c r="Z8">
        <v>211</v>
      </c>
      <c r="AA8">
        <v>350.18009478670001</v>
      </c>
      <c r="AB8">
        <v>176</v>
      </c>
      <c r="AC8">
        <v>142.57386363640001</v>
      </c>
      <c r="AD8">
        <v>206</v>
      </c>
      <c r="AE8">
        <v>386.57281553399997</v>
      </c>
      <c r="AF8">
        <v>83</v>
      </c>
      <c r="AG8">
        <v>156.3855421687</v>
      </c>
      <c r="AH8">
        <v>4</v>
      </c>
      <c r="AI8">
        <v>384.25</v>
      </c>
      <c r="AL8" t="s">
        <v>423</v>
      </c>
      <c r="AM8">
        <v>36</v>
      </c>
      <c r="AN8">
        <v>30</v>
      </c>
      <c r="AO8">
        <v>131.0666666667</v>
      </c>
      <c r="AP8">
        <v>8</v>
      </c>
      <c r="AQ8">
        <v>235.625</v>
      </c>
      <c r="AR8">
        <v>6</v>
      </c>
      <c r="AS8">
        <v>277.5</v>
      </c>
    </row>
    <row r="9" spans="2:51" x14ac:dyDescent="0.2">
      <c r="B9" t="s">
        <v>243</v>
      </c>
      <c r="C9">
        <v>10607</v>
      </c>
      <c r="D9">
        <v>177.4853371051</v>
      </c>
      <c r="F9" t="s">
        <v>81</v>
      </c>
      <c r="G9">
        <v>1207</v>
      </c>
      <c r="H9">
        <v>825</v>
      </c>
      <c r="I9">
        <v>189.66424242420001</v>
      </c>
      <c r="J9">
        <v>209</v>
      </c>
      <c r="K9">
        <v>341.77990430620002</v>
      </c>
      <c r="L9">
        <v>162</v>
      </c>
      <c r="M9">
        <v>116.5</v>
      </c>
      <c r="N9">
        <v>216</v>
      </c>
      <c r="O9">
        <v>391.8564814815</v>
      </c>
      <c r="R9">
        <v>4</v>
      </c>
      <c r="S9">
        <v>384.25</v>
      </c>
      <c r="V9" t="s">
        <v>393</v>
      </c>
      <c r="W9">
        <v>8191</v>
      </c>
      <c r="X9">
        <v>6366</v>
      </c>
      <c r="Y9">
        <v>506.04602576190001</v>
      </c>
      <c r="Z9">
        <v>301</v>
      </c>
      <c r="AA9">
        <v>877.52823920269998</v>
      </c>
      <c r="AB9">
        <v>1290</v>
      </c>
      <c r="AC9">
        <v>969.73410852710003</v>
      </c>
      <c r="AD9">
        <v>423</v>
      </c>
      <c r="AE9">
        <v>710.77304964539996</v>
      </c>
      <c r="AF9">
        <v>110</v>
      </c>
      <c r="AG9">
        <v>178.69090909089999</v>
      </c>
      <c r="AH9">
        <v>2</v>
      </c>
      <c r="AI9">
        <v>194.5</v>
      </c>
      <c r="AL9" t="s">
        <v>393</v>
      </c>
      <c r="AM9">
        <v>157</v>
      </c>
      <c r="AN9">
        <v>134</v>
      </c>
      <c r="AO9">
        <v>463.23134328359998</v>
      </c>
      <c r="AP9">
        <v>20</v>
      </c>
      <c r="AQ9">
        <v>841.75</v>
      </c>
      <c r="AR9">
        <v>21</v>
      </c>
      <c r="AS9">
        <v>249.76190476190001</v>
      </c>
      <c r="AT9">
        <v>2</v>
      </c>
      <c r="AU9">
        <v>250</v>
      </c>
    </row>
    <row r="10" spans="2:51" x14ac:dyDescent="0.2">
      <c r="B10" t="s">
        <v>949</v>
      </c>
      <c r="C10">
        <v>545</v>
      </c>
      <c r="D10">
        <v>446.29908256879997</v>
      </c>
      <c r="F10" t="s">
        <v>76</v>
      </c>
      <c r="G10">
        <v>3710</v>
      </c>
      <c r="H10">
        <v>1729</v>
      </c>
      <c r="I10">
        <v>188.7646038172</v>
      </c>
      <c r="J10">
        <v>759</v>
      </c>
      <c r="K10">
        <v>252.71409749669999</v>
      </c>
      <c r="L10">
        <v>1886</v>
      </c>
      <c r="M10">
        <v>371.60339342520001</v>
      </c>
      <c r="N10">
        <v>89</v>
      </c>
      <c r="O10">
        <v>216.67415730339999</v>
      </c>
      <c r="R10">
        <v>6</v>
      </c>
      <c r="S10">
        <v>150.1666666667</v>
      </c>
      <c r="V10" t="s">
        <v>395</v>
      </c>
      <c r="W10">
        <v>8522</v>
      </c>
      <c r="X10">
        <v>6579</v>
      </c>
      <c r="Y10">
        <v>439.11977504179998</v>
      </c>
      <c r="Z10">
        <v>299</v>
      </c>
      <c r="AA10">
        <v>879.34448160540001</v>
      </c>
      <c r="AB10">
        <v>1170</v>
      </c>
      <c r="AC10">
        <v>625.79316239319996</v>
      </c>
      <c r="AD10">
        <v>505</v>
      </c>
      <c r="AE10">
        <v>575.94851485150002</v>
      </c>
      <c r="AF10">
        <v>250</v>
      </c>
      <c r="AG10">
        <v>167.58</v>
      </c>
      <c r="AH10">
        <v>18</v>
      </c>
      <c r="AI10">
        <v>481.7222222222</v>
      </c>
      <c r="AL10" t="s">
        <v>395</v>
      </c>
      <c r="AM10">
        <v>345</v>
      </c>
      <c r="AN10">
        <v>243</v>
      </c>
      <c r="AO10">
        <v>377.0823045267</v>
      </c>
      <c r="AP10">
        <v>20</v>
      </c>
      <c r="AQ10">
        <v>665.4</v>
      </c>
      <c r="AR10">
        <v>91</v>
      </c>
      <c r="AS10">
        <v>396.32967032969998</v>
      </c>
      <c r="AT10">
        <v>11</v>
      </c>
      <c r="AU10">
        <v>293.09090909090003</v>
      </c>
    </row>
    <row r="11" spans="2:51" x14ac:dyDescent="0.2">
      <c r="F11" t="s">
        <v>38</v>
      </c>
      <c r="G11">
        <v>13448</v>
      </c>
      <c r="H11">
        <v>10101</v>
      </c>
      <c r="I11">
        <v>649.64161964159996</v>
      </c>
      <c r="J11">
        <v>389</v>
      </c>
      <c r="K11">
        <v>1215.1825192802</v>
      </c>
      <c r="L11">
        <v>2494</v>
      </c>
      <c r="M11">
        <v>1281.2902967120999</v>
      </c>
      <c r="N11">
        <v>834</v>
      </c>
      <c r="O11">
        <v>928.81414868110005</v>
      </c>
      <c r="R11">
        <v>19</v>
      </c>
      <c r="S11">
        <v>782.52631578950002</v>
      </c>
      <c r="V11" t="s">
        <v>396</v>
      </c>
      <c r="W11">
        <v>5633</v>
      </c>
      <c r="X11">
        <v>3704</v>
      </c>
      <c r="Y11">
        <v>385.05345572350001</v>
      </c>
      <c r="Z11">
        <v>810</v>
      </c>
      <c r="AA11">
        <v>490.94197530859998</v>
      </c>
      <c r="AB11">
        <v>1065</v>
      </c>
      <c r="AC11">
        <v>548.48638497649995</v>
      </c>
      <c r="AD11">
        <v>563</v>
      </c>
      <c r="AE11">
        <v>433.20071047959999</v>
      </c>
      <c r="AF11">
        <v>262</v>
      </c>
      <c r="AG11">
        <v>178.8511450382</v>
      </c>
      <c r="AH11">
        <v>39</v>
      </c>
      <c r="AI11">
        <v>312.28205128209999</v>
      </c>
      <c r="AL11" t="s">
        <v>396</v>
      </c>
      <c r="AM11">
        <v>254</v>
      </c>
      <c r="AN11">
        <v>205</v>
      </c>
      <c r="AO11">
        <v>362.01463414630001</v>
      </c>
      <c r="AP11">
        <v>16</v>
      </c>
      <c r="AQ11">
        <v>541.75</v>
      </c>
      <c r="AR11">
        <v>43</v>
      </c>
      <c r="AS11">
        <v>387.72093023259998</v>
      </c>
      <c r="AT11">
        <v>5</v>
      </c>
      <c r="AU11">
        <v>622.20000000000005</v>
      </c>
      <c r="AV11">
        <v>1</v>
      </c>
      <c r="AW11">
        <v>17</v>
      </c>
    </row>
    <row r="12" spans="2:51" x14ac:dyDescent="0.2">
      <c r="F12" t="s">
        <v>56</v>
      </c>
      <c r="G12">
        <v>3254</v>
      </c>
      <c r="H12">
        <v>2757</v>
      </c>
      <c r="I12">
        <v>298.87123685170002</v>
      </c>
      <c r="J12">
        <v>309</v>
      </c>
      <c r="K12">
        <v>378.78317152099999</v>
      </c>
      <c r="L12">
        <v>450</v>
      </c>
      <c r="M12">
        <v>306.81777777780002</v>
      </c>
      <c r="N12">
        <v>47</v>
      </c>
      <c r="O12">
        <v>125.2553191489</v>
      </c>
      <c r="V12" t="s">
        <v>398</v>
      </c>
      <c r="W12">
        <v>6687</v>
      </c>
      <c r="X12">
        <v>5619</v>
      </c>
      <c r="Y12">
        <v>296.34810464499998</v>
      </c>
      <c r="Z12">
        <v>506</v>
      </c>
      <c r="AA12">
        <v>560.78458498019995</v>
      </c>
      <c r="AB12">
        <v>347</v>
      </c>
      <c r="AC12">
        <v>238.1873198847</v>
      </c>
      <c r="AD12">
        <v>452</v>
      </c>
      <c r="AE12">
        <v>369.8384955752</v>
      </c>
      <c r="AF12">
        <v>253</v>
      </c>
      <c r="AG12">
        <v>174.81027667980001</v>
      </c>
      <c r="AH12">
        <v>16</v>
      </c>
      <c r="AI12">
        <v>312.375</v>
      </c>
      <c r="AL12" t="s">
        <v>398</v>
      </c>
      <c r="AM12">
        <v>225</v>
      </c>
      <c r="AN12">
        <v>180</v>
      </c>
      <c r="AO12">
        <v>381.42222222219999</v>
      </c>
      <c r="AP12">
        <v>9</v>
      </c>
      <c r="AQ12">
        <v>513.7777777778</v>
      </c>
      <c r="AR12">
        <v>38</v>
      </c>
      <c r="AS12">
        <v>244.15789473679999</v>
      </c>
      <c r="AT12">
        <v>7</v>
      </c>
      <c r="AU12">
        <v>334.57142857140002</v>
      </c>
    </row>
    <row r="13" spans="2:51" x14ac:dyDescent="0.2">
      <c r="F13" t="s">
        <v>75</v>
      </c>
      <c r="G13">
        <v>6295</v>
      </c>
      <c r="H13">
        <v>5559</v>
      </c>
      <c r="I13">
        <v>290.79780536070001</v>
      </c>
      <c r="J13">
        <v>507</v>
      </c>
      <c r="K13">
        <v>561.61341222880003</v>
      </c>
      <c r="L13">
        <v>275</v>
      </c>
      <c r="M13">
        <v>156.4254545455</v>
      </c>
      <c r="N13">
        <v>445</v>
      </c>
      <c r="O13">
        <v>365.40674157299998</v>
      </c>
      <c r="R13">
        <v>16</v>
      </c>
      <c r="S13">
        <v>312.375</v>
      </c>
      <c r="V13" t="s">
        <v>401</v>
      </c>
      <c r="W13">
        <v>1077</v>
      </c>
      <c r="X13">
        <v>254</v>
      </c>
      <c r="Y13">
        <v>147.8779527559</v>
      </c>
      <c r="Z13">
        <v>367</v>
      </c>
      <c r="AA13">
        <v>192.8337874659</v>
      </c>
      <c r="AB13">
        <v>528</v>
      </c>
      <c r="AC13">
        <v>220.8181818182</v>
      </c>
      <c r="AD13">
        <v>188</v>
      </c>
      <c r="AE13">
        <v>201.6595744681</v>
      </c>
      <c r="AF13">
        <v>105</v>
      </c>
      <c r="AG13">
        <v>210.24761904760001</v>
      </c>
      <c r="AH13">
        <v>2</v>
      </c>
      <c r="AI13">
        <v>378</v>
      </c>
      <c r="AL13" t="s">
        <v>401</v>
      </c>
      <c r="AM13">
        <v>21</v>
      </c>
      <c r="AN13">
        <v>11</v>
      </c>
      <c r="AO13">
        <v>159</v>
      </c>
      <c r="AP13">
        <v>11</v>
      </c>
      <c r="AQ13">
        <v>241.45454545449999</v>
      </c>
      <c r="AR13">
        <v>7</v>
      </c>
      <c r="AS13">
        <v>204.28571428570001</v>
      </c>
      <c r="AT13">
        <v>3</v>
      </c>
      <c r="AU13">
        <v>159.3333333333</v>
      </c>
    </row>
    <row r="14" spans="2:51" x14ac:dyDescent="0.2">
      <c r="F14" t="s">
        <v>41</v>
      </c>
      <c r="G14">
        <v>1266</v>
      </c>
      <c r="H14">
        <v>680</v>
      </c>
      <c r="I14">
        <v>160.36911764710001</v>
      </c>
      <c r="J14">
        <v>173</v>
      </c>
      <c r="K14">
        <v>261.6878612717</v>
      </c>
      <c r="L14">
        <v>455</v>
      </c>
      <c r="M14">
        <v>292.52967032970002</v>
      </c>
      <c r="N14">
        <v>129</v>
      </c>
      <c r="O14">
        <v>295.43410852710002</v>
      </c>
      <c r="R14">
        <v>2</v>
      </c>
      <c r="S14">
        <v>54</v>
      </c>
      <c r="V14" t="s">
        <v>402</v>
      </c>
      <c r="W14">
        <v>2219</v>
      </c>
      <c r="X14">
        <v>1016</v>
      </c>
      <c r="Y14">
        <v>166.9527559055</v>
      </c>
      <c r="Z14">
        <v>540</v>
      </c>
      <c r="AA14">
        <v>200.62407407410001</v>
      </c>
      <c r="AB14">
        <v>981</v>
      </c>
      <c r="AC14">
        <v>291.44954128440003</v>
      </c>
      <c r="AD14">
        <v>86</v>
      </c>
      <c r="AE14">
        <v>266.31395348839999</v>
      </c>
      <c r="AF14">
        <v>130</v>
      </c>
      <c r="AG14">
        <v>187.46923076920001</v>
      </c>
      <c r="AH14">
        <v>6</v>
      </c>
      <c r="AI14">
        <v>150.1666666667</v>
      </c>
      <c r="AL14" t="s">
        <v>402</v>
      </c>
      <c r="AM14">
        <v>38</v>
      </c>
      <c r="AN14">
        <v>26</v>
      </c>
      <c r="AO14">
        <v>90</v>
      </c>
      <c r="AP14">
        <v>13</v>
      </c>
      <c r="AQ14">
        <v>175.5384615385</v>
      </c>
      <c r="AR14">
        <v>4</v>
      </c>
      <c r="AS14">
        <v>97</v>
      </c>
      <c r="AT14">
        <v>7</v>
      </c>
      <c r="AU14">
        <v>96.857142857100001</v>
      </c>
      <c r="AV14">
        <v>1</v>
      </c>
      <c r="AW14">
        <v>-2</v>
      </c>
    </row>
    <row r="15" spans="2:51" x14ac:dyDescent="0.2">
      <c r="F15" t="s">
        <v>74</v>
      </c>
      <c r="G15">
        <v>199</v>
      </c>
      <c r="H15">
        <v>68</v>
      </c>
      <c r="I15">
        <v>124.01470588239999</v>
      </c>
      <c r="J15">
        <v>116</v>
      </c>
      <c r="K15">
        <v>185.474137931</v>
      </c>
      <c r="L15">
        <v>82</v>
      </c>
      <c r="M15">
        <v>227.56097560980001</v>
      </c>
      <c r="N15">
        <v>39</v>
      </c>
      <c r="O15">
        <v>231.71794871789999</v>
      </c>
      <c r="R15">
        <v>10</v>
      </c>
      <c r="S15">
        <v>271.8</v>
      </c>
      <c r="V15" t="s">
        <v>397</v>
      </c>
      <c r="W15">
        <v>3384</v>
      </c>
      <c r="X15">
        <v>2752</v>
      </c>
      <c r="Y15">
        <v>306.82231104649998</v>
      </c>
      <c r="Z15">
        <v>311</v>
      </c>
      <c r="AA15">
        <v>389.19614147909999</v>
      </c>
      <c r="AB15">
        <v>452</v>
      </c>
      <c r="AC15">
        <v>315.28539823009999</v>
      </c>
      <c r="AD15">
        <v>64</v>
      </c>
      <c r="AE15">
        <v>266.75</v>
      </c>
      <c r="AF15">
        <v>115</v>
      </c>
      <c r="AG15">
        <v>132.73043478260001</v>
      </c>
      <c r="AH15">
        <v>1</v>
      </c>
      <c r="AI15">
        <v>144</v>
      </c>
      <c r="AL15" t="s">
        <v>397</v>
      </c>
      <c r="AM15">
        <v>102</v>
      </c>
      <c r="AN15">
        <v>76</v>
      </c>
      <c r="AO15">
        <v>316.84210526319998</v>
      </c>
      <c r="AR15">
        <v>22</v>
      </c>
      <c r="AS15">
        <v>420.86363636359999</v>
      </c>
      <c r="AT15">
        <v>4</v>
      </c>
      <c r="AU15">
        <v>409.25</v>
      </c>
    </row>
    <row r="16" spans="2:51" x14ac:dyDescent="0.2">
      <c r="F16" t="s">
        <v>48</v>
      </c>
      <c r="G16">
        <v>8306</v>
      </c>
      <c r="H16">
        <v>6577</v>
      </c>
      <c r="I16">
        <v>510.60255435609997</v>
      </c>
      <c r="J16">
        <v>300</v>
      </c>
      <c r="K16">
        <v>902.2266666667</v>
      </c>
      <c r="L16">
        <v>1305</v>
      </c>
      <c r="M16">
        <v>973.21149425290002</v>
      </c>
      <c r="N16">
        <v>422</v>
      </c>
      <c r="O16">
        <v>706.75118483409994</v>
      </c>
      <c r="R16">
        <v>2</v>
      </c>
      <c r="S16">
        <v>194.5</v>
      </c>
      <c r="V16" t="s">
        <v>420</v>
      </c>
      <c r="W16">
        <v>489</v>
      </c>
      <c r="X16">
        <v>384</v>
      </c>
      <c r="Y16">
        <v>259.2447916667</v>
      </c>
      <c r="Z16">
        <v>34</v>
      </c>
      <c r="AA16">
        <v>601</v>
      </c>
      <c r="AB16">
        <v>65</v>
      </c>
      <c r="AC16">
        <v>356.81538461539998</v>
      </c>
      <c r="AD16">
        <v>15</v>
      </c>
      <c r="AE16">
        <v>255.6666666667</v>
      </c>
      <c r="AF16">
        <v>24</v>
      </c>
      <c r="AG16">
        <v>147.4166666667</v>
      </c>
      <c r="AH16">
        <v>1</v>
      </c>
      <c r="AI16">
        <v>260</v>
      </c>
      <c r="AL16" t="s">
        <v>420</v>
      </c>
      <c r="AM16">
        <v>6</v>
      </c>
      <c r="AN16">
        <v>4</v>
      </c>
      <c r="AO16">
        <v>101.25</v>
      </c>
      <c r="AP16">
        <v>2</v>
      </c>
      <c r="AQ16">
        <v>251.5</v>
      </c>
      <c r="AR16">
        <v>2</v>
      </c>
      <c r="AS16">
        <v>102</v>
      </c>
    </row>
    <row r="17" spans="6:49" x14ac:dyDescent="0.2">
      <c r="F17" t="s">
        <v>391</v>
      </c>
      <c r="G17">
        <v>52842</v>
      </c>
      <c r="H17">
        <v>39350</v>
      </c>
      <c r="I17">
        <v>443.5809656925</v>
      </c>
      <c r="J17">
        <v>4281</v>
      </c>
      <c r="K17">
        <v>522.37047418830002</v>
      </c>
      <c r="L17">
        <v>9885</v>
      </c>
      <c r="M17">
        <v>700.79706626200004</v>
      </c>
      <c r="N17">
        <v>3488</v>
      </c>
      <c r="O17">
        <v>562.1313073394</v>
      </c>
      <c r="R17">
        <v>119</v>
      </c>
      <c r="S17">
        <v>398.19327731089999</v>
      </c>
      <c r="V17" t="s">
        <v>421</v>
      </c>
      <c r="W17">
        <v>213</v>
      </c>
      <c r="X17">
        <v>69</v>
      </c>
      <c r="Y17">
        <v>210.65217391300001</v>
      </c>
      <c r="Z17">
        <v>35</v>
      </c>
      <c r="AA17">
        <v>278.25714285710001</v>
      </c>
      <c r="AB17">
        <v>50</v>
      </c>
      <c r="AC17">
        <v>374.6</v>
      </c>
      <c r="AD17">
        <v>40</v>
      </c>
      <c r="AE17">
        <v>272.39999999999998</v>
      </c>
      <c r="AF17">
        <v>44</v>
      </c>
      <c r="AG17">
        <v>238.38636363640001</v>
      </c>
      <c r="AH17">
        <v>10</v>
      </c>
      <c r="AI17">
        <v>271.8</v>
      </c>
      <c r="AL17" t="s">
        <v>421</v>
      </c>
      <c r="AM17">
        <v>7</v>
      </c>
      <c r="AN17">
        <v>4</v>
      </c>
      <c r="AO17">
        <v>230.25</v>
      </c>
      <c r="AP17">
        <v>4</v>
      </c>
      <c r="AQ17">
        <v>200.5</v>
      </c>
      <c r="AR17">
        <v>3</v>
      </c>
      <c r="AS17">
        <v>140.3333333333</v>
      </c>
    </row>
    <row r="18" spans="6:49" x14ac:dyDescent="0.2">
      <c r="F18" t="s">
        <v>68</v>
      </c>
      <c r="G18">
        <v>3105</v>
      </c>
      <c r="H18">
        <v>2508</v>
      </c>
      <c r="I18">
        <v>289.5295055821</v>
      </c>
      <c r="J18">
        <v>194</v>
      </c>
      <c r="K18">
        <v>424.0824742268</v>
      </c>
      <c r="L18">
        <v>386</v>
      </c>
      <c r="M18">
        <v>304.5932642487</v>
      </c>
      <c r="N18">
        <v>204</v>
      </c>
      <c r="O18">
        <v>525.15196078429994</v>
      </c>
      <c r="R18">
        <v>7</v>
      </c>
      <c r="S18">
        <v>602.71428571429999</v>
      </c>
      <c r="V18" t="s">
        <v>391</v>
      </c>
      <c r="W18">
        <v>52584</v>
      </c>
      <c r="X18">
        <v>38291</v>
      </c>
      <c r="Y18">
        <v>445.8237183672</v>
      </c>
      <c r="Z18">
        <v>3996</v>
      </c>
      <c r="AA18">
        <v>531.67092092090002</v>
      </c>
      <c r="AB18">
        <v>9036</v>
      </c>
      <c r="AC18">
        <v>718.04327135899996</v>
      </c>
      <c r="AD18">
        <v>3520</v>
      </c>
      <c r="AE18">
        <v>564.92357954550005</v>
      </c>
      <c r="AF18">
        <v>1617</v>
      </c>
      <c r="AG18">
        <v>181.22572665429999</v>
      </c>
      <c r="AH18">
        <v>120</v>
      </c>
      <c r="AI18">
        <v>396.07499999999999</v>
      </c>
      <c r="AL18" t="s">
        <v>391</v>
      </c>
      <c r="AM18">
        <v>1556</v>
      </c>
      <c r="AN18">
        <v>1189</v>
      </c>
      <c r="AO18">
        <v>384.50714886460003</v>
      </c>
      <c r="AP18">
        <v>152</v>
      </c>
      <c r="AQ18">
        <v>550.33552631580005</v>
      </c>
      <c r="AR18">
        <v>324</v>
      </c>
      <c r="AS18">
        <v>367.83950617279999</v>
      </c>
      <c r="AT18">
        <v>41</v>
      </c>
      <c r="AU18">
        <v>296.21951219509998</v>
      </c>
      <c r="AV18">
        <v>2</v>
      </c>
      <c r="AW18">
        <v>7.5</v>
      </c>
    </row>
    <row r="19" spans="6:49" x14ac:dyDescent="0.2">
      <c r="F19" t="s">
        <v>34</v>
      </c>
      <c r="G19">
        <v>917</v>
      </c>
      <c r="H19">
        <v>595</v>
      </c>
      <c r="I19">
        <v>237.7899159664</v>
      </c>
      <c r="J19">
        <v>87</v>
      </c>
      <c r="K19">
        <v>467.77011494250002</v>
      </c>
      <c r="L19">
        <v>155</v>
      </c>
      <c r="M19">
        <v>233.4</v>
      </c>
      <c r="N19">
        <v>160</v>
      </c>
      <c r="O19">
        <v>580.99374999999998</v>
      </c>
      <c r="R19">
        <v>7</v>
      </c>
      <c r="S19">
        <v>277.28571428570001</v>
      </c>
      <c r="V19" t="s">
        <v>409</v>
      </c>
      <c r="W19">
        <v>1003</v>
      </c>
      <c r="X19">
        <v>611</v>
      </c>
      <c r="Y19">
        <v>254.27986906710001</v>
      </c>
      <c r="Z19">
        <v>90</v>
      </c>
      <c r="AA19">
        <v>471.26666666670002</v>
      </c>
      <c r="AB19">
        <v>163</v>
      </c>
      <c r="AC19">
        <v>261.48466257669998</v>
      </c>
      <c r="AD19">
        <v>157</v>
      </c>
      <c r="AE19">
        <v>580.39490445859997</v>
      </c>
      <c r="AF19">
        <v>66</v>
      </c>
      <c r="AG19">
        <v>148.9242424242</v>
      </c>
      <c r="AH19">
        <v>6</v>
      </c>
      <c r="AI19">
        <v>315.1666666667</v>
      </c>
      <c r="AL19" t="s">
        <v>409</v>
      </c>
      <c r="AM19">
        <v>10</v>
      </c>
      <c r="AN19">
        <v>9</v>
      </c>
      <c r="AO19">
        <v>120.2222222222</v>
      </c>
      <c r="AP19">
        <v>5</v>
      </c>
      <c r="AQ19">
        <v>282.2</v>
      </c>
      <c r="AR19">
        <v>1</v>
      </c>
      <c r="AS19">
        <v>33</v>
      </c>
    </row>
    <row r="20" spans="6:49" x14ac:dyDescent="0.2">
      <c r="F20" t="s">
        <v>55</v>
      </c>
      <c r="G20">
        <v>911</v>
      </c>
      <c r="H20">
        <v>422</v>
      </c>
      <c r="I20">
        <v>201.07109004739999</v>
      </c>
      <c r="J20">
        <v>204</v>
      </c>
      <c r="K20">
        <v>312.4901960784</v>
      </c>
      <c r="L20">
        <v>163</v>
      </c>
      <c r="M20">
        <v>270.82208588959998</v>
      </c>
      <c r="N20">
        <v>323</v>
      </c>
      <c r="O20">
        <v>602.96904024770004</v>
      </c>
      <c r="R20">
        <v>3</v>
      </c>
      <c r="S20">
        <v>696.66666666670005</v>
      </c>
      <c r="V20" t="s">
        <v>425</v>
      </c>
      <c r="W20">
        <v>296</v>
      </c>
      <c r="X20">
        <v>131</v>
      </c>
      <c r="Y20">
        <v>195.1755725191</v>
      </c>
      <c r="Z20">
        <v>80</v>
      </c>
      <c r="AA20">
        <v>252.5625</v>
      </c>
      <c r="AB20">
        <v>72</v>
      </c>
      <c r="AC20">
        <v>203.0416666667</v>
      </c>
      <c r="AD20">
        <v>56</v>
      </c>
      <c r="AE20">
        <v>464.98214285709997</v>
      </c>
      <c r="AF20">
        <v>36</v>
      </c>
      <c r="AG20">
        <v>138.7222222222</v>
      </c>
      <c r="AH20">
        <v>1</v>
      </c>
      <c r="AI20">
        <v>589</v>
      </c>
      <c r="AL20" t="s">
        <v>425</v>
      </c>
      <c r="AM20">
        <v>5</v>
      </c>
      <c r="AN20">
        <v>3</v>
      </c>
      <c r="AO20">
        <v>86.333333333300004</v>
      </c>
      <c r="AP20">
        <v>1</v>
      </c>
      <c r="AQ20">
        <v>149</v>
      </c>
      <c r="AR20">
        <v>2</v>
      </c>
      <c r="AS20">
        <v>52.5</v>
      </c>
    </row>
    <row r="21" spans="6:49" x14ac:dyDescent="0.2">
      <c r="F21" t="s">
        <v>62</v>
      </c>
      <c r="G21">
        <v>8421</v>
      </c>
      <c r="H21">
        <v>6945</v>
      </c>
      <c r="I21">
        <v>395.36976241899998</v>
      </c>
      <c r="J21">
        <v>688</v>
      </c>
      <c r="K21">
        <v>619</v>
      </c>
      <c r="L21">
        <v>1072</v>
      </c>
      <c r="M21">
        <v>611.11007462689997</v>
      </c>
      <c r="N21">
        <v>400</v>
      </c>
      <c r="O21">
        <v>570.64</v>
      </c>
      <c r="R21">
        <v>4</v>
      </c>
      <c r="S21">
        <v>906.75</v>
      </c>
      <c r="V21" t="s">
        <v>429</v>
      </c>
      <c r="W21">
        <v>1253</v>
      </c>
      <c r="X21">
        <v>950</v>
      </c>
      <c r="Y21">
        <v>298.23473684210001</v>
      </c>
      <c r="Z21">
        <v>75</v>
      </c>
      <c r="AA21">
        <v>458.29333333329998</v>
      </c>
      <c r="AB21">
        <v>196</v>
      </c>
      <c r="AC21">
        <v>386.34693877550001</v>
      </c>
      <c r="AD21">
        <v>58</v>
      </c>
      <c r="AE21">
        <v>431.55172413790001</v>
      </c>
      <c r="AF21">
        <v>48</v>
      </c>
      <c r="AG21">
        <v>168.5416666667</v>
      </c>
      <c r="AH21">
        <v>1</v>
      </c>
      <c r="AI21">
        <v>403</v>
      </c>
      <c r="AL21" t="s">
        <v>429</v>
      </c>
      <c r="AM21">
        <v>10</v>
      </c>
      <c r="AN21">
        <v>9</v>
      </c>
      <c r="AO21">
        <v>155.7777777778</v>
      </c>
      <c r="AP21">
        <v>8</v>
      </c>
      <c r="AQ21">
        <v>293.375</v>
      </c>
      <c r="AR21">
        <v>1</v>
      </c>
      <c r="AS21">
        <v>179</v>
      </c>
    </row>
    <row r="22" spans="6:49" x14ac:dyDescent="0.2">
      <c r="F22" t="s">
        <v>64</v>
      </c>
      <c r="G22">
        <v>7121</v>
      </c>
      <c r="H22">
        <v>5372</v>
      </c>
      <c r="I22">
        <v>404.58953834699997</v>
      </c>
      <c r="J22">
        <v>383</v>
      </c>
      <c r="K22">
        <v>522.59007832899999</v>
      </c>
      <c r="L22">
        <v>1330</v>
      </c>
      <c r="M22">
        <v>721.26240601500001</v>
      </c>
      <c r="N22">
        <v>407</v>
      </c>
      <c r="O22">
        <v>565.80098280100003</v>
      </c>
      <c r="R22">
        <v>12</v>
      </c>
      <c r="S22">
        <v>525.16666666670005</v>
      </c>
      <c r="V22" t="s">
        <v>414</v>
      </c>
      <c r="W22">
        <v>3195</v>
      </c>
      <c r="X22">
        <v>2488</v>
      </c>
      <c r="Y22">
        <v>297.06390675239999</v>
      </c>
      <c r="Z22">
        <v>202</v>
      </c>
      <c r="AA22">
        <v>424.60891089109998</v>
      </c>
      <c r="AB22">
        <v>405</v>
      </c>
      <c r="AC22">
        <v>354.49135802469999</v>
      </c>
      <c r="AD22">
        <v>212</v>
      </c>
      <c r="AE22">
        <v>516.60377358489995</v>
      </c>
      <c r="AF22">
        <v>83</v>
      </c>
      <c r="AG22">
        <v>248.19277108430001</v>
      </c>
      <c r="AH22">
        <v>7</v>
      </c>
      <c r="AI22">
        <v>602.71428571429999</v>
      </c>
      <c r="AL22" t="s">
        <v>414</v>
      </c>
      <c r="AM22">
        <v>32</v>
      </c>
      <c r="AN22">
        <v>19</v>
      </c>
      <c r="AO22">
        <v>113.94736842109999</v>
      </c>
      <c r="AP22">
        <v>23</v>
      </c>
      <c r="AQ22">
        <v>253</v>
      </c>
      <c r="AR22">
        <v>8</v>
      </c>
      <c r="AS22">
        <v>140.875</v>
      </c>
      <c r="AT22">
        <v>5</v>
      </c>
      <c r="AU22">
        <v>381</v>
      </c>
    </row>
    <row r="23" spans="6:49" x14ac:dyDescent="0.2">
      <c r="F23" t="s">
        <v>73</v>
      </c>
      <c r="G23">
        <v>5012</v>
      </c>
      <c r="H23">
        <v>3962</v>
      </c>
      <c r="I23">
        <v>273.0053003534</v>
      </c>
      <c r="J23">
        <v>654</v>
      </c>
      <c r="K23">
        <v>393.30122324159998</v>
      </c>
      <c r="L23">
        <v>753</v>
      </c>
      <c r="M23">
        <v>354.71314741039998</v>
      </c>
      <c r="N23">
        <v>285</v>
      </c>
      <c r="O23">
        <v>435.8035087719</v>
      </c>
      <c r="R23">
        <v>12</v>
      </c>
      <c r="S23">
        <v>327.6666666667</v>
      </c>
      <c r="V23" t="s">
        <v>410</v>
      </c>
      <c r="W23">
        <v>5349</v>
      </c>
      <c r="X23">
        <v>3603</v>
      </c>
      <c r="Y23">
        <v>382.65806272549997</v>
      </c>
      <c r="Z23">
        <v>398</v>
      </c>
      <c r="AA23">
        <v>497.96482412059999</v>
      </c>
      <c r="AB23">
        <v>1361</v>
      </c>
      <c r="AC23">
        <v>556.62233651730003</v>
      </c>
      <c r="AD23">
        <v>247</v>
      </c>
      <c r="AE23">
        <v>489.86234817809998</v>
      </c>
      <c r="AF23">
        <v>127</v>
      </c>
      <c r="AG23">
        <v>146.45669291339999</v>
      </c>
      <c r="AH23">
        <v>11</v>
      </c>
      <c r="AI23">
        <v>251.36363636359999</v>
      </c>
      <c r="AL23" t="s">
        <v>410</v>
      </c>
      <c r="AM23">
        <v>38</v>
      </c>
      <c r="AN23">
        <v>33</v>
      </c>
      <c r="AO23">
        <v>212.1818181818</v>
      </c>
      <c r="AP23">
        <v>16</v>
      </c>
      <c r="AQ23">
        <v>329.125</v>
      </c>
      <c r="AR23">
        <v>5</v>
      </c>
      <c r="AS23">
        <v>145.19999999999999</v>
      </c>
    </row>
    <row r="24" spans="6:49" x14ac:dyDescent="0.2">
      <c r="F24" t="s">
        <v>45</v>
      </c>
      <c r="G24">
        <v>1514</v>
      </c>
      <c r="H24">
        <v>1185</v>
      </c>
      <c r="I24">
        <v>294.38649789030001</v>
      </c>
      <c r="J24">
        <v>98</v>
      </c>
      <c r="K24">
        <v>464.14285714290003</v>
      </c>
      <c r="L24">
        <v>260</v>
      </c>
      <c r="M24">
        <v>440.78461538459999</v>
      </c>
      <c r="N24">
        <v>67</v>
      </c>
      <c r="O24">
        <v>515.62686567159994</v>
      </c>
      <c r="R24">
        <v>2</v>
      </c>
      <c r="S24">
        <v>333.5</v>
      </c>
      <c r="V24" t="s">
        <v>427</v>
      </c>
      <c r="W24">
        <v>7324</v>
      </c>
      <c r="X24">
        <v>5394</v>
      </c>
      <c r="Y24">
        <v>404.73007044859997</v>
      </c>
      <c r="Z24">
        <v>401</v>
      </c>
      <c r="AA24">
        <v>513.06982543640004</v>
      </c>
      <c r="AB24">
        <v>1344</v>
      </c>
      <c r="AC24">
        <v>704.79017857140002</v>
      </c>
      <c r="AD24">
        <v>417</v>
      </c>
      <c r="AE24">
        <v>576.58513189450002</v>
      </c>
      <c r="AF24">
        <v>156</v>
      </c>
      <c r="AG24">
        <v>192.75</v>
      </c>
      <c r="AH24">
        <v>13</v>
      </c>
      <c r="AI24">
        <v>549</v>
      </c>
      <c r="AL24" t="s">
        <v>427</v>
      </c>
      <c r="AM24">
        <v>97</v>
      </c>
      <c r="AN24">
        <v>71</v>
      </c>
      <c r="AO24">
        <v>246.8169014085</v>
      </c>
      <c r="AP24">
        <v>35</v>
      </c>
      <c r="AQ24">
        <v>256.22857142859999</v>
      </c>
      <c r="AR24">
        <v>23</v>
      </c>
      <c r="AS24">
        <v>276.04347826089997</v>
      </c>
      <c r="AT24">
        <v>3</v>
      </c>
      <c r="AU24">
        <v>207</v>
      </c>
    </row>
    <row r="25" spans="6:49" x14ac:dyDescent="0.2">
      <c r="F25" t="s">
        <v>66</v>
      </c>
      <c r="G25">
        <v>5276</v>
      </c>
      <c r="H25">
        <v>3637</v>
      </c>
      <c r="I25">
        <v>385.17816882049999</v>
      </c>
      <c r="J25">
        <v>388</v>
      </c>
      <c r="K25">
        <v>497.71134020620002</v>
      </c>
      <c r="L25">
        <v>1384</v>
      </c>
      <c r="M25">
        <v>563.30057803470004</v>
      </c>
      <c r="N25">
        <v>244</v>
      </c>
      <c r="O25">
        <v>499.9713114754</v>
      </c>
      <c r="R25">
        <v>11</v>
      </c>
      <c r="S25">
        <v>298.8181818182</v>
      </c>
      <c r="V25" t="s">
        <v>408</v>
      </c>
      <c r="W25">
        <v>18486</v>
      </c>
      <c r="X25">
        <v>14738</v>
      </c>
      <c r="Y25">
        <v>330.82073551360003</v>
      </c>
      <c r="Z25">
        <v>1940</v>
      </c>
      <c r="AA25">
        <v>476.9134020619</v>
      </c>
      <c r="AB25">
        <v>2115</v>
      </c>
      <c r="AC25">
        <v>437.56879432620002</v>
      </c>
      <c r="AD25">
        <v>913</v>
      </c>
      <c r="AE25">
        <v>439.84008762320002</v>
      </c>
      <c r="AF25">
        <v>706</v>
      </c>
      <c r="AG25">
        <v>163.71954674220001</v>
      </c>
      <c r="AH25">
        <v>14</v>
      </c>
      <c r="AI25">
        <v>532.28571428570001</v>
      </c>
      <c r="AL25" t="s">
        <v>408</v>
      </c>
      <c r="AM25">
        <v>379</v>
      </c>
      <c r="AN25">
        <v>270</v>
      </c>
      <c r="AO25">
        <v>215.1</v>
      </c>
      <c r="AP25">
        <v>140</v>
      </c>
      <c r="AQ25">
        <v>359.1</v>
      </c>
      <c r="AR25">
        <v>95</v>
      </c>
      <c r="AS25">
        <v>205.72631578950001</v>
      </c>
      <c r="AT25">
        <v>14</v>
      </c>
      <c r="AU25">
        <v>172.42857142860001</v>
      </c>
    </row>
    <row r="26" spans="6:49" x14ac:dyDescent="0.2">
      <c r="F26" t="s">
        <v>32</v>
      </c>
      <c r="G26">
        <v>209</v>
      </c>
      <c r="H26">
        <v>94</v>
      </c>
      <c r="I26">
        <v>123.8510638298</v>
      </c>
      <c r="J26">
        <v>78</v>
      </c>
      <c r="K26">
        <v>238.70512820510001</v>
      </c>
      <c r="L26">
        <v>57</v>
      </c>
      <c r="M26">
        <v>124.1052631579</v>
      </c>
      <c r="N26">
        <v>57</v>
      </c>
      <c r="O26">
        <v>443.77192982460002</v>
      </c>
      <c r="R26">
        <v>1</v>
      </c>
      <c r="S26">
        <v>589</v>
      </c>
      <c r="V26" t="s">
        <v>406</v>
      </c>
      <c r="W26">
        <v>1900</v>
      </c>
      <c r="X26">
        <v>1396</v>
      </c>
      <c r="Y26">
        <v>289.39541547279998</v>
      </c>
      <c r="Z26">
        <v>229</v>
      </c>
      <c r="AA26">
        <v>444.27510917030003</v>
      </c>
      <c r="AB26">
        <v>347</v>
      </c>
      <c r="AC26">
        <v>291.13832853029999</v>
      </c>
      <c r="AD26">
        <v>88</v>
      </c>
      <c r="AE26">
        <v>329.51136363640001</v>
      </c>
      <c r="AF26">
        <v>68</v>
      </c>
      <c r="AG26">
        <v>195.79411764709999</v>
      </c>
      <c r="AH26">
        <v>1</v>
      </c>
      <c r="AI26">
        <v>232</v>
      </c>
      <c r="AL26" t="s">
        <v>406</v>
      </c>
      <c r="AM26">
        <v>32</v>
      </c>
      <c r="AN26">
        <v>22</v>
      </c>
      <c r="AO26">
        <v>369.59090909090003</v>
      </c>
      <c r="AP26">
        <v>10</v>
      </c>
      <c r="AQ26">
        <v>289.7</v>
      </c>
      <c r="AR26">
        <v>10</v>
      </c>
      <c r="AS26">
        <v>115.7</v>
      </c>
    </row>
    <row r="27" spans="6:49" x14ac:dyDescent="0.2">
      <c r="F27" t="s">
        <v>71</v>
      </c>
      <c r="G27">
        <v>4149</v>
      </c>
      <c r="H27">
        <v>3846</v>
      </c>
      <c r="I27">
        <v>234.29459178370001</v>
      </c>
      <c r="J27">
        <v>630</v>
      </c>
      <c r="K27">
        <v>342.9650793651</v>
      </c>
      <c r="L27">
        <v>114</v>
      </c>
      <c r="M27">
        <v>143.01754385960001</v>
      </c>
      <c r="N27">
        <v>184</v>
      </c>
      <c r="O27">
        <v>245.45108695650001</v>
      </c>
      <c r="R27">
        <v>5</v>
      </c>
      <c r="S27">
        <v>180.8</v>
      </c>
      <c r="V27" t="s">
        <v>80</v>
      </c>
      <c r="W27">
        <v>5269</v>
      </c>
      <c r="X27">
        <v>4016</v>
      </c>
      <c r="Y27">
        <v>280.69845617530001</v>
      </c>
      <c r="Z27">
        <v>669</v>
      </c>
      <c r="AA27">
        <v>401.61584454410001</v>
      </c>
      <c r="AB27">
        <v>799</v>
      </c>
      <c r="AC27">
        <v>378.43304130159999</v>
      </c>
      <c r="AD27">
        <v>292</v>
      </c>
      <c r="AE27">
        <v>449.52397260269998</v>
      </c>
      <c r="AF27">
        <v>152</v>
      </c>
      <c r="AG27">
        <v>157.63157894739999</v>
      </c>
      <c r="AH27">
        <v>10</v>
      </c>
      <c r="AI27">
        <v>228.1</v>
      </c>
      <c r="AL27" t="s">
        <v>80</v>
      </c>
      <c r="AM27">
        <v>85</v>
      </c>
      <c r="AN27">
        <v>63</v>
      </c>
      <c r="AO27">
        <v>179.2222222222</v>
      </c>
      <c r="AP27">
        <v>29</v>
      </c>
      <c r="AQ27">
        <v>316.4827586207</v>
      </c>
      <c r="AR27">
        <v>19</v>
      </c>
      <c r="AS27">
        <v>134.8947368421</v>
      </c>
      <c r="AT27">
        <v>3</v>
      </c>
      <c r="AU27">
        <v>166</v>
      </c>
    </row>
    <row r="28" spans="6:49" x14ac:dyDescent="0.2">
      <c r="F28" t="s">
        <v>31</v>
      </c>
      <c r="G28">
        <v>1693</v>
      </c>
      <c r="H28">
        <v>1287</v>
      </c>
      <c r="I28">
        <v>279.87101787099999</v>
      </c>
      <c r="J28">
        <v>217</v>
      </c>
      <c r="K28">
        <v>447.59907834099999</v>
      </c>
      <c r="L28">
        <v>328</v>
      </c>
      <c r="M28">
        <v>270.24695121949998</v>
      </c>
      <c r="N28">
        <v>77</v>
      </c>
      <c r="O28">
        <v>285.20779220780003</v>
      </c>
      <c r="R28">
        <v>1</v>
      </c>
      <c r="S28">
        <v>232</v>
      </c>
      <c r="V28" t="s">
        <v>405</v>
      </c>
      <c r="W28">
        <v>44075</v>
      </c>
      <c r="X28">
        <v>33327</v>
      </c>
      <c r="Y28">
        <v>335.22666306600001</v>
      </c>
      <c r="Z28">
        <v>4084</v>
      </c>
      <c r="AA28">
        <v>460.90230166499998</v>
      </c>
      <c r="AB28">
        <v>6802</v>
      </c>
      <c r="AC28">
        <v>486.64892678619998</v>
      </c>
      <c r="AD28">
        <v>2440</v>
      </c>
      <c r="AE28">
        <v>481.54713114750001</v>
      </c>
      <c r="AF28">
        <v>1442</v>
      </c>
      <c r="AG28">
        <v>169.93203883499999</v>
      </c>
      <c r="AH28">
        <v>64</v>
      </c>
      <c r="AI28">
        <v>421.390625</v>
      </c>
      <c r="AL28" t="s">
        <v>405</v>
      </c>
      <c r="AM28">
        <v>688</v>
      </c>
      <c r="AN28">
        <v>499</v>
      </c>
      <c r="AO28">
        <v>214.2945891784</v>
      </c>
      <c r="AP28">
        <v>267</v>
      </c>
      <c r="AQ28">
        <v>323.25468164789999</v>
      </c>
      <c r="AR28">
        <v>164</v>
      </c>
      <c r="AS28">
        <v>193.7987804878</v>
      </c>
      <c r="AT28">
        <v>25</v>
      </c>
      <c r="AU28">
        <v>217.52</v>
      </c>
    </row>
    <row r="29" spans="6:49" x14ac:dyDescent="0.2">
      <c r="F29" t="s">
        <v>52</v>
      </c>
      <c r="G29">
        <v>4932</v>
      </c>
      <c r="H29">
        <v>3804</v>
      </c>
      <c r="I29">
        <v>310.24684542590001</v>
      </c>
      <c r="J29">
        <v>617</v>
      </c>
      <c r="K29">
        <v>444.33873581850003</v>
      </c>
      <c r="L29">
        <v>838</v>
      </c>
      <c r="M29">
        <v>255.40811455849999</v>
      </c>
      <c r="N29">
        <v>289</v>
      </c>
      <c r="O29">
        <v>360.5224913495</v>
      </c>
      <c r="R29">
        <v>1</v>
      </c>
      <c r="S29">
        <v>50</v>
      </c>
      <c r="V29" t="s">
        <v>389</v>
      </c>
      <c r="W29">
        <v>10592</v>
      </c>
      <c r="X29">
        <v>5067</v>
      </c>
      <c r="Y29">
        <v>270.38136596919998</v>
      </c>
      <c r="Z29">
        <v>694</v>
      </c>
      <c r="AA29">
        <v>582.38472622480003</v>
      </c>
      <c r="AB29">
        <v>3733</v>
      </c>
      <c r="AC29">
        <v>704.343691401</v>
      </c>
      <c r="AD29">
        <v>1267</v>
      </c>
      <c r="AE29">
        <v>478.61137440760001</v>
      </c>
      <c r="AF29">
        <v>512</v>
      </c>
      <c r="AG29">
        <v>169.373046875</v>
      </c>
      <c r="AH29">
        <v>13</v>
      </c>
      <c r="AI29">
        <v>606.30769230769999</v>
      </c>
      <c r="AL29" t="s">
        <v>389</v>
      </c>
      <c r="AM29">
        <v>281</v>
      </c>
      <c r="AN29">
        <v>200</v>
      </c>
      <c r="AO29">
        <v>375.1</v>
      </c>
      <c r="AP29">
        <v>21</v>
      </c>
      <c r="AQ29">
        <v>451.42857142859998</v>
      </c>
      <c r="AR29">
        <v>72</v>
      </c>
      <c r="AS29">
        <v>435.56944444440001</v>
      </c>
      <c r="AT29">
        <v>9</v>
      </c>
      <c r="AU29">
        <v>150.8888888889</v>
      </c>
    </row>
    <row r="30" spans="6:49" x14ac:dyDescent="0.2">
      <c r="F30" t="s">
        <v>405</v>
      </c>
      <c r="G30">
        <v>43260</v>
      </c>
      <c r="H30">
        <v>33657</v>
      </c>
      <c r="I30">
        <v>331.46967941290001</v>
      </c>
      <c r="J30">
        <v>4238</v>
      </c>
      <c r="K30">
        <v>451.75318546480003</v>
      </c>
      <c r="L30">
        <v>6840</v>
      </c>
      <c r="M30">
        <v>482.40423976609998</v>
      </c>
      <c r="N30">
        <v>2697</v>
      </c>
      <c r="O30">
        <v>493.41490545049999</v>
      </c>
      <c r="R30">
        <v>66</v>
      </c>
      <c r="S30">
        <v>421.8181818182</v>
      </c>
      <c r="V30" t="s">
        <v>426</v>
      </c>
      <c r="W30">
        <v>31819</v>
      </c>
      <c r="X30">
        <v>27441</v>
      </c>
      <c r="Y30">
        <v>461.08444185280001</v>
      </c>
      <c r="Z30">
        <v>1541</v>
      </c>
      <c r="AA30">
        <v>730.02206359510001</v>
      </c>
      <c r="AB30">
        <v>1054</v>
      </c>
      <c r="AC30">
        <v>357.14231499049998</v>
      </c>
      <c r="AD30">
        <v>2297</v>
      </c>
      <c r="AE30">
        <v>328.72877666519997</v>
      </c>
      <c r="AF30">
        <v>1006</v>
      </c>
      <c r="AG30">
        <v>169.7872763419</v>
      </c>
      <c r="AH30">
        <v>21</v>
      </c>
      <c r="AI30">
        <v>299.38095238099999</v>
      </c>
      <c r="AL30" t="s">
        <v>426</v>
      </c>
      <c r="AM30">
        <v>533</v>
      </c>
      <c r="AN30">
        <v>433</v>
      </c>
      <c r="AO30">
        <v>290.93302540420001</v>
      </c>
      <c r="AP30">
        <v>117</v>
      </c>
      <c r="AQ30">
        <v>421.71794871790001</v>
      </c>
      <c r="AR30">
        <v>92</v>
      </c>
      <c r="AS30">
        <v>165.52173913039999</v>
      </c>
      <c r="AT30">
        <v>8</v>
      </c>
      <c r="AU30">
        <v>318</v>
      </c>
    </row>
    <row r="31" spans="6:49" x14ac:dyDescent="0.2">
      <c r="F31" t="s">
        <v>25</v>
      </c>
      <c r="G31">
        <v>18787</v>
      </c>
      <c r="H31">
        <v>16565</v>
      </c>
      <c r="I31">
        <v>538.89942650169996</v>
      </c>
      <c r="J31">
        <v>1021</v>
      </c>
      <c r="K31">
        <v>839.34476003919997</v>
      </c>
      <c r="L31">
        <v>1216</v>
      </c>
      <c r="M31">
        <v>449.89720394739999</v>
      </c>
      <c r="N31">
        <v>979</v>
      </c>
      <c r="O31">
        <v>361.00307377050001</v>
      </c>
      <c r="R31">
        <v>27</v>
      </c>
      <c r="S31">
        <v>240.1111111111</v>
      </c>
      <c r="V31" t="s">
        <v>382</v>
      </c>
      <c r="W31">
        <v>19401</v>
      </c>
      <c r="X31">
        <v>16504</v>
      </c>
      <c r="Y31">
        <v>536.44807319439997</v>
      </c>
      <c r="Z31">
        <v>1047</v>
      </c>
      <c r="AA31">
        <v>829.4202483286</v>
      </c>
      <c r="AB31">
        <v>1341</v>
      </c>
      <c r="AC31">
        <v>479.22371364650002</v>
      </c>
      <c r="AD31">
        <v>1033</v>
      </c>
      <c r="AE31">
        <v>364.51553398060003</v>
      </c>
      <c r="AF31">
        <v>496</v>
      </c>
      <c r="AG31">
        <v>164.53333333329999</v>
      </c>
      <c r="AH31">
        <v>27</v>
      </c>
      <c r="AI31">
        <v>240.1111111111</v>
      </c>
      <c r="AL31" t="s">
        <v>382</v>
      </c>
      <c r="AM31">
        <v>343</v>
      </c>
      <c r="AN31">
        <v>248</v>
      </c>
      <c r="AO31">
        <v>324.47177419349998</v>
      </c>
      <c r="AP31">
        <v>53</v>
      </c>
      <c r="AQ31">
        <v>462.358490566</v>
      </c>
      <c r="AR31">
        <v>76</v>
      </c>
      <c r="AS31">
        <v>178.57894736840001</v>
      </c>
      <c r="AT31">
        <v>19</v>
      </c>
      <c r="AU31">
        <v>304.26315789469999</v>
      </c>
    </row>
    <row r="32" spans="6:49" x14ac:dyDescent="0.2">
      <c r="F32" t="s">
        <v>39</v>
      </c>
      <c r="G32">
        <v>13140</v>
      </c>
      <c r="H32">
        <v>10484</v>
      </c>
      <c r="I32">
        <v>384.6306400839</v>
      </c>
      <c r="J32">
        <v>404</v>
      </c>
      <c r="K32">
        <v>699.80198019800002</v>
      </c>
      <c r="L32">
        <v>1712</v>
      </c>
      <c r="M32">
        <v>500.26635514020001</v>
      </c>
      <c r="N32">
        <v>921</v>
      </c>
      <c r="O32">
        <v>580.94571118349995</v>
      </c>
      <c r="R32">
        <v>23</v>
      </c>
      <c r="S32">
        <v>531.47826086960004</v>
      </c>
      <c r="V32" t="s">
        <v>394</v>
      </c>
      <c r="W32">
        <v>3358</v>
      </c>
      <c r="X32">
        <v>2109</v>
      </c>
      <c r="Y32">
        <v>456.56282598389998</v>
      </c>
      <c r="Z32">
        <v>384</v>
      </c>
      <c r="AA32">
        <v>440.8203125</v>
      </c>
      <c r="AB32">
        <v>613</v>
      </c>
      <c r="AC32">
        <v>528.94779771619994</v>
      </c>
      <c r="AD32">
        <v>501</v>
      </c>
      <c r="AE32">
        <v>613.47105788420004</v>
      </c>
      <c r="AF32">
        <v>128</v>
      </c>
      <c r="AG32">
        <v>157.6484375</v>
      </c>
      <c r="AH32">
        <v>7</v>
      </c>
      <c r="AI32">
        <v>698.28571428570001</v>
      </c>
      <c r="AL32" t="s">
        <v>394</v>
      </c>
      <c r="AM32">
        <v>119</v>
      </c>
      <c r="AN32">
        <v>90</v>
      </c>
      <c r="AO32">
        <v>471.07777777780001</v>
      </c>
      <c r="AP32">
        <v>8</v>
      </c>
      <c r="AQ32">
        <v>736.125</v>
      </c>
      <c r="AR32">
        <v>28</v>
      </c>
      <c r="AS32">
        <v>301.28571428570001</v>
      </c>
      <c r="AT32">
        <v>1</v>
      </c>
      <c r="AU32">
        <v>766</v>
      </c>
    </row>
    <row r="33" spans="6:49" x14ac:dyDescent="0.2">
      <c r="F33" t="s">
        <v>72</v>
      </c>
      <c r="G33">
        <v>5494</v>
      </c>
      <c r="H33">
        <v>2637</v>
      </c>
      <c r="I33">
        <v>362.6703338392</v>
      </c>
      <c r="J33">
        <v>470</v>
      </c>
      <c r="K33">
        <v>598.06595744679998</v>
      </c>
      <c r="L33">
        <v>1864</v>
      </c>
      <c r="M33">
        <v>685.98444206010004</v>
      </c>
      <c r="N33">
        <v>985</v>
      </c>
      <c r="O33">
        <v>925.77664974619995</v>
      </c>
      <c r="R33">
        <v>8</v>
      </c>
      <c r="S33">
        <v>580</v>
      </c>
      <c r="V33" t="s">
        <v>385</v>
      </c>
      <c r="W33">
        <v>7205</v>
      </c>
      <c r="X33">
        <v>4535</v>
      </c>
      <c r="Y33">
        <v>285.5733186329</v>
      </c>
      <c r="Z33">
        <v>487</v>
      </c>
      <c r="AA33">
        <v>549.44558521559998</v>
      </c>
      <c r="AB33">
        <v>1528</v>
      </c>
      <c r="AC33">
        <v>357.13089005239999</v>
      </c>
      <c r="AD33">
        <v>764</v>
      </c>
      <c r="AE33">
        <v>451.44764397910001</v>
      </c>
      <c r="AF33">
        <v>368</v>
      </c>
      <c r="AG33">
        <v>180.08695652169999</v>
      </c>
      <c r="AH33">
        <v>10</v>
      </c>
      <c r="AI33">
        <v>607</v>
      </c>
      <c r="AL33" t="s">
        <v>385</v>
      </c>
      <c r="AM33">
        <v>256</v>
      </c>
      <c r="AN33">
        <v>196</v>
      </c>
      <c r="AO33">
        <v>307.98979591839998</v>
      </c>
      <c r="AP33">
        <v>14</v>
      </c>
      <c r="AQ33">
        <v>423.5</v>
      </c>
      <c r="AR33">
        <v>52</v>
      </c>
      <c r="AS33">
        <v>317.59615384620002</v>
      </c>
      <c r="AT33">
        <v>8</v>
      </c>
      <c r="AU33">
        <v>482.75</v>
      </c>
    </row>
    <row r="34" spans="6:49" x14ac:dyDescent="0.2">
      <c r="F34" t="s">
        <v>58</v>
      </c>
      <c r="G34">
        <v>6583</v>
      </c>
      <c r="H34">
        <v>4369</v>
      </c>
      <c r="I34">
        <v>268.09246967270002</v>
      </c>
      <c r="J34">
        <v>466</v>
      </c>
      <c r="K34">
        <v>528.41201716739999</v>
      </c>
      <c r="L34">
        <v>1444</v>
      </c>
      <c r="M34">
        <v>320.82756232690002</v>
      </c>
      <c r="N34">
        <v>759</v>
      </c>
      <c r="O34">
        <v>444.5177865613</v>
      </c>
      <c r="R34">
        <v>11</v>
      </c>
      <c r="S34">
        <v>561.18181818180005</v>
      </c>
      <c r="V34" t="s">
        <v>428</v>
      </c>
      <c r="W34">
        <v>5667</v>
      </c>
      <c r="X34">
        <v>2590</v>
      </c>
      <c r="Y34">
        <v>360.3777520278</v>
      </c>
      <c r="Z34">
        <v>454</v>
      </c>
      <c r="AA34">
        <v>585.38766519820001</v>
      </c>
      <c r="AB34">
        <v>1840</v>
      </c>
      <c r="AC34">
        <v>682.3934782609</v>
      </c>
      <c r="AD34">
        <v>959</v>
      </c>
      <c r="AE34">
        <v>919.02711157459999</v>
      </c>
      <c r="AF34">
        <v>271</v>
      </c>
      <c r="AG34">
        <v>170.38745387450001</v>
      </c>
      <c r="AH34">
        <v>7</v>
      </c>
      <c r="AI34">
        <v>652.28571428570001</v>
      </c>
      <c r="AL34" t="s">
        <v>428</v>
      </c>
      <c r="AM34">
        <v>97</v>
      </c>
      <c r="AN34">
        <v>63</v>
      </c>
      <c r="AO34">
        <v>286.53968253969998</v>
      </c>
      <c r="AP34">
        <v>17</v>
      </c>
      <c r="AQ34">
        <v>473.29411764709999</v>
      </c>
      <c r="AR34">
        <v>25</v>
      </c>
      <c r="AS34">
        <v>152.52000000000001</v>
      </c>
      <c r="AT34">
        <v>9</v>
      </c>
      <c r="AU34">
        <v>210.2222222222</v>
      </c>
    </row>
    <row r="35" spans="6:49" x14ac:dyDescent="0.2">
      <c r="F35" t="s">
        <v>53</v>
      </c>
      <c r="G35">
        <v>4826</v>
      </c>
      <c r="H35">
        <v>3173</v>
      </c>
      <c r="I35">
        <v>493.90545225339997</v>
      </c>
      <c r="J35">
        <v>548</v>
      </c>
      <c r="K35">
        <v>502.53284671530002</v>
      </c>
      <c r="L35">
        <v>932</v>
      </c>
      <c r="M35">
        <v>529.97424892699996</v>
      </c>
      <c r="N35">
        <v>714</v>
      </c>
      <c r="O35">
        <v>606.6960784314</v>
      </c>
      <c r="R35">
        <v>7</v>
      </c>
      <c r="S35">
        <v>698.28571428570001</v>
      </c>
      <c r="V35" t="s">
        <v>384</v>
      </c>
      <c r="W35">
        <v>13437</v>
      </c>
      <c r="X35">
        <v>10410</v>
      </c>
      <c r="Y35">
        <v>386.71390143150001</v>
      </c>
      <c r="Z35">
        <v>435</v>
      </c>
      <c r="AA35">
        <v>686.21149425290002</v>
      </c>
      <c r="AB35">
        <v>1750</v>
      </c>
      <c r="AC35">
        <v>502.11142857139998</v>
      </c>
      <c r="AD35">
        <v>920</v>
      </c>
      <c r="AE35">
        <v>576.88695652169997</v>
      </c>
      <c r="AF35">
        <v>334</v>
      </c>
      <c r="AG35">
        <v>176.95795795800001</v>
      </c>
      <c r="AH35">
        <v>23</v>
      </c>
      <c r="AI35">
        <v>531.47826086960004</v>
      </c>
      <c r="AL35" t="s">
        <v>384</v>
      </c>
      <c r="AM35">
        <v>160</v>
      </c>
      <c r="AN35">
        <v>127</v>
      </c>
      <c r="AO35">
        <v>276.51968503939997</v>
      </c>
      <c r="AP35">
        <v>37</v>
      </c>
      <c r="AQ35">
        <v>456.54054054049999</v>
      </c>
      <c r="AR35">
        <v>27</v>
      </c>
      <c r="AS35">
        <v>186.4814814815</v>
      </c>
      <c r="AT35">
        <v>6</v>
      </c>
      <c r="AU35">
        <v>164.1666666667</v>
      </c>
    </row>
    <row r="36" spans="6:49" x14ac:dyDescent="0.2">
      <c r="F36" t="s">
        <v>57</v>
      </c>
      <c r="G36">
        <v>10070</v>
      </c>
      <c r="H36">
        <v>4978</v>
      </c>
      <c r="I36">
        <v>261.13944143060002</v>
      </c>
      <c r="J36">
        <v>698</v>
      </c>
      <c r="K36">
        <v>578.47707736389998</v>
      </c>
      <c r="L36">
        <v>3795</v>
      </c>
      <c r="M36">
        <v>705.48590250330005</v>
      </c>
      <c r="N36">
        <v>1284</v>
      </c>
      <c r="O36">
        <v>475.40841777079999</v>
      </c>
      <c r="R36">
        <v>13</v>
      </c>
      <c r="S36">
        <v>606.30769230769999</v>
      </c>
      <c r="V36" t="s">
        <v>381</v>
      </c>
      <c r="W36">
        <v>91479</v>
      </c>
      <c r="X36">
        <v>68656</v>
      </c>
      <c r="Y36">
        <v>438.32247163189999</v>
      </c>
      <c r="Z36">
        <v>5042</v>
      </c>
      <c r="AA36">
        <v>674.07080523599996</v>
      </c>
      <c r="AB36">
        <v>11859</v>
      </c>
      <c r="AC36">
        <v>560.97664221269997</v>
      </c>
      <c r="AD36">
        <v>7741</v>
      </c>
      <c r="AE36">
        <v>491.24996768770001</v>
      </c>
      <c r="AF36">
        <v>3115</v>
      </c>
      <c r="AG36">
        <v>170.4214584003</v>
      </c>
      <c r="AH36">
        <v>108</v>
      </c>
      <c r="AI36">
        <v>448.14814814810001</v>
      </c>
      <c r="AL36" t="s">
        <v>381</v>
      </c>
      <c r="AM36">
        <v>1789</v>
      </c>
      <c r="AN36">
        <v>1357</v>
      </c>
      <c r="AO36">
        <v>322.32571849670001</v>
      </c>
      <c r="AP36">
        <v>267</v>
      </c>
      <c r="AQ36">
        <v>449.74531835210001</v>
      </c>
      <c r="AR36">
        <v>372</v>
      </c>
      <c r="AS36">
        <v>252.5806451613</v>
      </c>
      <c r="AT36">
        <v>60</v>
      </c>
      <c r="AU36">
        <v>286.46666666670001</v>
      </c>
    </row>
    <row r="37" spans="6:49" x14ac:dyDescent="0.2">
      <c r="F37" t="s">
        <v>77</v>
      </c>
      <c r="G37">
        <v>30855</v>
      </c>
      <c r="H37">
        <v>27820</v>
      </c>
      <c r="I37">
        <v>461.05561147460003</v>
      </c>
      <c r="J37">
        <v>1493</v>
      </c>
      <c r="K37">
        <v>736.89149363700005</v>
      </c>
      <c r="L37">
        <v>789</v>
      </c>
      <c r="M37">
        <v>270.68567807350001</v>
      </c>
      <c r="N37">
        <v>2227</v>
      </c>
      <c r="O37">
        <v>311.20655590479998</v>
      </c>
      <c r="R37">
        <v>19</v>
      </c>
      <c r="S37">
        <v>270.2105263158</v>
      </c>
      <c r="V37" t="s">
        <v>407</v>
      </c>
      <c r="W37">
        <v>573</v>
      </c>
      <c r="X37">
        <v>280</v>
      </c>
      <c r="Y37">
        <v>143.53571428570001</v>
      </c>
      <c r="Z37">
        <v>243</v>
      </c>
      <c r="AA37">
        <v>206.83127572020001</v>
      </c>
      <c r="AB37">
        <v>128</v>
      </c>
      <c r="AC37">
        <v>157.4375</v>
      </c>
      <c r="AD37">
        <v>108</v>
      </c>
      <c r="AE37">
        <v>226.462962963</v>
      </c>
      <c r="AF37">
        <v>53</v>
      </c>
      <c r="AG37">
        <v>180.92452830190001</v>
      </c>
      <c r="AH37">
        <v>4</v>
      </c>
      <c r="AI37">
        <v>421.5</v>
      </c>
      <c r="AL37" t="s">
        <v>407</v>
      </c>
      <c r="AM37">
        <v>18</v>
      </c>
      <c r="AN37">
        <v>11</v>
      </c>
      <c r="AO37">
        <v>72.363636363599994</v>
      </c>
      <c r="AP37">
        <v>10</v>
      </c>
      <c r="AQ37">
        <v>200.1</v>
      </c>
      <c r="AR37">
        <v>6</v>
      </c>
      <c r="AS37">
        <v>226.3333333333</v>
      </c>
      <c r="AT37">
        <v>1</v>
      </c>
      <c r="AU37">
        <v>110</v>
      </c>
    </row>
    <row r="38" spans="6:49" x14ac:dyDescent="0.2">
      <c r="F38" t="s">
        <v>381</v>
      </c>
      <c r="G38">
        <v>89755</v>
      </c>
      <c r="H38">
        <v>70026</v>
      </c>
      <c r="I38">
        <v>439.56448779649998</v>
      </c>
      <c r="J38">
        <v>5100</v>
      </c>
      <c r="K38">
        <v>675.75803921570002</v>
      </c>
      <c r="L38">
        <v>11752</v>
      </c>
      <c r="M38">
        <v>555.67622532329995</v>
      </c>
      <c r="N38">
        <v>7869</v>
      </c>
      <c r="O38">
        <v>492.41652892560001</v>
      </c>
      <c r="R38">
        <v>108</v>
      </c>
      <c r="S38">
        <v>439.1111111111</v>
      </c>
      <c r="V38" t="s">
        <v>411</v>
      </c>
      <c r="W38">
        <v>42081</v>
      </c>
      <c r="X38">
        <v>30090</v>
      </c>
      <c r="Y38">
        <v>459.21631771350002</v>
      </c>
      <c r="Z38">
        <v>2120</v>
      </c>
      <c r="AA38">
        <v>680.04952830189995</v>
      </c>
      <c r="AB38">
        <v>8523</v>
      </c>
      <c r="AC38">
        <v>714.07649888540004</v>
      </c>
      <c r="AD38">
        <v>2190</v>
      </c>
      <c r="AE38">
        <v>538.13482632540001</v>
      </c>
      <c r="AF38">
        <v>1192</v>
      </c>
      <c r="AG38">
        <v>178.96812080539999</v>
      </c>
      <c r="AH38">
        <v>86</v>
      </c>
      <c r="AI38">
        <v>538.37209302329995</v>
      </c>
      <c r="AL38" t="s">
        <v>411</v>
      </c>
      <c r="AM38">
        <v>476</v>
      </c>
      <c r="AN38">
        <v>321</v>
      </c>
      <c r="AO38">
        <v>301.07165109030001</v>
      </c>
      <c r="AP38">
        <v>192</v>
      </c>
      <c r="AQ38">
        <v>442.8177083333</v>
      </c>
      <c r="AR38">
        <v>143</v>
      </c>
      <c r="AS38">
        <v>289.83916083920002</v>
      </c>
      <c r="AT38">
        <v>12</v>
      </c>
      <c r="AU38">
        <v>350.0833333333</v>
      </c>
    </row>
    <row r="39" spans="6:49" x14ac:dyDescent="0.2">
      <c r="F39" t="s">
        <v>79</v>
      </c>
      <c r="G39">
        <v>19810</v>
      </c>
      <c r="H39">
        <v>15217</v>
      </c>
      <c r="I39">
        <v>408.5905237563</v>
      </c>
      <c r="J39">
        <v>1132</v>
      </c>
      <c r="K39">
        <v>663.95053003529995</v>
      </c>
      <c r="L39">
        <v>3621</v>
      </c>
      <c r="M39">
        <v>743.1176470588</v>
      </c>
      <c r="N39">
        <v>914</v>
      </c>
      <c r="O39">
        <v>455.09518599559999</v>
      </c>
      <c r="R39">
        <v>58</v>
      </c>
      <c r="S39">
        <v>515.06896551720001</v>
      </c>
      <c r="V39" t="s">
        <v>419</v>
      </c>
      <c r="W39">
        <v>409</v>
      </c>
      <c r="X39">
        <v>217</v>
      </c>
      <c r="Y39">
        <v>174.3548387097</v>
      </c>
      <c r="Z39">
        <v>104</v>
      </c>
      <c r="AA39">
        <v>234.06730769230001</v>
      </c>
      <c r="AB39">
        <v>108</v>
      </c>
      <c r="AC39">
        <v>288.0648148148</v>
      </c>
      <c r="AD39">
        <v>60</v>
      </c>
      <c r="AE39">
        <v>456.38333333330002</v>
      </c>
      <c r="AF39">
        <v>22</v>
      </c>
      <c r="AG39">
        <v>307.04545454549998</v>
      </c>
      <c r="AH39">
        <v>2</v>
      </c>
      <c r="AI39">
        <v>597.5</v>
      </c>
      <c r="AL39" t="s">
        <v>419</v>
      </c>
      <c r="AM39">
        <v>4</v>
      </c>
      <c r="AN39">
        <v>4</v>
      </c>
      <c r="AO39">
        <v>216.75</v>
      </c>
      <c r="AP39">
        <v>4</v>
      </c>
      <c r="AQ39">
        <v>273.25</v>
      </c>
    </row>
    <row r="40" spans="6:49" x14ac:dyDescent="0.2">
      <c r="F40" t="s">
        <v>40</v>
      </c>
      <c r="G40">
        <v>6440</v>
      </c>
      <c r="H40">
        <v>3753</v>
      </c>
      <c r="I40">
        <v>270.71009858780002</v>
      </c>
      <c r="J40">
        <v>254</v>
      </c>
      <c r="K40">
        <v>520.98425196849996</v>
      </c>
      <c r="L40">
        <v>2305</v>
      </c>
      <c r="M40">
        <v>765.14056399130004</v>
      </c>
      <c r="N40">
        <v>362</v>
      </c>
      <c r="O40">
        <v>398.908839779</v>
      </c>
      <c r="R40">
        <v>20</v>
      </c>
      <c r="S40">
        <v>359.4</v>
      </c>
      <c r="V40" t="s">
        <v>422</v>
      </c>
      <c r="W40">
        <v>265</v>
      </c>
      <c r="X40">
        <v>165</v>
      </c>
      <c r="Y40">
        <v>266.39999999999998</v>
      </c>
      <c r="Z40">
        <v>51</v>
      </c>
      <c r="AA40">
        <v>361.6470588235</v>
      </c>
      <c r="AB40">
        <v>51</v>
      </c>
      <c r="AC40">
        <v>408.3333333333</v>
      </c>
      <c r="AD40">
        <v>27</v>
      </c>
      <c r="AE40">
        <v>344.74074074070001</v>
      </c>
      <c r="AF40">
        <v>21</v>
      </c>
      <c r="AG40">
        <v>204.42857142860001</v>
      </c>
      <c r="AH40">
        <v>1</v>
      </c>
      <c r="AI40">
        <v>397</v>
      </c>
      <c r="AL40" t="s">
        <v>422</v>
      </c>
      <c r="AM40">
        <v>6</v>
      </c>
      <c r="AN40">
        <v>2</v>
      </c>
      <c r="AO40">
        <v>565.5</v>
      </c>
      <c r="AR40">
        <v>4</v>
      </c>
      <c r="AS40">
        <v>205</v>
      </c>
    </row>
    <row r="41" spans="6:49" x14ac:dyDescent="0.2">
      <c r="F41" t="s">
        <v>46</v>
      </c>
      <c r="G41">
        <v>20571</v>
      </c>
      <c r="H41">
        <v>14433</v>
      </c>
      <c r="I41">
        <v>523.68299611969996</v>
      </c>
      <c r="J41">
        <v>980</v>
      </c>
      <c r="K41">
        <v>721.90408163270001</v>
      </c>
      <c r="L41">
        <v>4864</v>
      </c>
      <c r="M41">
        <v>703.55263157889999</v>
      </c>
      <c r="N41">
        <v>1246</v>
      </c>
      <c r="O41">
        <v>611.85691318329998</v>
      </c>
      <c r="R41">
        <v>28</v>
      </c>
      <c r="S41">
        <v>574.28571428570001</v>
      </c>
      <c r="V41" t="s">
        <v>412</v>
      </c>
      <c r="W41">
        <v>5356</v>
      </c>
      <c r="X41">
        <v>4102</v>
      </c>
      <c r="Y41">
        <v>468.70014627009999</v>
      </c>
      <c r="Z41">
        <v>261</v>
      </c>
      <c r="AA41">
        <v>896.26819923369999</v>
      </c>
      <c r="AB41">
        <v>602</v>
      </c>
      <c r="AC41">
        <v>277.12624584719998</v>
      </c>
      <c r="AD41">
        <v>476</v>
      </c>
      <c r="AE41">
        <v>564.03571428570001</v>
      </c>
      <c r="AF41">
        <v>173</v>
      </c>
      <c r="AG41">
        <v>206.67052023119999</v>
      </c>
      <c r="AH41">
        <v>3</v>
      </c>
      <c r="AI41">
        <v>240</v>
      </c>
      <c r="AL41" t="s">
        <v>412</v>
      </c>
      <c r="AM41">
        <v>154</v>
      </c>
      <c r="AN41">
        <v>115</v>
      </c>
      <c r="AO41">
        <v>397.84347826089999</v>
      </c>
      <c r="AP41">
        <v>18</v>
      </c>
      <c r="AQ41">
        <v>684.7222222222</v>
      </c>
      <c r="AR41">
        <v>36</v>
      </c>
      <c r="AS41">
        <v>296.25</v>
      </c>
      <c r="AT41">
        <v>3</v>
      </c>
      <c r="AU41">
        <v>703.66666666670005</v>
      </c>
    </row>
    <row r="42" spans="6:49" x14ac:dyDescent="0.2">
      <c r="F42" t="s">
        <v>49</v>
      </c>
      <c r="G42">
        <v>4662</v>
      </c>
      <c r="H42">
        <v>3118</v>
      </c>
      <c r="I42">
        <v>312.89865298270001</v>
      </c>
      <c r="J42">
        <v>301</v>
      </c>
      <c r="K42">
        <v>553.21926910299999</v>
      </c>
      <c r="L42">
        <v>1049</v>
      </c>
      <c r="M42">
        <v>377.51382268830002</v>
      </c>
      <c r="N42">
        <v>486</v>
      </c>
      <c r="O42">
        <v>576.66666666670005</v>
      </c>
      <c r="R42">
        <v>9</v>
      </c>
      <c r="S42">
        <v>640</v>
      </c>
      <c r="V42" t="s">
        <v>404</v>
      </c>
      <c r="W42">
        <v>6590</v>
      </c>
      <c r="X42">
        <v>3771</v>
      </c>
      <c r="Y42">
        <v>278.0973216653</v>
      </c>
      <c r="Z42">
        <v>237</v>
      </c>
      <c r="AA42">
        <v>527.2109704641</v>
      </c>
      <c r="AB42">
        <v>2203</v>
      </c>
      <c r="AC42">
        <v>752.51611438949999</v>
      </c>
      <c r="AD42">
        <v>359</v>
      </c>
      <c r="AE42">
        <v>421.48467966570001</v>
      </c>
      <c r="AF42">
        <v>239</v>
      </c>
      <c r="AG42">
        <v>181.07949790789999</v>
      </c>
      <c r="AH42">
        <v>18</v>
      </c>
      <c r="AI42">
        <v>373.94444444440001</v>
      </c>
      <c r="AL42" t="s">
        <v>404</v>
      </c>
      <c r="AM42">
        <v>90</v>
      </c>
      <c r="AN42">
        <v>62</v>
      </c>
      <c r="AO42">
        <v>243.17741935480001</v>
      </c>
      <c r="AP42">
        <v>20</v>
      </c>
      <c r="AQ42">
        <v>251.35</v>
      </c>
      <c r="AR42">
        <v>24</v>
      </c>
      <c r="AS42">
        <v>425.9583333333</v>
      </c>
      <c r="AT42">
        <v>4</v>
      </c>
      <c r="AU42">
        <v>295.25</v>
      </c>
    </row>
    <row r="43" spans="6:49" x14ac:dyDescent="0.2">
      <c r="F43" t="s">
        <v>36</v>
      </c>
      <c r="G43">
        <v>205</v>
      </c>
      <c r="H43">
        <v>139</v>
      </c>
      <c r="I43">
        <v>258.63309352520002</v>
      </c>
      <c r="J43">
        <v>56</v>
      </c>
      <c r="K43">
        <v>382.23214285709997</v>
      </c>
      <c r="L43">
        <v>37</v>
      </c>
      <c r="M43">
        <v>289.35135135140001</v>
      </c>
      <c r="N43">
        <v>29</v>
      </c>
      <c r="O43">
        <v>318.24137931029998</v>
      </c>
      <c r="V43" t="s">
        <v>413</v>
      </c>
      <c r="W43">
        <v>4586</v>
      </c>
      <c r="X43">
        <v>3001</v>
      </c>
      <c r="Y43">
        <v>202.63245584809999</v>
      </c>
      <c r="Z43">
        <v>581</v>
      </c>
      <c r="AA43">
        <v>332.95180722890001</v>
      </c>
      <c r="AB43">
        <v>898</v>
      </c>
      <c r="AC43">
        <v>247.61804008909999</v>
      </c>
      <c r="AD43">
        <v>434</v>
      </c>
      <c r="AE43">
        <v>302.23271889400002</v>
      </c>
      <c r="AF43">
        <v>249</v>
      </c>
      <c r="AG43">
        <v>181.06827309240001</v>
      </c>
      <c r="AH43">
        <v>4</v>
      </c>
      <c r="AI43">
        <v>189.25</v>
      </c>
      <c r="AL43" t="s">
        <v>413</v>
      </c>
      <c r="AM43">
        <v>100</v>
      </c>
      <c r="AN43">
        <v>70</v>
      </c>
      <c r="AO43">
        <v>155</v>
      </c>
      <c r="AP43">
        <v>39</v>
      </c>
      <c r="AQ43">
        <v>235.07692307689999</v>
      </c>
      <c r="AR43">
        <v>25</v>
      </c>
      <c r="AS43">
        <v>138.56</v>
      </c>
      <c r="AT43">
        <v>4</v>
      </c>
      <c r="AU43">
        <v>335</v>
      </c>
      <c r="AV43">
        <v>1</v>
      </c>
      <c r="AW43">
        <v>241</v>
      </c>
    </row>
    <row r="44" spans="6:49" x14ac:dyDescent="0.2">
      <c r="F44" t="s">
        <v>27</v>
      </c>
      <c r="G44">
        <v>4218</v>
      </c>
      <c r="H44">
        <v>2902</v>
      </c>
      <c r="I44">
        <v>192.33115093040001</v>
      </c>
      <c r="J44">
        <v>575</v>
      </c>
      <c r="K44">
        <v>330.52869565219999</v>
      </c>
      <c r="L44">
        <v>865</v>
      </c>
      <c r="M44">
        <v>231.43236994220001</v>
      </c>
      <c r="N44">
        <v>447</v>
      </c>
      <c r="O44">
        <v>296.22818791949999</v>
      </c>
      <c r="R44">
        <v>4</v>
      </c>
      <c r="S44">
        <v>189.25</v>
      </c>
      <c r="V44" t="s">
        <v>388</v>
      </c>
      <c r="W44">
        <v>6050</v>
      </c>
      <c r="X44">
        <v>4916</v>
      </c>
      <c r="Y44">
        <v>449.81956875510002</v>
      </c>
      <c r="Z44">
        <v>271</v>
      </c>
      <c r="AA44">
        <v>735.14760147599998</v>
      </c>
      <c r="AB44">
        <v>571</v>
      </c>
      <c r="AC44">
        <v>401.83362521890001</v>
      </c>
      <c r="AD44">
        <v>357</v>
      </c>
      <c r="AE44">
        <v>426.56022408960001</v>
      </c>
      <c r="AF44">
        <v>186</v>
      </c>
      <c r="AG44">
        <v>180.4193548387</v>
      </c>
      <c r="AH44">
        <v>20</v>
      </c>
      <c r="AI44">
        <v>372.9</v>
      </c>
      <c r="AL44" t="s">
        <v>388</v>
      </c>
      <c r="AM44">
        <v>199</v>
      </c>
      <c r="AN44">
        <v>151</v>
      </c>
      <c r="AO44">
        <v>394.73509933769998</v>
      </c>
      <c r="AP44">
        <v>10</v>
      </c>
      <c r="AQ44">
        <v>738.8</v>
      </c>
      <c r="AR44">
        <v>46</v>
      </c>
      <c r="AS44">
        <v>281.10869565220003</v>
      </c>
      <c r="AT44">
        <v>2</v>
      </c>
      <c r="AU44">
        <v>111.5</v>
      </c>
    </row>
    <row r="45" spans="6:49" x14ac:dyDescent="0.2">
      <c r="F45" t="s">
        <v>51</v>
      </c>
      <c r="G45">
        <v>5319</v>
      </c>
      <c r="H45">
        <v>4230</v>
      </c>
      <c r="I45">
        <v>471.8321513002</v>
      </c>
      <c r="J45">
        <v>264</v>
      </c>
      <c r="K45">
        <v>926.92045454549998</v>
      </c>
      <c r="L45">
        <v>599</v>
      </c>
      <c r="M45">
        <v>255.51085141900001</v>
      </c>
      <c r="N45">
        <v>486</v>
      </c>
      <c r="O45">
        <v>584.27160493830002</v>
      </c>
      <c r="R45">
        <v>4</v>
      </c>
      <c r="S45">
        <v>309</v>
      </c>
      <c r="V45" t="s">
        <v>390</v>
      </c>
      <c r="W45">
        <v>4921</v>
      </c>
      <c r="X45">
        <v>3183</v>
      </c>
      <c r="Y45">
        <v>321.1354068489</v>
      </c>
      <c r="Z45">
        <v>310</v>
      </c>
      <c r="AA45">
        <v>556.14516129030005</v>
      </c>
      <c r="AB45">
        <v>1087</v>
      </c>
      <c r="AC45">
        <v>393.36982520700002</v>
      </c>
      <c r="AD45">
        <v>494</v>
      </c>
      <c r="AE45">
        <v>581.44534412960002</v>
      </c>
      <c r="AF45">
        <v>148</v>
      </c>
      <c r="AG45">
        <v>238.81081081080001</v>
      </c>
      <c r="AH45">
        <v>9</v>
      </c>
      <c r="AI45">
        <v>640</v>
      </c>
      <c r="AL45" t="s">
        <v>390</v>
      </c>
      <c r="AM45">
        <v>169</v>
      </c>
      <c r="AN45">
        <v>122</v>
      </c>
      <c r="AO45">
        <v>328.40163934430001</v>
      </c>
      <c r="AP45">
        <v>9</v>
      </c>
      <c r="AQ45">
        <v>387.6666666667</v>
      </c>
      <c r="AR45">
        <v>45</v>
      </c>
      <c r="AS45">
        <v>423.37777777780002</v>
      </c>
      <c r="AT45">
        <v>2</v>
      </c>
      <c r="AU45">
        <v>492.5</v>
      </c>
    </row>
    <row r="46" spans="6:49" x14ac:dyDescent="0.2">
      <c r="F46" t="s">
        <v>59</v>
      </c>
      <c r="G46">
        <v>5864</v>
      </c>
      <c r="H46">
        <v>4924</v>
      </c>
      <c r="I46">
        <v>453.14764419170001</v>
      </c>
      <c r="J46">
        <v>255</v>
      </c>
      <c r="K46">
        <v>739.16078431369999</v>
      </c>
      <c r="L46">
        <v>562</v>
      </c>
      <c r="M46">
        <v>378.32028469750003</v>
      </c>
      <c r="N46">
        <v>359</v>
      </c>
      <c r="O46">
        <v>436.01114206130001</v>
      </c>
      <c r="R46">
        <v>19</v>
      </c>
      <c r="S46">
        <v>381.57894736840001</v>
      </c>
      <c r="V46" t="s">
        <v>386</v>
      </c>
      <c r="W46">
        <v>70831</v>
      </c>
      <c r="X46">
        <v>49725</v>
      </c>
      <c r="Y46">
        <v>417.34942181999998</v>
      </c>
      <c r="Z46">
        <v>4178</v>
      </c>
      <c r="AA46">
        <v>588.48779320250003</v>
      </c>
      <c r="AB46">
        <v>14171</v>
      </c>
      <c r="AC46">
        <v>625.37477947920001</v>
      </c>
      <c r="AD46">
        <v>4505</v>
      </c>
      <c r="AE46">
        <v>495.01821008220003</v>
      </c>
      <c r="AF46">
        <v>2283</v>
      </c>
      <c r="AG46">
        <v>187.0289093298</v>
      </c>
      <c r="AH46">
        <v>147</v>
      </c>
      <c r="AI46">
        <v>483.02040816329998</v>
      </c>
      <c r="AL46" t="s">
        <v>386</v>
      </c>
      <c r="AM46">
        <v>1216</v>
      </c>
      <c r="AN46">
        <v>858</v>
      </c>
      <c r="AO46">
        <v>315.60256410260001</v>
      </c>
      <c r="AP46">
        <v>302</v>
      </c>
      <c r="AQ46">
        <v>415.60264900660002</v>
      </c>
      <c r="AR46">
        <v>329</v>
      </c>
      <c r="AS46">
        <v>303.82978723399998</v>
      </c>
      <c r="AT46">
        <v>28</v>
      </c>
      <c r="AU46">
        <v>362.53571428570001</v>
      </c>
      <c r="AV46">
        <v>1</v>
      </c>
      <c r="AW46">
        <v>241</v>
      </c>
    </row>
    <row r="47" spans="6:49" x14ac:dyDescent="0.2">
      <c r="F47" t="s">
        <v>181</v>
      </c>
      <c r="G47">
        <v>316</v>
      </c>
      <c r="H47">
        <v>167</v>
      </c>
      <c r="I47">
        <v>100.0179640719</v>
      </c>
      <c r="J47">
        <v>98</v>
      </c>
      <c r="K47">
        <v>210.42857142860001</v>
      </c>
      <c r="L47">
        <v>90</v>
      </c>
      <c r="M47">
        <v>254.31111111109999</v>
      </c>
      <c r="N47">
        <v>57</v>
      </c>
      <c r="O47">
        <v>452.87719298249999</v>
      </c>
      <c r="R47">
        <v>2</v>
      </c>
      <c r="S47">
        <v>597.5</v>
      </c>
      <c r="V47" t="s">
        <v>417</v>
      </c>
      <c r="W47">
        <v>471</v>
      </c>
      <c r="X47">
        <v>317</v>
      </c>
      <c r="Y47">
        <v>255.3785488959</v>
      </c>
      <c r="Z47">
        <v>36</v>
      </c>
      <c r="AA47">
        <v>396.8333333333</v>
      </c>
      <c r="AB47">
        <v>50</v>
      </c>
      <c r="AC47">
        <v>379.72</v>
      </c>
      <c r="AD47">
        <v>81</v>
      </c>
      <c r="AE47">
        <v>259.60493827160002</v>
      </c>
      <c r="AF47">
        <v>20</v>
      </c>
      <c r="AG47">
        <v>220.35</v>
      </c>
      <c r="AH47">
        <v>3</v>
      </c>
      <c r="AI47">
        <v>229.6666666667</v>
      </c>
      <c r="AL47" t="s">
        <v>417</v>
      </c>
      <c r="AM47">
        <v>22</v>
      </c>
      <c r="AN47">
        <v>21</v>
      </c>
      <c r="AO47">
        <v>194.8571428571</v>
      </c>
      <c r="AP47">
        <v>6</v>
      </c>
      <c r="AQ47">
        <v>222</v>
      </c>
      <c r="AR47">
        <v>1</v>
      </c>
      <c r="AS47">
        <v>50</v>
      </c>
    </row>
    <row r="48" spans="6:49" x14ac:dyDescent="0.2">
      <c r="F48" t="s">
        <v>70</v>
      </c>
      <c r="G48">
        <v>1055</v>
      </c>
      <c r="H48">
        <v>831</v>
      </c>
      <c r="I48">
        <v>238.65583634180001</v>
      </c>
      <c r="J48">
        <v>259</v>
      </c>
      <c r="K48">
        <v>198.166023166</v>
      </c>
      <c r="L48">
        <v>108</v>
      </c>
      <c r="M48">
        <v>94.5</v>
      </c>
      <c r="N48">
        <v>113</v>
      </c>
      <c r="O48">
        <v>202.3628318584</v>
      </c>
      <c r="R48">
        <v>3</v>
      </c>
      <c r="S48">
        <v>282.6666666667</v>
      </c>
      <c r="V48" t="s">
        <v>418</v>
      </c>
      <c r="W48">
        <v>106</v>
      </c>
      <c r="X48">
        <v>64</v>
      </c>
      <c r="Y48">
        <v>167.90625</v>
      </c>
      <c r="Z48">
        <v>51</v>
      </c>
      <c r="AA48">
        <v>176.5294117647</v>
      </c>
      <c r="AB48">
        <v>11</v>
      </c>
      <c r="AC48">
        <v>263.36363636359999</v>
      </c>
      <c r="AD48">
        <v>20</v>
      </c>
      <c r="AE48">
        <v>413.2</v>
      </c>
      <c r="AF48">
        <v>10</v>
      </c>
      <c r="AG48">
        <v>157.5</v>
      </c>
      <c r="AH48">
        <v>1</v>
      </c>
      <c r="AI48">
        <v>227</v>
      </c>
      <c r="AL48" t="s">
        <v>418</v>
      </c>
      <c r="AM48">
        <v>9</v>
      </c>
      <c r="AN48">
        <v>8</v>
      </c>
      <c r="AO48">
        <v>160.5</v>
      </c>
      <c r="AP48">
        <v>3</v>
      </c>
      <c r="AQ48">
        <v>257.6666666667</v>
      </c>
      <c r="AT48">
        <v>1</v>
      </c>
      <c r="AU48">
        <v>667</v>
      </c>
    </row>
    <row r="49" spans="6:49" x14ac:dyDescent="0.2">
      <c r="F49" t="s">
        <v>386</v>
      </c>
      <c r="G49">
        <v>68460</v>
      </c>
      <c r="H49">
        <v>49714</v>
      </c>
      <c r="I49">
        <v>418.46555226999999</v>
      </c>
      <c r="J49">
        <v>4174</v>
      </c>
      <c r="K49">
        <v>592.83804504069997</v>
      </c>
      <c r="L49">
        <v>14100</v>
      </c>
      <c r="M49">
        <v>629.94510638300005</v>
      </c>
      <c r="N49">
        <v>4499</v>
      </c>
      <c r="O49">
        <v>496.4598621303</v>
      </c>
      <c r="R49">
        <v>147</v>
      </c>
      <c r="S49">
        <v>477.4693877551</v>
      </c>
      <c r="V49" t="s">
        <v>424</v>
      </c>
      <c r="W49">
        <v>617</v>
      </c>
      <c r="X49">
        <v>370</v>
      </c>
      <c r="Y49">
        <v>363.61891891890002</v>
      </c>
      <c r="Z49">
        <v>56</v>
      </c>
      <c r="AA49">
        <v>601.66071428570001</v>
      </c>
      <c r="AB49">
        <v>141</v>
      </c>
      <c r="AC49">
        <v>466.76595744679997</v>
      </c>
      <c r="AD49">
        <v>78</v>
      </c>
      <c r="AE49">
        <v>614.06410256410004</v>
      </c>
      <c r="AF49">
        <v>26</v>
      </c>
      <c r="AG49">
        <v>163.69230769230001</v>
      </c>
      <c r="AH49">
        <v>2</v>
      </c>
      <c r="AI49">
        <v>200.5</v>
      </c>
      <c r="AL49" t="s">
        <v>424</v>
      </c>
      <c r="AM49">
        <v>18</v>
      </c>
      <c r="AN49">
        <v>18</v>
      </c>
      <c r="AO49">
        <v>262.8888888889</v>
      </c>
      <c r="AP49">
        <v>2</v>
      </c>
      <c r="AQ49">
        <v>346</v>
      </c>
    </row>
    <row r="50" spans="6:49" x14ac:dyDescent="0.2">
      <c r="F50" t="s">
        <v>212</v>
      </c>
      <c r="G50">
        <v>1509</v>
      </c>
      <c r="H50">
        <v>1063</v>
      </c>
      <c r="I50">
        <v>229.74035747880001</v>
      </c>
      <c r="J50">
        <v>590</v>
      </c>
      <c r="K50">
        <v>343.38983050849998</v>
      </c>
      <c r="L50">
        <v>393</v>
      </c>
      <c r="M50">
        <v>239.15521628499999</v>
      </c>
      <c r="N50">
        <v>53</v>
      </c>
      <c r="O50">
        <v>239.83018867920001</v>
      </c>
      <c r="V50" t="s">
        <v>377</v>
      </c>
      <c r="W50">
        <v>5819</v>
      </c>
      <c r="X50">
        <v>4626</v>
      </c>
      <c r="Y50">
        <v>577.43968871599998</v>
      </c>
      <c r="Z50">
        <v>208</v>
      </c>
      <c r="AA50">
        <v>814.34134615380003</v>
      </c>
      <c r="AB50">
        <v>797</v>
      </c>
      <c r="AC50">
        <v>780.37264742790001</v>
      </c>
      <c r="AD50">
        <v>298</v>
      </c>
      <c r="AE50">
        <v>613.21140939600002</v>
      </c>
      <c r="AF50">
        <v>93</v>
      </c>
      <c r="AG50">
        <v>134.87096774189999</v>
      </c>
      <c r="AH50">
        <v>5</v>
      </c>
      <c r="AI50">
        <v>718.4</v>
      </c>
      <c r="AL50" t="s">
        <v>377</v>
      </c>
      <c r="AM50">
        <v>81</v>
      </c>
      <c r="AN50">
        <v>68</v>
      </c>
      <c r="AO50">
        <v>262.54411764709999</v>
      </c>
      <c r="AP50">
        <v>12</v>
      </c>
      <c r="AQ50">
        <v>385.6666666667</v>
      </c>
      <c r="AR50">
        <v>10</v>
      </c>
      <c r="AS50">
        <v>226</v>
      </c>
      <c r="AT50">
        <v>3</v>
      </c>
      <c r="AU50">
        <v>391.6666666667</v>
      </c>
    </row>
    <row r="51" spans="6:49" x14ac:dyDescent="0.2">
      <c r="F51" t="s">
        <v>209</v>
      </c>
      <c r="G51">
        <v>2615</v>
      </c>
      <c r="H51">
        <v>1978</v>
      </c>
      <c r="I51">
        <v>391.8761375126</v>
      </c>
      <c r="J51">
        <v>178</v>
      </c>
      <c r="K51">
        <v>651.23595505620005</v>
      </c>
      <c r="L51">
        <v>582</v>
      </c>
      <c r="M51">
        <v>368.5257731959</v>
      </c>
      <c r="N51">
        <v>55</v>
      </c>
      <c r="O51">
        <v>366.1454545455</v>
      </c>
      <c r="V51" t="s">
        <v>60</v>
      </c>
      <c r="W51">
        <v>5227</v>
      </c>
      <c r="X51">
        <v>3448</v>
      </c>
      <c r="Y51">
        <v>247.718387471</v>
      </c>
      <c r="Z51">
        <v>746</v>
      </c>
      <c r="AA51">
        <v>383.20509383379999</v>
      </c>
      <c r="AB51">
        <v>919</v>
      </c>
      <c r="AC51">
        <v>295.17954298149999</v>
      </c>
      <c r="AD51">
        <v>609</v>
      </c>
      <c r="AE51">
        <v>600.78981937599997</v>
      </c>
      <c r="AF51">
        <v>237</v>
      </c>
      <c r="AG51">
        <v>173.24472573840001</v>
      </c>
      <c r="AH51">
        <v>14</v>
      </c>
      <c r="AI51">
        <v>834.57142857140002</v>
      </c>
      <c r="AL51" t="s">
        <v>60</v>
      </c>
      <c r="AM51">
        <v>228</v>
      </c>
      <c r="AN51">
        <v>192</v>
      </c>
      <c r="AO51">
        <v>258.6770833333</v>
      </c>
      <c r="AP51">
        <v>36</v>
      </c>
      <c r="AQ51">
        <v>348.69444444440001</v>
      </c>
      <c r="AR51">
        <v>28</v>
      </c>
      <c r="AS51">
        <v>254.5</v>
      </c>
      <c r="AT51">
        <v>8</v>
      </c>
      <c r="AU51">
        <v>198.25</v>
      </c>
    </row>
    <row r="52" spans="6:49" x14ac:dyDescent="0.2">
      <c r="F52" t="s">
        <v>210</v>
      </c>
      <c r="G52">
        <v>2487</v>
      </c>
      <c r="H52">
        <v>1974</v>
      </c>
      <c r="I52">
        <v>272.1129685917</v>
      </c>
      <c r="J52">
        <v>455</v>
      </c>
      <c r="K52">
        <v>381.51208791210001</v>
      </c>
      <c r="L52">
        <v>411</v>
      </c>
      <c r="M52">
        <v>186.87104622870001</v>
      </c>
      <c r="N52">
        <v>102</v>
      </c>
      <c r="O52">
        <v>271.6960784314</v>
      </c>
      <c r="V52" t="s">
        <v>379</v>
      </c>
      <c r="W52">
        <v>15313</v>
      </c>
      <c r="X52">
        <v>10626</v>
      </c>
      <c r="Y52">
        <v>374.7794823529</v>
      </c>
      <c r="Z52">
        <v>604</v>
      </c>
      <c r="AA52">
        <v>759.43377483439997</v>
      </c>
      <c r="AB52">
        <v>3632</v>
      </c>
      <c r="AC52">
        <v>773.7111784141</v>
      </c>
      <c r="AD52">
        <v>724</v>
      </c>
      <c r="AE52">
        <v>530.68232044199999</v>
      </c>
      <c r="AF52">
        <v>327</v>
      </c>
      <c r="AG52">
        <v>157.21100917429999</v>
      </c>
      <c r="AH52">
        <v>4</v>
      </c>
      <c r="AI52">
        <v>508.25</v>
      </c>
      <c r="AL52" t="s">
        <v>379</v>
      </c>
      <c r="AM52">
        <v>158</v>
      </c>
      <c r="AN52">
        <v>131</v>
      </c>
      <c r="AO52">
        <v>244.1679389313</v>
      </c>
      <c r="AP52">
        <v>25</v>
      </c>
      <c r="AQ52">
        <v>273.72000000000003</v>
      </c>
      <c r="AR52">
        <v>15</v>
      </c>
      <c r="AS52">
        <v>213.73333333330001</v>
      </c>
      <c r="AT52">
        <v>12</v>
      </c>
      <c r="AU52">
        <v>231.8333333333</v>
      </c>
    </row>
    <row r="53" spans="6:49" x14ac:dyDescent="0.2">
      <c r="F53" t="s">
        <v>463</v>
      </c>
      <c r="G53">
        <v>6611</v>
      </c>
      <c r="H53">
        <v>5015</v>
      </c>
      <c r="I53">
        <v>310.36809571290001</v>
      </c>
      <c r="J53">
        <v>1223</v>
      </c>
      <c r="K53">
        <v>402.37775960750002</v>
      </c>
      <c r="L53">
        <v>1386</v>
      </c>
      <c r="M53">
        <v>277.97546897550001</v>
      </c>
      <c r="N53">
        <v>210</v>
      </c>
      <c r="O53">
        <v>288.39047619050001</v>
      </c>
      <c r="V53" t="s">
        <v>375</v>
      </c>
      <c r="W53">
        <v>4112</v>
      </c>
      <c r="X53">
        <v>2803</v>
      </c>
      <c r="Y53">
        <v>317.5547627542</v>
      </c>
      <c r="Z53">
        <v>416</v>
      </c>
      <c r="AA53">
        <v>455.70192307690002</v>
      </c>
      <c r="AB53">
        <v>596</v>
      </c>
      <c r="AC53">
        <v>269.1174496644</v>
      </c>
      <c r="AD53">
        <v>563</v>
      </c>
      <c r="AE53">
        <v>537.59147424510002</v>
      </c>
      <c r="AF53">
        <v>140</v>
      </c>
      <c r="AG53">
        <v>197.96428571429999</v>
      </c>
      <c r="AH53">
        <v>10</v>
      </c>
      <c r="AI53">
        <v>689.5</v>
      </c>
      <c r="AL53" t="s">
        <v>375</v>
      </c>
      <c r="AM53">
        <v>160</v>
      </c>
      <c r="AN53">
        <v>117</v>
      </c>
      <c r="AO53">
        <v>239.0683760684</v>
      </c>
      <c r="AP53">
        <v>27</v>
      </c>
      <c r="AQ53">
        <v>287.9259259259</v>
      </c>
      <c r="AR53">
        <v>36</v>
      </c>
      <c r="AS53">
        <v>171.9166666667</v>
      </c>
      <c r="AT53">
        <v>7</v>
      </c>
      <c r="AU53">
        <v>277.85714285709997</v>
      </c>
    </row>
    <row r="54" spans="6:49" x14ac:dyDescent="0.2">
      <c r="F54" t="s">
        <v>78</v>
      </c>
      <c r="G54">
        <v>432</v>
      </c>
      <c r="H54">
        <v>313</v>
      </c>
      <c r="I54">
        <v>216.71884984030001</v>
      </c>
      <c r="J54">
        <v>41</v>
      </c>
      <c r="K54">
        <v>393.60975609759998</v>
      </c>
      <c r="L54">
        <v>37</v>
      </c>
      <c r="M54">
        <v>282.18918918920002</v>
      </c>
      <c r="N54">
        <v>78</v>
      </c>
      <c r="O54">
        <v>208.47435897439999</v>
      </c>
      <c r="R54">
        <v>4</v>
      </c>
      <c r="S54">
        <v>715.75</v>
      </c>
      <c r="V54" t="s">
        <v>374</v>
      </c>
      <c r="W54">
        <v>1234</v>
      </c>
      <c r="X54">
        <v>799</v>
      </c>
      <c r="Y54">
        <v>211.96620775970001</v>
      </c>
      <c r="Z54">
        <v>151</v>
      </c>
      <c r="AA54">
        <v>275.41721854299999</v>
      </c>
      <c r="AB54">
        <v>213</v>
      </c>
      <c r="AC54">
        <v>227.99530516429999</v>
      </c>
      <c r="AD54">
        <v>144</v>
      </c>
      <c r="AE54">
        <v>285.1666666667</v>
      </c>
      <c r="AF54">
        <v>70</v>
      </c>
      <c r="AG54">
        <v>172.71428571429999</v>
      </c>
      <c r="AH54">
        <v>8</v>
      </c>
      <c r="AI54">
        <v>170.25</v>
      </c>
      <c r="AL54" t="s">
        <v>374</v>
      </c>
      <c r="AM54">
        <v>47</v>
      </c>
      <c r="AN54">
        <v>40</v>
      </c>
      <c r="AO54">
        <v>262.77499999999998</v>
      </c>
      <c r="AP54">
        <v>8</v>
      </c>
      <c r="AQ54">
        <v>325.375</v>
      </c>
      <c r="AR54">
        <v>6</v>
      </c>
      <c r="AS54">
        <v>200.8333333333</v>
      </c>
      <c r="AT54">
        <v>1</v>
      </c>
      <c r="AU54">
        <v>130</v>
      </c>
    </row>
    <row r="55" spans="6:49" x14ac:dyDescent="0.2">
      <c r="F55" t="s">
        <v>35</v>
      </c>
      <c r="G55">
        <v>3259</v>
      </c>
      <c r="H55">
        <v>2032</v>
      </c>
      <c r="I55">
        <v>469.88872476609998</v>
      </c>
      <c r="J55">
        <v>266</v>
      </c>
      <c r="K55">
        <v>466.44360902260001</v>
      </c>
      <c r="L55">
        <v>890</v>
      </c>
      <c r="M55">
        <v>534.12584269659999</v>
      </c>
      <c r="N55">
        <v>322</v>
      </c>
      <c r="O55">
        <v>609.599378882</v>
      </c>
      <c r="R55">
        <v>15</v>
      </c>
      <c r="S55">
        <v>489.86666666669998</v>
      </c>
      <c r="V55" t="s">
        <v>376</v>
      </c>
      <c r="W55">
        <v>7375</v>
      </c>
      <c r="X55">
        <v>5149</v>
      </c>
      <c r="Y55">
        <v>391.55253447270002</v>
      </c>
      <c r="Z55">
        <v>458</v>
      </c>
      <c r="AA55">
        <v>534.10698689959997</v>
      </c>
      <c r="AB55">
        <v>964</v>
      </c>
      <c r="AC55">
        <v>435.76244813279999</v>
      </c>
      <c r="AD55">
        <v>977</v>
      </c>
      <c r="AE55">
        <v>678.19651995909999</v>
      </c>
      <c r="AF55">
        <v>270</v>
      </c>
      <c r="AG55">
        <v>193.9925925926</v>
      </c>
      <c r="AH55">
        <v>15</v>
      </c>
      <c r="AI55">
        <v>464.26666666670002</v>
      </c>
      <c r="AL55" t="s">
        <v>376</v>
      </c>
      <c r="AM55">
        <v>211</v>
      </c>
      <c r="AN55">
        <v>169</v>
      </c>
      <c r="AO55">
        <v>277.36686390530002</v>
      </c>
      <c r="AP55">
        <v>41</v>
      </c>
      <c r="AQ55">
        <v>349.36585365849999</v>
      </c>
      <c r="AR55">
        <v>31</v>
      </c>
      <c r="AS55">
        <v>183.38709677419999</v>
      </c>
      <c r="AT55">
        <v>11</v>
      </c>
      <c r="AU55">
        <v>397.63636363640001</v>
      </c>
    </row>
    <row r="56" spans="6:49" x14ac:dyDescent="0.2">
      <c r="F56" t="s">
        <v>61</v>
      </c>
      <c r="G56">
        <v>2515</v>
      </c>
      <c r="H56">
        <v>1841</v>
      </c>
      <c r="I56">
        <v>322.24551873979999</v>
      </c>
      <c r="J56">
        <v>264</v>
      </c>
      <c r="K56">
        <v>491.52272727270002</v>
      </c>
      <c r="L56">
        <v>278</v>
      </c>
      <c r="M56">
        <v>70.528776978400003</v>
      </c>
      <c r="N56">
        <v>392</v>
      </c>
      <c r="O56">
        <v>471.28571428570001</v>
      </c>
      <c r="R56">
        <v>4</v>
      </c>
      <c r="S56">
        <v>701</v>
      </c>
      <c r="V56" t="s">
        <v>373</v>
      </c>
      <c r="W56">
        <v>272</v>
      </c>
      <c r="X56">
        <v>128</v>
      </c>
      <c r="Y56">
        <v>151.96875</v>
      </c>
      <c r="Z56">
        <v>103</v>
      </c>
      <c r="AA56">
        <v>165.94174757280001</v>
      </c>
      <c r="AB56">
        <v>80</v>
      </c>
      <c r="AC56">
        <v>144.9</v>
      </c>
      <c r="AD56">
        <v>33</v>
      </c>
      <c r="AE56">
        <v>244.69696969699999</v>
      </c>
      <c r="AF56">
        <v>29</v>
      </c>
      <c r="AG56">
        <v>202.724137931</v>
      </c>
      <c r="AH56">
        <v>2</v>
      </c>
      <c r="AI56">
        <v>135</v>
      </c>
      <c r="AL56" t="s">
        <v>373</v>
      </c>
      <c r="AM56">
        <v>20</v>
      </c>
      <c r="AN56">
        <v>13</v>
      </c>
      <c r="AO56">
        <v>249.69230769230001</v>
      </c>
      <c r="AP56">
        <v>2</v>
      </c>
      <c r="AQ56">
        <v>295</v>
      </c>
      <c r="AR56">
        <v>6</v>
      </c>
      <c r="AS56">
        <v>234.8333333333</v>
      </c>
      <c r="AT56">
        <v>1</v>
      </c>
      <c r="AU56">
        <v>116</v>
      </c>
    </row>
    <row r="57" spans="6:49" x14ac:dyDescent="0.2">
      <c r="F57" t="s">
        <v>24</v>
      </c>
      <c r="G57">
        <v>1730</v>
      </c>
      <c r="H57">
        <v>1005</v>
      </c>
      <c r="I57">
        <v>210.54129353229999</v>
      </c>
      <c r="J57">
        <v>394</v>
      </c>
      <c r="K57">
        <v>241.9060913706</v>
      </c>
      <c r="L57">
        <v>506</v>
      </c>
      <c r="M57">
        <v>342.02173913040002</v>
      </c>
      <c r="N57">
        <v>207</v>
      </c>
      <c r="O57">
        <v>546.13043478259999</v>
      </c>
      <c r="R57">
        <v>12</v>
      </c>
      <c r="S57">
        <v>698.25</v>
      </c>
      <c r="V57" t="s">
        <v>372</v>
      </c>
      <c r="W57">
        <v>3401</v>
      </c>
      <c r="X57">
        <v>1965</v>
      </c>
      <c r="Y57">
        <v>451.64052953160001</v>
      </c>
      <c r="Z57">
        <v>336</v>
      </c>
      <c r="AA57">
        <v>410.61011904759999</v>
      </c>
      <c r="AB57">
        <v>920</v>
      </c>
      <c r="AC57">
        <v>499.8934782609</v>
      </c>
      <c r="AD57">
        <v>346</v>
      </c>
      <c r="AE57">
        <v>571.26011560689994</v>
      </c>
      <c r="AF57">
        <v>152</v>
      </c>
      <c r="AG57">
        <v>152.55921052630001</v>
      </c>
      <c r="AH57">
        <v>18</v>
      </c>
      <c r="AI57">
        <v>358.94444444440001</v>
      </c>
      <c r="AL57" t="s">
        <v>372</v>
      </c>
      <c r="AM57">
        <v>93</v>
      </c>
      <c r="AN57">
        <v>73</v>
      </c>
      <c r="AO57">
        <v>267.41095890410003</v>
      </c>
      <c r="AP57">
        <v>14</v>
      </c>
      <c r="AQ57">
        <v>232.07142857139999</v>
      </c>
      <c r="AR57">
        <v>17</v>
      </c>
      <c r="AS57">
        <v>280.1176470588</v>
      </c>
      <c r="AT57">
        <v>3</v>
      </c>
      <c r="AU57">
        <v>322.6666666667</v>
      </c>
    </row>
    <row r="58" spans="6:49" x14ac:dyDescent="0.2">
      <c r="F58" t="s">
        <v>69</v>
      </c>
      <c r="G58">
        <v>15490</v>
      </c>
      <c r="H58">
        <v>10947</v>
      </c>
      <c r="I58">
        <v>368.62552530599999</v>
      </c>
      <c r="J58">
        <v>589</v>
      </c>
      <c r="K58">
        <v>753.37860780979997</v>
      </c>
      <c r="L58">
        <v>3822</v>
      </c>
      <c r="M58">
        <v>782.02485609630003</v>
      </c>
      <c r="N58">
        <v>718</v>
      </c>
      <c r="O58">
        <v>519.02924791090004</v>
      </c>
      <c r="R58">
        <v>3</v>
      </c>
      <c r="S58">
        <v>405.6666666667</v>
      </c>
      <c r="V58" t="s">
        <v>416</v>
      </c>
      <c r="W58">
        <v>638</v>
      </c>
      <c r="X58">
        <v>489</v>
      </c>
      <c r="Y58">
        <v>242.2903885481</v>
      </c>
      <c r="Z58">
        <v>85</v>
      </c>
      <c r="AA58">
        <v>475.29411764709999</v>
      </c>
      <c r="AB58">
        <v>78</v>
      </c>
      <c r="AC58">
        <v>197.42307692310001</v>
      </c>
      <c r="AD58">
        <v>40</v>
      </c>
      <c r="AE58">
        <v>336</v>
      </c>
      <c r="AF58">
        <v>30</v>
      </c>
      <c r="AG58">
        <v>198.1666666667</v>
      </c>
      <c r="AH58">
        <v>1</v>
      </c>
      <c r="AI58">
        <v>1380</v>
      </c>
      <c r="AL58" t="s">
        <v>416</v>
      </c>
      <c r="AM58">
        <v>15</v>
      </c>
      <c r="AN58">
        <v>13</v>
      </c>
      <c r="AO58">
        <v>238.30769230769999</v>
      </c>
      <c r="AP58">
        <v>4</v>
      </c>
      <c r="AQ58">
        <v>422</v>
      </c>
      <c r="AR58">
        <v>2</v>
      </c>
      <c r="AS58">
        <v>82.5</v>
      </c>
    </row>
    <row r="59" spans="6:49" x14ac:dyDescent="0.2">
      <c r="F59" t="s">
        <v>44</v>
      </c>
      <c r="G59">
        <v>1115</v>
      </c>
      <c r="H59">
        <v>765</v>
      </c>
      <c r="I59">
        <v>197.3267973856</v>
      </c>
      <c r="J59">
        <v>150</v>
      </c>
      <c r="K59">
        <v>266.05333333329997</v>
      </c>
      <c r="L59">
        <v>209</v>
      </c>
      <c r="M59">
        <v>189.2344497608</v>
      </c>
      <c r="N59">
        <v>133</v>
      </c>
      <c r="O59">
        <v>273.69924812030001</v>
      </c>
      <c r="R59">
        <v>8</v>
      </c>
      <c r="S59">
        <v>170.25</v>
      </c>
      <c r="V59" t="s">
        <v>380</v>
      </c>
      <c r="W59">
        <v>2451</v>
      </c>
      <c r="X59">
        <v>1574</v>
      </c>
      <c r="Y59">
        <v>359.68424396440003</v>
      </c>
      <c r="Z59">
        <v>229</v>
      </c>
      <c r="AA59">
        <v>397.92139737989999</v>
      </c>
      <c r="AB59">
        <v>190</v>
      </c>
      <c r="AC59">
        <v>279.37368421050002</v>
      </c>
      <c r="AD59">
        <v>544</v>
      </c>
      <c r="AE59">
        <v>515.54411764710005</v>
      </c>
      <c r="AF59">
        <v>136</v>
      </c>
      <c r="AG59">
        <v>189.8455882353</v>
      </c>
      <c r="AH59">
        <v>7</v>
      </c>
      <c r="AI59">
        <v>435.42857142859998</v>
      </c>
      <c r="AL59" t="s">
        <v>380</v>
      </c>
      <c r="AM59">
        <v>54</v>
      </c>
      <c r="AN59">
        <v>41</v>
      </c>
      <c r="AO59">
        <v>246.36585365849999</v>
      </c>
      <c r="AP59">
        <v>6</v>
      </c>
      <c r="AQ59">
        <v>403.1666666667</v>
      </c>
      <c r="AR59">
        <v>12</v>
      </c>
      <c r="AS59">
        <v>164.0833333333</v>
      </c>
      <c r="AV59">
        <v>1</v>
      </c>
      <c r="AW59">
        <v>201</v>
      </c>
    </row>
    <row r="60" spans="6:49" x14ac:dyDescent="0.2">
      <c r="F60" t="s">
        <v>60</v>
      </c>
      <c r="G60">
        <v>3072</v>
      </c>
      <c r="H60">
        <v>2288</v>
      </c>
      <c r="I60">
        <v>241.04807692310001</v>
      </c>
      <c r="J60">
        <v>363</v>
      </c>
      <c r="K60">
        <v>530.00550964189995</v>
      </c>
      <c r="L60">
        <v>378</v>
      </c>
      <c r="M60">
        <v>198.78571428570001</v>
      </c>
      <c r="N60">
        <v>402</v>
      </c>
      <c r="O60">
        <v>647.16915422889997</v>
      </c>
      <c r="R60">
        <v>4</v>
      </c>
      <c r="S60">
        <v>1114.5</v>
      </c>
      <c r="V60" t="s">
        <v>383</v>
      </c>
      <c r="W60">
        <v>10057</v>
      </c>
      <c r="X60">
        <v>7227</v>
      </c>
      <c r="Y60">
        <v>256.63207416630001</v>
      </c>
      <c r="Z60">
        <v>954</v>
      </c>
      <c r="AA60">
        <v>457.4758909853</v>
      </c>
      <c r="AB60">
        <v>1337</v>
      </c>
      <c r="AC60">
        <v>216.50560957370001</v>
      </c>
      <c r="AD60">
        <v>942</v>
      </c>
      <c r="AE60">
        <v>357.84076433119998</v>
      </c>
      <c r="AF60">
        <v>540</v>
      </c>
      <c r="AG60">
        <v>182.67407407409999</v>
      </c>
      <c r="AH60">
        <v>11</v>
      </c>
      <c r="AI60">
        <v>172.45454545449999</v>
      </c>
      <c r="AL60" t="s">
        <v>383</v>
      </c>
      <c r="AM60">
        <v>194</v>
      </c>
      <c r="AN60">
        <v>160</v>
      </c>
      <c r="AO60">
        <v>256.30624999999998</v>
      </c>
      <c r="AP60">
        <v>34</v>
      </c>
      <c r="AQ60">
        <v>328.1470588235</v>
      </c>
      <c r="AR60">
        <v>24</v>
      </c>
      <c r="AS60">
        <v>182.875</v>
      </c>
      <c r="AT60">
        <v>9</v>
      </c>
      <c r="AU60">
        <v>210.7777777778</v>
      </c>
      <c r="AV60">
        <v>1</v>
      </c>
      <c r="AW60">
        <v>479</v>
      </c>
    </row>
    <row r="61" spans="6:49" x14ac:dyDescent="0.2">
      <c r="F61" t="s">
        <v>33</v>
      </c>
      <c r="G61">
        <v>5590</v>
      </c>
      <c r="H61">
        <v>4487</v>
      </c>
      <c r="I61">
        <v>576.82482727879994</v>
      </c>
      <c r="J61">
        <v>161</v>
      </c>
      <c r="K61">
        <v>836.93788819880001</v>
      </c>
      <c r="L61">
        <v>789</v>
      </c>
      <c r="M61">
        <v>807.15842839039999</v>
      </c>
      <c r="N61">
        <v>309</v>
      </c>
      <c r="O61">
        <v>630.37216828479995</v>
      </c>
      <c r="R61">
        <v>5</v>
      </c>
      <c r="S61">
        <v>870.6</v>
      </c>
      <c r="V61" t="s">
        <v>415</v>
      </c>
      <c r="W61">
        <v>603</v>
      </c>
      <c r="X61">
        <v>393</v>
      </c>
      <c r="Y61">
        <v>423.834605598</v>
      </c>
      <c r="Z61">
        <v>21</v>
      </c>
      <c r="AA61">
        <v>705.52380952379997</v>
      </c>
      <c r="AB61">
        <v>151</v>
      </c>
      <c r="AC61">
        <v>767.45033112579995</v>
      </c>
      <c r="AD61">
        <v>42</v>
      </c>
      <c r="AE61">
        <v>531.42857142859998</v>
      </c>
      <c r="AF61">
        <v>17</v>
      </c>
      <c r="AG61">
        <v>105.4705882353</v>
      </c>
      <c r="AL61" t="s">
        <v>415</v>
      </c>
      <c r="AM61">
        <v>11</v>
      </c>
      <c r="AN61">
        <v>9</v>
      </c>
      <c r="AO61">
        <v>296.6666666667</v>
      </c>
      <c r="AP61">
        <v>5</v>
      </c>
      <c r="AQ61">
        <v>320.2</v>
      </c>
      <c r="AR61">
        <v>2</v>
      </c>
      <c r="AS61">
        <v>143</v>
      </c>
    </row>
    <row r="62" spans="6:49" x14ac:dyDescent="0.2">
      <c r="F62" t="s">
        <v>47</v>
      </c>
      <c r="G62">
        <v>2089</v>
      </c>
      <c r="H62">
        <v>1407</v>
      </c>
      <c r="I62">
        <v>332.0568585643</v>
      </c>
      <c r="J62">
        <v>233</v>
      </c>
      <c r="K62">
        <v>378.95708154509998</v>
      </c>
      <c r="L62">
        <v>149</v>
      </c>
      <c r="M62">
        <v>209.04026845640001</v>
      </c>
      <c r="N62">
        <v>525</v>
      </c>
      <c r="O62">
        <v>488.47619047619997</v>
      </c>
      <c r="R62">
        <v>8</v>
      </c>
      <c r="S62">
        <v>381.625</v>
      </c>
      <c r="V62" t="s">
        <v>370</v>
      </c>
      <c r="W62">
        <v>57696</v>
      </c>
      <c r="X62">
        <v>39978</v>
      </c>
      <c r="Y62">
        <v>360.7553532119</v>
      </c>
      <c r="Z62">
        <v>4454</v>
      </c>
      <c r="AA62">
        <v>490.46789402780001</v>
      </c>
      <c r="AB62">
        <v>10079</v>
      </c>
      <c r="AC62">
        <v>532.3347554321</v>
      </c>
      <c r="AD62">
        <v>5441</v>
      </c>
      <c r="AE62">
        <v>528.46535563320003</v>
      </c>
      <c r="AF62">
        <v>2097</v>
      </c>
      <c r="AG62">
        <v>175.82260371960001</v>
      </c>
      <c r="AH62">
        <v>101</v>
      </c>
      <c r="AI62">
        <v>464.38613861390002</v>
      </c>
      <c r="AL62" t="s">
        <v>370</v>
      </c>
      <c r="AM62">
        <v>1321</v>
      </c>
      <c r="AN62">
        <v>1073</v>
      </c>
      <c r="AO62">
        <v>255.93196644919999</v>
      </c>
      <c r="AP62">
        <v>225</v>
      </c>
      <c r="AQ62">
        <v>321.00444444440001</v>
      </c>
      <c r="AR62">
        <v>190</v>
      </c>
      <c r="AS62">
        <v>203.68947368420001</v>
      </c>
      <c r="AT62">
        <v>56</v>
      </c>
      <c r="AU62">
        <v>279.28571428570001</v>
      </c>
      <c r="AV62">
        <v>2</v>
      </c>
      <c r="AW62">
        <v>340</v>
      </c>
    </row>
    <row r="63" spans="6:49" x14ac:dyDescent="0.2">
      <c r="F63" t="s">
        <v>54</v>
      </c>
      <c r="G63">
        <v>576</v>
      </c>
      <c r="H63">
        <v>469</v>
      </c>
      <c r="I63">
        <v>219.1535181237</v>
      </c>
      <c r="J63">
        <v>75</v>
      </c>
      <c r="K63">
        <v>499.48</v>
      </c>
      <c r="L63">
        <v>67</v>
      </c>
      <c r="M63">
        <v>97.895522388100005</v>
      </c>
      <c r="N63">
        <v>40</v>
      </c>
      <c r="O63">
        <v>264.85000000000002</v>
      </c>
      <c r="V63" t="s">
        <v>699</v>
      </c>
      <c r="W63">
        <v>321652</v>
      </c>
      <c r="X63">
        <v>233664</v>
      </c>
      <c r="Y63">
        <v>407.43286284110002</v>
      </c>
      <c r="Z63">
        <v>22232</v>
      </c>
      <c r="AA63">
        <v>551.07903022669996</v>
      </c>
      <c r="AB63">
        <v>52482</v>
      </c>
      <c r="AC63">
        <v>589.45562288020005</v>
      </c>
      <c r="AD63">
        <v>24359</v>
      </c>
      <c r="AE63">
        <v>520.48445776699998</v>
      </c>
      <c r="AF63">
        <v>10602</v>
      </c>
      <c r="AG63">
        <v>177.480754717</v>
      </c>
      <c r="AH63">
        <v>545</v>
      </c>
      <c r="AI63">
        <v>446.29908256879997</v>
      </c>
      <c r="AL63" t="s">
        <v>699</v>
      </c>
      <c r="AM63">
        <v>6616</v>
      </c>
      <c r="AN63">
        <v>5015</v>
      </c>
      <c r="AO63">
        <v>310.36809571290001</v>
      </c>
      <c r="AP63">
        <v>1223</v>
      </c>
      <c r="AQ63">
        <v>402.37775960750002</v>
      </c>
      <c r="AR63">
        <v>1386</v>
      </c>
      <c r="AS63">
        <v>277.97546897550001</v>
      </c>
      <c r="AT63">
        <v>210</v>
      </c>
      <c r="AU63">
        <v>288.39047619050001</v>
      </c>
      <c r="AV63">
        <v>5</v>
      </c>
      <c r="AW63">
        <v>187.2</v>
      </c>
    </row>
    <row r="64" spans="6:49" x14ac:dyDescent="0.2">
      <c r="F64" t="s">
        <v>65</v>
      </c>
      <c r="G64">
        <v>5164</v>
      </c>
      <c r="H64">
        <v>4054</v>
      </c>
      <c r="I64">
        <v>561.77281697089995</v>
      </c>
      <c r="J64">
        <v>157</v>
      </c>
      <c r="K64">
        <v>1021.7898089172</v>
      </c>
      <c r="L64">
        <v>182</v>
      </c>
      <c r="M64">
        <v>633.64835164839997</v>
      </c>
      <c r="N64">
        <v>924</v>
      </c>
      <c r="O64">
        <v>902.84740259739999</v>
      </c>
      <c r="R64">
        <v>4</v>
      </c>
      <c r="S64">
        <v>654</v>
      </c>
    </row>
    <row r="65" spans="6:19" x14ac:dyDescent="0.2">
      <c r="F65" t="s">
        <v>67</v>
      </c>
      <c r="G65">
        <v>561</v>
      </c>
      <c r="H65">
        <v>367</v>
      </c>
      <c r="I65">
        <v>640.33514986379998</v>
      </c>
      <c r="J65">
        <v>208</v>
      </c>
      <c r="K65">
        <v>322.875</v>
      </c>
      <c r="L65">
        <v>129</v>
      </c>
      <c r="M65">
        <v>132.35658914730001</v>
      </c>
      <c r="N65">
        <v>59</v>
      </c>
      <c r="O65">
        <v>217.37288135590001</v>
      </c>
      <c r="R65">
        <v>6</v>
      </c>
      <c r="S65">
        <v>127.1666666667</v>
      </c>
    </row>
    <row r="66" spans="6:19" x14ac:dyDescent="0.2">
      <c r="F66" t="s">
        <v>82</v>
      </c>
      <c r="G66">
        <v>175</v>
      </c>
      <c r="H66">
        <v>37</v>
      </c>
      <c r="I66">
        <v>1045.1351351351</v>
      </c>
      <c r="J66">
        <v>10</v>
      </c>
      <c r="K66">
        <v>1608.5</v>
      </c>
      <c r="L66">
        <v>66</v>
      </c>
      <c r="M66">
        <v>719.80303030300001</v>
      </c>
      <c r="N66">
        <v>69</v>
      </c>
      <c r="O66">
        <v>639.37681159420003</v>
      </c>
      <c r="R66">
        <v>3</v>
      </c>
      <c r="S66">
        <v>210</v>
      </c>
    </row>
    <row r="67" spans="6:19" x14ac:dyDescent="0.2">
      <c r="F67" t="s">
        <v>63</v>
      </c>
      <c r="G67">
        <v>5846</v>
      </c>
      <c r="H67">
        <v>3970</v>
      </c>
      <c r="I67">
        <v>272.57808564229998</v>
      </c>
      <c r="J67">
        <v>555</v>
      </c>
      <c r="K67">
        <v>400</v>
      </c>
      <c r="L67">
        <v>1175</v>
      </c>
      <c r="M67">
        <v>391.91148936169998</v>
      </c>
      <c r="N67">
        <v>685</v>
      </c>
      <c r="O67">
        <v>611.94598540150002</v>
      </c>
      <c r="R67">
        <v>16</v>
      </c>
      <c r="S67">
        <v>483.75</v>
      </c>
    </row>
    <row r="68" spans="6:19" x14ac:dyDescent="0.2">
      <c r="F68" t="s">
        <v>431</v>
      </c>
      <c r="G68">
        <v>23</v>
      </c>
      <c r="H68">
        <v>8</v>
      </c>
      <c r="I68">
        <v>494.875</v>
      </c>
      <c r="L68">
        <v>5</v>
      </c>
      <c r="M68">
        <v>847.6</v>
      </c>
      <c r="N68">
        <v>8</v>
      </c>
      <c r="O68">
        <v>220.75</v>
      </c>
      <c r="R68">
        <v>2</v>
      </c>
      <c r="S68">
        <v>345.5</v>
      </c>
    </row>
    <row r="69" spans="6:19" x14ac:dyDescent="0.2">
      <c r="F69" t="s">
        <v>83</v>
      </c>
      <c r="G69">
        <v>9013</v>
      </c>
      <c r="H69">
        <v>6880</v>
      </c>
      <c r="I69">
        <v>238.5777616279</v>
      </c>
      <c r="J69">
        <v>916</v>
      </c>
      <c r="K69">
        <v>439.07751091699998</v>
      </c>
      <c r="L69">
        <v>1212</v>
      </c>
      <c r="M69">
        <v>157.8721122112</v>
      </c>
      <c r="N69">
        <v>911</v>
      </c>
      <c r="O69">
        <v>345.41712403949998</v>
      </c>
      <c r="R69">
        <v>10</v>
      </c>
      <c r="S69">
        <v>189.2</v>
      </c>
    </row>
    <row r="70" spans="6:19" x14ac:dyDescent="0.2">
      <c r="F70" t="s">
        <v>135</v>
      </c>
      <c r="G70">
        <v>83</v>
      </c>
      <c r="H70">
        <v>47</v>
      </c>
      <c r="I70">
        <v>100.8936170213</v>
      </c>
      <c r="J70">
        <v>57</v>
      </c>
      <c r="K70">
        <v>179.47368421050001</v>
      </c>
      <c r="L70">
        <v>11</v>
      </c>
      <c r="M70">
        <v>331.45454545450002</v>
      </c>
      <c r="N70">
        <v>24</v>
      </c>
      <c r="O70">
        <v>427.9166666667</v>
      </c>
      <c r="R70">
        <v>1</v>
      </c>
      <c r="S70">
        <v>227</v>
      </c>
    </row>
    <row r="71" spans="6:19" x14ac:dyDescent="0.2">
      <c r="F71" t="s">
        <v>370</v>
      </c>
      <c r="G71">
        <v>56733</v>
      </c>
      <c r="H71">
        <v>40917</v>
      </c>
      <c r="I71">
        <v>366.76094341930002</v>
      </c>
      <c r="J71">
        <v>4439</v>
      </c>
      <c r="K71">
        <v>491.08335210630003</v>
      </c>
      <c r="L71">
        <v>9905</v>
      </c>
      <c r="M71">
        <v>534.70499747600002</v>
      </c>
      <c r="N71">
        <v>5806</v>
      </c>
      <c r="O71">
        <v>564.66896314159999</v>
      </c>
      <c r="R71">
        <v>105</v>
      </c>
      <c r="S71">
        <v>479.96190476189997</v>
      </c>
    </row>
    <row r="72" spans="6:19" x14ac:dyDescent="0.2">
      <c r="F72" t="s">
        <v>699</v>
      </c>
      <c r="G72">
        <v>328268</v>
      </c>
      <c r="H72">
        <v>238679</v>
      </c>
      <c r="I72">
        <v>405.3933196744</v>
      </c>
      <c r="J72">
        <v>23455</v>
      </c>
      <c r="K72">
        <v>543.3253890428</v>
      </c>
      <c r="L72">
        <v>53868</v>
      </c>
      <c r="M72">
        <v>581.44137521350001</v>
      </c>
      <c r="N72">
        <v>24569</v>
      </c>
      <c r="O72">
        <v>518.50018320239997</v>
      </c>
      <c r="P72">
        <v>10607</v>
      </c>
      <c r="Q72">
        <v>177.4853371051</v>
      </c>
      <c r="R72">
        <v>545</v>
      </c>
      <c r="S72">
        <v>446.29908256879997</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495</v>
      </c>
      <c r="B1" t="s">
        <v>367</v>
      </c>
      <c r="C1" t="s">
        <v>494</v>
      </c>
      <c r="D1" t="s">
        <v>496</v>
      </c>
      <c r="E1" t="s">
        <v>497</v>
      </c>
      <c r="F1" t="s">
        <v>498</v>
      </c>
      <c r="G1" t="s">
        <v>499</v>
      </c>
      <c r="H1" t="s">
        <v>500</v>
      </c>
      <c r="I1" t="s">
        <v>501</v>
      </c>
      <c r="J1" t="s">
        <v>502</v>
      </c>
      <c r="K1" t="s">
        <v>503</v>
      </c>
      <c r="L1" t="s">
        <v>368</v>
      </c>
      <c r="M1" t="s">
        <v>504</v>
      </c>
      <c r="N1" t="s">
        <v>505</v>
      </c>
      <c r="O1" t="s">
        <v>506</v>
      </c>
      <c r="P1" t="s">
        <v>507</v>
      </c>
      <c r="Q1" t="s">
        <v>508</v>
      </c>
      <c r="R1" t="s">
        <v>679</v>
      </c>
    </row>
    <row r="2" spans="1:18" x14ac:dyDescent="0.2">
      <c r="A2">
        <v>1</v>
      </c>
      <c r="B2">
        <v>-99</v>
      </c>
      <c r="C2" t="s">
        <v>438</v>
      </c>
      <c r="D2" t="s">
        <v>699</v>
      </c>
      <c r="E2" t="s">
        <v>438</v>
      </c>
      <c r="F2" t="s">
        <v>699</v>
      </c>
      <c r="G2" t="s">
        <v>438</v>
      </c>
      <c r="H2" t="s">
        <v>6</v>
      </c>
      <c r="I2">
        <v>-99</v>
      </c>
      <c r="J2">
        <v>1</v>
      </c>
      <c r="K2" t="s">
        <v>6</v>
      </c>
      <c r="L2">
        <v>-99</v>
      </c>
      <c r="M2" t="s">
        <v>655</v>
      </c>
      <c r="N2" t="s">
        <v>655</v>
      </c>
      <c r="O2">
        <v>-99</v>
      </c>
      <c r="P2">
        <v>-99</v>
      </c>
      <c r="Q2">
        <v>1</v>
      </c>
      <c r="R2" t="s">
        <v>655</v>
      </c>
    </row>
    <row r="3" spans="1:18" x14ac:dyDescent="0.2">
      <c r="A3">
        <v>2</v>
      </c>
      <c r="B3">
        <v>-99</v>
      </c>
      <c r="C3" t="s">
        <v>439</v>
      </c>
      <c r="D3" t="s">
        <v>6</v>
      </c>
      <c r="E3" t="s">
        <v>439</v>
      </c>
      <c r="F3" t="s">
        <v>1036</v>
      </c>
      <c r="G3" t="s">
        <v>438</v>
      </c>
      <c r="H3" t="s">
        <v>6</v>
      </c>
      <c r="I3">
        <v>-99</v>
      </c>
      <c r="J3">
        <v>1</v>
      </c>
      <c r="K3" t="s">
        <v>6</v>
      </c>
      <c r="L3">
        <v>-99</v>
      </c>
      <c r="M3" t="s">
        <v>655</v>
      </c>
      <c r="N3" t="s">
        <v>655</v>
      </c>
      <c r="O3">
        <v>-99</v>
      </c>
      <c r="P3">
        <v>-99</v>
      </c>
      <c r="Q3">
        <v>1</v>
      </c>
      <c r="R3" t="s">
        <v>655</v>
      </c>
    </row>
    <row r="4" spans="1:18" x14ac:dyDescent="0.2">
      <c r="A4">
        <v>3</v>
      </c>
      <c r="B4">
        <v>-99</v>
      </c>
      <c r="C4" t="s">
        <v>656</v>
      </c>
      <c r="D4" t="s">
        <v>6</v>
      </c>
      <c r="E4" t="s">
        <v>656</v>
      </c>
      <c r="F4" t="s">
        <v>1038</v>
      </c>
      <c r="G4" t="s">
        <v>438</v>
      </c>
      <c r="H4" t="s">
        <v>6</v>
      </c>
      <c r="I4">
        <v>-99</v>
      </c>
      <c r="J4">
        <v>1</v>
      </c>
      <c r="K4" t="s">
        <v>6</v>
      </c>
      <c r="L4">
        <v>-99</v>
      </c>
      <c r="M4" t="s">
        <v>655</v>
      </c>
      <c r="N4" t="s">
        <v>655</v>
      </c>
      <c r="O4">
        <v>-99</v>
      </c>
      <c r="P4">
        <v>-99</v>
      </c>
      <c r="Q4">
        <v>1</v>
      </c>
      <c r="R4" t="s">
        <v>208</v>
      </c>
    </row>
    <row r="5" spans="1:18" x14ac:dyDescent="0.2">
      <c r="A5">
        <v>4</v>
      </c>
      <c r="B5">
        <v>-99</v>
      </c>
      <c r="C5" t="s">
        <v>440</v>
      </c>
      <c r="D5" t="s">
        <v>6</v>
      </c>
      <c r="E5" t="s">
        <v>440</v>
      </c>
      <c r="F5" t="s">
        <v>1044</v>
      </c>
      <c r="G5" t="s">
        <v>438</v>
      </c>
      <c r="H5" t="s">
        <v>6</v>
      </c>
      <c r="I5">
        <v>-99</v>
      </c>
      <c r="J5">
        <v>1</v>
      </c>
      <c r="K5" t="s">
        <v>6</v>
      </c>
      <c r="L5">
        <v>-99</v>
      </c>
      <c r="M5" t="s">
        <v>655</v>
      </c>
      <c r="N5" t="s">
        <v>655</v>
      </c>
      <c r="O5">
        <v>-99</v>
      </c>
      <c r="P5">
        <v>-99</v>
      </c>
      <c r="Q5">
        <v>1</v>
      </c>
      <c r="R5" t="s">
        <v>684</v>
      </c>
    </row>
    <row r="6" spans="1:18" x14ac:dyDescent="0.2">
      <c r="A6">
        <v>5</v>
      </c>
      <c r="B6">
        <v>-99</v>
      </c>
      <c r="C6" t="s">
        <v>441</v>
      </c>
      <c r="D6" t="s">
        <v>6</v>
      </c>
      <c r="E6" t="s">
        <v>441</v>
      </c>
      <c r="F6" t="s">
        <v>696</v>
      </c>
      <c r="G6" t="s">
        <v>438</v>
      </c>
      <c r="H6" t="s">
        <v>6</v>
      </c>
      <c r="I6">
        <v>-99</v>
      </c>
      <c r="J6">
        <v>1</v>
      </c>
      <c r="K6" t="s">
        <v>6</v>
      </c>
      <c r="L6">
        <v>-99</v>
      </c>
      <c r="M6" t="s">
        <v>655</v>
      </c>
      <c r="N6" t="s">
        <v>655</v>
      </c>
      <c r="O6">
        <v>-99</v>
      </c>
      <c r="P6">
        <v>-99</v>
      </c>
      <c r="Q6">
        <v>1</v>
      </c>
      <c r="R6" t="s">
        <v>680</v>
      </c>
    </row>
    <row r="7" spans="1:18" x14ac:dyDescent="0.2">
      <c r="A7">
        <v>6</v>
      </c>
      <c r="B7">
        <v>-99</v>
      </c>
      <c r="C7" t="s">
        <v>442</v>
      </c>
      <c r="D7" t="s">
        <v>6</v>
      </c>
      <c r="E7" t="s">
        <v>442</v>
      </c>
      <c r="F7" t="s">
        <v>1039</v>
      </c>
      <c r="G7" t="s">
        <v>438</v>
      </c>
      <c r="H7" t="s">
        <v>6</v>
      </c>
      <c r="I7">
        <v>-99</v>
      </c>
      <c r="J7">
        <v>1</v>
      </c>
      <c r="K7" t="s">
        <v>6</v>
      </c>
      <c r="L7">
        <v>-99</v>
      </c>
      <c r="M7" t="s">
        <v>655</v>
      </c>
      <c r="N7" t="s">
        <v>655</v>
      </c>
      <c r="O7">
        <v>-99</v>
      </c>
      <c r="P7">
        <v>-99</v>
      </c>
      <c r="Q7">
        <v>1</v>
      </c>
      <c r="R7" t="s">
        <v>681</v>
      </c>
    </row>
    <row r="8" spans="1:18" x14ac:dyDescent="0.2">
      <c r="A8">
        <v>7</v>
      </c>
      <c r="B8">
        <v>-99</v>
      </c>
      <c r="C8" t="s">
        <v>443</v>
      </c>
      <c r="D8" t="s">
        <v>6</v>
      </c>
      <c r="E8" t="s">
        <v>443</v>
      </c>
      <c r="F8" t="s">
        <v>1045</v>
      </c>
      <c r="G8" t="s">
        <v>438</v>
      </c>
      <c r="H8" t="s">
        <v>6</v>
      </c>
      <c r="I8">
        <v>-99</v>
      </c>
      <c r="J8">
        <v>1</v>
      </c>
      <c r="K8" t="s">
        <v>6</v>
      </c>
      <c r="L8">
        <v>-99</v>
      </c>
      <c r="M8" t="s">
        <v>655</v>
      </c>
      <c r="N8" t="s">
        <v>655</v>
      </c>
      <c r="O8">
        <v>-99</v>
      </c>
      <c r="P8">
        <v>-99</v>
      </c>
      <c r="Q8">
        <v>1</v>
      </c>
      <c r="R8" t="s">
        <v>682</v>
      </c>
    </row>
    <row r="9" spans="1:18" x14ac:dyDescent="0.2">
      <c r="A9">
        <v>8</v>
      </c>
      <c r="B9">
        <v>-99</v>
      </c>
      <c r="C9" t="s">
        <v>444</v>
      </c>
      <c r="D9" t="s">
        <v>6</v>
      </c>
      <c r="E9" t="s">
        <v>444</v>
      </c>
      <c r="F9" t="s">
        <v>1046</v>
      </c>
      <c r="G9" t="s">
        <v>438</v>
      </c>
      <c r="H9" t="s">
        <v>6</v>
      </c>
      <c r="I9">
        <v>-99</v>
      </c>
      <c r="J9">
        <v>1</v>
      </c>
      <c r="K9" t="s">
        <v>6</v>
      </c>
      <c r="L9">
        <v>-99</v>
      </c>
      <c r="M9" t="s">
        <v>655</v>
      </c>
      <c r="N9" t="s">
        <v>655</v>
      </c>
      <c r="O9">
        <v>-99</v>
      </c>
      <c r="P9">
        <v>-99</v>
      </c>
      <c r="Q9">
        <v>1</v>
      </c>
      <c r="R9" t="s">
        <v>399</v>
      </c>
    </row>
    <row r="10" spans="1:18" x14ac:dyDescent="0.2">
      <c r="A10">
        <v>9</v>
      </c>
      <c r="B10">
        <v>-99</v>
      </c>
      <c r="C10" t="s">
        <v>445</v>
      </c>
      <c r="D10" t="s">
        <v>6</v>
      </c>
      <c r="E10" t="s">
        <v>445</v>
      </c>
      <c r="F10" t="s">
        <v>1047</v>
      </c>
      <c r="G10" t="s">
        <v>438</v>
      </c>
      <c r="H10" t="s">
        <v>6</v>
      </c>
      <c r="I10">
        <v>-99</v>
      </c>
      <c r="J10">
        <v>1</v>
      </c>
      <c r="K10" t="s">
        <v>6</v>
      </c>
      <c r="L10">
        <v>-99</v>
      </c>
      <c r="M10" t="s">
        <v>655</v>
      </c>
      <c r="N10" t="s">
        <v>655</v>
      </c>
      <c r="O10">
        <v>-99</v>
      </c>
      <c r="P10">
        <v>-99</v>
      </c>
      <c r="Q10">
        <v>1</v>
      </c>
      <c r="R10" t="s">
        <v>685</v>
      </c>
    </row>
    <row r="11" spans="1:18" x14ac:dyDescent="0.2">
      <c r="A11">
        <v>10</v>
      </c>
      <c r="B11">
        <v>-99</v>
      </c>
      <c r="C11" t="s">
        <v>446</v>
      </c>
      <c r="D11" t="s">
        <v>6</v>
      </c>
      <c r="E11" t="s">
        <v>446</v>
      </c>
      <c r="F11" t="s">
        <v>1048</v>
      </c>
      <c r="G11" t="s">
        <v>438</v>
      </c>
      <c r="H11" t="s">
        <v>6</v>
      </c>
      <c r="I11">
        <v>-99</v>
      </c>
      <c r="J11">
        <v>1</v>
      </c>
      <c r="K11" t="s">
        <v>6</v>
      </c>
      <c r="L11">
        <v>-99</v>
      </c>
      <c r="M11" t="s">
        <v>655</v>
      </c>
      <c r="N11" t="s">
        <v>655</v>
      </c>
      <c r="O11">
        <v>-99</v>
      </c>
      <c r="P11">
        <v>-99</v>
      </c>
      <c r="Q11">
        <v>1</v>
      </c>
      <c r="R11" t="s">
        <v>655</v>
      </c>
    </row>
    <row r="12" spans="1:18" x14ac:dyDescent="0.2">
      <c r="A12">
        <v>11</v>
      </c>
      <c r="B12">
        <v>-99</v>
      </c>
      <c r="C12" t="s">
        <v>448</v>
      </c>
      <c r="D12" t="s">
        <v>509</v>
      </c>
      <c r="E12" t="s">
        <v>657</v>
      </c>
      <c r="F12" t="s">
        <v>129</v>
      </c>
      <c r="G12" t="s">
        <v>657</v>
      </c>
      <c r="H12" t="s">
        <v>371</v>
      </c>
      <c r="I12">
        <v>-99</v>
      </c>
      <c r="J12">
        <v>-99</v>
      </c>
      <c r="K12" t="s">
        <v>655</v>
      </c>
      <c r="L12">
        <v>-99</v>
      </c>
      <c r="M12" t="s">
        <v>655</v>
      </c>
      <c r="N12" t="s">
        <v>655</v>
      </c>
      <c r="O12">
        <v>-99</v>
      </c>
      <c r="P12">
        <v>-99</v>
      </c>
      <c r="Q12">
        <v>2</v>
      </c>
      <c r="R12" t="s">
        <v>655</v>
      </c>
    </row>
    <row r="13" spans="1:18" x14ac:dyDescent="0.2">
      <c r="A13">
        <v>12</v>
      </c>
      <c r="B13">
        <v>-99</v>
      </c>
      <c r="C13" t="s">
        <v>450</v>
      </c>
      <c r="D13" t="s">
        <v>509</v>
      </c>
      <c r="E13" t="s">
        <v>658</v>
      </c>
      <c r="F13" t="s">
        <v>130</v>
      </c>
      <c r="G13" t="s">
        <v>658</v>
      </c>
      <c r="H13" t="s">
        <v>378</v>
      </c>
      <c r="I13">
        <v>-99</v>
      </c>
      <c r="J13">
        <v>-99</v>
      </c>
      <c r="K13" t="s">
        <v>655</v>
      </c>
      <c r="L13">
        <v>-99</v>
      </c>
      <c r="M13" t="s">
        <v>655</v>
      </c>
      <c r="N13" t="s">
        <v>655</v>
      </c>
      <c r="O13">
        <v>-99</v>
      </c>
      <c r="P13">
        <v>-99</v>
      </c>
      <c r="Q13">
        <v>2</v>
      </c>
      <c r="R13" t="s">
        <v>655</v>
      </c>
    </row>
    <row r="14" spans="1:18" x14ac:dyDescent="0.2">
      <c r="A14">
        <v>13</v>
      </c>
      <c r="B14">
        <v>-99</v>
      </c>
      <c r="C14" t="s">
        <v>453</v>
      </c>
      <c r="D14" t="s">
        <v>509</v>
      </c>
      <c r="E14" t="s">
        <v>659</v>
      </c>
      <c r="F14" t="s">
        <v>131</v>
      </c>
      <c r="G14" t="s">
        <v>659</v>
      </c>
      <c r="H14" t="s">
        <v>387</v>
      </c>
      <c r="I14">
        <v>-99</v>
      </c>
      <c r="J14">
        <v>-99</v>
      </c>
      <c r="K14" t="s">
        <v>655</v>
      </c>
      <c r="L14">
        <v>-99</v>
      </c>
      <c r="M14" t="s">
        <v>655</v>
      </c>
      <c r="N14" t="s">
        <v>655</v>
      </c>
      <c r="O14">
        <v>-99</v>
      </c>
      <c r="P14">
        <v>-99</v>
      </c>
      <c r="Q14">
        <v>2</v>
      </c>
      <c r="R14" t="s">
        <v>655</v>
      </c>
    </row>
    <row r="15" spans="1:18" x14ac:dyDescent="0.2">
      <c r="A15">
        <v>14</v>
      </c>
      <c r="B15">
        <v>-99</v>
      </c>
      <c r="C15" t="s">
        <v>660</v>
      </c>
      <c r="D15" t="s">
        <v>509</v>
      </c>
      <c r="E15" t="s">
        <v>661</v>
      </c>
      <c r="F15" t="s">
        <v>132</v>
      </c>
      <c r="G15" t="s">
        <v>661</v>
      </c>
      <c r="H15" t="s">
        <v>403</v>
      </c>
      <c r="I15">
        <v>-99</v>
      </c>
      <c r="J15">
        <v>-99</v>
      </c>
      <c r="K15" t="s">
        <v>655</v>
      </c>
      <c r="L15">
        <v>-99</v>
      </c>
      <c r="M15" t="s">
        <v>655</v>
      </c>
      <c r="N15" t="s">
        <v>655</v>
      </c>
      <c r="O15">
        <v>-99</v>
      </c>
      <c r="P15">
        <v>-99</v>
      </c>
      <c r="Q15">
        <v>2</v>
      </c>
      <c r="R15" t="s">
        <v>655</v>
      </c>
    </row>
    <row r="16" spans="1:18" x14ac:dyDescent="0.2">
      <c r="A16">
        <v>15</v>
      </c>
      <c r="B16">
        <v>-99</v>
      </c>
      <c r="C16" t="s">
        <v>663</v>
      </c>
      <c r="D16" t="s">
        <v>430</v>
      </c>
      <c r="E16" t="s">
        <v>663</v>
      </c>
      <c r="F16" t="s">
        <v>430</v>
      </c>
      <c r="G16" t="s">
        <v>655</v>
      </c>
      <c r="H16" t="s">
        <v>655</v>
      </c>
      <c r="I16">
        <v>-99</v>
      </c>
      <c r="J16">
        <v>30</v>
      </c>
      <c r="K16" t="s">
        <v>370</v>
      </c>
      <c r="L16">
        <v>-99</v>
      </c>
      <c r="M16" t="s">
        <v>655</v>
      </c>
      <c r="N16" t="s">
        <v>655</v>
      </c>
      <c r="O16">
        <v>-99</v>
      </c>
      <c r="P16">
        <v>-99</v>
      </c>
      <c r="Q16">
        <v>3</v>
      </c>
      <c r="R16" t="s">
        <v>655</v>
      </c>
    </row>
    <row r="17" spans="1:18" x14ac:dyDescent="0.2">
      <c r="A17">
        <v>16</v>
      </c>
      <c r="B17">
        <v>-99</v>
      </c>
      <c r="C17" t="s">
        <v>662</v>
      </c>
      <c r="D17" t="s">
        <v>436</v>
      </c>
      <c r="E17" t="s">
        <v>662</v>
      </c>
      <c r="F17" t="s">
        <v>436</v>
      </c>
      <c r="G17" t="s">
        <v>655</v>
      </c>
      <c r="H17" t="s">
        <v>655</v>
      </c>
      <c r="I17">
        <v>-99</v>
      </c>
      <c r="J17">
        <v>31</v>
      </c>
      <c r="K17" t="s">
        <v>381</v>
      </c>
      <c r="L17">
        <v>-99</v>
      </c>
      <c r="M17" t="s">
        <v>655</v>
      </c>
      <c r="N17" t="s">
        <v>655</v>
      </c>
      <c r="O17">
        <v>-99</v>
      </c>
      <c r="P17">
        <v>-99</v>
      </c>
      <c r="Q17">
        <v>3</v>
      </c>
      <c r="R17" t="s">
        <v>655</v>
      </c>
    </row>
    <row r="18" spans="1:18" x14ac:dyDescent="0.2">
      <c r="A18">
        <v>17</v>
      </c>
      <c r="B18">
        <v>-99</v>
      </c>
      <c r="C18" t="s">
        <v>664</v>
      </c>
      <c r="D18" t="s">
        <v>434</v>
      </c>
      <c r="E18" t="s">
        <v>664</v>
      </c>
      <c r="F18" t="s">
        <v>434</v>
      </c>
      <c r="G18" t="s">
        <v>655</v>
      </c>
      <c r="H18" t="s">
        <v>655</v>
      </c>
      <c r="I18">
        <v>-99</v>
      </c>
      <c r="J18">
        <v>32</v>
      </c>
      <c r="K18" t="s">
        <v>391</v>
      </c>
      <c r="L18">
        <v>-99</v>
      </c>
      <c r="M18" t="s">
        <v>655</v>
      </c>
      <c r="N18" t="s">
        <v>655</v>
      </c>
      <c r="O18">
        <v>-99</v>
      </c>
      <c r="P18">
        <v>-99</v>
      </c>
      <c r="Q18">
        <v>3</v>
      </c>
      <c r="R18" t="s">
        <v>655</v>
      </c>
    </row>
    <row r="19" spans="1:18" x14ac:dyDescent="0.2">
      <c r="A19">
        <v>18</v>
      </c>
      <c r="B19">
        <v>-99</v>
      </c>
      <c r="C19" t="s">
        <v>665</v>
      </c>
      <c r="D19" t="s">
        <v>433</v>
      </c>
      <c r="E19" t="s">
        <v>665</v>
      </c>
      <c r="F19" t="s">
        <v>433</v>
      </c>
      <c r="G19" t="s">
        <v>655</v>
      </c>
      <c r="H19" t="s">
        <v>655</v>
      </c>
      <c r="I19">
        <v>-99</v>
      </c>
      <c r="J19">
        <v>33</v>
      </c>
      <c r="K19" t="s">
        <v>386</v>
      </c>
      <c r="L19">
        <v>-99</v>
      </c>
      <c r="M19" t="s">
        <v>655</v>
      </c>
      <c r="N19" t="s">
        <v>655</v>
      </c>
      <c r="O19">
        <v>-99</v>
      </c>
      <c r="P19">
        <v>-99</v>
      </c>
      <c r="Q19">
        <v>3</v>
      </c>
      <c r="R19" t="s">
        <v>655</v>
      </c>
    </row>
    <row r="20" spans="1:18" x14ac:dyDescent="0.2">
      <c r="A20">
        <v>19</v>
      </c>
      <c r="B20">
        <v>-99</v>
      </c>
      <c r="C20" t="s">
        <v>666</v>
      </c>
      <c r="D20" t="s">
        <v>435</v>
      </c>
      <c r="E20" t="s">
        <v>666</v>
      </c>
      <c r="F20" t="s">
        <v>435</v>
      </c>
      <c r="G20" t="s">
        <v>655</v>
      </c>
      <c r="H20" t="s">
        <v>655</v>
      </c>
      <c r="I20">
        <v>-99</v>
      </c>
      <c r="J20">
        <v>34</v>
      </c>
      <c r="K20" t="s">
        <v>405</v>
      </c>
      <c r="L20">
        <v>-99</v>
      </c>
      <c r="M20" t="s">
        <v>655</v>
      </c>
      <c r="N20" t="s">
        <v>655</v>
      </c>
      <c r="O20">
        <v>-99</v>
      </c>
      <c r="P20">
        <v>-99</v>
      </c>
      <c r="Q20">
        <v>3</v>
      </c>
      <c r="R20" t="s">
        <v>655</v>
      </c>
    </row>
    <row r="21" spans="1:18" x14ac:dyDescent="0.2">
      <c r="A21">
        <v>20</v>
      </c>
      <c r="B21">
        <v>1</v>
      </c>
      <c r="C21" t="s">
        <v>668</v>
      </c>
      <c r="D21" t="s">
        <v>369</v>
      </c>
      <c r="E21" t="s">
        <v>668</v>
      </c>
      <c r="F21" t="s">
        <v>510</v>
      </c>
      <c r="G21" t="s">
        <v>669</v>
      </c>
      <c r="H21" t="s">
        <v>8</v>
      </c>
      <c r="I21">
        <v>-99</v>
      </c>
      <c r="J21">
        <v>35</v>
      </c>
      <c r="K21" t="s">
        <v>8</v>
      </c>
      <c r="L21">
        <v>8240</v>
      </c>
      <c r="M21" t="s">
        <v>511</v>
      </c>
      <c r="N21" t="s">
        <v>655</v>
      </c>
      <c r="O21">
        <v>1</v>
      </c>
      <c r="P21">
        <v>2</v>
      </c>
      <c r="Q21">
        <v>-99</v>
      </c>
      <c r="R21" t="s">
        <v>655</v>
      </c>
    </row>
    <row r="22" spans="1:18" x14ac:dyDescent="0.2">
      <c r="A22">
        <v>21</v>
      </c>
      <c r="B22">
        <v>8</v>
      </c>
      <c r="C22" t="s">
        <v>136</v>
      </c>
      <c r="D22" t="s">
        <v>35</v>
      </c>
      <c r="E22" t="s">
        <v>512</v>
      </c>
      <c r="F22" t="s">
        <v>513</v>
      </c>
      <c r="G22" t="s">
        <v>657</v>
      </c>
      <c r="H22" t="s">
        <v>371</v>
      </c>
      <c r="I22">
        <v>380</v>
      </c>
      <c r="J22">
        <v>30</v>
      </c>
      <c r="K22" t="s">
        <v>370</v>
      </c>
      <c r="L22">
        <v>8233</v>
      </c>
      <c r="M22" t="s">
        <v>326</v>
      </c>
      <c r="N22" t="s">
        <v>372</v>
      </c>
      <c r="O22">
        <v>1</v>
      </c>
      <c r="P22">
        <v>2</v>
      </c>
      <c r="Q22">
        <v>-99</v>
      </c>
      <c r="R22" t="s">
        <v>683</v>
      </c>
    </row>
    <row r="23" spans="1:18" x14ac:dyDescent="0.2">
      <c r="A23">
        <v>22</v>
      </c>
      <c r="B23">
        <v>9</v>
      </c>
      <c r="C23" t="s">
        <v>137</v>
      </c>
      <c r="D23" t="s">
        <v>67</v>
      </c>
      <c r="E23" t="s">
        <v>514</v>
      </c>
      <c r="F23" t="s">
        <v>515</v>
      </c>
      <c r="G23" t="s">
        <v>657</v>
      </c>
      <c r="H23" t="s">
        <v>371</v>
      </c>
      <c r="I23">
        <v>380</v>
      </c>
      <c r="J23">
        <v>30</v>
      </c>
      <c r="K23" t="s">
        <v>370</v>
      </c>
      <c r="L23">
        <v>8235</v>
      </c>
      <c r="M23" t="s">
        <v>361</v>
      </c>
      <c r="N23" t="s">
        <v>373</v>
      </c>
      <c r="O23">
        <v>1</v>
      </c>
      <c r="P23">
        <v>1</v>
      </c>
      <c r="Q23">
        <v>-99</v>
      </c>
      <c r="R23" t="s">
        <v>683</v>
      </c>
    </row>
    <row r="24" spans="1:18" x14ac:dyDescent="0.2">
      <c r="A24">
        <v>23</v>
      </c>
      <c r="B24">
        <v>-99</v>
      </c>
      <c r="C24" t="s">
        <v>137</v>
      </c>
      <c r="D24" t="s">
        <v>67</v>
      </c>
      <c r="E24" t="s">
        <v>516</v>
      </c>
      <c r="F24" t="s">
        <v>517</v>
      </c>
      <c r="G24" t="s">
        <v>657</v>
      </c>
      <c r="H24" t="s">
        <v>371</v>
      </c>
      <c r="I24">
        <v>380</v>
      </c>
      <c r="J24">
        <v>30</v>
      </c>
      <c r="K24" t="s">
        <v>370</v>
      </c>
      <c r="L24">
        <v>8235</v>
      </c>
      <c r="M24" t="s">
        <v>361</v>
      </c>
      <c r="N24" t="s">
        <v>373</v>
      </c>
      <c r="O24">
        <v>-99</v>
      </c>
      <c r="P24">
        <v>1</v>
      </c>
      <c r="Q24">
        <v>-99</v>
      </c>
      <c r="R24" t="s">
        <v>399</v>
      </c>
    </row>
    <row r="25" spans="1:18" x14ac:dyDescent="0.2">
      <c r="A25">
        <v>24</v>
      </c>
      <c r="B25">
        <v>10</v>
      </c>
      <c r="C25" t="s">
        <v>138</v>
      </c>
      <c r="D25" t="s">
        <v>60</v>
      </c>
      <c r="E25" t="s">
        <v>518</v>
      </c>
      <c r="F25" t="s">
        <v>519</v>
      </c>
      <c r="G25" t="s">
        <v>657</v>
      </c>
      <c r="H25" t="s">
        <v>371</v>
      </c>
      <c r="I25">
        <v>380</v>
      </c>
      <c r="J25">
        <v>30</v>
      </c>
      <c r="K25" t="s">
        <v>370</v>
      </c>
      <c r="L25">
        <v>8237</v>
      </c>
      <c r="M25" t="s">
        <v>336</v>
      </c>
      <c r="N25" t="s">
        <v>60</v>
      </c>
      <c r="O25">
        <v>1</v>
      </c>
      <c r="P25">
        <v>2</v>
      </c>
      <c r="Q25">
        <v>-99</v>
      </c>
      <c r="R25" t="s">
        <v>683</v>
      </c>
    </row>
    <row r="26" spans="1:18" x14ac:dyDescent="0.2">
      <c r="A26">
        <v>25</v>
      </c>
      <c r="B26">
        <v>11</v>
      </c>
      <c r="C26" t="s">
        <v>139</v>
      </c>
      <c r="D26" t="s">
        <v>24</v>
      </c>
      <c r="E26" t="s">
        <v>520</v>
      </c>
      <c r="F26" t="s">
        <v>521</v>
      </c>
      <c r="G26" t="s">
        <v>657</v>
      </c>
      <c r="H26" t="s">
        <v>371</v>
      </c>
      <c r="I26">
        <v>380</v>
      </c>
      <c r="J26">
        <v>30</v>
      </c>
      <c r="K26" t="s">
        <v>370</v>
      </c>
      <c r="L26">
        <v>8238</v>
      </c>
      <c r="M26" t="s">
        <v>336</v>
      </c>
      <c r="N26" t="s">
        <v>60</v>
      </c>
      <c r="O26">
        <v>1</v>
      </c>
      <c r="P26">
        <v>2</v>
      </c>
      <c r="Q26">
        <v>-99</v>
      </c>
      <c r="R26" t="s">
        <v>683</v>
      </c>
    </row>
    <row r="27" spans="1:18" x14ac:dyDescent="0.2">
      <c r="A27">
        <v>26</v>
      </c>
      <c r="B27">
        <v>12</v>
      </c>
      <c r="C27" t="s">
        <v>140</v>
      </c>
      <c r="D27" t="s">
        <v>44</v>
      </c>
      <c r="E27" t="s">
        <v>522</v>
      </c>
      <c r="F27" t="s">
        <v>523</v>
      </c>
      <c r="G27" t="s">
        <v>657</v>
      </c>
      <c r="H27" t="s">
        <v>371</v>
      </c>
      <c r="I27">
        <v>380</v>
      </c>
      <c r="J27">
        <v>30</v>
      </c>
      <c r="K27" t="s">
        <v>370</v>
      </c>
      <c r="L27">
        <v>8239</v>
      </c>
      <c r="M27" t="s">
        <v>354</v>
      </c>
      <c r="N27" t="s">
        <v>374</v>
      </c>
      <c r="O27">
        <v>1</v>
      </c>
      <c r="P27">
        <v>2</v>
      </c>
      <c r="Q27">
        <v>-99</v>
      </c>
      <c r="R27" t="s">
        <v>683</v>
      </c>
    </row>
    <row r="28" spans="1:18" x14ac:dyDescent="0.2">
      <c r="A28">
        <v>27</v>
      </c>
      <c r="B28">
        <v>13</v>
      </c>
      <c r="C28" t="s">
        <v>141</v>
      </c>
      <c r="D28" t="s">
        <v>61</v>
      </c>
      <c r="E28" t="s">
        <v>524</v>
      </c>
      <c r="F28" t="s">
        <v>525</v>
      </c>
      <c r="G28" t="s">
        <v>657</v>
      </c>
      <c r="H28" t="s">
        <v>371</v>
      </c>
      <c r="I28">
        <v>380</v>
      </c>
      <c r="J28">
        <v>30</v>
      </c>
      <c r="K28" t="s">
        <v>370</v>
      </c>
      <c r="L28">
        <v>8241</v>
      </c>
      <c r="M28" t="s">
        <v>358</v>
      </c>
      <c r="N28" t="s">
        <v>375</v>
      </c>
      <c r="O28">
        <v>1</v>
      </c>
      <c r="P28">
        <v>2</v>
      </c>
      <c r="Q28">
        <v>-99</v>
      </c>
      <c r="R28" t="s">
        <v>683</v>
      </c>
    </row>
    <row r="29" spans="1:18" x14ac:dyDescent="0.2">
      <c r="A29">
        <v>28</v>
      </c>
      <c r="B29">
        <v>14</v>
      </c>
      <c r="C29" t="s">
        <v>99</v>
      </c>
      <c r="D29" t="s">
        <v>63</v>
      </c>
      <c r="E29" t="s">
        <v>526</v>
      </c>
      <c r="F29" t="s">
        <v>527</v>
      </c>
      <c r="G29" t="s">
        <v>657</v>
      </c>
      <c r="H29" t="s">
        <v>371</v>
      </c>
      <c r="I29">
        <v>380</v>
      </c>
      <c r="J29">
        <v>30</v>
      </c>
      <c r="K29" t="s">
        <v>370</v>
      </c>
      <c r="L29">
        <v>8242</v>
      </c>
      <c r="M29" t="s">
        <v>348</v>
      </c>
      <c r="N29" t="s">
        <v>376</v>
      </c>
      <c r="O29">
        <v>1</v>
      </c>
      <c r="P29">
        <v>1</v>
      </c>
      <c r="Q29">
        <v>-99</v>
      </c>
      <c r="R29" t="s">
        <v>683</v>
      </c>
    </row>
    <row r="30" spans="1:18" x14ac:dyDescent="0.2">
      <c r="A30">
        <v>29</v>
      </c>
      <c r="B30">
        <v>-99</v>
      </c>
      <c r="C30" t="s">
        <v>99</v>
      </c>
      <c r="D30" t="s">
        <v>63</v>
      </c>
      <c r="E30" t="s">
        <v>528</v>
      </c>
      <c r="F30" t="s">
        <v>210</v>
      </c>
      <c r="G30" t="s">
        <v>657</v>
      </c>
      <c r="H30" t="s">
        <v>371</v>
      </c>
      <c r="I30">
        <v>380</v>
      </c>
      <c r="J30">
        <v>30</v>
      </c>
      <c r="K30" t="s">
        <v>370</v>
      </c>
      <c r="L30">
        <v>8242</v>
      </c>
      <c r="M30" t="s">
        <v>348</v>
      </c>
      <c r="N30" t="s">
        <v>376</v>
      </c>
      <c r="O30">
        <v>-99</v>
      </c>
      <c r="P30">
        <v>1</v>
      </c>
      <c r="Q30">
        <v>-99</v>
      </c>
      <c r="R30" t="s">
        <v>208</v>
      </c>
    </row>
    <row r="31" spans="1:18" x14ac:dyDescent="0.2">
      <c r="A31">
        <v>30</v>
      </c>
      <c r="B31">
        <v>15</v>
      </c>
      <c r="C31" t="s">
        <v>142</v>
      </c>
      <c r="D31" t="s">
        <v>65</v>
      </c>
      <c r="E31" t="s">
        <v>529</v>
      </c>
      <c r="F31" t="s">
        <v>530</v>
      </c>
      <c r="G31" t="s">
        <v>657</v>
      </c>
      <c r="H31" t="s">
        <v>371</v>
      </c>
      <c r="I31">
        <v>380</v>
      </c>
      <c r="J31">
        <v>30</v>
      </c>
      <c r="K31" t="s">
        <v>370</v>
      </c>
      <c r="L31">
        <v>8243</v>
      </c>
      <c r="M31" t="s">
        <v>348</v>
      </c>
      <c r="N31" t="s">
        <v>376</v>
      </c>
      <c r="O31">
        <v>1</v>
      </c>
      <c r="P31">
        <v>1</v>
      </c>
      <c r="Q31">
        <v>-99</v>
      </c>
      <c r="R31" t="s">
        <v>683</v>
      </c>
    </row>
    <row r="32" spans="1:18" x14ac:dyDescent="0.2">
      <c r="A32">
        <v>31</v>
      </c>
      <c r="B32">
        <v>-99</v>
      </c>
      <c r="C32" t="s">
        <v>142</v>
      </c>
      <c r="D32" t="s">
        <v>65</v>
      </c>
      <c r="E32" t="s">
        <v>531</v>
      </c>
      <c r="F32" t="s">
        <v>532</v>
      </c>
      <c r="G32" t="s">
        <v>657</v>
      </c>
      <c r="H32" t="s">
        <v>371</v>
      </c>
      <c r="I32">
        <v>380</v>
      </c>
      <c r="J32">
        <v>30</v>
      </c>
      <c r="K32" t="s">
        <v>370</v>
      </c>
      <c r="L32">
        <v>8243</v>
      </c>
      <c r="M32" t="s">
        <v>348</v>
      </c>
      <c r="N32" t="s">
        <v>376</v>
      </c>
      <c r="O32">
        <v>-99</v>
      </c>
      <c r="P32">
        <v>1</v>
      </c>
      <c r="Q32">
        <v>-99</v>
      </c>
      <c r="R32" t="s">
        <v>682</v>
      </c>
    </row>
    <row r="33" spans="1:18" x14ac:dyDescent="0.2">
      <c r="A33">
        <v>32</v>
      </c>
      <c r="B33">
        <v>16</v>
      </c>
      <c r="C33" t="s">
        <v>143</v>
      </c>
      <c r="D33" t="s">
        <v>33</v>
      </c>
      <c r="E33" t="s">
        <v>533</v>
      </c>
      <c r="F33" t="s">
        <v>534</v>
      </c>
      <c r="G33" t="s">
        <v>657</v>
      </c>
      <c r="H33" t="s">
        <v>371</v>
      </c>
      <c r="I33">
        <v>380</v>
      </c>
      <c r="J33">
        <v>30</v>
      </c>
      <c r="K33" t="s">
        <v>370</v>
      </c>
      <c r="L33">
        <v>8244</v>
      </c>
      <c r="M33" t="s">
        <v>343</v>
      </c>
      <c r="N33" t="s">
        <v>377</v>
      </c>
      <c r="O33">
        <v>1</v>
      </c>
      <c r="P33">
        <v>2</v>
      </c>
      <c r="Q33">
        <v>-99</v>
      </c>
      <c r="R33" t="s">
        <v>683</v>
      </c>
    </row>
    <row r="34" spans="1:18" x14ac:dyDescent="0.2">
      <c r="A34">
        <v>33</v>
      </c>
      <c r="B34">
        <v>23</v>
      </c>
      <c r="C34" t="s">
        <v>103</v>
      </c>
      <c r="D34" t="s">
        <v>69</v>
      </c>
      <c r="E34" t="s">
        <v>535</v>
      </c>
      <c r="F34" t="s">
        <v>536</v>
      </c>
      <c r="G34" t="s">
        <v>658</v>
      </c>
      <c r="H34" t="s">
        <v>378</v>
      </c>
      <c r="I34">
        <v>381</v>
      </c>
      <c r="J34">
        <v>30</v>
      </c>
      <c r="K34" t="s">
        <v>370</v>
      </c>
      <c r="L34">
        <v>8245</v>
      </c>
      <c r="M34" t="s">
        <v>322</v>
      </c>
      <c r="N34" t="s">
        <v>379</v>
      </c>
      <c r="O34">
        <v>1</v>
      </c>
      <c r="P34">
        <v>2</v>
      </c>
      <c r="Q34">
        <v>-99</v>
      </c>
      <c r="R34" t="s">
        <v>683</v>
      </c>
    </row>
    <row r="35" spans="1:18" x14ac:dyDescent="0.2">
      <c r="A35">
        <v>34</v>
      </c>
      <c r="B35">
        <v>24</v>
      </c>
      <c r="C35" t="s">
        <v>144</v>
      </c>
      <c r="D35" t="s">
        <v>47</v>
      </c>
      <c r="E35" t="s">
        <v>537</v>
      </c>
      <c r="F35" t="s">
        <v>538</v>
      </c>
      <c r="G35" t="s">
        <v>658</v>
      </c>
      <c r="H35" t="s">
        <v>378</v>
      </c>
      <c r="I35">
        <v>381</v>
      </c>
      <c r="J35">
        <v>30</v>
      </c>
      <c r="K35" t="s">
        <v>370</v>
      </c>
      <c r="L35">
        <v>8246</v>
      </c>
      <c r="M35" t="s">
        <v>338</v>
      </c>
      <c r="N35" t="s">
        <v>380</v>
      </c>
      <c r="O35">
        <v>1</v>
      </c>
      <c r="P35">
        <v>2</v>
      </c>
      <c r="Q35">
        <v>-99</v>
      </c>
      <c r="R35" t="s">
        <v>683</v>
      </c>
    </row>
    <row r="36" spans="1:18" x14ac:dyDescent="0.2">
      <c r="A36">
        <v>35</v>
      </c>
      <c r="B36">
        <v>30</v>
      </c>
      <c r="C36" t="s">
        <v>145</v>
      </c>
      <c r="D36" t="s">
        <v>25</v>
      </c>
      <c r="E36" t="s">
        <v>539</v>
      </c>
      <c r="F36" t="s">
        <v>540</v>
      </c>
      <c r="G36" t="s">
        <v>658</v>
      </c>
      <c r="H36" t="s">
        <v>378</v>
      </c>
      <c r="I36">
        <v>381</v>
      </c>
      <c r="J36">
        <v>31</v>
      </c>
      <c r="K36" t="s">
        <v>381</v>
      </c>
      <c r="L36">
        <v>8247</v>
      </c>
      <c r="M36" t="s">
        <v>363</v>
      </c>
      <c r="N36" t="s">
        <v>382</v>
      </c>
      <c r="O36">
        <v>1</v>
      </c>
      <c r="P36">
        <v>2</v>
      </c>
      <c r="Q36">
        <v>-99</v>
      </c>
      <c r="R36" t="s">
        <v>683</v>
      </c>
    </row>
    <row r="37" spans="1:18" x14ac:dyDescent="0.2">
      <c r="A37">
        <v>36</v>
      </c>
      <c r="B37">
        <v>194</v>
      </c>
      <c r="C37" t="s">
        <v>146</v>
      </c>
      <c r="D37" t="s">
        <v>77</v>
      </c>
      <c r="E37" t="s">
        <v>541</v>
      </c>
      <c r="F37" t="s">
        <v>542</v>
      </c>
      <c r="G37" t="s">
        <v>658</v>
      </c>
      <c r="H37" t="s">
        <v>378</v>
      </c>
      <c r="I37">
        <v>381</v>
      </c>
      <c r="J37">
        <v>31</v>
      </c>
      <c r="K37" t="s">
        <v>381</v>
      </c>
      <c r="L37">
        <v>8248</v>
      </c>
      <c r="M37" t="s">
        <v>318</v>
      </c>
      <c r="N37" t="s">
        <v>426</v>
      </c>
      <c r="O37">
        <v>1</v>
      </c>
      <c r="P37">
        <v>2</v>
      </c>
      <c r="Q37">
        <v>-99</v>
      </c>
      <c r="R37" t="s">
        <v>683</v>
      </c>
    </row>
    <row r="38" spans="1:18" x14ac:dyDescent="0.2">
      <c r="A38">
        <v>37</v>
      </c>
      <c r="B38">
        <v>34</v>
      </c>
      <c r="C38" t="s">
        <v>147</v>
      </c>
      <c r="D38" t="s">
        <v>83</v>
      </c>
      <c r="E38" t="s">
        <v>543</v>
      </c>
      <c r="F38" t="s">
        <v>544</v>
      </c>
      <c r="G38" t="s">
        <v>658</v>
      </c>
      <c r="H38" t="s">
        <v>378</v>
      </c>
      <c r="I38">
        <v>381</v>
      </c>
      <c r="J38">
        <v>30</v>
      </c>
      <c r="K38" t="s">
        <v>370</v>
      </c>
      <c r="L38">
        <v>8249</v>
      </c>
      <c r="M38" t="s">
        <v>349</v>
      </c>
      <c r="N38" t="s">
        <v>383</v>
      </c>
      <c r="O38">
        <v>1</v>
      </c>
      <c r="P38">
        <v>1</v>
      </c>
      <c r="Q38">
        <v>-99</v>
      </c>
      <c r="R38" t="s">
        <v>683</v>
      </c>
    </row>
    <row r="39" spans="1:18" x14ac:dyDescent="0.2">
      <c r="A39">
        <v>38</v>
      </c>
      <c r="B39">
        <v>-99</v>
      </c>
      <c r="C39" t="s">
        <v>147</v>
      </c>
      <c r="D39" t="s">
        <v>83</v>
      </c>
      <c r="E39" t="s">
        <v>545</v>
      </c>
      <c r="F39" t="s">
        <v>213</v>
      </c>
      <c r="G39" t="s">
        <v>658</v>
      </c>
      <c r="H39" t="s">
        <v>378</v>
      </c>
      <c r="I39">
        <v>381</v>
      </c>
      <c r="J39">
        <v>30</v>
      </c>
      <c r="K39" t="s">
        <v>370</v>
      </c>
      <c r="L39">
        <v>8249</v>
      </c>
      <c r="M39" t="s">
        <v>349</v>
      </c>
      <c r="N39" t="s">
        <v>383</v>
      </c>
      <c r="O39">
        <v>-99</v>
      </c>
      <c r="P39">
        <v>1</v>
      </c>
      <c r="Q39">
        <v>-99</v>
      </c>
      <c r="R39" t="s">
        <v>680</v>
      </c>
    </row>
    <row r="40" spans="1:18" x14ac:dyDescent="0.2">
      <c r="A40">
        <v>39</v>
      </c>
      <c r="B40">
        <v>-99</v>
      </c>
      <c r="C40" t="s">
        <v>147</v>
      </c>
      <c r="D40" t="s">
        <v>83</v>
      </c>
      <c r="E40" t="s">
        <v>546</v>
      </c>
      <c r="F40" t="s">
        <v>958</v>
      </c>
      <c r="G40" t="s">
        <v>658</v>
      </c>
      <c r="H40" t="s">
        <v>378</v>
      </c>
      <c r="I40">
        <v>381</v>
      </c>
      <c r="J40">
        <v>30</v>
      </c>
      <c r="K40" t="s">
        <v>370</v>
      </c>
      <c r="L40">
        <v>8249</v>
      </c>
      <c r="M40" t="s">
        <v>349</v>
      </c>
      <c r="N40" t="s">
        <v>383</v>
      </c>
      <c r="O40">
        <v>-99</v>
      </c>
      <c r="P40">
        <v>1</v>
      </c>
      <c r="Q40">
        <v>-99</v>
      </c>
      <c r="R40" t="s">
        <v>681</v>
      </c>
    </row>
    <row r="41" spans="1:18" x14ac:dyDescent="0.2">
      <c r="A41">
        <v>40</v>
      </c>
      <c r="B41">
        <v>35</v>
      </c>
      <c r="C41" t="s">
        <v>148</v>
      </c>
      <c r="D41" t="s">
        <v>39</v>
      </c>
      <c r="E41" t="s">
        <v>547</v>
      </c>
      <c r="F41" t="s">
        <v>548</v>
      </c>
      <c r="G41" t="s">
        <v>658</v>
      </c>
      <c r="H41" t="s">
        <v>378</v>
      </c>
      <c r="I41">
        <v>381</v>
      </c>
      <c r="J41">
        <v>31</v>
      </c>
      <c r="K41" t="s">
        <v>381</v>
      </c>
      <c r="L41">
        <v>8250</v>
      </c>
      <c r="M41" t="s">
        <v>341</v>
      </c>
      <c r="N41" t="s">
        <v>384</v>
      </c>
      <c r="O41">
        <v>1</v>
      </c>
      <c r="P41">
        <v>2</v>
      </c>
      <c r="Q41">
        <v>-99</v>
      </c>
      <c r="R41" t="s">
        <v>683</v>
      </c>
    </row>
    <row r="42" spans="1:18" x14ac:dyDescent="0.2">
      <c r="A42">
        <v>41</v>
      </c>
      <c r="B42">
        <v>36</v>
      </c>
      <c r="C42" t="s">
        <v>91</v>
      </c>
      <c r="D42" t="s">
        <v>58</v>
      </c>
      <c r="E42" t="s">
        <v>549</v>
      </c>
      <c r="F42" t="s">
        <v>550</v>
      </c>
      <c r="G42" t="s">
        <v>658</v>
      </c>
      <c r="H42" t="s">
        <v>378</v>
      </c>
      <c r="I42">
        <v>381</v>
      </c>
      <c r="J42">
        <v>31</v>
      </c>
      <c r="K42" t="s">
        <v>381</v>
      </c>
      <c r="L42">
        <v>8251</v>
      </c>
      <c r="M42" t="s">
        <v>344</v>
      </c>
      <c r="N42" t="s">
        <v>385</v>
      </c>
      <c r="O42">
        <v>1</v>
      </c>
      <c r="P42">
        <v>2</v>
      </c>
      <c r="Q42">
        <v>-99</v>
      </c>
      <c r="R42" t="s">
        <v>683</v>
      </c>
    </row>
    <row r="43" spans="1:18" x14ac:dyDescent="0.2">
      <c r="A43">
        <v>42</v>
      </c>
      <c r="B43">
        <v>37</v>
      </c>
      <c r="C43" t="s">
        <v>149</v>
      </c>
      <c r="D43" t="s">
        <v>59</v>
      </c>
      <c r="E43" t="s">
        <v>551</v>
      </c>
      <c r="F43" t="s">
        <v>552</v>
      </c>
      <c r="G43" t="s">
        <v>659</v>
      </c>
      <c r="H43" t="s">
        <v>387</v>
      </c>
      <c r="I43">
        <v>382</v>
      </c>
      <c r="J43">
        <v>33</v>
      </c>
      <c r="K43" t="s">
        <v>386</v>
      </c>
      <c r="L43">
        <v>8252</v>
      </c>
      <c r="M43" t="s">
        <v>321</v>
      </c>
      <c r="N43" t="s">
        <v>388</v>
      </c>
      <c r="O43">
        <v>1</v>
      </c>
      <c r="P43">
        <v>2</v>
      </c>
      <c r="Q43">
        <v>-99</v>
      </c>
      <c r="R43" t="s">
        <v>683</v>
      </c>
    </row>
    <row r="44" spans="1:18" x14ac:dyDescent="0.2">
      <c r="A44">
        <v>43</v>
      </c>
      <c r="B44">
        <v>38</v>
      </c>
      <c r="C44" t="s">
        <v>150</v>
      </c>
      <c r="D44" t="s">
        <v>57</v>
      </c>
      <c r="E44" t="s">
        <v>553</v>
      </c>
      <c r="F44" t="s">
        <v>554</v>
      </c>
      <c r="G44" t="s">
        <v>658</v>
      </c>
      <c r="H44" t="s">
        <v>378</v>
      </c>
      <c r="I44">
        <v>381</v>
      </c>
      <c r="J44">
        <v>31</v>
      </c>
      <c r="K44" t="s">
        <v>381</v>
      </c>
      <c r="L44">
        <v>8253</v>
      </c>
      <c r="M44" t="s">
        <v>355</v>
      </c>
      <c r="N44" t="s">
        <v>389</v>
      </c>
      <c r="O44">
        <v>1</v>
      </c>
      <c r="P44">
        <v>2</v>
      </c>
      <c r="Q44">
        <v>-99</v>
      </c>
      <c r="R44" t="s">
        <v>683</v>
      </c>
    </row>
    <row r="45" spans="1:18" x14ac:dyDescent="0.2">
      <c r="A45">
        <v>44</v>
      </c>
      <c r="B45">
        <v>39</v>
      </c>
      <c r="C45" t="s">
        <v>151</v>
      </c>
      <c r="D45" t="s">
        <v>49</v>
      </c>
      <c r="E45" t="s">
        <v>555</v>
      </c>
      <c r="F45" t="s">
        <v>556</v>
      </c>
      <c r="G45" t="s">
        <v>658</v>
      </c>
      <c r="H45" t="s">
        <v>378</v>
      </c>
      <c r="I45">
        <v>381</v>
      </c>
      <c r="J45">
        <v>33</v>
      </c>
      <c r="K45" t="s">
        <v>386</v>
      </c>
      <c r="L45">
        <v>8254</v>
      </c>
      <c r="M45" t="s">
        <v>356</v>
      </c>
      <c r="N45" t="s">
        <v>390</v>
      </c>
      <c r="O45">
        <v>1</v>
      </c>
      <c r="P45">
        <v>1</v>
      </c>
      <c r="Q45">
        <v>-99</v>
      </c>
      <c r="R45" t="s">
        <v>683</v>
      </c>
    </row>
    <row r="46" spans="1:18" x14ac:dyDescent="0.2">
      <c r="A46">
        <v>45</v>
      </c>
      <c r="B46">
        <v>-99</v>
      </c>
      <c r="C46" t="s">
        <v>151</v>
      </c>
      <c r="D46" t="s">
        <v>49</v>
      </c>
      <c r="E46" t="s">
        <v>557</v>
      </c>
      <c r="F46" t="s">
        <v>558</v>
      </c>
      <c r="G46" t="s">
        <v>658</v>
      </c>
      <c r="H46" t="s">
        <v>378</v>
      </c>
      <c r="I46">
        <v>381</v>
      </c>
      <c r="J46">
        <v>33</v>
      </c>
      <c r="K46" t="s">
        <v>386</v>
      </c>
      <c r="L46">
        <v>8254</v>
      </c>
      <c r="M46" t="s">
        <v>356</v>
      </c>
      <c r="N46" t="s">
        <v>390</v>
      </c>
      <c r="O46">
        <v>-99</v>
      </c>
      <c r="P46">
        <v>1</v>
      </c>
      <c r="Q46">
        <v>-99</v>
      </c>
      <c r="R46" t="s">
        <v>684</v>
      </c>
    </row>
    <row r="47" spans="1:18" x14ac:dyDescent="0.2">
      <c r="A47">
        <v>46</v>
      </c>
      <c r="B47">
        <v>52</v>
      </c>
      <c r="C47" t="s">
        <v>152</v>
      </c>
      <c r="D47" t="s">
        <v>38</v>
      </c>
      <c r="E47" t="s">
        <v>559</v>
      </c>
      <c r="F47" t="s">
        <v>560</v>
      </c>
      <c r="G47" t="s">
        <v>657</v>
      </c>
      <c r="H47" t="s">
        <v>371</v>
      </c>
      <c r="I47">
        <v>380</v>
      </c>
      <c r="J47">
        <v>32</v>
      </c>
      <c r="K47" t="s">
        <v>391</v>
      </c>
      <c r="L47">
        <v>8255</v>
      </c>
      <c r="M47" t="s">
        <v>357</v>
      </c>
      <c r="N47" t="s">
        <v>392</v>
      </c>
      <c r="O47">
        <v>1</v>
      </c>
      <c r="P47">
        <v>2</v>
      </c>
      <c r="Q47">
        <v>-99</v>
      </c>
      <c r="R47" t="s">
        <v>683</v>
      </c>
    </row>
    <row r="48" spans="1:18" x14ac:dyDescent="0.2">
      <c r="A48">
        <v>47</v>
      </c>
      <c r="B48">
        <v>53</v>
      </c>
      <c r="C48" t="s">
        <v>153</v>
      </c>
      <c r="D48" t="s">
        <v>48</v>
      </c>
      <c r="E48" t="s">
        <v>561</v>
      </c>
      <c r="F48" t="s">
        <v>562</v>
      </c>
      <c r="G48" t="s">
        <v>657</v>
      </c>
      <c r="H48" t="s">
        <v>371</v>
      </c>
      <c r="I48">
        <v>380</v>
      </c>
      <c r="J48">
        <v>32</v>
      </c>
      <c r="K48" t="s">
        <v>391</v>
      </c>
      <c r="L48">
        <v>8256</v>
      </c>
      <c r="M48" t="s">
        <v>331</v>
      </c>
      <c r="N48" t="s">
        <v>393</v>
      </c>
      <c r="O48">
        <v>1</v>
      </c>
      <c r="P48">
        <v>2</v>
      </c>
      <c r="Q48">
        <v>-99</v>
      </c>
      <c r="R48" t="s">
        <v>683</v>
      </c>
    </row>
    <row r="49" spans="1:18" x14ac:dyDescent="0.2">
      <c r="A49">
        <v>48</v>
      </c>
      <c r="B49">
        <v>54</v>
      </c>
      <c r="C49" t="s">
        <v>154</v>
      </c>
      <c r="D49" t="s">
        <v>53</v>
      </c>
      <c r="E49" t="s">
        <v>563</v>
      </c>
      <c r="F49" t="s">
        <v>564</v>
      </c>
      <c r="G49" t="s">
        <v>658</v>
      </c>
      <c r="H49" t="s">
        <v>378</v>
      </c>
      <c r="I49">
        <v>381</v>
      </c>
      <c r="J49">
        <v>31</v>
      </c>
      <c r="K49" t="s">
        <v>381</v>
      </c>
      <c r="L49">
        <v>8257</v>
      </c>
      <c r="M49" t="s">
        <v>337</v>
      </c>
      <c r="N49" t="s">
        <v>394</v>
      </c>
      <c r="O49">
        <v>1</v>
      </c>
      <c r="P49">
        <v>1</v>
      </c>
      <c r="Q49">
        <v>-99</v>
      </c>
      <c r="R49" t="s">
        <v>683</v>
      </c>
    </row>
    <row r="50" spans="1:18" x14ac:dyDescent="0.2">
      <c r="A50">
        <v>49</v>
      </c>
      <c r="B50">
        <v>-99</v>
      </c>
      <c r="C50" t="s">
        <v>154</v>
      </c>
      <c r="D50" t="s">
        <v>53</v>
      </c>
      <c r="E50" t="s">
        <v>565</v>
      </c>
      <c r="F50" t="s">
        <v>566</v>
      </c>
      <c r="G50" t="s">
        <v>658</v>
      </c>
      <c r="H50" t="s">
        <v>378</v>
      </c>
      <c r="I50">
        <v>381</v>
      </c>
      <c r="J50">
        <v>31</v>
      </c>
      <c r="K50" t="s">
        <v>381</v>
      </c>
      <c r="L50">
        <v>8257</v>
      </c>
      <c r="M50" t="s">
        <v>337</v>
      </c>
      <c r="N50" t="s">
        <v>394</v>
      </c>
      <c r="O50">
        <v>-99</v>
      </c>
      <c r="P50">
        <v>1</v>
      </c>
      <c r="Q50">
        <v>-99</v>
      </c>
      <c r="R50" t="s">
        <v>685</v>
      </c>
    </row>
    <row r="51" spans="1:18" x14ac:dyDescent="0.2">
      <c r="A51">
        <v>50</v>
      </c>
      <c r="B51">
        <v>55</v>
      </c>
      <c r="C51" t="s">
        <v>155</v>
      </c>
      <c r="D51" t="s">
        <v>37</v>
      </c>
      <c r="E51" t="s">
        <v>567</v>
      </c>
      <c r="F51" t="s">
        <v>568</v>
      </c>
      <c r="G51" t="s">
        <v>659</v>
      </c>
      <c r="H51" t="s">
        <v>387</v>
      </c>
      <c r="I51">
        <v>382</v>
      </c>
      <c r="J51">
        <v>32</v>
      </c>
      <c r="K51" t="s">
        <v>391</v>
      </c>
      <c r="L51">
        <v>8258</v>
      </c>
      <c r="M51" t="s">
        <v>350</v>
      </c>
      <c r="N51" t="s">
        <v>395</v>
      </c>
      <c r="O51">
        <v>1</v>
      </c>
      <c r="P51">
        <v>2</v>
      </c>
      <c r="Q51">
        <v>-99</v>
      </c>
      <c r="R51" t="s">
        <v>683</v>
      </c>
    </row>
    <row r="52" spans="1:18" x14ac:dyDescent="0.2">
      <c r="A52">
        <v>51</v>
      </c>
      <c r="B52">
        <v>56</v>
      </c>
      <c r="C52" t="s">
        <v>156</v>
      </c>
      <c r="D52" t="s">
        <v>42</v>
      </c>
      <c r="E52" t="s">
        <v>569</v>
      </c>
      <c r="F52" t="s">
        <v>570</v>
      </c>
      <c r="G52" t="s">
        <v>657</v>
      </c>
      <c r="H52" t="s">
        <v>371</v>
      </c>
      <c r="I52">
        <v>380</v>
      </c>
      <c r="J52">
        <v>32</v>
      </c>
      <c r="K52" t="s">
        <v>391</v>
      </c>
      <c r="L52">
        <v>8259</v>
      </c>
      <c r="M52" t="s">
        <v>327</v>
      </c>
      <c r="N52" t="s">
        <v>396</v>
      </c>
      <c r="O52">
        <v>1</v>
      </c>
      <c r="P52">
        <v>2</v>
      </c>
      <c r="Q52">
        <v>-99</v>
      </c>
      <c r="R52" t="s">
        <v>683</v>
      </c>
    </row>
    <row r="53" spans="1:18" x14ac:dyDescent="0.2">
      <c r="A53">
        <v>52</v>
      </c>
      <c r="B53">
        <v>57</v>
      </c>
      <c r="C53" t="s">
        <v>157</v>
      </c>
      <c r="D53" t="s">
        <v>56</v>
      </c>
      <c r="E53" t="s">
        <v>571</v>
      </c>
      <c r="F53" t="s">
        <v>572</v>
      </c>
      <c r="G53" t="s">
        <v>659</v>
      </c>
      <c r="H53" t="s">
        <v>387</v>
      </c>
      <c r="I53">
        <v>382</v>
      </c>
      <c r="J53">
        <v>32</v>
      </c>
      <c r="K53" t="s">
        <v>391</v>
      </c>
      <c r="L53">
        <v>8260</v>
      </c>
      <c r="M53" t="s">
        <v>317</v>
      </c>
      <c r="N53" t="s">
        <v>397</v>
      </c>
      <c r="O53">
        <v>1</v>
      </c>
      <c r="P53">
        <v>1</v>
      </c>
      <c r="Q53">
        <v>-99</v>
      </c>
      <c r="R53" t="s">
        <v>683</v>
      </c>
    </row>
    <row r="54" spans="1:18" x14ac:dyDescent="0.2">
      <c r="A54">
        <v>53</v>
      </c>
      <c r="B54">
        <v>-99</v>
      </c>
      <c r="C54" t="s">
        <v>157</v>
      </c>
      <c r="D54" t="s">
        <v>56</v>
      </c>
      <c r="E54" t="s">
        <v>573</v>
      </c>
      <c r="F54" t="s">
        <v>209</v>
      </c>
      <c r="G54" t="s">
        <v>659</v>
      </c>
      <c r="H54" t="s">
        <v>387</v>
      </c>
      <c r="I54">
        <v>382</v>
      </c>
      <c r="J54">
        <v>32</v>
      </c>
      <c r="K54" t="s">
        <v>391</v>
      </c>
      <c r="L54">
        <v>8260</v>
      </c>
      <c r="M54" t="s">
        <v>317</v>
      </c>
      <c r="N54" t="s">
        <v>397</v>
      </c>
      <c r="O54">
        <v>-99</v>
      </c>
      <c r="P54">
        <v>1</v>
      </c>
      <c r="Q54">
        <v>-99</v>
      </c>
      <c r="R54" t="s">
        <v>208</v>
      </c>
    </row>
    <row r="55" spans="1:18" x14ac:dyDescent="0.2">
      <c r="A55">
        <v>54</v>
      </c>
      <c r="B55">
        <v>58</v>
      </c>
      <c r="C55" t="s">
        <v>158</v>
      </c>
      <c r="D55" t="s">
        <v>75</v>
      </c>
      <c r="E55" t="s">
        <v>574</v>
      </c>
      <c r="F55" t="s">
        <v>575</v>
      </c>
      <c r="G55" t="s">
        <v>659</v>
      </c>
      <c r="H55" t="s">
        <v>387</v>
      </c>
      <c r="I55">
        <v>382</v>
      </c>
      <c r="J55">
        <v>32</v>
      </c>
      <c r="K55" t="s">
        <v>391</v>
      </c>
      <c r="L55">
        <v>8261</v>
      </c>
      <c r="M55" t="s">
        <v>340</v>
      </c>
      <c r="N55" t="s">
        <v>398</v>
      </c>
      <c r="O55">
        <v>1</v>
      </c>
      <c r="P55">
        <v>2</v>
      </c>
      <c r="Q55">
        <v>-99</v>
      </c>
      <c r="R55" t="s">
        <v>683</v>
      </c>
    </row>
    <row r="56" spans="1:18" x14ac:dyDescent="0.2">
      <c r="A56">
        <v>55</v>
      </c>
      <c r="B56">
        <v>59</v>
      </c>
      <c r="C56" t="s">
        <v>159</v>
      </c>
      <c r="D56" t="s">
        <v>41</v>
      </c>
      <c r="E56" t="s">
        <v>576</v>
      </c>
      <c r="F56" t="s">
        <v>577</v>
      </c>
      <c r="G56" t="s">
        <v>659</v>
      </c>
      <c r="H56" t="s">
        <v>387</v>
      </c>
      <c r="I56">
        <v>382</v>
      </c>
      <c r="J56">
        <v>32</v>
      </c>
      <c r="K56" t="s">
        <v>391</v>
      </c>
      <c r="L56">
        <v>8262</v>
      </c>
      <c r="M56" t="s">
        <v>364</v>
      </c>
      <c r="N56" t="s">
        <v>400</v>
      </c>
      <c r="O56">
        <v>1</v>
      </c>
      <c r="P56">
        <v>2</v>
      </c>
      <c r="Q56">
        <v>-99</v>
      </c>
      <c r="R56" t="s">
        <v>683</v>
      </c>
    </row>
    <row r="57" spans="1:18" x14ac:dyDescent="0.2">
      <c r="A57">
        <v>56</v>
      </c>
      <c r="B57">
        <v>60</v>
      </c>
      <c r="C57" t="s">
        <v>160</v>
      </c>
      <c r="D57" t="s">
        <v>50</v>
      </c>
      <c r="E57" t="s">
        <v>578</v>
      </c>
      <c r="F57" t="s">
        <v>579</v>
      </c>
      <c r="G57" t="s">
        <v>659</v>
      </c>
      <c r="H57" t="s">
        <v>387</v>
      </c>
      <c r="I57">
        <v>382</v>
      </c>
      <c r="J57">
        <v>32</v>
      </c>
      <c r="K57" t="s">
        <v>391</v>
      </c>
      <c r="L57">
        <v>8263</v>
      </c>
      <c r="M57" t="s">
        <v>323</v>
      </c>
      <c r="N57" t="s">
        <v>401</v>
      </c>
      <c r="O57">
        <v>1</v>
      </c>
      <c r="P57">
        <v>2</v>
      </c>
      <c r="Q57">
        <v>-99</v>
      </c>
      <c r="R57" t="s">
        <v>683</v>
      </c>
    </row>
    <row r="58" spans="1:18" x14ac:dyDescent="0.2">
      <c r="A58">
        <v>57</v>
      </c>
      <c r="B58">
        <v>84</v>
      </c>
      <c r="C58" t="s">
        <v>161</v>
      </c>
      <c r="D58" t="s">
        <v>76</v>
      </c>
      <c r="E58" t="s">
        <v>580</v>
      </c>
      <c r="F58" t="s">
        <v>581</v>
      </c>
      <c r="G58" t="s">
        <v>659</v>
      </c>
      <c r="H58" t="s">
        <v>387</v>
      </c>
      <c r="I58">
        <v>382</v>
      </c>
      <c r="J58">
        <v>32</v>
      </c>
      <c r="K58" t="s">
        <v>391</v>
      </c>
      <c r="L58">
        <v>8264</v>
      </c>
      <c r="M58" t="s">
        <v>334</v>
      </c>
      <c r="N58" t="s">
        <v>402</v>
      </c>
      <c r="O58">
        <v>1</v>
      </c>
      <c r="P58">
        <v>1</v>
      </c>
      <c r="Q58">
        <v>-99</v>
      </c>
      <c r="R58" t="s">
        <v>683</v>
      </c>
    </row>
    <row r="59" spans="1:18" x14ac:dyDescent="0.2">
      <c r="A59">
        <v>58</v>
      </c>
      <c r="B59">
        <v>-99</v>
      </c>
      <c r="C59" t="s">
        <v>161</v>
      </c>
      <c r="D59" t="s">
        <v>76</v>
      </c>
      <c r="E59" t="s">
        <v>582</v>
      </c>
      <c r="F59" t="s">
        <v>492</v>
      </c>
      <c r="G59" t="s">
        <v>659</v>
      </c>
      <c r="H59" t="s">
        <v>387</v>
      </c>
      <c r="I59">
        <v>382</v>
      </c>
      <c r="J59">
        <v>32</v>
      </c>
      <c r="K59" t="s">
        <v>391</v>
      </c>
      <c r="L59">
        <v>8264</v>
      </c>
      <c r="M59" t="s">
        <v>334</v>
      </c>
      <c r="N59" t="s">
        <v>402</v>
      </c>
      <c r="O59">
        <v>-99</v>
      </c>
      <c r="P59">
        <v>1</v>
      </c>
      <c r="Q59">
        <v>-99</v>
      </c>
      <c r="R59" t="s">
        <v>655</v>
      </c>
    </row>
    <row r="60" spans="1:18" x14ac:dyDescent="0.2">
      <c r="A60">
        <v>59</v>
      </c>
      <c r="B60">
        <v>-99</v>
      </c>
      <c r="C60" t="s">
        <v>161</v>
      </c>
      <c r="D60" t="s">
        <v>76</v>
      </c>
      <c r="E60" t="s">
        <v>583</v>
      </c>
      <c r="F60" t="s">
        <v>212</v>
      </c>
      <c r="G60" t="s">
        <v>659</v>
      </c>
      <c r="H60" t="s">
        <v>387</v>
      </c>
      <c r="I60">
        <v>382</v>
      </c>
      <c r="J60">
        <v>32</v>
      </c>
      <c r="K60" t="s">
        <v>391</v>
      </c>
      <c r="L60">
        <v>8264</v>
      </c>
      <c r="M60" t="s">
        <v>334</v>
      </c>
      <c r="N60" t="s">
        <v>402</v>
      </c>
      <c r="O60">
        <v>-99</v>
      </c>
      <c r="P60">
        <v>1</v>
      </c>
      <c r="Q60">
        <v>-99</v>
      </c>
      <c r="R60" t="s">
        <v>208</v>
      </c>
    </row>
    <row r="61" spans="1:18" x14ac:dyDescent="0.2">
      <c r="A61">
        <v>60</v>
      </c>
      <c r="B61">
        <v>100</v>
      </c>
      <c r="C61" t="s">
        <v>162</v>
      </c>
      <c r="D61" t="s">
        <v>40</v>
      </c>
      <c r="E61" t="s">
        <v>584</v>
      </c>
      <c r="F61" t="s">
        <v>585</v>
      </c>
      <c r="G61" t="s">
        <v>661</v>
      </c>
      <c r="H61" t="s">
        <v>403</v>
      </c>
      <c r="I61">
        <v>383</v>
      </c>
      <c r="J61">
        <v>33</v>
      </c>
      <c r="K61" t="s">
        <v>386</v>
      </c>
      <c r="L61">
        <v>8268</v>
      </c>
      <c r="M61" t="s">
        <v>351</v>
      </c>
      <c r="N61" t="s">
        <v>404</v>
      </c>
      <c r="O61">
        <v>1</v>
      </c>
      <c r="P61">
        <v>2</v>
      </c>
      <c r="Q61">
        <v>-99</v>
      </c>
      <c r="R61" t="s">
        <v>683</v>
      </c>
    </row>
    <row r="62" spans="1:18" x14ac:dyDescent="0.2">
      <c r="A62">
        <v>61</v>
      </c>
      <c r="B62">
        <v>101</v>
      </c>
      <c r="C62" t="s">
        <v>163</v>
      </c>
      <c r="D62" t="s">
        <v>31</v>
      </c>
      <c r="E62" t="s">
        <v>586</v>
      </c>
      <c r="F62" t="s">
        <v>587</v>
      </c>
      <c r="G62" t="s">
        <v>661</v>
      </c>
      <c r="H62" t="s">
        <v>403</v>
      </c>
      <c r="I62">
        <v>383</v>
      </c>
      <c r="J62">
        <v>34</v>
      </c>
      <c r="K62" t="s">
        <v>405</v>
      </c>
      <c r="L62">
        <v>8269</v>
      </c>
      <c r="M62" t="s">
        <v>319</v>
      </c>
      <c r="N62" t="s">
        <v>406</v>
      </c>
      <c r="O62">
        <v>1</v>
      </c>
      <c r="P62">
        <v>2</v>
      </c>
      <c r="Q62">
        <v>-99</v>
      </c>
      <c r="R62" t="s">
        <v>683</v>
      </c>
    </row>
    <row r="63" spans="1:18" x14ac:dyDescent="0.2">
      <c r="A63">
        <v>62</v>
      </c>
      <c r="B63">
        <v>102</v>
      </c>
      <c r="C63" t="s">
        <v>164</v>
      </c>
      <c r="D63" t="s">
        <v>70</v>
      </c>
      <c r="E63" t="s">
        <v>588</v>
      </c>
      <c r="F63" t="s">
        <v>589</v>
      </c>
      <c r="G63" t="s">
        <v>661</v>
      </c>
      <c r="H63" t="s">
        <v>403</v>
      </c>
      <c r="I63">
        <v>383</v>
      </c>
      <c r="J63">
        <v>33</v>
      </c>
      <c r="K63" t="s">
        <v>386</v>
      </c>
      <c r="L63">
        <v>8270</v>
      </c>
      <c r="M63" t="s">
        <v>345</v>
      </c>
      <c r="N63" t="s">
        <v>407</v>
      </c>
      <c r="O63">
        <v>1</v>
      </c>
      <c r="P63">
        <v>1</v>
      </c>
      <c r="Q63">
        <v>-99</v>
      </c>
      <c r="R63" t="s">
        <v>683</v>
      </c>
    </row>
    <row r="64" spans="1:18" x14ac:dyDescent="0.2">
      <c r="A64">
        <v>63</v>
      </c>
      <c r="B64">
        <v>-99</v>
      </c>
      <c r="C64" t="s">
        <v>164</v>
      </c>
      <c r="D64" t="s">
        <v>70</v>
      </c>
      <c r="E64" t="s">
        <v>590</v>
      </c>
      <c r="F64" t="s">
        <v>211</v>
      </c>
      <c r="G64" t="s">
        <v>661</v>
      </c>
      <c r="H64" t="s">
        <v>403</v>
      </c>
      <c r="I64">
        <v>383</v>
      </c>
      <c r="J64">
        <v>33</v>
      </c>
      <c r="K64" t="s">
        <v>386</v>
      </c>
      <c r="L64">
        <v>8270</v>
      </c>
      <c r="M64" t="s">
        <v>345</v>
      </c>
      <c r="N64" t="s">
        <v>407</v>
      </c>
      <c r="O64">
        <v>-99</v>
      </c>
      <c r="P64">
        <v>1</v>
      </c>
      <c r="Q64">
        <v>-99</v>
      </c>
      <c r="R64" t="s">
        <v>680</v>
      </c>
    </row>
    <row r="65" spans="1:18" x14ac:dyDescent="0.2">
      <c r="A65">
        <v>64</v>
      </c>
      <c r="B65">
        <v>103</v>
      </c>
      <c r="C65" t="s">
        <v>165</v>
      </c>
      <c r="D65" t="s">
        <v>62</v>
      </c>
      <c r="E65" t="s">
        <v>591</v>
      </c>
      <c r="F65" t="s">
        <v>592</v>
      </c>
      <c r="G65" t="s">
        <v>661</v>
      </c>
      <c r="H65" t="s">
        <v>403</v>
      </c>
      <c r="I65">
        <v>383</v>
      </c>
      <c r="J65">
        <v>34</v>
      </c>
      <c r="K65" t="s">
        <v>405</v>
      </c>
      <c r="L65">
        <v>8272</v>
      </c>
      <c r="M65" t="s">
        <v>333</v>
      </c>
      <c r="N65" t="s">
        <v>408</v>
      </c>
      <c r="O65">
        <v>1</v>
      </c>
      <c r="P65">
        <v>2</v>
      </c>
      <c r="Q65">
        <v>-99</v>
      </c>
      <c r="R65" t="s">
        <v>683</v>
      </c>
    </row>
    <row r="66" spans="1:18" x14ac:dyDescent="0.2">
      <c r="A66">
        <v>65</v>
      </c>
      <c r="B66">
        <v>104</v>
      </c>
      <c r="C66" t="s">
        <v>166</v>
      </c>
      <c r="D66" t="s">
        <v>52</v>
      </c>
      <c r="E66" t="s">
        <v>593</v>
      </c>
      <c r="F66" t="s">
        <v>594</v>
      </c>
      <c r="G66" t="s">
        <v>661</v>
      </c>
      <c r="H66" t="s">
        <v>403</v>
      </c>
      <c r="I66">
        <v>383</v>
      </c>
      <c r="J66">
        <v>34</v>
      </c>
      <c r="K66" t="s">
        <v>405</v>
      </c>
      <c r="L66">
        <v>8221</v>
      </c>
      <c r="M66" t="s">
        <v>333</v>
      </c>
      <c r="N66" t="s">
        <v>408</v>
      </c>
      <c r="O66">
        <v>1</v>
      </c>
      <c r="P66">
        <v>2</v>
      </c>
      <c r="Q66">
        <v>-99</v>
      </c>
      <c r="R66" t="s">
        <v>683</v>
      </c>
    </row>
    <row r="67" spans="1:18" x14ac:dyDescent="0.2">
      <c r="A67">
        <v>66</v>
      </c>
      <c r="B67">
        <v>196</v>
      </c>
      <c r="C67" t="s">
        <v>167</v>
      </c>
      <c r="D67" t="s">
        <v>64</v>
      </c>
      <c r="E67" t="s">
        <v>595</v>
      </c>
      <c r="F67" t="s">
        <v>596</v>
      </c>
      <c r="G67" t="s">
        <v>661</v>
      </c>
      <c r="H67" t="s">
        <v>403</v>
      </c>
      <c r="I67">
        <v>383</v>
      </c>
      <c r="J67">
        <v>34</v>
      </c>
      <c r="K67" t="s">
        <v>405</v>
      </c>
      <c r="L67">
        <v>8202</v>
      </c>
      <c r="M67" t="s">
        <v>346</v>
      </c>
      <c r="N67" t="s">
        <v>427</v>
      </c>
      <c r="O67">
        <v>1</v>
      </c>
      <c r="P67">
        <v>2</v>
      </c>
      <c r="Q67">
        <v>-99</v>
      </c>
      <c r="R67" t="s">
        <v>683</v>
      </c>
    </row>
    <row r="68" spans="1:18" x14ac:dyDescent="0.2">
      <c r="A68">
        <v>67</v>
      </c>
      <c r="B68">
        <v>110</v>
      </c>
      <c r="C68" t="s">
        <v>168</v>
      </c>
      <c r="D68" t="s">
        <v>73</v>
      </c>
      <c r="E68" t="s">
        <v>597</v>
      </c>
      <c r="F68" t="s">
        <v>598</v>
      </c>
      <c r="G68" t="s">
        <v>661</v>
      </c>
      <c r="H68" t="s">
        <v>403</v>
      </c>
      <c r="I68">
        <v>383</v>
      </c>
      <c r="J68">
        <v>34</v>
      </c>
      <c r="K68" t="s">
        <v>405</v>
      </c>
      <c r="L68">
        <v>8203</v>
      </c>
      <c r="M68" t="s">
        <v>330</v>
      </c>
      <c r="N68" t="s">
        <v>80</v>
      </c>
      <c r="O68">
        <v>1</v>
      </c>
      <c r="P68">
        <v>1</v>
      </c>
      <c r="Q68">
        <v>-99</v>
      </c>
      <c r="R68" t="s">
        <v>683</v>
      </c>
    </row>
    <row r="69" spans="1:18" x14ac:dyDescent="0.2">
      <c r="A69">
        <v>68</v>
      </c>
      <c r="B69">
        <v>-99</v>
      </c>
      <c r="C69" t="s">
        <v>168</v>
      </c>
      <c r="D69" t="s">
        <v>73</v>
      </c>
      <c r="E69" t="s">
        <v>599</v>
      </c>
      <c r="F69" t="s">
        <v>600</v>
      </c>
      <c r="G69" t="s">
        <v>661</v>
      </c>
      <c r="H69" t="s">
        <v>403</v>
      </c>
      <c r="I69">
        <v>383</v>
      </c>
      <c r="J69">
        <v>34</v>
      </c>
      <c r="K69" t="s">
        <v>405</v>
      </c>
      <c r="L69">
        <v>8203</v>
      </c>
      <c r="M69" t="s">
        <v>330</v>
      </c>
      <c r="N69" t="s">
        <v>80</v>
      </c>
      <c r="O69">
        <v>-99</v>
      </c>
      <c r="P69">
        <v>1</v>
      </c>
      <c r="Q69">
        <v>-99</v>
      </c>
      <c r="R69" t="s">
        <v>399</v>
      </c>
    </row>
    <row r="70" spans="1:18" x14ac:dyDescent="0.2">
      <c r="A70">
        <v>69</v>
      </c>
      <c r="B70">
        <v>111</v>
      </c>
      <c r="C70" t="s">
        <v>169</v>
      </c>
      <c r="D70" t="s">
        <v>34</v>
      </c>
      <c r="E70" t="s">
        <v>601</v>
      </c>
      <c r="F70" t="s">
        <v>602</v>
      </c>
      <c r="G70" t="s">
        <v>661</v>
      </c>
      <c r="H70" t="s">
        <v>403</v>
      </c>
      <c r="I70">
        <v>383</v>
      </c>
      <c r="J70">
        <v>34</v>
      </c>
      <c r="K70" t="s">
        <v>405</v>
      </c>
      <c r="L70">
        <v>8204</v>
      </c>
      <c r="M70" t="s">
        <v>335</v>
      </c>
      <c r="N70" t="s">
        <v>409</v>
      </c>
      <c r="O70">
        <v>1</v>
      </c>
      <c r="P70">
        <v>2</v>
      </c>
      <c r="Q70">
        <v>-99</v>
      </c>
      <c r="R70" t="s">
        <v>683</v>
      </c>
    </row>
    <row r="71" spans="1:18" x14ac:dyDescent="0.2">
      <c r="A71">
        <v>70</v>
      </c>
      <c r="B71">
        <v>112</v>
      </c>
      <c r="C71" t="s">
        <v>170</v>
      </c>
      <c r="D71" t="s">
        <v>66</v>
      </c>
      <c r="E71" t="s">
        <v>603</v>
      </c>
      <c r="F71" t="s">
        <v>604</v>
      </c>
      <c r="G71" t="s">
        <v>661</v>
      </c>
      <c r="H71" t="s">
        <v>403</v>
      </c>
      <c r="I71">
        <v>383</v>
      </c>
      <c r="J71">
        <v>34</v>
      </c>
      <c r="K71" t="s">
        <v>405</v>
      </c>
      <c r="L71">
        <v>8205</v>
      </c>
      <c r="M71" t="s">
        <v>352</v>
      </c>
      <c r="N71" t="s">
        <v>410</v>
      </c>
      <c r="O71">
        <v>1</v>
      </c>
      <c r="P71">
        <v>2</v>
      </c>
      <c r="Q71">
        <v>-99</v>
      </c>
      <c r="R71" t="s">
        <v>683</v>
      </c>
    </row>
    <row r="72" spans="1:18" x14ac:dyDescent="0.2">
      <c r="A72">
        <v>71</v>
      </c>
      <c r="B72">
        <v>113</v>
      </c>
      <c r="C72" t="s">
        <v>171</v>
      </c>
      <c r="D72" t="s">
        <v>79</v>
      </c>
      <c r="E72" t="s">
        <v>605</v>
      </c>
      <c r="F72" t="s">
        <v>606</v>
      </c>
      <c r="G72" t="s">
        <v>659</v>
      </c>
      <c r="H72" t="s">
        <v>387</v>
      </c>
      <c r="I72">
        <v>382</v>
      </c>
      <c r="J72">
        <v>33</v>
      </c>
      <c r="K72" t="s">
        <v>386</v>
      </c>
      <c r="L72">
        <v>8206</v>
      </c>
      <c r="M72" t="s">
        <v>328</v>
      </c>
      <c r="N72" t="s">
        <v>411</v>
      </c>
      <c r="O72">
        <v>1</v>
      </c>
      <c r="P72">
        <v>2</v>
      </c>
      <c r="Q72">
        <v>-99</v>
      </c>
      <c r="R72" t="s">
        <v>683</v>
      </c>
    </row>
    <row r="73" spans="1:18" x14ac:dyDescent="0.2">
      <c r="A73">
        <v>72</v>
      </c>
      <c r="B73">
        <v>114</v>
      </c>
      <c r="C73" t="s">
        <v>172</v>
      </c>
      <c r="D73" t="s">
        <v>51</v>
      </c>
      <c r="E73" t="s">
        <v>607</v>
      </c>
      <c r="F73" t="s">
        <v>608</v>
      </c>
      <c r="G73" t="s">
        <v>659</v>
      </c>
      <c r="H73" t="s">
        <v>387</v>
      </c>
      <c r="I73">
        <v>382</v>
      </c>
      <c r="J73">
        <v>33</v>
      </c>
      <c r="K73" t="s">
        <v>386</v>
      </c>
      <c r="L73">
        <v>8207</v>
      </c>
      <c r="M73" t="s">
        <v>316</v>
      </c>
      <c r="N73" t="s">
        <v>412</v>
      </c>
      <c r="O73">
        <v>1</v>
      </c>
      <c r="P73">
        <v>2</v>
      </c>
      <c r="Q73">
        <v>-99</v>
      </c>
      <c r="R73" t="s">
        <v>683</v>
      </c>
    </row>
    <row r="74" spans="1:18" x14ac:dyDescent="0.2">
      <c r="A74">
        <v>73</v>
      </c>
      <c r="B74">
        <v>115</v>
      </c>
      <c r="C74" t="s">
        <v>173</v>
      </c>
      <c r="D74" t="s">
        <v>27</v>
      </c>
      <c r="E74" t="s">
        <v>609</v>
      </c>
      <c r="F74" t="s">
        <v>610</v>
      </c>
      <c r="G74" t="s">
        <v>659</v>
      </c>
      <c r="H74" t="s">
        <v>387</v>
      </c>
      <c r="I74">
        <v>382</v>
      </c>
      <c r="J74">
        <v>33</v>
      </c>
      <c r="K74" t="s">
        <v>386</v>
      </c>
      <c r="L74">
        <v>8208</v>
      </c>
      <c r="M74" t="s">
        <v>339</v>
      </c>
      <c r="N74" t="s">
        <v>413</v>
      </c>
      <c r="O74">
        <v>1</v>
      </c>
      <c r="P74">
        <v>2</v>
      </c>
      <c r="Q74">
        <v>-99</v>
      </c>
      <c r="R74" t="s">
        <v>683</v>
      </c>
    </row>
    <row r="75" spans="1:18" x14ac:dyDescent="0.2">
      <c r="A75">
        <v>74</v>
      </c>
      <c r="B75">
        <v>116</v>
      </c>
      <c r="C75" t="s">
        <v>174</v>
      </c>
      <c r="D75" t="s">
        <v>68</v>
      </c>
      <c r="E75" t="s">
        <v>611</v>
      </c>
      <c r="F75" t="s">
        <v>612</v>
      </c>
      <c r="G75" t="s">
        <v>661</v>
      </c>
      <c r="H75" t="s">
        <v>403</v>
      </c>
      <c r="I75">
        <v>383</v>
      </c>
      <c r="J75">
        <v>34</v>
      </c>
      <c r="K75" t="s">
        <v>405</v>
      </c>
      <c r="L75">
        <v>8210</v>
      </c>
      <c r="M75" t="s">
        <v>329</v>
      </c>
      <c r="N75" t="s">
        <v>414</v>
      </c>
      <c r="O75">
        <v>1</v>
      </c>
      <c r="P75">
        <v>2</v>
      </c>
      <c r="Q75">
        <v>-99</v>
      </c>
      <c r="R75" t="s">
        <v>683</v>
      </c>
    </row>
    <row r="76" spans="1:18" x14ac:dyDescent="0.2">
      <c r="A76">
        <v>75</v>
      </c>
      <c r="B76">
        <v>197</v>
      </c>
      <c r="C76" t="s">
        <v>175</v>
      </c>
      <c r="D76" t="s">
        <v>72</v>
      </c>
      <c r="E76" t="s">
        <v>613</v>
      </c>
      <c r="F76" t="s">
        <v>614</v>
      </c>
      <c r="G76" t="s">
        <v>658</v>
      </c>
      <c r="H76" t="s">
        <v>378</v>
      </c>
      <c r="I76">
        <v>381</v>
      </c>
      <c r="J76">
        <v>31</v>
      </c>
      <c r="K76" t="s">
        <v>381</v>
      </c>
      <c r="L76">
        <v>8211</v>
      </c>
      <c r="M76" t="s">
        <v>332</v>
      </c>
      <c r="N76" t="s">
        <v>428</v>
      </c>
      <c r="O76">
        <v>1</v>
      </c>
      <c r="P76">
        <v>2</v>
      </c>
      <c r="Q76">
        <v>-99</v>
      </c>
      <c r="R76" t="s">
        <v>683</v>
      </c>
    </row>
    <row r="77" spans="1:18" x14ac:dyDescent="0.2">
      <c r="A77">
        <v>76</v>
      </c>
      <c r="B77">
        <v>119</v>
      </c>
      <c r="C77" t="s">
        <v>176</v>
      </c>
      <c r="D77" t="s">
        <v>55</v>
      </c>
      <c r="E77" t="s">
        <v>615</v>
      </c>
      <c r="F77" t="s">
        <v>616</v>
      </c>
      <c r="G77" t="s">
        <v>661</v>
      </c>
      <c r="H77" t="s">
        <v>403</v>
      </c>
      <c r="I77">
        <v>383</v>
      </c>
      <c r="J77">
        <v>34</v>
      </c>
      <c r="K77" t="s">
        <v>405</v>
      </c>
      <c r="L77">
        <v>8223</v>
      </c>
      <c r="M77" t="s">
        <v>617</v>
      </c>
      <c r="N77" t="s">
        <v>618</v>
      </c>
      <c r="O77">
        <v>1</v>
      </c>
      <c r="P77">
        <v>2</v>
      </c>
      <c r="Q77">
        <v>-99</v>
      </c>
      <c r="R77" t="s">
        <v>683</v>
      </c>
    </row>
    <row r="78" spans="1:18" x14ac:dyDescent="0.2">
      <c r="A78">
        <v>77</v>
      </c>
      <c r="B78">
        <v>131</v>
      </c>
      <c r="C78" t="s">
        <v>177</v>
      </c>
      <c r="D78" t="s">
        <v>46</v>
      </c>
      <c r="E78" t="s">
        <v>619</v>
      </c>
      <c r="F78" t="s">
        <v>620</v>
      </c>
      <c r="G78" t="s">
        <v>659</v>
      </c>
      <c r="H78" t="s">
        <v>387</v>
      </c>
      <c r="I78">
        <v>382</v>
      </c>
      <c r="J78">
        <v>33</v>
      </c>
      <c r="K78" t="s">
        <v>386</v>
      </c>
      <c r="L78">
        <v>8226</v>
      </c>
      <c r="M78" t="s">
        <v>328</v>
      </c>
      <c r="N78" t="s">
        <v>411</v>
      </c>
      <c r="O78">
        <v>1</v>
      </c>
      <c r="P78">
        <v>2</v>
      </c>
      <c r="Q78">
        <v>-99</v>
      </c>
      <c r="R78" t="s">
        <v>683</v>
      </c>
    </row>
    <row r="79" spans="1:18" x14ac:dyDescent="0.2">
      <c r="A79">
        <v>78</v>
      </c>
      <c r="B79">
        <v>132</v>
      </c>
      <c r="C79" t="s">
        <v>670</v>
      </c>
      <c r="D79" t="s">
        <v>431</v>
      </c>
      <c r="E79" t="s">
        <v>621</v>
      </c>
      <c r="F79" t="s">
        <v>671</v>
      </c>
      <c r="G79" t="s">
        <v>658</v>
      </c>
      <c r="H79" t="s">
        <v>378</v>
      </c>
      <c r="I79">
        <v>381</v>
      </c>
      <c r="J79">
        <v>30</v>
      </c>
      <c r="K79" t="s">
        <v>370</v>
      </c>
      <c r="L79">
        <v>8229</v>
      </c>
      <c r="M79" t="s">
        <v>347</v>
      </c>
      <c r="N79" t="s">
        <v>415</v>
      </c>
      <c r="O79">
        <v>1</v>
      </c>
      <c r="P79">
        <v>2</v>
      </c>
      <c r="Q79">
        <v>-99</v>
      </c>
      <c r="R79" t="s">
        <v>683</v>
      </c>
    </row>
    <row r="80" spans="1:18" x14ac:dyDescent="0.2">
      <c r="A80">
        <v>79</v>
      </c>
      <c r="B80">
        <v>143</v>
      </c>
      <c r="C80" t="s">
        <v>178</v>
      </c>
      <c r="D80" t="s">
        <v>54</v>
      </c>
      <c r="E80" t="s">
        <v>622</v>
      </c>
      <c r="F80" t="s">
        <v>623</v>
      </c>
      <c r="G80" t="s">
        <v>657</v>
      </c>
      <c r="H80" t="s">
        <v>371</v>
      </c>
      <c r="I80">
        <v>380</v>
      </c>
      <c r="J80">
        <v>30</v>
      </c>
      <c r="K80" t="s">
        <v>370</v>
      </c>
      <c r="L80">
        <v>8230</v>
      </c>
      <c r="M80" t="s">
        <v>360</v>
      </c>
      <c r="N80" t="s">
        <v>416</v>
      </c>
      <c r="O80">
        <v>1</v>
      </c>
      <c r="P80">
        <v>2</v>
      </c>
      <c r="Q80">
        <v>-99</v>
      </c>
      <c r="R80" t="s">
        <v>683</v>
      </c>
    </row>
    <row r="81" spans="1:18" x14ac:dyDescent="0.2">
      <c r="A81">
        <v>80</v>
      </c>
      <c r="B81">
        <v>144</v>
      </c>
      <c r="C81" t="s">
        <v>672</v>
      </c>
      <c r="D81" t="s">
        <v>490</v>
      </c>
      <c r="E81" t="s">
        <v>672</v>
      </c>
      <c r="F81" t="s">
        <v>490</v>
      </c>
      <c r="G81" t="s">
        <v>669</v>
      </c>
      <c r="H81" t="s">
        <v>8</v>
      </c>
      <c r="I81">
        <v>-99</v>
      </c>
      <c r="J81">
        <v>35</v>
      </c>
      <c r="K81" t="s">
        <v>8</v>
      </c>
      <c r="L81">
        <v>8215</v>
      </c>
      <c r="M81" t="s">
        <v>340</v>
      </c>
      <c r="N81" t="s">
        <v>398</v>
      </c>
      <c r="O81">
        <v>1</v>
      </c>
      <c r="P81">
        <v>2</v>
      </c>
      <c r="Q81">
        <v>-99</v>
      </c>
      <c r="R81" t="s">
        <v>655</v>
      </c>
    </row>
    <row r="82" spans="1:18" x14ac:dyDescent="0.2">
      <c r="A82">
        <v>81</v>
      </c>
      <c r="B82">
        <v>145</v>
      </c>
      <c r="C82" t="s">
        <v>179</v>
      </c>
      <c r="D82" t="s">
        <v>71</v>
      </c>
      <c r="E82" t="s">
        <v>624</v>
      </c>
      <c r="F82" t="s">
        <v>625</v>
      </c>
      <c r="G82" t="s">
        <v>661</v>
      </c>
      <c r="H82" t="s">
        <v>403</v>
      </c>
      <c r="I82">
        <v>383</v>
      </c>
      <c r="J82">
        <v>34</v>
      </c>
      <c r="K82" t="s">
        <v>405</v>
      </c>
      <c r="L82">
        <v>8231</v>
      </c>
      <c r="M82" t="s">
        <v>333</v>
      </c>
      <c r="N82" t="s">
        <v>408</v>
      </c>
      <c r="O82">
        <v>1</v>
      </c>
      <c r="P82">
        <v>1</v>
      </c>
      <c r="Q82">
        <v>-99</v>
      </c>
      <c r="R82" t="s">
        <v>683</v>
      </c>
    </row>
    <row r="83" spans="1:18" x14ac:dyDescent="0.2">
      <c r="A83">
        <v>82</v>
      </c>
      <c r="B83">
        <v>-99</v>
      </c>
      <c r="C83" t="s">
        <v>179</v>
      </c>
      <c r="D83" t="s">
        <v>71</v>
      </c>
      <c r="E83" t="s">
        <v>626</v>
      </c>
      <c r="F83" t="s">
        <v>957</v>
      </c>
      <c r="G83" t="s">
        <v>661</v>
      </c>
      <c r="H83" t="s">
        <v>403</v>
      </c>
      <c r="I83">
        <v>383</v>
      </c>
      <c r="J83">
        <v>34</v>
      </c>
      <c r="K83" t="s">
        <v>405</v>
      </c>
      <c r="L83">
        <v>8231</v>
      </c>
      <c r="M83" t="s">
        <v>333</v>
      </c>
      <c r="N83" t="s">
        <v>408</v>
      </c>
      <c r="O83">
        <v>-99</v>
      </c>
      <c r="P83">
        <v>1</v>
      </c>
      <c r="Q83">
        <v>-99</v>
      </c>
      <c r="R83" t="s">
        <v>681</v>
      </c>
    </row>
    <row r="84" spans="1:18" x14ac:dyDescent="0.2">
      <c r="A84">
        <v>83</v>
      </c>
      <c r="B84">
        <v>151</v>
      </c>
      <c r="C84" t="s">
        <v>673</v>
      </c>
      <c r="D84" t="s">
        <v>1057</v>
      </c>
      <c r="E84" t="s">
        <v>673</v>
      </c>
      <c r="F84" t="s">
        <v>491</v>
      </c>
      <c r="G84" t="s">
        <v>669</v>
      </c>
      <c r="H84" t="s">
        <v>8</v>
      </c>
      <c r="I84">
        <v>380</v>
      </c>
      <c r="J84">
        <v>35</v>
      </c>
      <c r="K84" t="s">
        <v>8</v>
      </c>
      <c r="L84">
        <v>3180155</v>
      </c>
      <c r="M84" t="s">
        <v>347</v>
      </c>
      <c r="N84" t="s">
        <v>415</v>
      </c>
      <c r="O84">
        <v>1</v>
      </c>
      <c r="P84">
        <v>2</v>
      </c>
      <c r="Q84">
        <v>-99</v>
      </c>
      <c r="R84" t="s">
        <v>655</v>
      </c>
    </row>
    <row r="85" spans="1:18" x14ac:dyDescent="0.2">
      <c r="A85">
        <v>84</v>
      </c>
      <c r="B85">
        <v>152</v>
      </c>
      <c r="C85" t="s">
        <v>180</v>
      </c>
      <c r="D85" t="s">
        <v>78</v>
      </c>
      <c r="E85" t="s">
        <v>627</v>
      </c>
      <c r="F85" t="s">
        <v>628</v>
      </c>
      <c r="G85" t="s">
        <v>657</v>
      </c>
      <c r="H85" t="s">
        <v>371</v>
      </c>
      <c r="I85">
        <v>380</v>
      </c>
      <c r="J85">
        <v>30</v>
      </c>
      <c r="K85" t="s">
        <v>370</v>
      </c>
      <c r="L85">
        <v>8234</v>
      </c>
      <c r="M85" t="s">
        <v>353</v>
      </c>
      <c r="N85" t="s">
        <v>417</v>
      </c>
      <c r="O85">
        <v>1</v>
      </c>
      <c r="P85">
        <v>2</v>
      </c>
      <c r="Q85">
        <v>-99</v>
      </c>
      <c r="R85" t="s">
        <v>683</v>
      </c>
    </row>
    <row r="86" spans="1:18" x14ac:dyDescent="0.2">
      <c r="A86">
        <v>85</v>
      </c>
      <c r="B86">
        <v>153</v>
      </c>
      <c r="C86" t="s">
        <v>89</v>
      </c>
      <c r="D86" t="s">
        <v>135</v>
      </c>
      <c r="E86" t="s">
        <v>629</v>
      </c>
      <c r="F86" t="s">
        <v>630</v>
      </c>
      <c r="G86" t="s">
        <v>657</v>
      </c>
      <c r="H86" t="s">
        <v>371</v>
      </c>
      <c r="I86">
        <v>380</v>
      </c>
      <c r="J86">
        <v>30</v>
      </c>
      <c r="K86" t="s">
        <v>370</v>
      </c>
      <c r="L86">
        <v>8236</v>
      </c>
      <c r="M86" t="s">
        <v>366</v>
      </c>
      <c r="N86" t="s">
        <v>418</v>
      </c>
      <c r="O86">
        <v>1</v>
      </c>
      <c r="P86">
        <v>2</v>
      </c>
      <c r="Q86">
        <v>-99</v>
      </c>
      <c r="R86" t="s">
        <v>683</v>
      </c>
    </row>
    <row r="87" spans="1:18" x14ac:dyDescent="0.2">
      <c r="A87">
        <v>86</v>
      </c>
      <c r="B87">
        <v>154</v>
      </c>
      <c r="C87" t="s">
        <v>182</v>
      </c>
      <c r="D87" t="s">
        <v>181</v>
      </c>
      <c r="E87" t="s">
        <v>631</v>
      </c>
      <c r="F87" t="s">
        <v>632</v>
      </c>
      <c r="G87" t="s">
        <v>661</v>
      </c>
      <c r="H87" t="s">
        <v>403</v>
      </c>
      <c r="I87">
        <v>383</v>
      </c>
      <c r="J87">
        <v>33</v>
      </c>
      <c r="K87" t="s">
        <v>386</v>
      </c>
      <c r="L87">
        <v>8265</v>
      </c>
      <c r="M87" t="s">
        <v>359</v>
      </c>
      <c r="N87" t="s">
        <v>419</v>
      </c>
      <c r="O87">
        <v>1</v>
      </c>
      <c r="P87">
        <v>2</v>
      </c>
      <c r="Q87">
        <v>-99</v>
      </c>
      <c r="R87" t="s">
        <v>683</v>
      </c>
    </row>
    <row r="88" spans="1:18" x14ac:dyDescent="0.2">
      <c r="A88">
        <v>87</v>
      </c>
      <c r="B88">
        <v>155</v>
      </c>
      <c r="C88" t="s">
        <v>183</v>
      </c>
      <c r="D88" t="s">
        <v>43</v>
      </c>
      <c r="E88" t="s">
        <v>633</v>
      </c>
      <c r="F88" t="s">
        <v>634</v>
      </c>
      <c r="G88" t="s">
        <v>659</v>
      </c>
      <c r="H88" t="s">
        <v>387</v>
      </c>
      <c r="I88">
        <v>382</v>
      </c>
      <c r="J88">
        <v>32</v>
      </c>
      <c r="K88" t="s">
        <v>391</v>
      </c>
      <c r="L88">
        <v>8266</v>
      </c>
      <c r="M88" t="s">
        <v>324</v>
      </c>
      <c r="N88" t="s">
        <v>420</v>
      </c>
      <c r="O88">
        <v>1</v>
      </c>
      <c r="P88">
        <v>2</v>
      </c>
      <c r="Q88">
        <v>-99</v>
      </c>
      <c r="R88" t="s">
        <v>683</v>
      </c>
    </row>
    <row r="89" spans="1:18" x14ac:dyDescent="0.2">
      <c r="A89">
        <v>88</v>
      </c>
      <c r="B89">
        <v>156</v>
      </c>
      <c r="C89" t="s">
        <v>184</v>
      </c>
      <c r="D89" t="s">
        <v>74</v>
      </c>
      <c r="E89" t="s">
        <v>635</v>
      </c>
      <c r="F89" t="s">
        <v>636</v>
      </c>
      <c r="G89" t="s">
        <v>659</v>
      </c>
      <c r="H89" t="s">
        <v>387</v>
      </c>
      <c r="I89">
        <v>382</v>
      </c>
      <c r="J89">
        <v>32</v>
      </c>
      <c r="K89" t="s">
        <v>391</v>
      </c>
      <c r="L89">
        <v>8267</v>
      </c>
      <c r="M89" t="s">
        <v>342</v>
      </c>
      <c r="N89" t="s">
        <v>421</v>
      </c>
      <c r="O89">
        <v>1</v>
      </c>
      <c r="P89">
        <v>2</v>
      </c>
      <c r="Q89">
        <v>-99</v>
      </c>
      <c r="R89" t="s">
        <v>683</v>
      </c>
    </row>
    <row r="90" spans="1:18" x14ac:dyDescent="0.2">
      <c r="A90">
        <v>89</v>
      </c>
      <c r="B90">
        <v>157</v>
      </c>
      <c r="C90" t="s">
        <v>674</v>
      </c>
      <c r="D90" t="s">
        <v>36</v>
      </c>
      <c r="E90" t="s">
        <v>637</v>
      </c>
      <c r="F90" t="s">
        <v>638</v>
      </c>
      <c r="G90" t="s">
        <v>661</v>
      </c>
      <c r="H90" t="s">
        <v>403</v>
      </c>
      <c r="I90">
        <v>383</v>
      </c>
      <c r="J90">
        <v>33</v>
      </c>
      <c r="K90" t="s">
        <v>386</v>
      </c>
      <c r="L90">
        <v>8271</v>
      </c>
      <c r="M90" t="s">
        <v>320</v>
      </c>
      <c r="N90" t="s">
        <v>422</v>
      </c>
      <c r="O90">
        <v>1</v>
      </c>
      <c r="P90">
        <v>2</v>
      </c>
      <c r="Q90">
        <v>-99</v>
      </c>
      <c r="R90" t="s">
        <v>683</v>
      </c>
    </row>
    <row r="91" spans="1:18" x14ac:dyDescent="0.2">
      <c r="A91">
        <v>90</v>
      </c>
      <c r="B91">
        <v>158</v>
      </c>
      <c r="C91" t="s">
        <v>185</v>
      </c>
      <c r="D91" t="s">
        <v>81</v>
      </c>
      <c r="E91" t="s">
        <v>639</v>
      </c>
      <c r="F91" t="s">
        <v>640</v>
      </c>
      <c r="G91" t="s">
        <v>659</v>
      </c>
      <c r="H91" t="s">
        <v>387</v>
      </c>
      <c r="I91">
        <v>382</v>
      </c>
      <c r="J91">
        <v>32</v>
      </c>
      <c r="K91" t="s">
        <v>391</v>
      </c>
      <c r="L91">
        <v>8209</v>
      </c>
      <c r="M91" t="s">
        <v>365</v>
      </c>
      <c r="N91" t="s">
        <v>423</v>
      </c>
      <c r="O91">
        <v>1</v>
      </c>
      <c r="P91">
        <v>2</v>
      </c>
      <c r="Q91">
        <v>-99</v>
      </c>
      <c r="R91" t="s">
        <v>683</v>
      </c>
    </row>
    <row r="92" spans="1:18" x14ac:dyDescent="0.2">
      <c r="A92">
        <v>91</v>
      </c>
      <c r="B92">
        <v>198</v>
      </c>
      <c r="C92" t="s">
        <v>186</v>
      </c>
      <c r="D92" t="s">
        <v>45</v>
      </c>
      <c r="E92" t="s">
        <v>641</v>
      </c>
      <c r="F92" t="s">
        <v>642</v>
      </c>
      <c r="G92" t="s">
        <v>661</v>
      </c>
      <c r="H92" t="s">
        <v>403</v>
      </c>
      <c r="I92">
        <v>383</v>
      </c>
      <c r="J92">
        <v>34</v>
      </c>
      <c r="K92" t="s">
        <v>405</v>
      </c>
      <c r="L92">
        <v>8224</v>
      </c>
      <c r="M92" t="s">
        <v>362</v>
      </c>
      <c r="N92" t="s">
        <v>429</v>
      </c>
      <c r="O92">
        <v>1</v>
      </c>
      <c r="P92">
        <v>2</v>
      </c>
      <c r="Q92">
        <v>-99</v>
      </c>
      <c r="R92" t="s">
        <v>683</v>
      </c>
    </row>
    <row r="93" spans="1:18" x14ac:dyDescent="0.2">
      <c r="A93">
        <v>92</v>
      </c>
      <c r="B93">
        <v>161</v>
      </c>
      <c r="C93" t="s">
        <v>187</v>
      </c>
      <c r="D93" t="s">
        <v>82</v>
      </c>
      <c r="E93" t="s">
        <v>643</v>
      </c>
      <c r="F93" t="s">
        <v>644</v>
      </c>
      <c r="G93" t="s">
        <v>657</v>
      </c>
      <c r="H93" t="s">
        <v>371</v>
      </c>
      <c r="I93">
        <v>380</v>
      </c>
      <c r="J93">
        <v>30</v>
      </c>
      <c r="K93" t="s">
        <v>370</v>
      </c>
      <c r="L93">
        <v>8225</v>
      </c>
      <c r="M93" t="s">
        <v>325</v>
      </c>
      <c r="N93" t="s">
        <v>424</v>
      </c>
      <c r="O93">
        <v>1</v>
      </c>
      <c r="P93">
        <v>2</v>
      </c>
      <c r="Q93">
        <v>-99</v>
      </c>
      <c r="R93" t="s">
        <v>683</v>
      </c>
    </row>
    <row r="94" spans="1:18" x14ac:dyDescent="0.2">
      <c r="A94">
        <v>93</v>
      </c>
      <c r="B94">
        <v>162</v>
      </c>
      <c r="C94" t="s">
        <v>188</v>
      </c>
      <c r="D94" t="s">
        <v>32</v>
      </c>
      <c r="E94" t="s">
        <v>645</v>
      </c>
      <c r="F94" t="s">
        <v>646</v>
      </c>
      <c r="G94" t="s">
        <v>661</v>
      </c>
      <c r="H94" t="s">
        <v>403</v>
      </c>
      <c r="I94">
        <v>383</v>
      </c>
      <c r="J94">
        <v>34</v>
      </c>
      <c r="K94" t="s">
        <v>405</v>
      </c>
      <c r="L94">
        <v>8227</v>
      </c>
      <c r="M94" t="s">
        <v>478</v>
      </c>
      <c r="N94" t="s">
        <v>425</v>
      </c>
      <c r="O94">
        <v>1</v>
      </c>
      <c r="P94">
        <v>2</v>
      </c>
      <c r="Q94">
        <v>-99</v>
      </c>
      <c r="R94" t="s">
        <v>683</v>
      </c>
    </row>
    <row r="95" spans="1:18" x14ac:dyDescent="0.2">
      <c r="A95">
        <v>94</v>
      </c>
      <c r="B95">
        <v>-99</v>
      </c>
      <c r="C95" t="s">
        <v>675</v>
      </c>
      <c r="D95" t="s">
        <v>8</v>
      </c>
      <c r="E95" t="s">
        <v>676</v>
      </c>
      <c r="F95" t="s">
        <v>224</v>
      </c>
      <c r="G95" t="s">
        <v>655</v>
      </c>
      <c r="H95" t="s">
        <v>8</v>
      </c>
      <c r="I95">
        <v>-99</v>
      </c>
      <c r="J95">
        <v>-99</v>
      </c>
      <c r="K95" t="s">
        <v>8</v>
      </c>
      <c r="L95">
        <v>-99</v>
      </c>
      <c r="M95" t="s">
        <v>655</v>
      </c>
      <c r="N95" t="s">
        <v>655</v>
      </c>
      <c r="O95">
        <v>-99</v>
      </c>
      <c r="P95">
        <v>-99</v>
      </c>
      <c r="Q95">
        <v>-99</v>
      </c>
      <c r="R95" t="s">
        <v>208</v>
      </c>
    </row>
    <row r="96" spans="1:18" x14ac:dyDescent="0.2">
      <c r="A96">
        <v>95</v>
      </c>
      <c r="B96">
        <v>-99</v>
      </c>
      <c r="C96" t="s">
        <v>675</v>
      </c>
      <c r="D96" t="s">
        <v>8</v>
      </c>
      <c r="E96" t="s">
        <v>677</v>
      </c>
      <c r="F96" t="s">
        <v>308</v>
      </c>
      <c r="G96" t="s">
        <v>655</v>
      </c>
      <c r="H96" t="s">
        <v>8</v>
      </c>
      <c r="I96">
        <v>-99</v>
      </c>
      <c r="J96">
        <v>-99</v>
      </c>
      <c r="K96" t="s">
        <v>8</v>
      </c>
      <c r="L96">
        <v>-99</v>
      </c>
      <c r="M96" t="s">
        <v>655</v>
      </c>
      <c r="N96" t="s">
        <v>655</v>
      </c>
      <c r="O96">
        <v>-99</v>
      </c>
      <c r="P96">
        <v>-99</v>
      </c>
      <c r="Q96">
        <v>-99</v>
      </c>
      <c r="R96" t="s">
        <v>680</v>
      </c>
    </row>
    <row r="97" spans="1:18" x14ac:dyDescent="0.2">
      <c r="A97">
        <v>96</v>
      </c>
      <c r="B97">
        <v>-99</v>
      </c>
      <c r="C97" t="s">
        <v>675</v>
      </c>
      <c r="D97" t="s">
        <v>8</v>
      </c>
      <c r="E97" t="s">
        <v>678</v>
      </c>
      <c r="F97" t="s">
        <v>307</v>
      </c>
      <c r="G97" t="s">
        <v>655</v>
      </c>
      <c r="H97" t="s">
        <v>8</v>
      </c>
      <c r="I97">
        <v>-99</v>
      </c>
      <c r="J97">
        <v>-99</v>
      </c>
      <c r="K97" t="s">
        <v>8</v>
      </c>
      <c r="L97">
        <v>-99</v>
      </c>
      <c r="M97" t="s">
        <v>655</v>
      </c>
      <c r="N97" t="s">
        <v>655</v>
      </c>
      <c r="O97">
        <v>-99</v>
      </c>
      <c r="P97">
        <v>-99</v>
      </c>
      <c r="Q97">
        <v>-99</v>
      </c>
      <c r="R97" t="s">
        <v>681</v>
      </c>
    </row>
    <row r="98" spans="1:18" x14ac:dyDescent="0.2">
      <c r="A98">
        <v>97</v>
      </c>
      <c r="B98">
        <v>-99</v>
      </c>
      <c r="C98" t="s">
        <v>667</v>
      </c>
      <c r="D98" t="s">
        <v>1056</v>
      </c>
      <c r="E98" t="s">
        <v>667</v>
      </c>
      <c r="F98" t="s">
        <v>1056</v>
      </c>
      <c r="G98" t="s">
        <v>655</v>
      </c>
      <c r="H98" t="s">
        <v>655</v>
      </c>
      <c r="I98">
        <v>-99</v>
      </c>
      <c r="J98">
        <v>35</v>
      </c>
      <c r="K98" t="s">
        <v>8</v>
      </c>
      <c r="L98">
        <v>-99</v>
      </c>
      <c r="M98" t="s">
        <v>655</v>
      </c>
      <c r="N98" t="s">
        <v>655</v>
      </c>
      <c r="O98">
        <v>-99</v>
      </c>
      <c r="P98">
        <v>-99</v>
      </c>
      <c r="Q98">
        <v>3</v>
      </c>
      <c r="R98" t="s">
        <v>655</v>
      </c>
    </row>
    <row r="99" spans="1:18" x14ac:dyDescent="0.2">
      <c r="A99">
        <v>98</v>
      </c>
      <c r="B99">
        <v>-99</v>
      </c>
      <c r="C99" t="s">
        <v>675</v>
      </c>
      <c r="D99" t="s">
        <v>8</v>
      </c>
      <c r="E99" t="s">
        <v>686</v>
      </c>
      <c r="F99" t="s">
        <v>687</v>
      </c>
      <c r="G99" t="s">
        <v>655</v>
      </c>
      <c r="H99" t="s">
        <v>8</v>
      </c>
      <c r="I99">
        <v>-99</v>
      </c>
      <c r="J99">
        <v>-99</v>
      </c>
      <c r="K99" t="s">
        <v>8</v>
      </c>
      <c r="L99">
        <v>-99</v>
      </c>
      <c r="M99" t="s">
        <v>655</v>
      </c>
      <c r="N99" t="s">
        <v>655</v>
      </c>
      <c r="O99">
        <v>-99</v>
      </c>
      <c r="P99">
        <v>-99</v>
      </c>
      <c r="Q99">
        <v>-99</v>
      </c>
      <c r="R99" t="s">
        <v>683</v>
      </c>
    </row>
    <row r="100" spans="1:18" x14ac:dyDescent="0.2">
      <c r="A100">
        <v>99</v>
      </c>
      <c r="B100">
        <v>250</v>
      </c>
      <c r="C100" t="s">
        <v>655</v>
      </c>
      <c r="D100" t="s">
        <v>32</v>
      </c>
      <c r="E100" t="s">
        <v>722</v>
      </c>
      <c r="F100" t="s">
        <v>688</v>
      </c>
      <c r="G100" t="s">
        <v>655</v>
      </c>
      <c r="H100" t="s">
        <v>403</v>
      </c>
      <c r="I100">
        <v>-99</v>
      </c>
      <c r="J100">
        <v>-99</v>
      </c>
      <c r="K100" t="s">
        <v>405</v>
      </c>
      <c r="L100">
        <v>-99</v>
      </c>
      <c r="M100" t="s">
        <v>655</v>
      </c>
      <c r="N100" t="s">
        <v>655</v>
      </c>
      <c r="O100">
        <v>-99</v>
      </c>
      <c r="P100">
        <v>-99</v>
      </c>
      <c r="Q100">
        <v>-99</v>
      </c>
      <c r="R100" t="s">
        <v>689</v>
      </c>
    </row>
    <row r="101" spans="1:18" x14ac:dyDescent="0.2">
      <c r="A101">
        <v>100</v>
      </c>
      <c r="B101">
        <v>256</v>
      </c>
      <c r="C101" t="s">
        <v>655</v>
      </c>
      <c r="D101" t="s">
        <v>212</v>
      </c>
      <c r="E101" t="s">
        <v>723</v>
      </c>
      <c r="F101" t="s">
        <v>690</v>
      </c>
      <c r="G101" t="s">
        <v>655</v>
      </c>
      <c r="H101" t="s">
        <v>387</v>
      </c>
      <c r="I101">
        <v>-99</v>
      </c>
      <c r="J101">
        <v>-99</v>
      </c>
      <c r="K101" t="s">
        <v>391</v>
      </c>
      <c r="L101">
        <v>-99</v>
      </c>
      <c r="M101" t="s">
        <v>655</v>
      </c>
      <c r="N101" t="s">
        <v>655</v>
      </c>
      <c r="O101">
        <v>-99</v>
      </c>
      <c r="P101">
        <v>-99</v>
      </c>
      <c r="Q101">
        <v>-99</v>
      </c>
      <c r="R101" t="s">
        <v>689</v>
      </c>
    </row>
    <row r="102" spans="1:18" x14ac:dyDescent="0.2">
      <c r="A102">
        <v>101</v>
      </c>
      <c r="B102">
        <v>257</v>
      </c>
      <c r="C102" t="s">
        <v>655</v>
      </c>
      <c r="D102" t="s">
        <v>209</v>
      </c>
      <c r="E102" t="s">
        <v>724</v>
      </c>
      <c r="F102" t="s">
        <v>691</v>
      </c>
      <c r="G102" t="s">
        <v>655</v>
      </c>
      <c r="H102" t="s">
        <v>387</v>
      </c>
      <c r="I102">
        <v>-99</v>
      </c>
      <c r="J102">
        <v>-99</v>
      </c>
      <c r="K102" t="s">
        <v>391</v>
      </c>
      <c r="L102">
        <v>-99</v>
      </c>
      <c r="M102" t="s">
        <v>655</v>
      </c>
      <c r="N102" t="s">
        <v>655</v>
      </c>
      <c r="O102">
        <v>-99</v>
      </c>
      <c r="P102">
        <v>-99</v>
      </c>
      <c r="Q102">
        <v>-99</v>
      </c>
      <c r="R102" t="s">
        <v>689</v>
      </c>
    </row>
    <row r="103" spans="1:18" x14ac:dyDescent="0.2">
      <c r="A103">
        <v>102</v>
      </c>
      <c r="B103">
        <v>258</v>
      </c>
      <c r="C103" t="s">
        <v>655</v>
      </c>
      <c r="D103" t="s">
        <v>210</v>
      </c>
      <c r="E103" t="s">
        <v>725</v>
      </c>
      <c r="F103" t="s">
        <v>692</v>
      </c>
      <c r="G103" t="s">
        <v>655</v>
      </c>
      <c r="H103" t="s">
        <v>371</v>
      </c>
      <c r="I103">
        <v>-99</v>
      </c>
      <c r="J103">
        <v>-99</v>
      </c>
      <c r="K103" t="s">
        <v>370</v>
      </c>
      <c r="L103">
        <v>-99</v>
      </c>
      <c r="M103" t="s">
        <v>655</v>
      </c>
      <c r="N103" t="s">
        <v>655</v>
      </c>
      <c r="O103">
        <v>-99</v>
      </c>
      <c r="P103">
        <v>-99</v>
      </c>
      <c r="Q103">
        <v>-99</v>
      </c>
      <c r="R103" t="s">
        <v>689</v>
      </c>
    </row>
    <row r="104" spans="1:18" x14ac:dyDescent="0.2">
      <c r="A104">
        <v>103</v>
      </c>
      <c r="B104">
        <v>259</v>
      </c>
      <c r="C104" t="s">
        <v>655</v>
      </c>
      <c r="D104" t="s">
        <v>135</v>
      </c>
      <c r="E104" t="s">
        <v>726</v>
      </c>
      <c r="F104" t="s">
        <v>693</v>
      </c>
      <c r="G104" t="s">
        <v>655</v>
      </c>
      <c r="H104" t="s">
        <v>371</v>
      </c>
      <c r="I104">
        <v>-99</v>
      </c>
      <c r="J104">
        <v>-99</v>
      </c>
      <c r="K104" t="s">
        <v>370</v>
      </c>
      <c r="L104">
        <v>-99</v>
      </c>
      <c r="M104" t="s">
        <v>655</v>
      </c>
      <c r="N104" t="s">
        <v>655</v>
      </c>
      <c r="O104">
        <v>-99</v>
      </c>
      <c r="P104">
        <v>-99</v>
      </c>
      <c r="Q104">
        <v>-99</v>
      </c>
      <c r="R104" t="s">
        <v>689</v>
      </c>
    </row>
    <row r="105" spans="1:18" x14ac:dyDescent="0.2">
      <c r="A105">
        <v>104</v>
      </c>
      <c r="B105">
        <v>260</v>
      </c>
      <c r="C105" t="s">
        <v>655</v>
      </c>
      <c r="D105" t="s">
        <v>46</v>
      </c>
      <c r="E105" t="s">
        <v>727</v>
      </c>
      <c r="F105" t="s">
        <v>694</v>
      </c>
      <c r="G105" t="s">
        <v>655</v>
      </c>
      <c r="H105" t="s">
        <v>387</v>
      </c>
      <c r="I105">
        <v>-99</v>
      </c>
      <c r="J105">
        <v>-99</v>
      </c>
      <c r="K105" t="s">
        <v>386</v>
      </c>
      <c r="L105">
        <v>-99</v>
      </c>
      <c r="M105" t="s">
        <v>655</v>
      </c>
      <c r="N105" t="s">
        <v>655</v>
      </c>
      <c r="O105">
        <v>-99</v>
      </c>
      <c r="P105">
        <v>-99</v>
      </c>
      <c r="Q105">
        <v>-99</v>
      </c>
      <c r="R105" t="s">
        <v>689</v>
      </c>
    </row>
    <row r="106" spans="1:18" x14ac:dyDescent="0.2">
      <c r="A106">
        <v>105</v>
      </c>
      <c r="B106">
        <v>261</v>
      </c>
      <c r="C106" t="s">
        <v>655</v>
      </c>
      <c r="D106" t="s">
        <v>65</v>
      </c>
      <c r="E106" t="s">
        <v>728</v>
      </c>
      <c r="F106" t="s">
        <v>695</v>
      </c>
      <c r="G106" t="s">
        <v>655</v>
      </c>
      <c r="H106" t="s">
        <v>371</v>
      </c>
      <c r="I106">
        <v>-99</v>
      </c>
      <c r="J106">
        <v>-99</v>
      </c>
      <c r="K106" t="s">
        <v>370</v>
      </c>
      <c r="L106">
        <v>-99</v>
      </c>
      <c r="M106" t="s">
        <v>655</v>
      </c>
      <c r="N106" t="s">
        <v>655</v>
      </c>
      <c r="O106">
        <v>-99</v>
      </c>
      <c r="P106">
        <v>-99</v>
      </c>
      <c r="Q106">
        <v>-99</v>
      </c>
      <c r="R106" t="s">
        <v>689</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464</v>
      </c>
      <c r="B1" t="s">
        <v>458</v>
      </c>
      <c r="C1" t="s">
        <v>465</v>
      </c>
      <c r="D1" t="s">
        <v>466</v>
      </c>
      <c r="E1" t="s">
        <v>493</v>
      </c>
    </row>
    <row r="2" spans="1:5" x14ac:dyDescent="0.2">
      <c r="A2" t="s">
        <v>326</v>
      </c>
      <c r="B2" t="s">
        <v>372</v>
      </c>
      <c r="C2" t="s">
        <v>372</v>
      </c>
      <c r="D2" t="s">
        <v>467</v>
      </c>
      <c r="E2" t="s">
        <v>370</v>
      </c>
    </row>
    <row r="3" spans="1:5" x14ac:dyDescent="0.2">
      <c r="A3" t="s">
        <v>358</v>
      </c>
      <c r="B3" t="s">
        <v>375</v>
      </c>
      <c r="C3" t="s">
        <v>375</v>
      </c>
      <c r="D3" t="s">
        <v>467</v>
      </c>
      <c r="E3" t="s">
        <v>370</v>
      </c>
    </row>
    <row r="4" spans="1:5" x14ac:dyDescent="0.2">
      <c r="A4" t="s">
        <v>353</v>
      </c>
      <c r="B4" t="s">
        <v>417</v>
      </c>
      <c r="C4" t="s">
        <v>417</v>
      </c>
      <c r="D4" t="s">
        <v>467</v>
      </c>
      <c r="E4" t="s">
        <v>370</v>
      </c>
    </row>
    <row r="5" spans="1:5" x14ac:dyDescent="0.2">
      <c r="A5" t="s">
        <v>332</v>
      </c>
      <c r="B5" t="s">
        <v>428</v>
      </c>
      <c r="C5" t="s">
        <v>428</v>
      </c>
      <c r="D5" t="s">
        <v>468</v>
      </c>
      <c r="E5" t="s">
        <v>381</v>
      </c>
    </row>
    <row r="6" spans="1:5" x14ac:dyDescent="0.2">
      <c r="A6" t="s">
        <v>356</v>
      </c>
      <c r="B6" t="s">
        <v>390</v>
      </c>
      <c r="C6" t="s">
        <v>390</v>
      </c>
      <c r="D6" t="s">
        <v>468</v>
      </c>
      <c r="E6" t="s">
        <v>386</v>
      </c>
    </row>
    <row r="7" spans="1:5" x14ac:dyDescent="0.2">
      <c r="A7" t="s">
        <v>359</v>
      </c>
      <c r="B7" t="s">
        <v>419</v>
      </c>
      <c r="C7" t="s">
        <v>419</v>
      </c>
      <c r="D7" t="s">
        <v>470</v>
      </c>
      <c r="E7" t="s">
        <v>386</v>
      </c>
    </row>
    <row r="8" spans="1:5" x14ac:dyDescent="0.2">
      <c r="A8" t="s">
        <v>334</v>
      </c>
      <c r="B8" t="s">
        <v>402</v>
      </c>
      <c r="C8" t="s">
        <v>402</v>
      </c>
      <c r="D8" t="s">
        <v>471</v>
      </c>
      <c r="E8" t="s">
        <v>391</v>
      </c>
    </row>
    <row r="9" spans="1:5" x14ac:dyDescent="0.2">
      <c r="A9" t="s">
        <v>351</v>
      </c>
      <c r="B9" t="s">
        <v>404</v>
      </c>
      <c r="C9" t="s">
        <v>404</v>
      </c>
      <c r="D9" t="s">
        <v>470</v>
      </c>
      <c r="E9" t="s">
        <v>386</v>
      </c>
    </row>
    <row r="10" spans="1:5" x14ac:dyDescent="0.2">
      <c r="A10" t="s">
        <v>479</v>
      </c>
      <c r="B10" t="s">
        <v>480</v>
      </c>
      <c r="C10" t="s">
        <v>309</v>
      </c>
      <c r="D10" t="s">
        <v>455</v>
      </c>
      <c r="E10" t="s">
        <v>8</v>
      </c>
    </row>
    <row r="11" spans="1:5" x14ac:dyDescent="0.2">
      <c r="A11" t="s">
        <v>360</v>
      </c>
      <c r="B11" t="s">
        <v>416</v>
      </c>
      <c r="C11" t="s">
        <v>416</v>
      </c>
      <c r="D11" t="s">
        <v>467</v>
      </c>
      <c r="E11" t="s">
        <v>370</v>
      </c>
    </row>
    <row r="12" spans="1:5" x14ac:dyDescent="0.2">
      <c r="A12" t="s">
        <v>338</v>
      </c>
      <c r="B12" t="s">
        <v>380</v>
      </c>
      <c r="C12" t="s">
        <v>380</v>
      </c>
      <c r="D12" t="s">
        <v>468</v>
      </c>
      <c r="E12" t="s">
        <v>370</v>
      </c>
    </row>
    <row r="13" spans="1:5" x14ac:dyDescent="0.2">
      <c r="A13" t="s">
        <v>343</v>
      </c>
      <c r="B13" t="s">
        <v>377</v>
      </c>
      <c r="C13" t="s">
        <v>377</v>
      </c>
      <c r="D13" t="s">
        <v>467</v>
      </c>
      <c r="E13" t="s">
        <v>370</v>
      </c>
    </row>
    <row r="14" spans="1:5" x14ac:dyDescent="0.2">
      <c r="A14" t="s">
        <v>341</v>
      </c>
      <c r="B14" t="s">
        <v>384</v>
      </c>
      <c r="C14" t="s">
        <v>384</v>
      </c>
      <c r="D14" t="s">
        <v>468</v>
      </c>
      <c r="E14" t="s">
        <v>381</v>
      </c>
    </row>
    <row r="15" spans="1:5" x14ac:dyDescent="0.2">
      <c r="A15" t="s">
        <v>331</v>
      </c>
      <c r="B15" t="s">
        <v>393</v>
      </c>
      <c r="C15" t="s">
        <v>393</v>
      </c>
      <c r="D15" t="s">
        <v>467</v>
      </c>
      <c r="E15" t="s">
        <v>391</v>
      </c>
    </row>
    <row r="16" spans="1:5" x14ac:dyDescent="0.2">
      <c r="A16" t="s">
        <v>345</v>
      </c>
      <c r="B16" t="s">
        <v>407</v>
      </c>
      <c r="C16" t="s">
        <v>407</v>
      </c>
      <c r="D16" t="s">
        <v>470</v>
      </c>
      <c r="E16" t="s">
        <v>386</v>
      </c>
    </row>
    <row r="17" spans="1:5" x14ac:dyDescent="0.2">
      <c r="A17" t="s">
        <v>481</v>
      </c>
      <c r="B17" t="s">
        <v>482</v>
      </c>
      <c r="C17" t="s">
        <v>309</v>
      </c>
      <c r="D17" t="s">
        <v>455</v>
      </c>
      <c r="E17" t="s">
        <v>8</v>
      </c>
    </row>
    <row r="18" spans="1:5" x14ac:dyDescent="0.2">
      <c r="A18" t="s">
        <v>357</v>
      </c>
      <c r="B18" t="s">
        <v>392</v>
      </c>
      <c r="C18" t="s">
        <v>392</v>
      </c>
      <c r="D18" t="s">
        <v>467</v>
      </c>
      <c r="E18" t="s">
        <v>391</v>
      </c>
    </row>
    <row r="19" spans="1:5" x14ac:dyDescent="0.2">
      <c r="A19" t="s">
        <v>350</v>
      </c>
      <c r="B19" t="s">
        <v>395</v>
      </c>
      <c r="C19" t="s">
        <v>395</v>
      </c>
      <c r="D19" t="s">
        <v>471</v>
      </c>
      <c r="E19" t="s">
        <v>391</v>
      </c>
    </row>
    <row r="20" spans="1:5" x14ac:dyDescent="0.2">
      <c r="A20" t="s">
        <v>340</v>
      </c>
      <c r="B20" t="s">
        <v>398</v>
      </c>
      <c r="C20" t="s">
        <v>398</v>
      </c>
      <c r="D20" t="s">
        <v>471</v>
      </c>
      <c r="E20" t="s">
        <v>391</v>
      </c>
    </row>
    <row r="21" spans="1:5" x14ac:dyDescent="0.2">
      <c r="A21" t="s">
        <v>365</v>
      </c>
      <c r="B21" t="s">
        <v>423</v>
      </c>
      <c r="C21" t="s">
        <v>423</v>
      </c>
      <c r="D21" t="s">
        <v>471</v>
      </c>
      <c r="E21" t="s">
        <v>391</v>
      </c>
    </row>
    <row r="22" spans="1:5" x14ac:dyDescent="0.2">
      <c r="A22" t="s">
        <v>336</v>
      </c>
      <c r="B22" t="s">
        <v>60</v>
      </c>
      <c r="C22" t="s">
        <v>60</v>
      </c>
      <c r="D22" t="s">
        <v>467</v>
      </c>
      <c r="E22" t="s">
        <v>370</v>
      </c>
    </row>
    <row r="23" spans="1:5" x14ac:dyDescent="0.2">
      <c r="A23" t="s">
        <v>349</v>
      </c>
      <c r="B23" t="s">
        <v>383</v>
      </c>
      <c r="C23" t="s">
        <v>383</v>
      </c>
      <c r="D23" t="s">
        <v>309</v>
      </c>
      <c r="E23" t="s">
        <v>370</v>
      </c>
    </row>
    <row r="24" spans="1:5" x14ac:dyDescent="0.2">
      <c r="A24" t="s">
        <v>344</v>
      </c>
      <c r="B24" t="s">
        <v>385</v>
      </c>
      <c r="C24" t="s">
        <v>385</v>
      </c>
      <c r="D24" t="s">
        <v>468</v>
      </c>
      <c r="E24" t="s">
        <v>381</v>
      </c>
    </row>
    <row r="25" spans="1:5" x14ac:dyDescent="0.2">
      <c r="A25" t="s">
        <v>342</v>
      </c>
      <c r="B25" t="s">
        <v>421</v>
      </c>
      <c r="C25" t="s">
        <v>421</v>
      </c>
      <c r="D25" t="s">
        <v>471</v>
      </c>
      <c r="E25" t="s">
        <v>391</v>
      </c>
    </row>
    <row r="26" spans="1:5" x14ac:dyDescent="0.2">
      <c r="A26" t="s">
        <v>319</v>
      </c>
      <c r="B26" t="s">
        <v>406</v>
      </c>
      <c r="C26" t="s">
        <v>406</v>
      </c>
      <c r="D26" t="s">
        <v>470</v>
      </c>
      <c r="E26" t="s">
        <v>405</v>
      </c>
    </row>
    <row r="27" spans="1:5" x14ac:dyDescent="0.2">
      <c r="A27" t="s">
        <v>320</v>
      </c>
      <c r="B27" t="s">
        <v>422</v>
      </c>
      <c r="C27" t="s">
        <v>422</v>
      </c>
      <c r="D27" t="s">
        <v>470</v>
      </c>
      <c r="E27" t="s">
        <v>386</v>
      </c>
    </row>
    <row r="28" spans="1:5" x14ac:dyDescent="0.2">
      <c r="A28" t="s">
        <v>354</v>
      </c>
      <c r="B28" t="s">
        <v>374</v>
      </c>
      <c r="C28" t="s">
        <v>374</v>
      </c>
      <c r="D28" t="s">
        <v>467</v>
      </c>
      <c r="E28" t="s">
        <v>370</v>
      </c>
    </row>
    <row r="29" spans="1:5" x14ac:dyDescent="0.2">
      <c r="A29" t="s">
        <v>469</v>
      </c>
      <c r="B29" t="s">
        <v>455</v>
      </c>
      <c r="C29" t="s">
        <v>309</v>
      </c>
      <c r="D29" t="s">
        <v>455</v>
      </c>
      <c r="E29" t="s">
        <v>8</v>
      </c>
    </row>
    <row r="30" spans="1:5" x14ac:dyDescent="0.2">
      <c r="A30" t="s">
        <v>366</v>
      </c>
      <c r="B30" t="s">
        <v>418</v>
      </c>
      <c r="C30" t="s">
        <v>418</v>
      </c>
      <c r="D30" t="s">
        <v>467</v>
      </c>
      <c r="E30" t="s">
        <v>370</v>
      </c>
    </row>
    <row r="31" spans="1:5" x14ac:dyDescent="0.2">
      <c r="A31" t="s">
        <v>347</v>
      </c>
      <c r="B31" t="s">
        <v>415</v>
      </c>
      <c r="C31" t="s">
        <v>415</v>
      </c>
      <c r="D31" t="s">
        <v>309</v>
      </c>
      <c r="E31" t="s">
        <v>370</v>
      </c>
    </row>
    <row r="32" spans="1:5" x14ac:dyDescent="0.2">
      <c r="A32" t="s">
        <v>327</v>
      </c>
      <c r="B32" t="s">
        <v>396</v>
      </c>
      <c r="C32" t="s">
        <v>396</v>
      </c>
      <c r="D32" t="s">
        <v>467</v>
      </c>
      <c r="E32" t="s">
        <v>391</v>
      </c>
    </row>
    <row r="33" spans="1:5" x14ac:dyDescent="0.2">
      <c r="A33" t="s">
        <v>324</v>
      </c>
      <c r="B33" t="s">
        <v>420</v>
      </c>
      <c r="C33" t="s">
        <v>420</v>
      </c>
      <c r="D33" t="s">
        <v>471</v>
      </c>
      <c r="E33" t="s">
        <v>391</v>
      </c>
    </row>
    <row r="34" spans="1:5" x14ac:dyDescent="0.2">
      <c r="A34" t="s">
        <v>346</v>
      </c>
      <c r="B34" t="s">
        <v>427</v>
      </c>
      <c r="C34" t="s">
        <v>427</v>
      </c>
      <c r="D34" t="s">
        <v>470</v>
      </c>
      <c r="E34" t="s">
        <v>405</v>
      </c>
    </row>
    <row r="35" spans="1:5" x14ac:dyDescent="0.2">
      <c r="A35" t="s">
        <v>335</v>
      </c>
      <c r="B35" t="s">
        <v>409</v>
      </c>
      <c r="C35" t="s">
        <v>409</v>
      </c>
      <c r="D35" t="s">
        <v>470</v>
      </c>
      <c r="E35" t="s">
        <v>405</v>
      </c>
    </row>
    <row r="36" spans="1:5" x14ac:dyDescent="0.2">
      <c r="A36" t="s">
        <v>362</v>
      </c>
      <c r="B36" t="s">
        <v>429</v>
      </c>
      <c r="C36" t="s">
        <v>429</v>
      </c>
      <c r="D36" t="s">
        <v>470</v>
      </c>
      <c r="E36" t="s">
        <v>405</v>
      </c>
    </row>
    <row r="37" spans="1:5" x14ac:dyDescent="0.2">
      <c r="A37" t="s">
        <v>478</v>
      </c>
      <c r="B37" t="s">
        <v>425</v>
      </c>
      <c r="C37" t="s">
        <v>425</v>
      </c>
      <c r="D37" t="s">
        <v>470</v>
      </c>
      <c r="E37" t="s">
        <v>405</v>
      </c>
    </row>
    <row r="38" spans="1:5" x14ac:dyDescent="0.2">
      <c r="A38" t="s">
        <v>476</v>
      </c>
      <c r="B38" t="s">
        <v>477</v>
      </c>
      <c r="C38" t="s">
        <v>309</v>
      </c>
      <c r="D38" t="s">
        <v>455</v>
      </c>
      <c r="E38" t="s">
        <v>8</v>
      </c>
    </row>
    <row r="39" spans="1:5" x14ac:dyDescent="0.2">
      <c r="A39" t="s">
        <v>352</v>
      </c>
      <c r="B39" t="s">
        <v>410</v>
      </c>
      <c r="C39" t="s">
        <v>410</v>
      </c>
      <c r="D39" t="s">
        <v>470</v>
      </c>
      <c r="E39" t="s">
        <v>405</v>
      </c>
    </row>
    <row r="40" spans="1:5" x14ac:dyDescent="0.2">
      <c r="A40" t="s">
        <v>485</v>
      </c>
      <c r="B40" t="s">
        <v>486</v>
      </c>
      <c r="C40" t="s">
        <v>309</v>
      </c>
      <c r="D40" t="s">
        <v>455</v>
      </c>
      <c r="E40" t="s">
        <v>8</v>
      </c>
    </row>
    <row r="41" spans="1:5" x14ac:dyDescent="0.2">
      <c r="A41" t="s">
        <v>472</v>
      </c>
      <c r="B41" t="s">
        <v>473</v>
      </c>
      <c r="C41" t="s">
        <v>309</v>
      </c>
      <c r="D41" t="s">
        <v>455</v>
      </c>
      <c r="E41" t="s">
        <v>8</v>
      </c>
    </row>
    <row r="42" spans="1:5" x14ac:dyDescent="0.2">
      <c r="A42" t="s">
        <v>361</v>
      </c>
      <c r="B42" t="s">
        <v>373</v>
      </c>
      <c r="C42" t="s">
        <v>373</v>
      </c>
      <c r="D42" t="s">
        <v>467</v>
      </c>
      <c r="E42" t="s">
        <v>370</v>
      </c>
    </row>
    <row r="43" spans="1:5" x14ac:dyDescent="0.2">
      <c r="A43" t="s">
        <v>322</v>
      </c>
      <c r="B43" t="s">
        <v>379</v>
      </c>
      <c r="C43" t="s">
        <v>379</v>
      </c>
      <c r="D43" t="s">
        <v>468</v>
      </c>
      <c r="E43" t="s">
        <v>370</v>
      </c>
    </row>
    <row r="44" spans="1:5" x14ac:dyDescent="0.2">
      <c r="A44" t="s">
        <v>325</v>
      </c>
      <c r="B44" t="s">
        <v>424</v>
      </c>
      <c r="C44" t="s">
        <v>424</v>
      </c>
      <c r="D44" t="s">
        <v>467</v>
      </c>
      <c r="E44" t="s">
        <v>370</v>
      </c>
    </row>
    <row r="45" spans="1:5" x14ac:dyDescent="0.2">
      <c r="A45" t="s">
        <v>355</v>
      </c>
      <c r="B45" t="s">
        <v>389</v>
      </c>
      <c r="C45" t="s">
        <v>389</v>
      </c>
      <c r="D45" t="s">
        <v>468</v>
      </c>
      <c r="E45" t="s">
        <v>381</v>
      </c>
    </row>
    <row r="46" spans="1:5" x14ac:dyDescent="0.2">
      <c r="A46" t="s">
        <v>337</v>
      </c>
      <c r="B46" t="s">
        <v>394</v>
      </c>
      <c r="C46" t="s">
        <v>394</v>
      </c>
      <c r="D46" t="s">
        <v>468</v>
      </c>
      <c r="E46" t="s">
        <v>381</v>
      </c>
    </row>
    <row r="47" spans="1:5" x14ac:dyDescent="0.2">
      <c r="A47" t="s">
        <v>364</v>
      </c>
      <c r="B47" t="s">
        <v>400</v>
      </c>
      <c r="C47" t="s">
        <v>400</v>
      </c>
      <c r="D47" t="s">
        <v>471</v>
      </c>
      <c r="E47" t="s">
        <v>391</v>
      </c>
    </row>
    <row r="48" spans="1:5" x14ac:dyDescent="0.2">
      <c r="A48" t="s">
        <v>339</v>
      </c>
      <c r="B48" t="s">
        <v>413</v>
      </c>
      <c r="C48" t="s">
        <v>413</v>
      </c>
      <c r="D48" t="s">
        <v>471</v>
      </c>
      <c r="E48" t="s">
        <v>386</v>
      </c>
    </row>
    <row r="49" spans="1:5" x14ac:dyDescent="0.2">
      <c r="A49" t="s">
        <v>328</v>
      </c>
      <c r="B49" t="s">
        <v>411</v>
      </c>
      <c r="C49" t="s">
        <v>411</v>
      </c>
      <c r="D49" t="s">
        <v>471</v>
      </c>
      <c r="E49" t="s">
        <v>386</v>
      </c>
    </row>
    <row r="50" spans="1:5" x14ac:dyDescent="0.2">
      <c r="A50" t="s">
        <v>333</v>
      </c>
      <c r="B50" t="s">
        <v>408</v>
      </c>
      <c r="C50" t="s">
        <v>408</v>
      </c>
      <c r="D50" t="s">
        <v>470</v>
      </c>
      <c r="E50" t="s">
        <v>405</v>
      </c>
    </row>
    <row r="51" spans="1:5" x14ac:dyDescent="0.2">
      <c r="A51" t="s">
        <v>321</v>
      </c>
      <c r="B51" t="s">
        <v>388</v>
      </c>
      <c r="C51" t="s">
        <v>388</v>
      </c>
      <c r="D51" t="s">
        <v>471</v>
      </c>
      <c r="E51" t="s">
        <v>386</v>
      </c>
    </row>
    <row r="52" spans="1:5" x14ac:dyDescent="0.2">
      <c r="A52" t="s">
        <v>474</v>
      </c>
      <c r="B52" t="s">
        <v>475</v>
      </c>
      <c r="C52" t="s">
        <v>309</v>
      </c>
      <c r="D52" t="s">
        <v>455</v>
      </c>
      <c r="E52" t="s">
        <v>8</v>
      </c>
    </row>
    <row r="53" spans="1:5" x14ac:dyDescent="0.2">
      <c r="A53" t="s">
        <v>483</v>
      </c>
      <c r="B53" t="s">
        <v>484</v>
      </c>
      <c r="C53" t="s">
        <v>309</v>
      </c>
      <c r="D53" t="s">
        <v>455</v>
      </c>
      <c r="E53" t="s">
        <v>8</v>
      </c>
    </row>
    <row r="54" spans="1:5" x14ac:dyDescent="0.2">
      <c r="A54" t="s">
        <v>348</v>
      </c>
      <c r="B54" t="s">
        <v>376</v>
      </c>
      <c r="C54" t="s">
        <v>376</v>
      </c>
      <c r="D54" t="s">
        <v>467</v>
      </c>
      <c r="E54" t="s">
        <v>370</v>
      </c>
    </row>
    <row r="55" spans="1:5" x14ac:dyDescent="0.2">
      <c r="A55" t="s">
        <v>363</v>
      </c>
      <c r="B55" t="s">
        <v>382</v>
      </c>
      <c r="C55" t="s">
        <v>382</v>
      </c>
      <c r="D55" t="s">
        <v>468</v>
      </c>
      <c r="E55" t="s">
        <v>381</v>
      </c>
    </row>
    <row r="56" spans="1:5" x14ac:dyDescent="0.2">
      <c r="A56" t="s">
        <v>318</v>
      </c>
      <c r="B56" t="s">
        <v>426</v>
      </c>
      <c r="C56" t="s">
        <v>426</v>
      </c>
      <c r="D56" t="s">
        <v>468</v>
      </c>
      <c r="E56" t="s">
        <v>381</v>
      </c>
    </row>
    <row r="57" spans="1:5" x14ac:dyDescent="0.2">
      <c r="A57" t="s">
        <v>317</v>
      </c>
      <c r="B57" t="s">
        <v>397</v>
      </c>
      <c r="C57" t="s">
        <v>397</v>
      </c>
      <c r="D57" t="s">
        <v>471</v>
      </c>
      <c r="E57" t="s">
        <v>391</v>
      </c>
    </row>
    <row r="58" spans="1:5" x14ac:dyDescent="0.2">
      <c r="A58" t="s">
        <v>323</v>
      </c>
      <c r="B58" t="s">
        <v>401</v>
      </c>
      <c r="C58" t="s">
        <v>401</v>
      </c>
      <c r="D58" t="s">
        <v>471</v>
      </c>
      <c r="E58" t="s">
        <v>391</v>
      </c>
    </row>
    <row r="59" spans="1:5" x14ac:dyDescent="0.2">
      <c r="A59" t="s">
        <v>329</v>
      </c>
      <c r="B59" t="s">
        <v>414</v>
      </c>
      <c r="C59" t="s">
        <v>414</v>
      </c>
      <c r="D59" t="s">
        <v>470</v>
      </c>
      <c r="E59" t="s">
        <v>405</v>
      </c>
    </row>
    <row r="60" spans="1:5" x14ac:dyDescent="0.2">
      <c r="A60" t="s">
        <v>316</v>
      </c>
      <c r="B60" t="s">
        <v>412</v>
      </c>
      <c r="C60" t="s">
        <v>412</v>
      </c>
      <c r="D60" t="s">
        <v>471</v>
      </c>
      <c r="E60" t="s">
        <v>386</v>
      </c>
    </row>
    <row r="61" spans="1:5" x14ac:dyDescent="0.2">
      <c r="A61" t="s">
        <v>330</v>
      </c>
      <c r="B61" t="s">
        <v>80</v>
      </c>
      <c r="C61" t="s">
        <v>80</v>
      </c>
      <c r="D61" t="s">
        <v>470</v>
      </c>
      <c r="E61" t="s">
        <v>405</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1035</v>
      </c>
      <c r="C2" t="s">
        <v>438</v>
      </c>
      <c r="D2" t="s">
        <v>439</v>
      </c>
      <c r="E2" t="s">
        <v>440</v>
      </c>
      <c r="F2" t="s">
        <v>441</v>
      </c>
      <c r="G2" t="s">
        <v>442</v>
      </c>
      <c r="H2" t="s">
        <v>443</v>
      </c>
      <c r="I2" t="s">
        <v>444</v>
      </c>
      <c r="J2" t="s">
        <v>445</v>
      </c>
      <c r="K2" t="s">
        <v>446</v>
      </c>
      <c r="L2" t="s">
        <v>447</v>
      </c>
      <c r="M2" t="s">
        <v>448</v>
      </c>
      <c r="N2" t="s">
        <v>449</v>
      </c>
      <c r="O2" t="s">
        <v>450</v>
      </c>
      <c r="P2" t="s">
        <v>451</v>
      </c>
      <c r="Q2" t="s">
        <v>453</v>
      </c>
    </row>
    <row r="3" spans="2:33" x14ac:dyDescent="0.2">
      <c r="B3" t="s">
        <v>386</v>
      </c>
      <c r="C3" t="s">
        <v>412</v>
      </c>
      <c r="D3" t="s">
        <v>404</v>
      </c>
      <c r="E3" t="s">
        <v>388</v>
      </c>
      <c r="F3" t="s">
        <v>390</v>
      </c>
      <c r="G3" t="s">
        <v>419</v>
      </c>
      <c r="H3" t="s">
        <v>413</v>
      </c>
      <c r="I3" t="s">
        <v>411</v>
      </c>
      <c r="J3" t="s">
        <v>407</v>
      </c>
      <c r="K3" t="s">
        <v>422</v>
      </c>
      <c r="L3" t="s">
        <v>452</v>
      </c>
      <c r="M3" t="s">
        <v>452</v>
      </c>
      <c r="N3" t="s">
        <v>452</v>
      </c>
      <c r="O3" t="s">
        <v>452</v>
      </c>
      <c r="P3" t="s">
        <v>452</v>
      </c>
      <c r="Q3" t="s">
        <v>452</v>
      </c>
      <c r="S3" s="14" t="s">
        <v>412</v>
      </c>
      <c r="T3" s="14" t="s">
        <v>404</v>
      </c>
      <c r="U3" s="14" t="s">
        <v>388</v>
      </c>
      <c r="V3" s="14" t="s">
        <v>390</v>
      </c>
      <c r="W3" s="14" t="s">
        <v>419</v>
      </c>
      <c r="X3" s="14" t="s">
        <v>413</v>
      </c>
      <c r="Y3" s="14" t="s">
        <v>411</v>
      </c>
      <c r="Z3" s="14" t="s">
        <v>407</v>
      </c>
      <c r="AA3" s="14" t="s">
        <v>422</v>
      </c>
      <c r="AB3" s="14"/>
      <c r="AC3" s="14"/>
      <c r="AD3" s="14"/>
      <c r="AE3" s="14"/>
      <c r="AF3" s="15"/>
      <c r="AG3" s="15"/>
    </row>
    <row r="4" spans="2:33" x14ac:dyDescent="0.2">
      <c r="B4" t="s">
        <v>391</v>
      </c>
      <c r="C4" t="s">
        <v>395</v>
      </c>
      <c r="D4" t="s">
        <v>393</v>
      </c>
      <c r="E4" t="s">
        <v>400</v>
      </c>
      <c r="F4" t="s">
        <v>423</v>
      </c>
      <c r="G4" t="s">
        <v>396</v>
      </c>
      <c r="H4" t="s">
        <v>402</v>
      </c>
      <c r="I4" t="s">
        <v>398</v>
      </c>
      <c r="J4" t="s">
        <v>401</v>
      </c>
      <c r="K4" t="s">
        <v>420</v>
      </c>
      <c r="L4" t="s">
        <v>392</v>
      </c>
      <c r="M4" t="s">
        <v>421</v>
      </c>
      <c r="N4" t="s">
        <v>397</v>
      </c>
      <c r="O4" t="s">
        <v>452</v>
      </c>
      <c r="P4" t="s">
        <v>452</v>
      </c>
      <c r="Q4" t="s">
        <v>452</v>
      </c>
      <c r="S4" s="14" t="s">
        <v>395</v>
      </c>
      <c r="T4" s="14" t="s">
        <v>393</v>
      </c>
      <c r="U4" s="14" t="s">
        <v>400</v>
      </c>
      <c r="V4" s="14" t="s">
        <v>423</v>
      </c>
      <c r="W4" s="14" t="s">
        <v>396</v>
      </c>
      <c r="X4" s="14" t="s">
        <v>402</v>
      </c>
      <c r="Y4" s="14" t="s">
        <v>398</v>
      </c>
      <c r="Z4" s="14" t="s">
        <v>401</v>
      </c>
      <c r="AA4" s="14" t="s">
        <v>420</v>
      </c>
      <c r="AB4" s="14" t="s">
        <v>392</v>
      </c>
      <c r="AC4" s="14" t="s">
        <v>421</v>
      </c>
      <c r="AD4" s="14" t="s">
        <v>397</v>
      </c>
      <c r="AE4" s="14"/>
      <c r="AF4" s="15"/>
      <c r="AG4" s="15"/>
    </row>
    <row r="5" spans="2:33" x14ac:dyDescent="0.2">
      <c r="B5" t="s">
        <v>370</v>
      </c>
      <c r="C5" t="s">
        <v>374</v>
      </c>
      <c r="D5" t="s">
        <v>424</v>
      </c>
      <c r="E5" t="s">
        <v>415</v>
      </c>
      <c r="F5" t="s">
        <v>417</v>
      </c>
      <c r="G5" t="s">
        <v>377</v>
      </c>
      <c r="H5" t="s">
        <v>372</v>
      </c>
      <c r="I5" t="s">
        <v>416</v>
      </c>
      <c r="J5" t="s">
        <v>375</v>
      </c>
      <c r="K5" t="s">
        <v>60</v>
      </c>
      <c r="L5" t="s">
        <v>383</v>
      </c>
      <c r="M5" t="s">
        <v>376</v>
      </c>
      <c r="N5" t="s">
        <v>373</v>
      </c>
      <c r="O5" t="s">
        <v>418</v>
      </c>
      <c r="P5" t="s">
        <v>379</v>
      </c>
      <c r="Q5" t="s">
        <v>380</v>
      </c>
      <c r="S5" s="14" t="s">
        <v>374</v>
      </c>
      <c r="T5" s="14" t="s">
        <v>424</v>
      </c>
      <c r="U5" s="14" t="s">
        <v>415</v>
      </c>
      <c r="V5" s="14" t="s">
        <v>417</v>
      </c>
      <c r="W5" s="14" t="s">
        <v>377</v>
      </c>
      <c r="X5" s="14" t="s">
        <v>372</v>
      </c>
      <c r="Y5" s="14" t="s">
        <v>416</v>
      </c>
      <c r="Z5" s="14" t="s">
        <v>375</v>
      </c>
      <c r="AA5" s="14" t="s">
        <v>60</v>
      </c>
      <c r="AB5" s="14" t="s">
        <v>383</v>
      </c>
      <c r="AC5" s="14" t="s">
        <v>376</v>
      </c>
      <c r="AD5" s="14" t="s">
        <v>373</v>
      </c>
      <c r="AE5" s="14" t="s">
        <v>418</v>
      </c>
      <c r="AF5" s="15" t="s">
        <v>379</v>
      </c>
      <c r="AG5" s="15" t="s">
        <v>380</v>
      </c>
    </row>
    <row r="6" spans="2:33" x14ac:dyDescent="0.2">
      <c r="B6" t="s">
        <v>405</v>
      </c>
      <c r="C6" t="s">
        <v>425</v>
      </c>
      <c r="D6" t="s">
        <v>427</v>
      </c>
      <c r="E6" t="s">
        <v>408</v>
      </c>
      <c r="F6" t="s">
        <v>429</v>
      </c>
      <c r="G6" t="s">
        <v>409</v>
      </c>
      <c r="H6" t="s">
        <v>414</v>
      </c>
      <c r="I6" t="s">
        <v>406</v>
      </c>
      <c r="J6" t="s">
        <v>410</v>
      </c>
      <c r="K6" t="s">
        <v>80</v>
      </c>
      <c r="L6" t="s">
        <v>452</v>
      </c>
      <c r="M6" t="s">
        <v>452</v>
      </c>
      <c r="N6" t="s">
        <v>452</v>
      </c>
      <c r="O6" t="s">
        <v>452</v>
      </c>
      <c r="P6" t="s">
        <v>452</v>
      </c>
      <c r="Q6" t="s">
        <v>452</v>
      </c>
      <c r="S6" s="14" t="s">
        <v>425</v>
      </c>
      <c r="T6" s="14" t="s">
        <v>427</v>
      </c>
      <c r="U6" s="14" t="s">
        <v>408</v>
      </c>
      <c r="V6" s="14" t="s">
        <v>429</v>
      </c>
      <c r="W6" s="14" t="s">
        <v>409</v>
      </c>
      <c r="X6" s="14" t="s">
        <v>414</v>
      </c>
      <c r="Y6" s="14" t="s">
        <v>406</v>
      </c>
      <c r="Z6" s="14" t="s">
        <v>410</v>
      </c>
      <c r="AA6" s="14" t="s">
        <v>80</v>
      </c>
      <c r="AB6" s="14"/>
      <c r="AC6" s="14"/>
      <c r="AD6" s="14"/>
      <c r="AE6" s="14"/>
      <c r="AF6" s="15"/>
      <c r="AG6" s="15"/>
    </row>
    <row r="7" spans="2:33" x14ac:dyDescent="0.2">
      <c r="B7" t="s">
        <v>381</v>
      </c>
      <c r="C7" t="s">
        <v>389</v>
      </c>
      <c r="D7" t="s">
        <v>426</v>
      </c>
      <c r="E7" t="s">
        <v>382</v>
      </c>
      <c r="F7" t="s">
        <v>394</v>
      </c>
      <c r="G7" t="s">
        <v>428</v>
      </c>
      <c r="H7" t="s">
        <v>384</v>
      </c>
      <c r="I7" t="s">
        <v>385</v>
      </c>
      <c r="J7" t="s">
        <v>452</v>
      </c>
      <c r="K7" t="s">
        <v>452</v>
      </c>
      <c r="L7" t="s">
        <v>452</v>
      </c>
      <c r="M7" t="s">
        <v>452</v>
      </c>
      <c r="N7" t="s">
        <v>452</v>
      </c>
      <c r="O7" t="s">
        <v>452</v>
      </c>
      <c r="P7" t="s">
        <v>452</v>
      </c>
      <c r="Q7" t="s">
        <v>452</v>
      </c>
      <c r="S7" s="14" t="s">
        <v>389</v>
      </c>
      <c r="T7" s="14" t="s">
        <v>426</v>
      </c>
      <c r="U7" s="14" t="s">
        <v>382</v>
      </c>
      <c r="V7" s="14" t="s">
        <v>394</v>
      </c>
      <c r="W7" s="14" t="s">
        <v>428</v>
      </c>
      <c r="X7" s="14" t="s">
        <v>384</v>
      </c>
      <c r="Y7" s="14" t="s">
        <v>385</v>
      </c>
      <c r="Z7" s="14"/>
      <c r="AA7" s="14"/>
      <c r="AB7" s="14"/>
      <c r="AC7" s="14"/>
      <c r="AD7" s="14"/>
      <c r="AE7" s="14"/>
      <c r="AF7" s="15"/>
      <c r="AG7" s="15"/>
    </row>
    <row r="8" spans="2:33" x14ac:dyDescent="0.2">
      <c r="B8" t="s">
        <v>8</v>
      </c>
      <c r="C8" t="s">
        <v>8</v>
      </c>
      <c r="D8" t="s">
        <v>452</v>
      </c>
      <c r="E8" t="s">
        <v>452</v>
      </c>
      <c r="F8" t="s">
        <v>452</v>
      </c>
      <c r="G8" t="s">
        <v>452</v>
      </c>
      <c r="H8" t="s">
        <v>452</v>
      </c>
      <c r="I8" t="s">
        <v>452</v>
      </c>
      <c r="J8" t="s">
        <v>452</v>
      </c>
      <c r="K8" t="s">
        <v>452</v>
      </c>
      <c r="L8" t="s">
        <v>452</v>
      </c>
      <c r="M8" t="s">
        <v>452</v>
      </c>
      <c r="N8" t="s">
        <v>452</v>
      </c>
      <c r="O8" t="s">
        <v>452</v>
      </c>
      <c r="P8" t="s">
        <v>452</v>
      </c>
      <c r="Q8" t="s">
        <v>452</v>
      </c>
      <c r="S8" s="16" t="s">
        <v>8</v>
      </c>
      <c r="T8" s="16"/>
      <c r="U8" s="16"/>
      <c r="V8" s="16"/>
      <c r="W8" s="16"/>
      <c r="X8" s="16"/>
      <c r="Y8" s="16"/>
      <c r="Z8" s="16"/>
      <c r="AA8" s="16"/>
      <c r="AB8" s="16"/>
      <c r="AC8" s="16"/>
      <c r="AD8" s="16"/>
      <c r="AE8" s="16"/>
      <c r="AF8" s="17"/>
      <c r="AG8" s="17"/>
    </row>
    <row r="10" spans="2:33" x14ac:dyDescent="0.2">
      <c r="B10" t="s">
        <v>437</v>
      </c>
      <c r="C10" t="s">
        <v>438</v>
      </c>
      <c r="D10" t="s">
        <v>439</v>
      </c>
      <c r="E10" t="s">
        <v>440</v>
      </c>
      <c r="F10" t="s">
        <v>441</v>
      </c>
      <c r="G10" t="s">
        <v>442</v>
      </c>
      <c r="H10" t="s">
        <v>443</v>
      </c>
      <c r="I10" t="s">
        <v>444</v>
      </c>
      <c r="J10" t="s">
        <v>445</v>
      </c>
      <c r="K10" t="s">
        <v>446</v>
      </c>
      <c r="L10" t="s">
        <v>447</v>
      </c>
      <c r="M10" t="s">
        <v>448</v>
      </c>
      <c r="N10" t="s">
        <v>449</v>
      </c>
      <c r="O10" t="s">
        <v>450</v>
      </c>
      <c r="P10" t="s">
        <v>451</v>
      </c>
      <c r="Q10" t="s">
        <v>453</v>
      </c>
      <c r="R10" t="s">
        <v>454</v>
      </c>
    </row>
    <row r="11" spans="2:33" x14ac:dyDescent="0.2">
      <c r="B11" t="s">
        <v>386</v>
      </c>
      <c r="C11" t="s">
        <v>638</v>
      </c>
      <c r="D11" t="s">
        <v>585</v>
      </c>
      <c r="E11" t="s">
        <v>632</v>
      </c>
      <c r="F11" t="s">
        <v>620</v>
      </c>
      <c r="G11" t="s">
        <v>556</v>
      </c>
      <c r="H11" t="s">
        <v>608</v>
      </c>
      <c r="I11" t="s">
        <v>610</v>
      </c>
      <c r="J11" t="s">
        <v>552</v>
      </c>
      <c r="K11" t="s">
        <v>589</v>
      </c>
      <c r="L11" t="s">
        <v>606</v>
      </c>
      <c r="M11" t="s">
        <v>452</v>
      </c>
      <c r="N11" t="s">
        <v>452</v>
      </c>
      <c r="O11" t="s">
        <v>452</v>
      </c>
      <c r="P11" t="s">
        <v>452</v>
      </c>
      <c r="Q11" t="s">
        <v>452</v>
      </c>
      <c r="R11" t="s">
        <v>452</v>
      </c>
    </row>
    <row r="12" spans="2:33" x14ac:dyDescent="0.2">
      <c r="B12" t="s">
        <v>391</v>
      </c>
      <c r="C12" t="s">
        <v>568</v>
      </c>
      <c r="D12" t="s">
        <v>560</v>
      </c>
      <c r="E12" t="s">
        <v>577</v>
      </c>
      <c r="F12" t="s">
        <v>570</v>
      </c>
      <c r="G12" t="s">
        <v>634</v>
      </c>
      <c r="H12" t="s">
        <v>562</v>
      </c>
      <c r="I12" t="s">
        <v>579</v>
      </c>
      <c r="J12" t="s">
        <v>572</v>
      </c>
      <c r="K12" t="s">
        <v>636</v>
      </c>
      <c r="L12" t="s">
        <v>575</v>
      </c>
      <c r="M12" t="s">
        <v>581</v>
      </c>
      <c r="N12" t="s">
        <v>640</v>
      </c>
      <c r="O12" t="s">
        <v>452</v>
      </c>
      <c r="P12" t="s">
        <v>452</v>
      </c>
      <c r="Q12" t="s">
        <v>452</v>
      </c>
      <c r="R12" t="s">
        <v>452</v>
      </c>
    </row>
    <row r="13" spans="2:33" x14ac:dyDescent="0.2">
      <c r="B13" t="s">
        <v>370</v>
      </c>
      <c r="C13" t="s">
        <v>534</v>
      </c>
      <c r="D13" t="s">
        <v>513</v>
      </c>
      <c r="E13" t="s">
        <v>521</v>
      </c>
      <c r="F13" t="s">
        <v>523</v>
      </c>
      <c r="G13" t="s">
        <v>538</v>
      </c>
      <c r="H13" t="s">
        <v>623</v>
      </c>
      <c r="I13" t="s">
        <v>519</v>
      </c>
      <c r="J13" t="s">
        <v>525</v>
      </c>
      <c r="K13" t="s">
        <v>527</v>
      </c>
      <c r="L13" t="s">
        <v>530</v>
      </c>
      <c r="M13" t="s">
        <v>515</v>
      </c>
      <c r="N13" t="s">
        <v>536</v>
      </c>
      <c r="O13" t="s">
        <v>628</v>
      </c>
      <c r="P13" t="s">
        <v>630</v>
      </c>
      <c r="Q13" t="s">
        <v>644</v>
      </c>
      <c r="R13" t="s">
        <v>544</v>
      </c>
    </row>
    <row r="14" spans="2:33" x14ac:dyDescent="0.2">
      <c r="B14" t="s">
        <v>405</v>
      </c>
      <c r="C14" t="s">
        <v>587</v>
      </c>
      <c r="D14" t="s">
        <v>646</v>
      </c>
      <c r="E14" t="s">
        <v>602</v>
      </c>
      <c r="F14" t="s">
        <v>642</v>
      </c>
      <c r="G14" t="s">
        <v>594</v>
      </c>
      <c r="H14" t="s">
        <v>616</v>
      </c>
      <c r="I14" t="s">
        <v>592</v>
      </c>
      <c r="J14" t="s">
        <v>596</v>
      </c>
      <c r="K14" t="s">
        <v>604</v>
      </c>
      <c r="L14" t="s">
        <v>612</v>
      </c>
      <c r="M14" t="s">
        <v>625</v>
      </c>
      <c r="N14" t="s">
        <v>598</v>
      </c>
      <c r="O14" t="s">
        <v>452</v>
      </c>
      <c r="P14" t="s">
        <v>452</v>
      </c>
      <c r="Q14" t="s">
        <v>452</v>
      </c>
      <c r="R14" t="s">
        <v>452</v>
      </c>
    </row>
    <row r="15" spans="2:33" x14ac:dyDescent="0.2">
      <c r="B15" t="s">
        <v>381</v>
      </c>
      <c r="C15" t="s">
        <v>540</v>
      </c>
      <c r="D15" t="s">
        <v>548</v>
      </c>
      <c r="E15" t="s">
        <v>564</v>
      </c>
      <c r="F15" t="s">
        <v>554</v>
      </c>
      <c r="G15" t="s">
        <v>550</v>
      </c>
      <c r="H15" t="s">
        <v>614</v>
      </c>
      <c r="I15" t="s">
        <v>542</v>
      </c>
      <c r="J15" t="s">
        <v>452</v>
      </c>
      <c r="K15" t="s">
        <v>452</v>
      </c>
      <c r="L15" t="s">
        <v>452</v>
      </c>
      <c r="M15" t="s">
        <v>452</v>
      </c>
      <c r="N15" t="s">
        <v>452</v>
      </c>
      <c r="O15" t="s">
        <v>452</v>
      </c>
      <c r="P15" t="s">
        <v>452</v>
      </c>
      <c r="Q15" t="s">
        <v>452</v>
      </c>
      <c r="R15" t="s">
        <v>452</v>
      </c>
    </row>
    <row r="16" spans="2:33" x14ac:dyDescent="0.2">
      <c r="B16" t="s">
        <v>8</v>
      </c>
      <c r="C16" t="s">
        <v>452</v>
      </c>
      <c r="D16" t="s">
        <v>452</v>
      </c>
      <c r="E16" t="s">
        <v>452</v>
      </c>
      <c r="F16" t="s">
        <v>452</v>
      </c>
      <c r="G16" t="s">
        <v>452</v>
      </c>
      <c r="H16" t="s">
        <v>452</v>
      </c>
      <c r="I16" t="s">
        <v>452</v>
      </c>
      <c r="J16" t="s">
        <v>452</v>
      </c>
      <c r="K16" t="s">
        <v>452</v>
      </c>
      <c r="L16" t="s">
        <v>452</v>
      </c>
      <c r="M16" t="s">
        <v>452</v>
      </c>
      <c r="N16" t="s">
        <v>452</v>
      </c>
      <c r="O16" t="s">
        <v>452</v>
      </c>
      <c r="P16" t="s">
        <v>452</v>
      </c>
      <c r="Q16" t="s">
        <v>452</v>
      </c>
      <c r="R16" t="s">
        <v>452</v>
      </c>
    </row>
    <row r="19" spans="2:4" x14ac:dyDescent="0.2">
      <c r="B19" t="s">
        <v>974</v>
      </c>
      <c r="C19" t="s">
        <v>975</v>
      </c>
      <c r="D19" t="s">
        <v>976</v>
      </c>
    </row>
    <row r="20" spans="2:4" x14ac:dyDescent="0.2">
      <c r="B20" s="151">
        <v>42462</v>
      </c>
      <c r="C20">
        <v>24199</v>
      </c>
      <c r="D20">
        <v>4</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0" zoomScaleNormal="8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0" t="s">
        <v>979</v>
      </c>
      <c r="C2" s="311"/>
      <c r="D2" s="311"/>
      <c r="E2" s="311"/>
      <c r="F2" s="311"/>
      <c r="G2" s="312"/>
      <c r="H2" s="135" t="s">
        <v>5</v>
      </c>
      <c r="I2" s="136" t="s">
        <v>2</v>
      </c>
      <c r="J2" s="136" t="s">
        <v>228</v>
      </c>
      <c r="K2" s="134"/>
    </row>
    <row r="3" spans="1:11" ht="59.25" customHeight="1" x14ac:dyDescent="0.2">
      <c r="A3" s="130"/>
      <c r="B3" s="313"/>
      <c r="C3" s="314"/>
      <c r="D3" s="314"/>
      <c r="E3" s="314"/>
      <c r="F3" s="314"/>
      <c r="G3" s="314"/>
      <c r="H3" s="306">
        <f>SUM(H5,H10)</f>
        <v>341929</v>
      </c>
      <c r="I3" s="306">
        <f>SUM(I5,I10)</f>
        <v>77483</v>
      </c>
      <c r="J3" s="308">
        <f>ROUND(I3/H3,5)</f>
        <v>0.22661000000000001</v>
      </c>
      <c r="K3" s="134"/>
    </row>
    <row r="4" spans="1:11" ht="33" customHeight="1" thickBot="1" x14ac:dyDescent="0.25">
      <c r="A4" s="130"/>
      <c r="B4" s="317" t="str">
        <f>"As of: "&amp;TEXT(INDEX(MMWR_DATES[],1,1),"MMMM DD, YYYY")</f>
        <v>As of: April 02, 2016</v>
      </c>
      <c r="C4" s="318"/>
      <c r="D4" s="318"/>
      <c r="E4" s="318"/>
      <c r="F4" s="318"/>
      <c r="G4" s="319"/>
      <c r="H4" s="307"/>
      <c r="I4" s="307"/>
      <c r="J4" s="309"/>
      <c r="K4" s="137"/>
    </row>
    <row r="5" spans="1:11" ht="16.5" customHeight="1" thickBot="1" x14ac:dyDescent="0.25">
      <c r="A5" s="130"/>
      <c r="B5" s="315" t="s">
        <v>233</v>
      </c>
      <c r="C5" s="316"/>
      <c r="D5" s="316"/>
      <c r="E5" s="316"/>
      <c r="F5" s="316"/>
      <c r="G5" s="138" t="s">
        <v>244</v>
      </c>
      <c r="H5" s="158">
        <f>SUM(H6:H9)</f>
        <v>129136</v>
      </c>
      <c r="I5" s="158">
        <f>SUM(I6:I9)</f>
        <v>34540</v>
      </c>
      <c r="J5" s="159">
        <f t="shared" ref="J5:J15" si="0">IF(H5=0, 0,I5/H5)</f>
        <v>0.26746995415685787</v>
      </c>
      <c r="K5" s="134"/>
    </row>
    <row r="6" spans="1:11" ht="16.5" customHeight="1" x14ac:dyDescent="0.2">
      <c r="A6" s="130"/>
      <c r="B6" s="320" t="s">
        <v>16</v>
      </c>
      <c r="C6" s="321"/>
      <c r="D6" s="321"/>
      <c r="E6" s="321"/>
      <c r="F6" s="321"/>
      <c r="G6" s="139" t="s">
        <v>190</v>
      </c>
      <c r="H6" s="160">
        <f>IFERROR(VLOOKUP(MID($G6,4,3),MMWR_TRAD_AGG_NATIONAL[],2,0),0)</f>
        <v>37553</v>
      </c>
      <c r="I6" s="160">
        <f>IFERROR(VLOOKUP(MID($G6,4,3),MMWR_TRAD_AGG_NATIONAL[],3,0),0)</f>
        <v>12021</v>
      </c>
      <c r="J6" s="161">
        <f t="shared" si="0"/>
        <v>0.32010758128511702</v>
      </c>
      <c r="K6" s="134"/>
    </row>
    <row r="7" spans="1:11" ht="16.5" customHeight="1" x14ac:dyDescent="0.2">
      <c r="A7" s="130"/>
      <c r="B7" s="322" t="s">
        <v>0</v>
      </c>
      <c r="C7" s="323"/>
      <c r="D7" s="323"/>
      <c r="E7" s="323"/>
      <c r="F7" s="323"/>
      <c r="G7" s="140" t="s">
        <v>191</v>
      </c>
      <c r="H7" s="160">
        <f>IFERROR(VLOOKUP(MID($G7,4,3),MMWR_TRAD_AGG_NATIONAL[],2,0),0)</f>
        <v>74787</v>
      </c>
      <c r="I7" s="160">
        <f>IFERROR(VLOOKUP(MID($G7,4,3),MMWR_TRAD_AGG_NATIONAL[],3,0),0)</f>
        <v>20106</v>
      </c>
      <c r="J7" s="161">
        <f t="shared" si="0"/>
        <v>0.26884351558425928</v>
      </c>
      <c r="K7" s="134"/>
    </row>
    <row r="8" spans="1:11" ht="16.5" customHeight="1" x14ac:dyDescent="0.2">
      <c r="A8" s="130"/>
      <c r="B8" s="324" t="s">
        <v>234</v>
      </c>
      <c r="C8" s="325"/>
      <c r="D8" s="325"/>
      <c r="E8" s="325"/>
      <c r="F8" s="325"/>
      <c r="G8" s="141" t="s">
        <v>193</v>
      </c>
      <c r="H8" s="160">
        <f>IFERROR(VLOOKUP(MID($G8,4,3),MMWR_TRAD_AGG_NATIONAL[],2,0),0)</f>
        <v>7404</v>
      </c>
      <c r="I8" s="160">
        <f>IFERROR(VLOOKUP(MID($G8,4,3),MMWR_TRAD_AGG_NATIONAL[],3,0),0)</f>
        <v>695</v>
      </c>
      <c r="J8" s="161">
        <f t="shared" si="0"/>
        <v>9.3868179362506757E-2</v>
      </c>
      <c r="K8" s="134"/>
    </row>
    <row r="9" spans="1:11" ht="16.5" customHeight="1" thickBot="1" x14ac:dyDescent="0.25">
      <c r="A9" s="130"/>
      <c r="B9" s="326" t="s">
        <v>17</v>
      </c>
      <c r="C9" s="327"/>
      <c r="D9" s="327"/>
      <c r="E9" s="327"/>
      <c r="F9" s="327"/>
      <c r="G9" s="140" t="s">
        <v>195</v>
      </c>
      <c r="H9" s="160">
        <f>IFERROR(VLOOKUP(MID($G9,4,3),MMWR_TRAD_AGG_NATIONAL[],2,0),0)</f>
        <v>9392</v>
      </c>
      <c r="I9" s="160">
        <f>IFERROR(VLOOKUP(MID($G9,4,3),MMWR_TRAD_AGG_NATIONAL[],3,0),0)</f>
        <v>1718</v>
      </c>
      <c r="J9" s="161">
        <f t="shared" si="0"/>
        <v>0.18292163543441226</v>
      </c>
      <c r="K9" s="134"/>
    </row>
    <row r="10" spans="1:11" ht="17.25" thickBot="1" x14ac:dyDescent="0.25">
      <c r="A10" s="130"/>
      <c r="B10" s="315" t="s">
        <v>1</v>
      </c>
      <c r="C10" s="316"/>
      <c r="D10" s="316"/>
      <c r="E10" s="316"/>
      <c r="F10" s="316"/>
      <c r="G10" s="138" t="s">
        <v>244</v>
      </c>
      <c r="H10" s="158">
        <f>SUM(H11:H18)</f>
        <v>212793</v>
      </c>
      <c r="I10" s="158">
        <f>SUM(I11:I18)</f>
        <v>42943</v>
      </c>
      <c r="J10" s="159">
        <f t="shared" si="0"/>
        <v>0.20180645040015413</v>
      </c>
      <c r="K10" s="134"/>
    </row>
    <row r="11" spans="1:11" ht="16.5" customHeight="1" x14ac:dyDescent="0.2">
      <c r="A11" s="130"/>
      <c r="B11" s="320" t="s">
        <v>199</v>
      </c>
      <c r="C11" s="321"/>
      <c r="D11" s="321"/>
      <c r="E11" s="321"/>
      <c r="F11" s="321"/>
      <c r="G11" s="142" t="s">
        <v>194</v>
      </c>
      <c r="H11" s="162">
        <f>IFERROR(VLOOKUP(MID($G11,4,3),MMWR_TRAD_AGG_NATIONAL[],2,0),0)</f>
        <v>7837</v>
      </c>
      <c r="I11" s="160">
        <f>IFERROR(VLOOKUP(MID($G11,4,3),MMWR_TRAD_AGG_NATIONAL[],3,0),0)</f>
        <v>497</v>
      </c>
      <c r="J11" s="161">
        <f t="shared" si="0"/>
        <v>6.3417123899451325E-2</v>
      </c>
      <c r="K11" s="134"/>
    </row>
    <row r="12" spans="1:11" ht="16.5" customHeight="1" x14ac:dyDescent="0.2">
      <c r="A12" s="130"/>
      <c r="B12" s="322" t="s">
        <v>18</v>
      </c>
      <c r="C12" s="323"/>
      <c r="D12" s="323"/>
      <c r="E12" s="323"/>
      <c r="F12" s="323"/>
      <c r="G12" s="143" t="s">
        <v>192</v>
      </c>
      <c r="H12" s="163">
        <f>IFERROR(VLOOKUP(MID($G12,4,3),MMWR_TRAD_AGG_NATIONAL[],2,0),0)</f>
        <v>191679</v>
      </c>
      <c r="I12" s="160">
        <f>IFERROR(VLOOKUP(MID($G12,4,3),MMWR_TRAD_AGG_NATIONAL[],3,0),0)</f>
        <v>40277</v>
      </c>
      <c r="J12" s="161">
        <f t="shared" si="0"/>
        <v>0.21012734832715113</v>
      </c>
      <c r="K12" s="134"/>
    </row>
    <row r="13" spans="1:11" ht="16.5" customHeight="1" x14ac:dyDescent="0.2">
      <c r="A13" s="130"/>
      <c r="B13" s="322" t="s">
        <v>14</v>
      </c>
      <c r="C13" s="323"/>
      <c r="D13" s="323"/>
      <c r="E13" s="323"/>
      <c r="F13" s="323"/>
      <c r="G13" s="143" t="s">
        <v>196</v>
      </c>
      <c r="H13" s="163">
        <f>IFERROR(VLOOKUP(MID($G13,4,3),MMWR_TRAD_AGG_NATIONAL[],2,0),0)</f>
        <v>12878</v>
      </c>
      <c r="I13" s="160">
        <f>IFERROR(VLOOKUP(MID($G13,4,3),MMWR_TRAD_AGG_NATIONAL[],3,0),0)</f>
        <v>2121</v>
      </c>
      <c r="J13" s="161">
        <f t="shared" si="0"/>
        <v>0.16469948749805871</v>
      </c>
      <c r="K13" s="134"/>
    </row>
    <row r="14" spans="1:11" ht="16.5" customHeight="1" x14ac:dyDescent="0.2">
      <c r="A14" s="130"/>
      <c r="B14" s="324" t="s">
        <v>19</v>
      </c>
      <c r="C14" s="325"/>
      <c r="D14" s="325"/>
      <c r="E14" s="325"/>
      <c r="F14" s="325"/>
      <c r="G14" s="142" t="s">
        <v>197</v>
      </c>
      <c r="H14" s="163">
        <f>IFERROR(VLOOKUP(MID($G14,4,3),MMWR_TRAD_AGG_NATIONAL[],2,0),0)</f>
        <v>358</v>
      </c>
      <c r="I14" s="160">
        <f>IFERROR(VLOOKUP(MID($G14,4,3),MMWR_TRAD_AGG_NATIONAL[],3,0),0)</f>
        <v>42</v>
      </c>
      <c r="J14" s="161">
        <f t="shared" si="0"/>
        <v>0.11731843575418995</v>
      </c>
      <c r="K14" s="134"/>
    </row>
    <row r="15" spans="1:11" ht="16.5" customHeight="1" x14ac:dyDescent="0.2">
      <c r="A15" s="130"/>
      <c r="B15" s="324" t="s">
        <v>84</v>
      </c>
      <c r="C15" s="325"/>
      <c r="D15" s="325"/>
      <c r="E15" s="325"/>
      <c r="F15" s="325"/>
      <c r="G15" s="142" t="s">
        <v>200</v>
      </c>
      <c r="H15" s="163">
        <f>IFERROR(VLOOKUP(MID($G15,4,3),MMWR_TRAD_AGG_NATIONAL[],2,0),0)</f>
        <v>10</v>
      </c>
      <c r="I15" s="160">
        <f>IFERROR(VLOOKUP(MID($G15,4,3),MMWR_TRAD_AGG_NATIONAL[],3,0),0)</f>
        <v>5</v>
      </c>
      <c r="J15" s="161">
        <f t="shared" si="0"/>
        <v>0.5</v>
      </c>
      <c r="K15" s="134"/>
    </row>
    <row r="16" spans="1:11" ht="15" x14ac:dyDescent="0.2">
      <c r="A16" s="130"/>
      <c r="B16" s="324" t="s">
        <v>85</v>
      </c>
      <c r="C16" s="325"/>
      <c r="D16" s="325"/>
      <c r="E16" s="325"/>
      <c r="F16" s="325"/>
      <c r="G16" s="142" t="s">
        <v>201</v>
      </c>
      <c r="H16" s="163">
        <f>IFERROR(VLOOKUP(MID($G16,4,3),MMWR_TRAD_AGG_NATIONAL[],2,0),0)</f>
        <v>1</v>
      </c>
      <c r="I16" s="160">
        <f>IFERROR(VLOOKUP(MID($G16,4,3),MMWR_TRAD_AGG_NATIONAL[],3,0),0)</f>
        <v>1</v>
      </c>
      <c r="J16" s="161">
        <f>IF(H16=0, 0,I16/H16)</f>
        <v>1</v>
      </c>
      <c r="K16" s="134"/>
    </row>
    <row r="17" spans="1:11" ht="16.5" customHeight="1" x14ac:dyDescent="0.2">
      <c r="A17" s="130"/>
      <c r="B17" s="324" t="s">
        <v>87</v>
      </c>
      <c r="C17" s="325"/>
      <c r="D17" s="325"/>
      <c r="E17" s="325"/>
      <c r="F17" s="325"/>
      <c r="G17" s="142" t="s">
        <v>202</v>
      </c>
      <c r="H17" s="163">
        <f>IFERROR(VLOOKUP(MID($G17,4,3),MMWR_TRAD_AGG_NATIONAL[],2,0),0)</f>
        <v>25</v>
      </c>
      <c r="I17" s="160">
        <f>IFERROR(VLOOKUP(MID($G17,4,3),MMWR_TRAD_AGG_NATIONAL[],3,0),0)</f>
        <v>0</v>
      </c>
      <c r="J17" s="161">
        <f>IF(H17=0, 0,I17/H17)</f>
        <v>0</v>
      </c>
      <c r="K17" s="134"/>
    </row>
    <row r="18" spans="1:11" ht="16.5" customHeight="1" thickBot="1" x14ac:dyDescent="0.25">
      <c r="A18" s="130"/>
      <c r="B18" s="326" t="s">
        <v>86</v>
      </c>
      <c r="C18" s="327"/>
      <c r="D18" s="327"/>
      <c r="E18" s="327"/>
      <c r="F18" s="327"/>
      <c r="G18" s="142" t="s">
        <v>203</v>
      </c>
      <c r="H18" s="164">
        <f>IFERROR(VLOOKUP(MID($G18,4,3),MMWR_TRAD_AGG_NATIONAL[],2,0),0)</f>
        <v>5</v>
      </c>
      <c r="I18" s="160">
        <f>IFERROR(VLOOKUP(MID($G18,4,3),MMWR_TRAD_AGG_NATIONAL[],3,0),0)</f>
        <v>0</v>
      </c>
      <c r="J18" s="165">
        <f>IF(H18=0, 0,I18/H18)</f>
        <v>0</v>
      </c>
      <c r="K18" s="134"/>
    </row>
    <row r="19" spans="1:11" ht="16.5" customHeight="1" x14ac:dyDescent="0.2">
      <c r="A19" s="130"/>
      <c r="B19" s="331" t="s">
        <v>970</v>
      </c>
      <c r="C19" s="332"/>
      <c r="D19" s="332"/>
      <c r="E19" s="332"/>
      <c r="F19" s="332"/>
      <c r="G19" s="332"/>
      <c r="H19" s="332"/>
      <c r="I19" s="332"/>
      <c r="J19" s="333"/>
      <c r="K19" s="134"/>
    </row>
    <row r="20" spans="1:11" ht="36" customHeight="1" thickBot="1" x14ac:dyDescent="0.25">
      <c r="A20" s="130"/>
      <c r="B20" s="334"/>
      <c r="C20" s="335"/>
      <c r="D20" s="335"/>
      <c r="E20" s="335"/>
      <c r="F20" s="335"/>
      <c r="G20" s="335"/>
      <c r="H20" s="335"/>
      <c r="I20" s="335"/>
      <c r="J20" s="336"/>
      <c r="K20" s="134"/>
    </row>
    <row r="21" spans="1:11" ht="36" customHeight="1" x14ac:dyDescent="0.2">
      <c r="A21" s="130"/>
      <c r="B21" s="283" t="s">
        <v>961</v>
      </c>
      <c r="C21" s="284"/>
      <c r="D21" s="285"/>
      <c r="E21" s="283" t="s">
        <v>962</v>
      </c>
      <c r="F21" s="284"/>
      <c r="G21" s="285"/>
      <c r="H21" s="283" t="s">
        <v>963</v>
      </c>
      <c r="I21" s="284"/>
      <c r="J21" s="285"/>
      <c r="K21" s="134"/>
    </row>
    <row r="22" spans="1:11" ht="29.25" customHeight="1" thickBot="1" x14ac:dyDescent="0.25">
      <c r="A22" s="130"/>
      <c r="B22" s="286"/>
      <c r="C22" s="287"/>
      <c r="D22" s="288"/>
      <c r="E22" s="286"/>
      <c r="F22" s="287"/>
      <c r="G22" s="288"/>
      <c r="H22" s="286"/>
      <c r="I22" s="287"/>
      <c r="J22" s="288"/>
      <c r="K22" s="134"/>
    </row>
    <row r="23" spans="1:11" ht="36" customHeight="1" x14ac:dyDescent="0.35">
      <c r="A23" s="130"/>
      <c r="B23" s="283" t="s">
        <v>955</v>
      </c>
      <c r="C23" s="284"/>
      <c r="D23" s="285"/>
      <c r="E23" s="283" t="s">
        <v>956</v>
      </c>
      <c r="F23" s="284"/>
      <c r="G23" s="285"/>
      <c r="H23" s="144"/>
      <c r="I23" s="144"/>
      <c r="J23" s="144"/>
      <c r="K23" s="134"/>
    </row>
    <row r="24" spans="1:11" ht="29.25" customHeight="1" thickBot="1" x14ac:dyDescent="0.4">
      <c r="A24" s="130"/>
      <c r="B24" s="286"/>
      <c r="C24" s="287"/>
      <c r="D24" s="288"/>
      <c r="E24" s="286"/>
      <c r="F24" s="287"/>
      <c r="G24" s="288"/>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04"/>
      <c r="D26" s="304"/>
      <c r="E26" s="304"/>
      <c r="F26" s="305"/>
      <c r="G26" s="263" t="s">
        <v>1063</v>
      </c>
      <c r="H26" s="263" t="s">
        <v>1064</v>
      </c>
      <c r="I26" s="263" t="s">
        <v>1061</v>
      </c>
      <c r="J26" s="264" t="s">
        <v>28</v>
      </c>
      <c r="K26" s="134"/>
    </row>
    <row r="27" spans="1:11" ht="16.5" customHeight="1" x14ac:dyDescent="0.2">
      <c r="A27" s="130"/>
      <c r="B27" s="301" t="s">
        <v>964</v>
      </c>
      <c r="C27" s="302"/>
      <c r="D27" s="302"/>
      <c r="E27" s="302"/>
      <c r="F27" s="303"/>
      <c r="G27" s="256">
        <v>5278</v>
      </c>
      <c r="H27" s="256">
        <v>5679</v>
      </c>
      <c r="I27" s="256">
        <v>-401</v>
      </c>
      <c r="J27" s="260">
        <v>-7.0999999999999994E-2</v>
      </c>
      <c r="K27" s="134"/>
    </row>
    <row r="28" spans="1:11" ht="15" x14ac:dyDescent="0.2">
      <c r="A28" s="130"/>
      <c r="B28" s="289" t="s">
        <v>24</v>
      </c>
      <c r="C28" s="290"/>
      <c r="D28" s="290"/>
      <c r="E28" s="290"/>
      <c r="F28" s="291"/>
      <c r="G28" s="257">
        <v>1505</v>
      </c>
      <c r="H28" s="257">
        <v>1689</v>
      </c>
      <c r="I28" s="257">
        <v>-184</v>
      </c>
      <c r="J28" s="253">
        <v>-0.109</v>
      </c>
      <c r="K28" s="134"/>
    </row>
    <row r="29" spans="1:11" ht="15" x14ac:dyDescent="0.2">
      <c r="A29" s="130"/>
      <c r="B29" s="292" t="s">
        <v>25</v>
      </c>
      <c r="C29" s="293"/>
      <c r="D29" s="293"/>
      <c r="E29" s="293"/>
      <c r="F29" s="294"/>
      <c r="G29" s="258">
        <v>512</v>
      </c>
      <c r="H29" s="258">
        <v>484</v>
      </c>
      <c r="I29" s="258">
        <v>28</v>
      </c>
      <c r="J29" s="254">
        <v>5.8000000000000003E-2</v>
      </c>
      <c r="K29" s="134"/>
    </row>
    <row r="30" spans="1:11" ht="15" x14ac:dyDescent="0.2">
      <c r="A30" s="130"/>
      <c r="B30" s="295" t="s">
        <v>26</v>
      </c>
      <c r="C30" s="296"/>
      <c r="D30" s="296"/>
      <c r="E30" s="296"/>
      <c r="F30" s="297"/>
      <c r="G30" s="258">
        <v>1277</v>
      </c>
      <c r="H30" s="258">
        <v>1463</v>
      </c>
      <c r="I30" s="258">
        <v>-186</v>
      </c>
      <c r="J30" s="254">
        <v>-0.127</v>
      </c>
      <c r="K30" s="134"/>
    </row>
    <row r="31" spans="1:11" ht="15" x14ac:dyDescent="0.2">
      <c r="A31" s="130"/>
      <c r="B31" s="298" t="s">
        <v>27</v>
      </c>
      <c r="C31" s="299"/>
      <c r="D31" s="299"/>
      <c r="E31" s="299"/>
      <c r="F31" s="300"/>
      <c r="G31" s="259">
        <v>1984</v>
      </c>
      <c r="H31" s="259">
        <v>2043</v>
      </c>
      <c r="I31" s="259">
        <v>-59</v>
      </c>
      <c r="J31" s="255">
        <v>-2.9000000000000001E-2</v>
      </c>
      <c r="K31" s="134"/>
    </row>
    <row r="32" spans="1:11" ht="16.5" customHeight="1" x14ac:dyDescent="0.2">
      <c r="A32" s="130"/>
      <c r="B32" s="301" t="s">
        <v>235</v>
      </c>
      <c r="C32" s="302"/>
      <c r="D32" s="302"/>
      <c r="E32" s="302"/>
      <c r="F32" s="303"/>
      <c r="G32" s="256">
        <v>32608</v>
      </c>
      <c r="H32" s="256">
        <v>33239</v>
      </c>
      <c r="I32" s="256">
        <v>-631</v>
      </c>
      <c r="J32" s="260">
        <v>-1.9E-2</v>
      </c>
      <c r="K32" s="134"/>
    </row>
    <row r="33" spans="1:11" ht="15" x14ac:dyDescent="0.2">
      <c r="A33" s="130"/>
      <c r="B33" s="289" t="s">
        <v>24</v>
      </c>
      <c r="C33" s="290"/>
      <c r="D33" s="290"/>
      <c r="E33" s="290"/>
      <c r="F33" s="291"/>
      <c r="G33" s="257">
        <v>5830</v>
      </c>
      <c r="H33" s="257">
        <v>8471</v>
      </c>
      <c r="I33" s="257">
        <v>-2641</v>
      </c>
      <c r="J33" s="253">
        <v>-0.312</v>
      </c>
      <c r="K33" s="134"/>
    </row>
    <row r="34" spans="1:11" ht="15" x14ac:dyDescent="0.2">
      <c r="A34" s="130"/>
      <c r="B34" s="292" t="s">
        <v>25</v>
      </c>
      <c r="C34" s="293"/>
      <c r="D34" s="293"/>
      <c r="E34" s="293"/>
      <c r="F34" s="294"/>
      <c r="G34" s="258">
        <v>2831</v>
      </c>
      <c r="H34" s="258">
        <v>3139</v>
      </c>
      <c r="I34" s="258">
        <v>-308</v>
      </c>
      <c r="J34" s="254">
        <v>-9.8000000000000004E-2</v>
      </c>
      <c r="K34" s="134"/>
    </row>
    <row r="35" spans="1:11" ht="15" x14ac:dyDescent="0.2">
      <c r="A35" s="130"/>
      <c r="B35" s="295" t="s">
        <v>26</v>
      </c>
      <c r="C35" s="296"/>
      <c r="D35" s="296"/>
      <c r="E35" s="296"/>
      <c r="F35" s="297"/>
      <c r="G35" s="258">
        <v>12553</v>
      </c>
      <c r="H35" s="258">
        <v>11709</v>
      </c>
      <c r="I35" s="258">
        <v>844</v>
      </c>
      <c r="J35" s="254">
        <v>7.1999999999999995E-2</v>
      </c>
      <c r="K35" s="134"/>
    </row>
    <row r="36" spans="1:11" ht="15.75" thickBot="1" x14ac:dyDescent="0.25">
      <c r="A36" s="130"/>
      <c r="B36" s="337" t="s">
        <v>27</v>
      </c>
      <c r="C36" s="338"/>
      <c r="D36" s="338"/>
      <c r="E36" s="338"/>
      <c r="F36" s="339"/>
      <c r="G36" s="258">
        <v>11394</v>
      </c>
      <c r="H36" s="258">
        <v>9920</v>
      </c>
      <c r="I36" s="258">
        <v>1474</v>
      </c>
      <c r="J36" s="254">
        <v>0.14899999999999999</v>
      </c>
      <c r="K36" s="134"/>
    </row>
    <row r="37" spans="1:11" ht="15.75" customHeight="1" thickBot="1" x14ac:dyDescent="0.25">
      <c r="A37" s="130"/>
      <c r="B37" s="328" t="s">
        <v>969</v>
      </c>
      <c r="C37" s="329"/>
      <c r="D37" s="329"/>
      <c r="E37" s="329"/>
      <c r="F37" s="329"/>
      <c r="G37" s="329"/>
      <c r="H37" s="329"/>
      <c r="I37" s="329"/>
      <c r="J37" s="330"/>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5" t="s">
        <v>295</v>
      </c>
      <c r="D2" s="356"/>
      <c r="E2" s="356"/>
      <c r="F2" s="356"/>
      <c r="G2" s="356"/>
      <c r="H2" s="356"/>
      <c r="I2" s="356"/>
      <c r="J2" s="356"/>
      <c r="K2" s="357"/>
      <c r="L2" s="355" t="s">
        <v>300</v>
      </c>
      <c r="M2" s="356"/>
      <c r="N2" s="356"/>
      <c r="O2" s="357"/>
      <c r="P2" s="28"/>
    </row>
    <row r="3" spans="1:16" ht="24" customHeight="1" thickBot="1" x14ac:dyDescent="0.4">
      <c r="A3" s="25"/>
      <c r="B3" s="29"/>
      <c r="C3" s="358"/>
      <c r="D3" s="359"/>
      <c r="E3" s="359"/>
      <c r="F3" s="359"/>
      <c r="G3" s="359"/>
      <c r="H3" s="359"/>
      <c r="I3" s="359"/>
      <c r="J3" s="359"/>
      <c r="K3" s="360"/>
      <c r="L3" s="358" t="str">
        <f>Transformation!B4</f>
        <v>As of: April 02, 2016</v>
      </c>
      <c r="M3" s="359"/>
      <c r="N3" s="359"/>
      <c r="O3" s="360"/>
      <c r="P3" s="28"/>
    </row>
    <row r="4" spans="1:16" ht="51.75" customHeight="1" thickBot="1" x14ac:dyDescent="0.35">
      <c r="A4" s="30"/>
      <c r="B4" s="246" t="s">
        <v>456</v>
      </c>
      <c r="C4" s="361" t="s">
        <v>304</v>
      </c>
      <c r="D4" s="362"/>
      <c r="E4" s="362"/>
      <c r="F4" s="362"/>
      <c r="G4" s="362"/>
      <c r="H4" s="362"/>
      <c r="I4" s="362"/>
      <c r="J4" s="362"/>
      <c r="K4" s="362"/>
      <c r="L4" s="362"/>
      <c r="M4" s="362"/>
      <c r="N4" s="362"/>
      <c r="O4" s="363"/>
      <c r="P4" s="28"/>
    </row>
    <row r="5" spans="1:16" ht="27" customHeight="1" thickBot="1" x14ac:dyDescent="0.25">
      <c r="A5" s="30"/>
      <c r="B5" s="26"/>
      <c r="C5" s="364" t="s">
        <v>1042</v>
      </c>
      <c r="D5" s="365"/>
      <c r="E5" s="365"/>
      <c r="F5" s="365"/>
      <c r="G5" s="365"/>
      <c r="H5" s="365"/>
      <c r="I5" s="365"/>
      <c r="J5" s="365"/>
      <c r="K5" s="365"/>
      <c r="L5" s="365"/>
      <c r="M5" s="365"/>
      <c r="N5" s="365"/>
      <c r="O5" s="366"/>
      <c r="P5" s="28"/>
    </row>
    <row r="6" spans="1:16" ht="55.5" customHeight="1" x14ac:dyDescent="0.2">
      <c r="A6" s="30"/>
      <c r="B6" s="31"/>
      <c r="C6" s="32" t="s">
        <v>190</v>
      </c>
      <c r="D6" s="367" t="s">
        <v>16</v>
      </c>
      <c r="E6" s="368"/>
      <c r="F6" s="33" t="s">
        <v>193</v>
      </c>
      <c r="G6" s="367" t="s">
        <v>198</v>
      </c>
      <c r="H6" s="369"/>
      <c r="I6" s="33" t="s">
        <v>196</v>
      </c>
      <c r="J6" s="373" t="s">
        <v>14</v>
      </c>
      <c r="K6" s="374"/>
      <c r="L6" s="33" t="s">
        <v>201</v>
      </c>
      <c r="M6" s="370" t="s">
        <v>85</v>
      </c>
      <c r="N6" s="371"/>
      <c r="O6" s="372"/>
      <c r="P6" s="28"/>
    </row>
    <row r="7" spans="1:16" ht="51.75" customHeight="1" x14ac:dyDescent="0.2">
      <c r="A7" s="30"/>
      <c r="B7" s="34"/>
      <c r="C7" s="35" t="s">
        <v>191</v>
      </c>
      <c r="D7" s="343" t="s">
        <v>0</v>
      </c>
      <c r="E7" s="344"/>
      <c r="F7" s="36" t="s">
        <v>194</v>
      </c>
      <c r="G7" s="345" t="s">
        <v>199</v>
      </c>
      <c r="H7" s="345"/>
      <c r="I7" s="36" t="s">
        <v>197</v>
      </c>
      <c r="J7" s="375" t="s">
        <v>19</v>
      </c>
      <c r="K7" s="376"/>
      <c r="L7" s="36" t="s">
        <v>202</v>
      </c>
      <c r="M7" s="379" t="s">
        <v>87</v>
      </c>
      <c r="N7" s="380"/>
      <c r="O7" s="381"/>
      <c r="P7" s="28"/>
    </row>
    <row r="8" spans="1:16" ht="51.75" customHeight="1" thickBot="1" x14ac:dyDescent="0.25">
      <c r="A8" s="25"/>
      <c r="B8" s="28"/>
      <c r="C8" s="37" t="s">
        <v>192</v>
      </c>
      <c r="D8" s="346" t="s">
        <v>18</v>
      </c>
      <c r="E8" s="347"/>
      <c r="F8" s="38" t="s">
        <v>195</v>
      </c>
      <c r="G8" s="348" t="s">
        <v>17</v>
      </c>
      <c r="H8" s="348"/>
      <c r="I8" s="38" t="s">
        <v>200</v>
      </c>
      <c r="J8" s="377" t="s">
        <v>84</v>
      </c>
      <c r="K8" s="378"/>
      <c r="L8" s="38" t="s">
        <v>203</v>
      </c>
      <c r="M8" s="352" t="s">
        <v>86</v>
      </c>
      <c r="N8" s="353"/>
      <c r="O8" s="354"/>
      <c r="P8" s="28"/>
    </row>
    <row r="9" spans="1:16" x14ac:dyDescent="0.2">
      <c r="A9" s="28"/>
      <c r="B9" s="28"/>
      <c r="C9" s="39" t="s">
        <v>705</v>
      </c>
      <c r="D9" s="39" t="s">
        <v>707</v>
      </c>
      <c r="E9" s="39" t="s">
        <v>706</v>
      </c>
      <c r="F9" s="39" t="s">
        <v>709</v>
      </c>
      <c r="G9" s="39" t="s">
        <v>708</v>
      </c>
      <c r="H9" s="39" t="s">
        <v>711</v>
      </c>
      <c r="I9" s="39" t="s">
        <v>710</v>
      </c>
      <c r="J9" s="39" t="s">
        <v>921</v>
      </c>
      <c r="K9" s="39" t="s">
        <v>922</v>
      </c>
      <c r="L9" s="39" t="s">
        <v>924</v>
      </c>
      <c r="M9" s="39" t="s">
        <v>1043</v>
      </c>
      <c r="N9" s="39" t="s">
        <v>925</v>
      </c>
      <c r="O9" s="39" t="s">
        <v>926</v>
      </c>
      <c r="P9" s="28"/>
    </row>
    <row r="10" spans="1:16" ht="15.75" customHeight="1" x14ac:dyDescent="0.2">
      <c r="A10" s="25"/>
      <c r="B10" s="26"/>
      <c r="C10" s="349" t="s">
        <v>293</v>
      </c>
      <c r="D10" s="349"/>
      <c r="E10" s="349"/>
      <c r="F10" s="349"/>
      <c r="G10" s="349"/>
      <c r="H10" s="349"/>
      <c r="I10" s="349"/>
      <c r="J10" s="349"/>
      <c r="K10" s="349"/>
      <c r="L10" s="349"/>
      <c r="M10" s="349"/>
      <c r="N10" s="349"/>
      <c r="O10" s="349"/>
      <c r="P10" s="28"/>
    </row>
    <row r="11" spans="1:16" ht="32.25" customHeight="1" x14ac:dyDescent="0.2">
      <c r="A11" s="25"/>
      <c r="B11" s="26"/>
      <c r="C11" s="350" t="s">
        <v>226</v>
      </c>
      <c r="D11" s="350" t="s">
        <v>134</v>
      </c>
      <c r="E11" s="350" t="s">
        <v>227</v>
      </c>
      <c r="F11" s="350" t="s">
        <v>189</v>
      </c>
      <c r="G11" s="350" t="s">
        <v>204</v>
      </c>
      <c r="H11" s="350" t="s">
        <v>206</v>
      </c>
      <c r="I11" s="350" t="s">
        <v>207</v>
      </c>
      <c r="J11" s="384" t="s">
        <v>1054</v>
      </c>
      <c r="K11" s="384" t="s">
        <v>1055</v>
      </c>
      <c r="L11" s="382" t="s">
        <v>1052</v>
      </c>
      <c r="M11" s="383"/>
      <c r="N11" s="382" t="s">
        <v>1053</v>
      </c>
      <c r="O11" s="383"/>
      <c r="P11" s="28"/>
    </row>
    <row r="12" spans="1:16" ht="32.25" customHeight="1" x14ac:dyDescent="0.2">
      <c r="A12" s="25"/>
      <c r="B12" s="26"/>
      <c r="C12" s="351"/>
      <c r="D12" s="351"/>
      <c r="E12" s="351"/>
      <c r="F12" s="351"/>
      <c r="G12" s="351"/>
      <c r="H12" s="351"/>
      <c r="I12" s="351"/>
      <c r="J12" s="385"/>
      <c r="K12" s="385"/>
      <c r="L12" s="40" t="s">
        <v>927</v>
      </c>
      <c r="M12" s="40" t="s">
        <v>932</v>
      </c>
      <c r="N12" s="40" t="s">
        <v>927</v>
      </c>
      <c r="O12" s="40" t="s">
        <v>932</v>
      </c>
      <c r="P12" s="28"/>
    </row>
    <row r="13" spans="1:16" x14ac:dyDescent="0.2">
      <c r="A13" s="25"/>
      <c r="B13" s="41" t="s">
        <v>1050</v>
      </c>
      <c r="C13" s="154">
        <f>IF($B13=" ","",IFERROR(INDEX(MMWR_RATING_RO_ROLLUP[],MATCH($B13,MMWR_RATING_RO_ROLLUP[MMWR_RATING_RO_ROLLUP],0),MATCH(C$9,MMWR_RATING_RO_ROLLUP[#Headers],0)),"ERROR"))</f>
        <v>341929</v>
      </c>
      <c r="D13" s="155">
        <f>IF($B13=" ","",IFERROR(INDEX(MMWR_RATING_RO_ROLLUP[],MATCH($B13,MMWR_RATING_RO_ROLLUP[MMWR_RATING_RO_ROLLUP],0),MATCH(D$9,MMWR_RATING_RO_ROLLUP[#Headers],0)),"ERROR"))</f>
        <v>89.626747073199994</v>
      </c>
      <c r="E13" s="156">
        <f>IF($B13=" ","",IFERROR(INDEX(MMWR_RATING_RO_ROLLUP[],MATCH($B13,MMWR_RATING_RO_ROLLUP[MMWR_RATING_RO_ROLLUP],0),MATCH(E$9,MMWR_RATING_RO_ROLLUP[#Headers],0))/$C13,"ERROR"))</f>
        <v>0.22660552336888654</v>
      </c>
      <c r="F13" s="154">
        <f>IF($B13=" ","",IFERROR(INDEX(MMWR_RATING_RO_ROLLUP[],MATCH($B13,MMWR_RATING_RO_ROLLUP[MMWR_RATING_RO_ROLLUP],0),MATCH(F$9,MMWR_RATING_RO_ROLLUP[#Headers],0)),"ERROR"))</f>
        <v>5644</v>
      </c>
      <c r="G13" s="154">
        <f>IF($B13=" ","",IFERROR(INDEX(MMWR_RATING_RO_ROLLUP[],MATCH($B13,MMWR_RATING_RO_ROLLUP[MMWR_RATING_RO_ROLLUP],0),MATCH(G$9,MMWR_RATING_RO_ROLLUP[#Headers],0)),"ERROR"))</f>
        <v>638357</v>
      </c>
      <c r="H13" s="155">
        <f>IF($B13=" ","",IFERROR(INDEX(MMWR_RATING_RO_ROLLUP[],MATCH($B13,MMWR_RATING_RO_ROLLUP[MMWR_RATING_RO_ROLLUP],0),MATCH(H$9,MMWR_RATING_RO_ROLLUP[#Headers],0)),"ERROR"))</f>
        <v>115.62331679659999</v>
      </c>
      <c r="I13" s="155">
        <f>IF($B13=" ","",IFERROR(INDEX(MMWR_RATING_RO_ROLLUP[],MATCH($B13,MMWR_RATING_RO_ROLLUP[MMWR_RATING_RO_ROLLUP],0),MATCH(I$9,MMWR_RATING_RO_ROLLUP[#Headers],0)),"ERROR"))</f>
        <v>125.9668837343</v>
      </c>
      <c r="J13" s="42"/>
      <c r="K13" s="42"/>
      <c r="L13" s="42"/>
      <c r="M13" s="42"/>
      <c r="N13" s="42"/>
      <c r="O13" s="42"/>
      <c r="P13" s="28"/>
    </row>
    <row r="14" spans="1:16" x14ac:dyDescent="0.2">
      <c r="A14" s="25"/>
      <c r="B14" s="341" t="s">
        <v>733</v>
      </c>
      <c r="C14" s="342"/>
      <c r="D14" s="342"/>
      <c r="E14" s="342"/>
      <c r="F14" s="342"/>
      <c r="G14" s="342"/>
      <c r="H14" s="342"/>
      <c r="I14" s="342"/>
      <c r="J14" s="342"/>
      <c r="K14" s="342"/>
      <c r="L14" s="342"/>
      <c r="M14" s="342"/>
      <c r="N14" s="342"/>
      <c r="O14" s="342"/>
      <c r="P14" s="28"/>
    </row>
    <row r="15" spans="1:16" x14ac:dyDescent="0.2">
      <c r="A15" s="25"/>
      <c r="B15" s="41" t="s">
        <v>729</v>
      </c>
      <c r="C15" s="154">
        <f>IF($B15=" ","",IFERROR(INDEX(MMWR_RATING_RO_ROLLUP[],MATCH($B15,MMWR_RATING_RO_ROLLUP[MMWR_RATING_RO_ROLLUP],0),MATCH(C$9,MMWR_RATING_RO_ROLLUP[#Headers],0)),"ERROR"))</f>
        <v>296333</v>
      </c>
      <c r="D15" s="155">
        <f>IF($B15=" ","",IFERROR(INDEX(MMWR_RATING_RO_ROLLUP[],MATCH($B15,MMWR_RATING_RO_ROLLUP[MMWR_RATING_RO_ROLLUP],0),MATCH(D$9,MMWR_RATING_RO_ROLLUP[#Headers],0)),"ERROR"))</f>
        <v>92.046397127600002</v>
      </c>
      <c r="E15" s="156">
        <f>IF($B15=" ","",IFERROR(INDEX(MMWR_RATING_RO_ROLLUP[],MATCH($B15,MMWR_RATING_RO_ROLLUP[MMWR_RATING_RO_ROLLUP],0),MATCH(E$9,MMWR_RATING_RO_ROLLUP[#Headers],0))/$C15,"ERROR"))</f>
        <v>0.2375233267978929</v>
      </c>
      <c r="F15" s="154">
        <f>IF($B15=" ","",IFERROR(INDEX(MMWR_RATING_RO_ROLLUP[],MATCH($B15,MMWR_RATING_RO_ROLLUP[MMWR_RATING_RO_ROLLUP],0),MATCH(F$9,MMWR_RATING_RO_ROLLUP[#Headers],0)),"ERROR"))</f>
        <v>5108</v>
      </c>
      <c r="G15" s="154">
        <f>IF($B15=" ","",IFERROR(INDEX(MMWR_RATING_RO_ROLLUP[],MATCH($B15,MMWR_RATING_RO_ROLLUP[MMWR_RATING_RO_ROLLUP],0),MATCH(G$9,MMWR_RATING_RO_ROLLUP[#Headers],0)),"ERROR"))</f>
        <v>538927</v>
      </c>
      <c r="H15" s="155">
        <f>IF($B15=" ","",IFERROR(INDEX(MMWR_RATING_RO_ROLLUP[],MATCH($B15,MMWR_RATING_RO_ROLLUP[MMWR_RATING_RO_ROLLUP],0),MATCH(H$9,MMWR_RATING_RO_ROLLUP[#Headers],0)),"ERROR"))</f>
        <v>117.9115113547</v>
      </c>
      <c r="I15" s="155">
        <f>IF($B15=" ","",IFERROR(INDEX(MMWR_RATING_RO_ROLLUP[],MATCH($B15,MMWR_RATING_RO_ROLLUP[MMWR_RATING_RO_ROLLUP],0),MATCH(I$9,MMWR_RATING_RO_ROLLUP[#Headers],0)),"ERROR"))</f>
        <v>131.92353509840001</v>
      </c>
      <c r="J15" s="157">
        <f>VLOOKUP($B$13,MMWR_ACCURACY_RO[],MATCH(J$9,MMWR_ACCURACY_RO[#Headers],0),0)</f>
        <v>0.95680143989940214</v>
      </c>
      <c r="K15" s="157">
        <f>VLOOKUP($B$13,MMWR_ACCURACY_RO[],MATCH(K$9,MMWR_ACCURACY_RO[#Headers],0),0)</f>
        <v>0.88865938028937774</v>
      </c>
      <c r="L15" s="157">
        <f>VLOOKUP($B$13,MMWR_ACCURACY_RO[],MATCH(L$9,MMWR_ACCURACY_RO[#Headers],0),0)</f>
        <v>0.89849409779437717</v>
      </c>
      <c r="M15" s="157">
        <f>VLOOKUP($B$13,MMWR_ACCURACY_RO[],MATCH(M$9,MMWR_ACCURACY_RO[#Headers],0),0)</f>
        <v>7.721999991102564E-3</v>
      </c>
      <c r="N15" s="157">
        <f>VLOOKUP($B$13,MMWR_ACCURACY_RO[],MATCH(N$9,MMWR_ACCURACY_RO[#Headers],0),0)</f>
        <v>0.9049602630756779</v>
      </c>
      <c r="O15" s="157">
        <f>VLOOKUP($B$13,MMWR_ACCURACY_RO[],MATCH(O$9,MMWR_ACCURACY_RO[#Headers],0),0)</f>
        <v>8.8512179735798207E-3</v>
      </c>
      <c r="P15" s="28"/>
    </row>
    <row r="16" spans="1:16" x14ac:dyDescent="0.2">
      <c r="A16" s="25"/>
      <c r="B16" s="247" t="s">
        <v>370</v>
      </c>
      <c r="C16" s="154">
        <f>IF($B16=" ","",IFERROR(INDEX(MMWR_RATING_RO_ROLLUP[],MATCH($B16,MMWR_RATING_RO_ROLLUP[MMWR_RATING_RO_ROLLUP],0),MATCH(C$9,MMWR_RATING_RO_ROLLUP[#Headers],0)),"ERROR"))</f>
        <v>46790</v>
      </c>
      <c r="D16" s="155">
        <f>IF($B16=" ","",IFERROR(INDEX(MMWR_RATING_RO_ROLLUP[],MATCH($B16,MMWR_RATING_RO_ROLLUP[MMWR_RATING_RO_ROLLUP],0),MATCH(D$9,MMWR_RATING_RO_ROLLUP[#Headers],0)),"ERROR"))</f>
        <v>93.250651848700002</v>
      </c>
      <c r="E16" s="156">
        <f>IF($B16=" ","",IFERROR(INDEX(MMWR_RATING_RO_ROLLUP[],MATCH($B16,MMWR_RATING_RO_ROLLUP[MMWR_RATING_RO_ROLLUP],0),MATCH(E$9,MMWR_RATING_RO_ROLLUP[#Headers],0))/$C16,"ERROR"))</f>
        <v>0.24197478093609745</v>
      </c>
      <c r="F16" s="154">
        <f>IF($B16=" ","",IFERROR(INDEX(MMWR_RATING_RO_ROLLUP[],MATCH($B16,MMWR_RATING_RO_ROLLUP[MMWR_RATING_RO_ROLLUP],0),MATCH(F$9,MMWR_RATING_RO_ROLLUP[#Headers],0)),"ERROR"))</f>
        <v>1138</v>
      </c>
      <c r="G16" s="154">
        <f>IF($B16=" ","",IFERROR(INDEX(MMWR_RATING_RO_ROLLUP[],MATCH($B16,MMWR_RATING_RO_ROLLUP[MMWR_RATING_RO_ROLLUP],0),MATCH(G$9,MMWR_RATING_RO_ROLLUP[#Headers],0)),"ERROR"))</f>
        <v>114975</v>
      </c>
      <c r="H16" s="155">
        <f>IF($B16=" ","",IFERROR(INDEX(MMWR_RATING_RO_ROLLUP[],MATCH($B16,MMWR_RATING_RO_ROLLUP[MMWR_RATING_RO_ROLLUP],0),MATCH(H$9,MMWR_RATING_RO_ROLLUP[#Headers],0)),"ERROR"))</f>
        <v>125.2390158172</v>
      </c>
      <c r="I16" s="155">
        <f>IF($B16=" ","",IFERROR(INDEX(MMWR_RATING_RO_ROLLUP[],MATCH($B16,MMWR_RATING_RO_ROLLUP[MMWR_RATING_RO_ROLLUP],0),MATCH(I$9,MMWR_RATING_RO_ROLLUP[#Headers],0)),"ERROR"))</f>
        <v>132.8163165906</v>
      </c>
      <c r="J16" s="157">
        <f>IF($B16=" ","",IFERROR(VLOOKUP($B16,MMWR_ACCURACY_RO[],MATCH(J$9,MMWR_ACCURACY_RO[#Headers],0),0),"ERROR"))</f>
        <v>0.95557790426099298</v>
      </c>
      <c r="K16" s="157">
        <f>IF($B16=" ","",IFERROR(VLOOKUP($B16,MMWR_ACCURACY_RO[],MATCH(K$9,MMWR_ACCURACY_RO[#Headers],0),0),"ERROR"))</f>
        <v>0.88645764313115494</v>
      </c>
      <c r="L16" s="157">
        <f>IF($B16=" ","",IFERROR(VLOOKUP($B16,MMWR_ACCURACY_RO[],MATCH(L$9,MMWR_ACCURACY_RO[#Headers],0),0),"ERROR"))</f>
        <v>0.87092179976127115</v>
      </c>
      <c r="M16" s="157">
        <f>IF($B16=" ","",IFERROR(VLOOKUP($B16,MMWR_ACCURACY_RO[],MATCH(M$9,MMWR_ACCURACY_RO[#Headers],0),0),"ERROR"))</f>
        <v>1.6816553628524675E-2</v>
      </c>
      <c r="N16" s="157">
        <f>IF($B16=" ","",IFERROR(VLOOKUP($B16,MMWR_ACCURACY_RO[],MATCH(N$9,MMWR_ACCURACY_RO[#Headers],0),0),"ERROR"))</f>
        <v>0.88925276889927019</v>
      </c>
      <c r="O16" s="157">
        <f>IF($B16=" ","",IFERROR(VLOOKUP($B16,MMWR_ACCURACY_RO[],MATCH(O$9,MMWR_ACCURACY_RO[#Headers],0),0),"ERROR"))</f>
        <v>1.662764650893564E-2</v>
      </c>
      <c r="P16" s="28"/>
    </row>
    <row r="17" spans="1:16" x14ac:dyDescent="0.2">
      <c r="A17" s="25"/>
      <c r="B17" s="8" t="str">
        <f>VLOOKUP($B$16,DISTRICT_RO[],2,0)</f>
        <v>Baltimore VSC</v>
      </c>
      <c r="C17" s="154">
        <f>IF($B17=" ","",IFERROR(INDEX(MMWR_RATING_RO_ROLLUP[],MATCH($B17,MMWR_RATING_RO_ROLLUP[MMWR_RATING_RO_ROLLUP],0),MATCH(C$9,MMWR_RATING_RO_ROLLUP[#Headers],0)),"ERROR"))</f>
        <v>927</v>
      </c>
      <c r="D17" s="155">
        <f>IF($B17=" ","",IFERROR(INDEX(MMWR_RATING_RO_ROLLUP[],MATCH($B17,MMWR_RATING_RO_ROLLUP[MMWR_RATING_RO_ROLLUP],0),MATCH(D$9,MMWR_RATING_RO_ROLLUP[#Headers],0)),"ERROR"))</f>
        <v>108.7303128371</v>
      </c>
      <c r="E17" s="156">
        <f>IF($B17=" ","",IFERROR(INDEX(MMWR_RATING_RO_ROLLUP[],MATCH($B17,MMWR_RATING_RO_ROLLUP[MMWR_RATING_RO_ROLLUP],0),MATCH(E$9,MMWR_RATING_RO_ROLLUP[#Headers],0))/$C17,"ERROR"))</f>
        <v>0.31175836030204962</v>
      </c>
      <c r="F17" s="154">
        <f>IF($B17=" ","",IFERROR(INDEX(MMWR_RATING_RO_ROLLUP[],MATCH($B17,MMWR_RATING_RO_ROLLUP[MMWR_RATING_RO_ROLLUP],0),MATCH(F$9,MMWR_RATING_RO_ROLLUP[#Headers],0)),"ERROR"))</f>
        <v>69</v>
      </c>
      <c r="G17" s="154">
        <f>IF($B17=" ","",IFERROR(INDEX(MMWR_RATING_RO_ROLLUP[],MATCH($B17,MMWR_RATING_RO_ROLLUP[MMWR_RATING_RO_ROLLUP],0),MATCH(G$9,MMWR_RATING_RO_ROLLUP[#Headers],0)),"ERROR"))</f>
        <v>4656</v>
      </c>
      <c r="H17" s="155">
        <f>IF($B17=" ","",IFERROR(INDEX(MMWR_RATING_RO_ROLLUP[],MATCH($B17,MMWR_RATING_RO_ROLLUP[MMWR_RATING_RO_ROLLUP],0),MATCH(H$9,MMWR_RATING_RO_ROLLUP[#Headers],0)),"ERROR"))</f>
        <v>131.6086956522</v>
      </c>
      <c r="I17" s="155">
        <f>IF($B17=" ","",IFERROR(INDEX(MMWR_RATING_RO_ROLLUP[],MATCH($B17,MMWR_RATING_RO_ROLLUP[MMWR_RATING_RO_ROLLUP],0),MATCH(I$9,MMWR_RATING_RO_ROLLUP[#Headers],0)),"ERROR"))</f>
        <v>135.72852233680001</v>
      </c>
      <c r="J17" s="157">
        <f>IF($B17=" ","",IFERROR(VLOOKUP($B17,MMWR_ACCURACY_RO[],MATCH(J$9,MMWR_ACCURACY_RO[#Headers],0),0),"ERROR"))</f>
        <v>0.95664475242074976</v>
      </c>
      <c r="K17" s="157">
        <f>IF($B17=" ","",IFERROR(VLOOKUP($B17,MMWR_ACCURACY_RO[],MATCH(K$9,MMWR_ACCURACY_RO[#Headers],0),0),"ERROR"))</f>
        <v>0.86998606431804815</v>
      </c>
      <c r="L17" s="157">
        <f>IF($B17=" ","",IFERROR(VLOOKUP($B17,MMWR_ACCURACY_RO[],MATCH(L$9,MMWR_ACCURACY_RO[#Headers],0),0),"ERROR"))</f>
        <v>0.85108545456160656</v>
      </c>
      <c r="M17" s="157">
        <f>IF($B17=" ","",IFERROR(VLOOKUP($B17,MMWR_ACCURACY_RO[],MATCH(M$9,MMWR_ACCURACY_RO[#Headers],0),0),"ERROR"))</f>
        <v>4.3496417076770939E-2</v>
      </c>
      <c r="N17" s="157">
        <f>IF($B17=" ","",IFERROR(VLOOKUP($B17,MMWR_ACCURACY_RO[],MATCH(N$9,MMWR_ACCURACY_RO[#Headers],0),0),"ERROR"))</f>
        <v>0.89294980607428187</v>
      </c>
      <c r="O17" s="157">
        <f>IF($B17=" ","",IFERROR(VLOOKUP($B17,MMWR_ACCURACY_RO[],MATCH(O$9,MMWR_ACCURACY_RO[#Headers],0),0),"ERROR"))</f>
        <v>4.6118555211209722E-2</v>
      </c>
      <c r="P17" s="28"/>
    </row>
    <row r="18" spans="1:16" x14ac:dyDescent="0.2">
      <c r="A18" s="25"/>
      <c r="B18" s="8" t="str">
        <f>VLOOKUP($B$16,DISTRICT_RO[],3,0)</f>
        <v>Boston VSC</v>
      </c>
      <c r="C18" s="154">
        <f>IF($B18=" ","",IFERROR(INDEX(MMWR_RATING_RO_ROLLUP[],MATCH($B18,MMWR_RATING_RO_ROLLUP[MMWR_RATING_RO_ROLLUP],0),MATCH(C$9,MMWR_RATING_RO_ROLLUP[#Headers],0)),"ERROR"))</f>
        <v>3221</v>
      </c>
      <c r="D18" s="155">
        <f>IF($B18=" ","",IFERROR(INDEX(MMWR_RATING_RO_ROLLUP[],MATCH($B18,MMWR_RATING_RO_ROLLUP[MMWR_RATING_RO_ROLLUP],0),MATCH(D$9,MMWR_RATING_RO_ROLLUP[#Headers],0)),"ERROR"))</f>
        <v>85.048432163900003</v>
      </c>
      <c r="E18" s="156">
        <f>IF($B18=" ","",IFERROR(INDEX(MMWR_RATING_RO_ROLLUP[],MATCH($B18,MMWR_RATING_RO_ROLLUP[MMWR_RATING_RO_ROLLUP],0),MATCH(E$9,MMWR_RATING_RO_ROLLUP[#Headers],0))/$C18,"ERROR"))</f>
        <v>0.21949705060540206</v>
      </c>
      <c r="F18" s="154">
        <f>IF($B18=" ","",IFERROR(INDEX(MMWR_RATING_RO_ROLLUP[],MATCH($B18,MMWR_RATING_RO_ROLLUP[MMWR_RATING_RO_ROLLUP],0),MATCH(F$9,MMWR_RATING_RO_ROLLUP[#Headers],0)),"ERROR"))</f>
        <v>37</v>
      </c>
      <c r="G18" s="154">
        <f>IF($B18=" ","",IFERROR(INDEX(MMWR_RATING_RO_ROLLUP[],MATCH($B18,MMWR_RATING_RO_ROLLUP[MMWR_RATING_RO_ROLLUP],0),MATCH(G$9,MMWR_RATING_RO_ROLLUP[#Headers],0)),"ERROR"))</f>
        <v>5150</v>
      </c>
      <c r="H18" s="155">
        <f>IF($B18=" ","",IFERROR(INDEX(MMWR_RATING_RO_ROLLUP[],MATCH($B18,MMWR_RATING_RO_ROLLUP[MMWR_RATING_RO_ROLLUP],0),MATCH(H$9,MMWR_RATING_RO_ROLLUP[#Headers],0)),"ERROR"))</f>
        <v>141.67567567570001</v>
      </c>
      <c r="I18" s="155">
        <f>IF($B18=" ","",IFERROR(INDEX(MMWR_RATING_RO_ROLLUP[],MATCH($B18,MMWR_RATING_RO_ROLLUP[MMWR_RATING_RO_ROLLUP],0),MATCH(I$9,MMWR_RATING_RO_ROLLUP[#Headers],0)),"ERROR"))</f>
        <v>128.02776699029999</v>
      </c>
      <c r="J18" s="157">
        <f>IF($B18=" ","",IFERROR(VLOOKUP($B18,MMWR_ACCURACY_RO[],MATCH(J$9,MMWR_ACCURACY_RO[#Headers],0),0),"ERROR"))</f>
        <v>0.91190420553369655</v>
      </c>
      <c r="K18" s="157">
        <f>IF($B18=" ","",IFERROR(VLOOKUP($B18,MMWR_ACCURACY_RO[],MATCH(K$9,MMWR_ACCURACY_RO[#Headers],0),0),"ERROR"))</f>
        <v>0.84011142566782804</v>
      </c>
      <c r="L18" s="157">
        <f>IF($B18=" ","",IFERROR(VLOOKUP($B18,MMWR_ACCURACY_RO[],MATCH(L$9,MMWR_ACCURACY_RO[#Headers],0),0),"ERROR"))</f>
        <v>0.81741423842264183</v>
      </c>
      <c r="M18" s="157">
        <f>IF($B18=" ","",IFERROR(VLOOKUP($B18,MMWR_ACCURACY_RO[],MATCH(M$9,MMWR_ACCURACY_RO[#Headers],0),0),"ERROR"))</f>
        <v>5.9520752012706242E-2</v>
      </c>
      <c r="N18" s="157">
        <f>IF($B18=" ","",IFERROR(VLOOKUP($B18,MMWR_ACCURACY_RO[],MATCH(N$9,MMWR_ACCURACY_RO[#Headers],0),0),"ERROR"))</f>
        <v>0.90628525230118873</v>
      </c>
      <c r="O18" s="157">
        <f>IF($B18=" ","",IFERROR(VLOOKUP($B18,MMWR_ACCURACY_RO[],MATCH(O$9,MMWR_ACCURACY_RO[#Headers],0),0),"ERROR"))</f>
        <v>5.7878499162111796E-2</v>
      </c>
      <c r="P18" s="28"/>
    </row>
    <row r="19" spans="1:16" x14ac:dyDescent="0.2">
      <c r="A19" s="25"/>
      <c r="B19" s="8" t="str">
        <f>VLOOKUP($B$16,DISTRICT_RO[],4,0)</f>
        <v>Buffalo VSC</v>
      </c>
      <c r="C19" s="154">
        <f>IF($B19=" ","",IFERROR(INDEX(MMWR_RATING_RO_ROLLUP[],MATCH($B19,MMWR_RATING_RO_ROLLUP[MMWR_RATING_RO_ROLLUP],0),MATCH(C$9,MMWR_RATING_RO_ROLLUP[#Headers],0)),"ERROR"))</f>
        <v>3292</v>
      </c>
      <c r="D19" s="155">
        <f>IF($B19=" ","",IFERROR(INDEX(MMWR_RATING_RO_ROLLUP[],MATCH($B19,MMWR_RATING_RO_ROLLUP[MMWR_RATING_RO_ROLLUP],0),MATCH(D$9,MMWR_RATING_RO_ROLLUP[#Headers],0)),"ERROR"))</f>
        <v>79.163122721700006</v>
      </c>
      <c r="E19" s="156">
        <f>IF($B19=" ","",IFERROR(INDEX(MMWR_RATING_RO_ROLLUP[],MATCH($B19,MMWR_RATING_RO_ROLLUP[MMWR_RATING_RO_ROLLUP],0),MATCH(E$9,MMWR_RATING_RO_ROLLUP[#Headers],0))/$C19,"ERROR"))</f>
        <v>0.13304981773997571</v>
      </c>
      <c r="F19" s="154">
        <f>IF($B19=" ","",IFERROR(INDEX(MMWR_RATING_RO_ROLLUP[],MATCH($B19,MMWR_RATING_RO_ROLLUP[MMWR_RATING_RO_ROLLUP],0),MATCH(F$9,MMWR_RATING_RO_ROLLUP[#Headers],0)),"ERROR"))</f>
        <v>68</v>
      </c>
      <c r="G19" s="154">
        <f>IF($B19=" ","",IFERROR(INDEX(MMWR_RATING_RO_ROLLUP[],MATCH($B19,MMWR_RATING_RO_ROLLUP[MMWR_RATING_RO_ROLLUP],0),MATCH(G$9,MMWR_RATING_RO_ROLLUP[#Headers],0)),"ERROR"))</f>
        <v>5061</v>
      </c>
      <c r="H19" s="155">
        <f>IF($B19=" ","",IFERROR(INDEX(MMWR_RATING_RO_ROLLUP[],MATCH($B19,MMWR_RATING_RO_ROLLUP[MMWR_RATING_RO_ROLLUP],0),MATCH(H$9,MMWR_RATING_RO_ROLLUP[#Headers],0)),"ERROR"))</f>
        <v>133.6176470588</v>
      </c>
      <c r="I19" s="155">
        <f>IF($B19=" ","",IFERROR(INDEX(MMWR_RATING_RO_ROLLUP[],MATCH($B19,MMWR_RATING_RO_ROLLUP[MMWR_RATING_RO_ROLLUP],0),MATCH(I$9,MMWR_RATING_RO_ROLLUP[#Headers],0)),"ERROR"))</f>
        <v>137.59395376410001</v>
      </c>
      <c r="J19" s="157">
        <f>IF($B19=" ","",IFERROR(VLOOKUP($B19,MMWR_ACCURACY_RO[],MATCH(J$9,MMWR_ACCURACY_RO[#Headers],0),0),"ERROR"))</f>
        <v>0.94683501844841622</v>
      </c>
      <c r="K19" s="157">
        <f>IF($B19=" ","",IFERROR(VLOOKUP($B19,MMWR_ACCURACY_RO[],MATCH(K$9,MMWR_ACCURACY_RO[#Headers],0),0),"ERROR"))</f>
        <v>0.91499803690616399</v>
      </c>
      <c r="L19" s="157">
        <f>IF($B19=" ","",IFERROR(VLOOKUP($B19,MMWR_ACCURACY_RO[],MATCH(L$9,MMWR_ACCURACY_RO[#Headers],0),0),"ERROR"))</f>
        <v>0.88032567070749035</v>
      </c>
      <c r="M19" s="157">
        <f>IF($B19=" ","",IFERROR(VLOOKUP($B19,MMWR_ACCURACY_RO[],MATCH(M$9,MMWR_ACCURACY_RO[#Headers],0),0),"ERROR"))</f>
        <v>5.1481816406506696E-2</v>
      </c>
      <c r="N19" s="157">
        <f>IF($B19=" ","",IFERROR(VLOOKUP($B19,MMWR_ACCURACY_RO[],MATCH(N$9,MMWR_ACCURACY_RO[#Headers],0),0),"ERROR"))</f>
        <v>0.87020944250579457</v>
      </c>
      <c r="O19" s="157">
        <f>IF($B19=" ","",IFERROR(VLOOKUP($B19,MMWR_ACCURACY_RO[],MATCH(O$9,MMWR_ACCURACY_RO[#Headers],0),0),"ERROR"))</f>
        <v>4.9002853568726794E-2</v>
      </c>
      <c r="P19" s="28"/>
    </row>
    <row r="20" spans="1:16" x14ac:dyDescent="0.2">
      <c r="A20" s="25"/>
      <c r="B20" s="8" t="str">
        <f>VLOOKUP($B$16,DISTRICT_RO[],5,0)</f>
        <v>Hartford VSC</v>
      </c>
      <c r="C20" s="154">
        <f>IF($B20=" ","",IFERROR(INDEX(MMWR_RATING_RO_ROLLUP[],MATCH($B20,MMWR_RATING_RO_ROLLUP[MMWR_RATING_RO_ROLLUP],0),MATCH(C$9,MMWR_RATING_RO_ROLLUP[#Headers],0)),"ERROR"))</f>
        <v>2264</v>
      </c>
      <c r="D20" s="155">
        <f>IF($B20=" ","",IFERROR(INDEX(MMWR_RATING_RO_ROLLUP[],MATCH($B20,MMWR_RATING_RO_ROLLUP[MMWR_RATING_RO_ROLLUP],0),MATCH(D$9,MMWR_RATING_RO_ROLLUP[#Headers],0)),"ERROR"))</f>
        <v>116.0318021201</v>
      </c>
      <c r="E20" s="156">
        <f>IF($B20=" ","",IFERROR(INDEX(MMWR_RATING_RO_ROLLUP[],MATCH($B20,MMWR_RATING_RO_ROLLUP[MMWR_RATING_RO_ROLLUP],0),MATCH(E$9,MMWR_RATING_RO_ROLLUP[#Headers],0))/$C20,"ERROR"))</f>
        <v>0.33303886925795051</v>
      </c>
      <c r="F20" s="154">
        <f>IF($B20=" ","",IFERROR(INDEX(MMWR_RATING_RO_ROLLUP[],MATCH($B20,MMWR_RATING_RO_ROLLUP[MMWR_RATING_RO_ROLLUP],0),MATCH(F$9,MMWR_RATING_RO_ROLLUP[#Headers],0)),"ERROR"))</f>
        <v>51</v>
      </c>
      <c r="G20" s="154">
        <f>IF($B20=" ","",IFERROR(INDEX(MMWR_RATING_RO_ROLLUP[],MATCH($B20,MMWR_RATING_RO_ROLLUP[MMWR_RATING_RO_ROLLUP],0),MATCH(G$9,MMWR_RATING_RO_ROLLUP[#Headers],0)),"ERROR"))</f>
        <v>4758</v>
      </c>
      <c r="H20" s="155">
        <f>IF($B20=" ","",IFERROR(INDEX(MMWR_RATING_RO_ROLLUP[],MATCH($B20,MMWR_RATING_RO_ROLLUP[MMWR_RATING_RO_ROLLUP],0),MATCH(H$9,MMWR_RATING_RO_ROLLUP[#Headers],0)),"ERROR"))</f>
        <v>125.92156862749999</v>
      </c>
      <c r="I20" s="155">
        <f>IF($B20=" ","",IFERROR(INDEX(MMWR_RATING_RO_ROLLUP[],MATCH($B20,MMWR_RATING_RO_ROLLUP[MMWR_RATING_RO_ROLLUP],0),MATCH(I$9,MMWR_RATING_RO_ROLLUP[#Headers],0)),"ERROR"))</f>
        <v>134.0533837747</v>
      </c>
      <c r="J20" s="157">
        <f>IF($B20=" ","",IFERROR(VLOOKUP($B20,MMWR_ACCURACY_RO[],MATCH(J$9,MMWR_ACCURACY_RO[#Headers],0),0),"ERROR"))</f>
        <v>0.977359311763775</v>
      </c>
      <c r="K20" s="157">
        <f>IF($B20=" ","",IFERROR(VLOOKUP($B20,MMWR_ACCURACY_RO[],MATCH(K$9,MMWR_ACCURACY_RO[#Headers],0),0),"ERROR"))</f>
        <v>0.93942667156952875</v>
      </c>
      <c r="L20" s="157">
        <f>IF($B20=" ","",IFERROR(VLOOKUP($B20,MMWR_ACCURACY_RO[],MATCH(L$9,MMWR_ACCURACY_RO[#Headers],0),0),"ERROR"))</f>
        <v>0.92156946053007049</v>
      </c>
      <c r="M20" s="157">
        <f>IF($B20=" ","",IFERROR(VLOOKUP($B20,MMWR_ACCURACY_RO[],MATCH(M$9,MMWR_ACCURACY_RO[#Headers],0),0),"ERROR"))</f>
        <v>4.3180953110503066E-2</v>
      </c>
      <c r="N20" s="157">
        <f>IF($B20=" ","",IFERROR(VLOOKUP($B20,MMWR_ACCURACY_RO[],MATCH(N$9,MMWR_ACCURACY_RO[#Headers],0),0),"ERROR"))</f>
        <v>0.96537208039109179</v>
      </c>
      <c r="O20" s="157">
        <f>IF($B20=" ","",IFERROR(VLOOKUP($B20,MMWR_ACCURACY_RO[],MATCH(O$9,MMWR_ACCURACY_RO[#Headers],0),0),"ERROR"))</f>
        <v>3.1791942793363503E-2</v>
      </c>
      <c r="P20" s="28"/>
    </row>
    <row r="21" spans="1:16" x14ac:dyDescent="0.2">
      <c r="A21" s="25"/>
      <c r="B21" s="8" t="str">
        <f>VLOOKUP($B$16,DISTRICT_RO[],6,0)</f>
        <v>Huntington VSC</v>
      </c>
      <c r="C21" s="154">
        <f>IF($B21=" ","",IFERROR(INDEX(MMWR_RATING_RO_ROLLUP[],MATCH($B21,MMWR_RATING_RO_ROLLUP[MMWR_RATING_RO_ROLLUP],0),MATCH(C$9,MMWR_RATING_RO_ROLLUP[#Headers],0)),"ERROR"))</f>
        <v>2480</v>
      </c>
      <c r="D21" s="155">
        <f>IF($B21=" ","",IFERROR(INDEX(MMWR_RATING_RO_ROLLUP[],MATCH($B21,MMWR_RATING_RO_ROLLUP[MMWR_RATING_RO_ROLLUP],0),MATCH(D$9,MMWR_RATING_RO_ROLLUP[#Headers],0)),"ERROR"))</f>
        <v>76.065725806499998</v>
      </c>
      <c r="E21" s="156">
        <f>IF($B21=" ","",IFERROR(INDEX(MMWR_RATING_RO_ROLLUP[],MATCH($B21,MMWR_RATING_RO_ROLLUP[MMWR_RATING_RO_ROLLUP],0),MATCH(E$9,MMWR_RATING_RO_ROLLUP[#Headers],0))/$C21,"ERROR"))</f>
        <v>0.16129032258064516</v>
      </c>
      <c r="F21" s="154">
        <f>IF($B21=" ","",IFERROR(INDEX(MMWR_RATING_RO_ROLLUP[],MATCH($B21,MMWR_RATING_RO_ROLLUP[MMWR_RATING_RO_ROLLUP],0),MATCH(F$9,MMWR_RATING_RO_ROLLUP[#Headers],0)),"ERROR"))</f>
        <v>52</v>
      </c>
      <c r="G21" s="154">
        <f>IF($B21=" ","",IFERROR(INDEX(MMWR_RATING_RO_ROLLUP[],MATCH($B21,MMWR_RATING_RO_ROLLUP[MMWR_RATING_RO_ROLLUP],0),MATCH(G$9,MMWR_RATING_RO_ROLLUP[#Headers],0)),"ERROR"))</f>
        <v>8915</v>
      </c>
      <c r="H21" s="155">
        <f>IF($B21=" ","",IFERROR(INDEX(MMWR_RATING_RO_ROLLUP[],MATCH($B21,MMWR_RATING_RO_ROLLUP[MMWR_RATING_RO_ROLLUP],0),MATCH(H$9,MMWR_RATING_RO_ROLLUP[#Headers],0)),"ERROR"))</f>
        <v>99.807692307699995</v>
      </c>
      <c r="I21" s="155">
        <f>IF($B21=" ","",IFERROR(INDEX(MMWR_RATING_RO_ROLLUP[],MATCH($B21,MMWR_RATING_RO_ROLLUP[MMWR_RATING_RO_ROLLUP],0),MATCH(I$9,MMWR_RATING_RO_ROLLUP[#Headers],0)),"ERROR"))</f>
        <v>136.61772293889999</v>
      </c>
      <c r="J21" s="157">
        <f>IF($B21=" ","",IFERROR(VLOOKUP($B21,MMWR_ACCURACY_RO[],MATCH(J$9,MMWR_ACCURACY_RO[#Headers],0),0),"ERROR"))</f>
        <v>0.96304442126429202</v>
      </c>
      <c r="K21" s="157">
        <f>IF($B21=" ","",IFERROR(VLOOKUP($B21,MMWR_ACCURACY_RO[],MATCH(K$9,MMWR_ACCURACY_RO[#Headers],0),0),"ERROR"))</f>
        <v>0.91944325021496132</v>
      </c>
      <c r="L21" s="157">
        <f>IF($B21=" ","",IFERROR(VLOOKUP($B21,MMWR_ACCURACY_RO[],MATCH(L$9,MMWR_ACCURACY_RO[#Headers],0),0),"ERROR"))</f>
        <v>0.89204618107666112</v>
      </c>
      <c r="M21" s="157">
        <f>IF($B21=" ","",IFERROR(VLOOKUP($B21,MMWR_ACCURACY_RO[],MATCH(M$9,MMWR_ACCURACY_RO[#Headers],0),0),"ERROR"))</f>
        <v>4.6369593936788009E-2</v>
      </c>
      <c r="N21" s="157">
        <f>IF($B21=" ","",IFERROR(VLOOKUP($B21,MMWR_ACCURACY_RO[],MATCH(N$9,MMWR_ACCURACY_RO[#Headers],0),0),"ERROR"))</f>
        <v>0.88674323156682033</v>
      </c>
      <c r="O21" s="157">
        <f>IF($B21=" ","",IFERROR(VLOOKUP($B21,MMWR_ACCURACY_RO[],MATCH(O$9,MMWR_ACCURACY_RO[#Headers],0),0),"ERROR"))</f>
        <v>5.4365069197528156E-2</v>
      </c>
      <c r="P21" s="28"/>
    </row>
    <row r="22" spans="1:16" x14ac:dyDescent="0.2">
      <c r="A22" s="25"/>
      <c r="B22" s="8" t="str">
        <f>VLOOKUP($B$16,DISTRICT_RO[],7,0)</f>
        <v>Manchester VSC</v>
      </c>
      <c r="C22" s="154">
        <f>IF($B22=" ","",IFERROR(INDEX(MMWR_RATING_RO_ROLLUP[],MATCH($B22,MMWR_RATING_RO_ROLLUP[MMWR_RATING_RO_ROLLUP],0),MATCH(C$9,MMWR_RATING_RO_ROLLUP[#Headers],0)),"ERROR"))</f>
        <v>940</v>
      </c>
      <c r="D22" s="155">
        <f>IF($B22=" ","",IFERROR(INDEX(MMWR_RATING_RO_ROLLUP[],MATCH($B22,MMWR_RATING_RO_ROLLUP[MMWR_RATING_RO_ROLLUP],0),MATCH(D$9,MMWR_RATING_RO_ROLLUP[#Headers],0)),"ERROR"))</f>
        <v>86.072340425500002</v>
      </c>
      <c r="E22" s="156">
        <f>IF($B22=" ","",IFERROR(INDEX(MMWR_RATING_RO_ROLLUP[],MATCH($B22,MMWR_RATING_RO_ROLLUP[MMWR_RATING_RO_ROLLUP],0),MATCH(E$9,MMWR_RATING_RO_ROLLUP[#Headers],0))/$C22,"ERROR"))</f>
        <v>0.1797872340425532</v>
      </c>
      <c r="F22" s="154">
        <f>IF($B22=" ","",IFERROR(INDEX(MMWR_RATING_RO_ROLLUP[],MATCH($B22,MMWR_RATING_RO_ROLLUP[MMWR_RATING_RO_ROLLUP],0),MATCH(F$9,MMWR_RATING_RO_ROLLUP[#Headers],0)),"ERROR"))</f>
        <v>23</v>
      </c>
      <c r="G22" s="154">
        <f>IF($B22=" ","",IFERROR(INDEX(MMWR_RATING_RO_ROLLUP[],MATCH($B22,MMWR_RATING_RO_ROLLUP[MMWR_RATING_RO_ROLLUP],0),MATCH(G$9,MMWR_RATING_RO_ROLLUP[#Headers],0)),"ERROR"))</f>
        <v>2064</v>
      </c>
      <c r="H22" s="155">
        <f>IF($B22=" ","",IFERROR(INDEX(MMWR_RATING_RO_ROLLUP[],MATCH($B22,MMWR_RATING_RO_ROLLUP[MMWR_RATING_RO_ROLLUP],0),MATCH(H$9,MMWR_RATING_RO_ROLLUP[#Headers],0)),"ERROR"))</f>
        <v>113.3913043478</v>
      </c>
      <c r="I22" s="155">
        <f>IF($B22=" ","",IFERROR(INDEX(MMWR_RATING_RO_ROLLUP[],MATCH($B22,MMWR_RATING_RO_ROLLUP[MMWR_RATING_RO_ROLLUP],0),MATCH(I$9,MMWR_RATING_RO_ROLLUP[#Headers],0)),"ERROR"))</f>
        <v>141.64341085269999</v>
      </c>
      <c r="J22" s="157">
        <f>IF($B22=" ","",IFERROR(VLOOKUP($B22,MMWR_ACCURACY_RO[],MATCH(J$9,MMWR_ACCURACY_RO[#Headers],0),0),"ERROR"))</f>
        <v>0.89238739469000705</v>
      </c>
      <c r="K22" s="157">
        <f>IF($B22=" ","",IFERROR(VLOOKUP($B22,MMWR_ACCURACY_RO[],MATCH(K$9,MMWR_ACCURACY_RO[#Headers],0),0),"ERROR"))</f>
        <v>0.81924244483711661</v>
      </c>
      <c r="L22" s="157">
        <f>IF($B22=" ","",IFERROR(VLOOKUP($B22,MMWR_ACCURACY_RO[],MATCH(L$9,MMWR_ACCURACY_RO[#Headers],0),0),"ERROR"))</f>
        <v>0.90718586469957752</v>
      </c>
      <c r="M22" s="157">
        <f>IF($B22=" ","",IFERROR(VLOOKUP($B22,MMWR_ACCURACY_RO[],MATCH(M$9,MMWR_ACCURACY_RO[#Headers],0),0),"ERROR"))</f>
        <v>4.3201662546459477E-2</v>
      </c>
      <c r="N22" s="157">
        <f>IF($B22=" ","",IFERROR(VLOOKUP($B22,MMWR_ACCURACY_RO[],MATCH(N$9,MMWR_ACCURACY_RO[#Headers],0),0),"ERROR"))</f>
        <v>0.90951602545390842</v>
      </c>
      <c r="O22" s="157">
        <f>IF($B22=" ","",IFERROR(VLOOKUP($B22,MMWR_ACCURACY_RO[],MATCH(O$9,MMWR_ACCURACY_RO[#Headers],0),0),"ERROR"))</f>
        <v>4.8228557645968451E-2</v>
      </c>
      <c r="P22" s="28"/>
    </row>
    <row r="23" spans="1:16" x14ac:dyDescent="0.2">
      <c r="A23" s="25"/>
      <c r="B23" s="8" t="str">
        <f>VLOOKUP($B$16,DISTRICT_RO[],8,0)</f>
        <v>New York VSC</v>
      </c>
      <c r="C23" s="154">
        <f>IF($B23=" ","",IFERROR(INDEX(MMWR_RATING_RO_ROLLUP[],MATCH($B23,MMWR_RATING_RO_ROLLUP[MMWR_RATING_RO_ROLLUP],0),MATCH(C$9,MMWR_RATING_RO_ROLLUP[#Headers],0)),"ERROR"))</f>
        <v>3647</v>
      </c>
      <c r="D23" s="155">
        <f>IF($B23=" ","",IFERROR(INDEX(MMWR_RATING_RO_ROLLUP[],MATCH($B23,MMWR_RATING_RO_ROLLUP[MMWR_RATING_RO_ROLLUP],0),MATCH(D$9,MMWR_RATING_RO_ROLLUP[#Headers],0)),"ERROR"))</f>
        <v>91.710172744700003</v>
      </c>
      <c r="E23" s="156">
        <f>IF($B23=" ","",IFERROR(INDEX(MMWR_RATING_RO_ROLLUP[],MATCH($B23,MMWR_RATING_RO_ROLLUP[MMWR_RATING_RO_ROLLUP],0),MATCH(E$9,MMWR_RATING_RO_ROLLUP[#Headers],0))/$C23,"ERROR"))</f>
        <v>0.23992322456813819</v>
      </c>
      <c r="F23" s="154">
        <f>IF($B23=" ","",IFERROR(INDEX(MMWR_RATING_RO_ROLLUP[],MATCH($B23,MMWR_RATING_RO_ROLLUP[MMWR_RATING_RO_ROLLUP],0),MATCH(F$9,MMWR_RATING_RO_ROLLUP[#Headers],0)),"ERROR"))</f>
        <v>89</v>
      </c>
      <c r="G23" s="154">
        <f>IF($B23=" ","",IFERROR(INDEX(MMWR_RATING_RO_ROLLUP[],MATCH($B23,MMWR_RATING_RO_ROLLUP[MMWR_RATING_RO_ROLLUP],0),MATCH(G$9,MMWR_RATING_RO_ROLLUP[#Headers],0)),"ERROR"))</f>
        <v>5953</v>
      </c>
      <c r="H23" s="155">
        <f>IF($B23=" ","",IFERROR(INDEX(MMWR_RATING_RO_ROLLUP[],MATCH($B23,MMWR_RATING_RO_ROLLUP[MMWR_RATING_RO_ROLLUP],0),MATCH(H$9,MMWR_RATING_RO_ROLLUP[#Headers],0)),"ERROR"))</f>
        <v>123.50561797749999</v>
      </c>
      <c r="I23" s="155">
        <f>IF($B23=" ","",IFERROR(INDEX(MMWR_RATING_RO_ROLLUP[],MATCH($B23,MMWR_RATING_RO_ROLLUP[MMWR_RATING_RO_ROLLUP],0),MATCH(I$9,MMWR_RATING_RO_ROLLUP[#Headers],0)),"ERROR"))</f>
        <v>129.94254997479999</v>
      </c>
      <c r="J23" s="157">
        <f>IF($B23=" ","",IFERROR(VLOOKUP($B23,MMWR_ACCURACY_RO[],MATCH(J$9,MMWR_ACCURACY_RO[#Headers],0),0),"ERROR"))</f>
        <v>0.87175914839889401</v>
      </c>
      <c r="K23" s="157">
        <f>IF($B23=" ","",IFERROR(VLOOKUP($B23,MMWR_ACCURACY_RO[],MATCH(K$9,MMWR_ACCURACY_RO[#Headers],0),0),"ERROR"))</f>
        <v>0.80800611026904123</v>
      </c>
      <c r="L23" s="157">
        <f>IF($B23=" ","",IFERROR(VLOOKUP($B23,MMWR_ACCURACY_RO[],MATCH(L$9,MMWR_ACCURACY_RO[#Headers],0),0),"ERROR"))</f>
        <v>0.88516471778237038</v>
      </c>
      <c r="M23" s="157">
        <f>IF($B23=" ","",IFERROR(VLOOKUP($B23,MMWR_ACCURACY_RO[],MATCH(M$9,MMWR_ACCURACY_RO[#Headers],0),0),"ERROR"))</f>
        <v>5.06192468171556E-2</v>
      </c>
      <c r="N23" s="157">
        <f>IF($B23=" ","",IFERROR(VLOOKUP($B23,MMWR_ACCURACY_RO[],MATCH(N$9,MMWR_ACCURACY_RO[#Headers],0),0),"ERROR"))</f>
        <v>0.9259891474205949</v>
      </c>
      <c r="O23" s="157">
        <f>IF($B23=" ","",IFERROR(VLOOKUP($B23,MMWR_ACCURACY_RO[],MATCH(O$9,MMWR_ACCURACY_RO[#Headers],0),0),"ERROR"))</f>
        <v>4.1509331338272164E-2</v>
      </c>
      <c r="P23" s="28"/>
    </row>
    <row r="24" spans="1:16" x14ac:dyDescent="0.2">
      <c r="A24" s="25"/>
      <c r="B24" s="8" t="str">
        <f>VLOOKUP($B$16,DISTRICT_RO[],9,0)</f>
        <v>Newark VSC</v>
      </c>
      <c r="C24" s="154">
        <f>IF($B24=" ","",IFERROR(INDEX(MMWR_RATING_RO_ROLLUP[],MATCH($B24,MMWR_RATING_RO_ROLLUP[MMWR_RATING_RO_ROLLUP],0),MATCH(C$9,MMWR_RATING_RO_ROLLUP[#Headers],0)),"ERROR"))</f>
        <v>2649</v>
      </c>
      <c r="D24" s="155">
        <f>IF($B24=" ","",IFERROR(INDEX(MMWR_RATING_RO_ROLLUP[],MATCH($B24,MMWR_RATING_RO_ROLLUP[MMWR_RATING_RO_ROLLUP],0),MATCH(D$9,MMWR_RATING_RO_ROLLUP[#Headers],0)),"ERROR"))</f>
        <v>76.7259343148</v>
      </c>
      <c r="E24" s="156">
        <f>IF($B24=" ","",IFERROR(INDEX(MMWR_RATING_RO_ROLLUP[],MATCH($B24,MMWR_RATING_RO_ROLLUP[MMWR_RATING_RO_ROLLUP],0),MATCH(E$9,MMWR_RATING_RO_ROLLUP[#Headers],0))/$C24,"ERROR"))</f>
        <v>0.13476783691959229</v>
      </c>
      <c r="F24" s="154">
        <f>IF($B24=" ","",IFERROR(INDEX(MMWR_RATING_RO_ROLLUP[],MATCH($B24,MMWR_RATING_RO_ROLLUP[MMWR_RATING_RO_ROLLUP],0),MATCH(F$9,MMWR_RATING_RO_ROLLUP[#Headers],0)),"ERROR"))</f>
        <v>25</v>
      </c>
      <c r="G24" s="154">
        <f>IF($B24=" ","",IFERROR(INDEX(MMWR_RATING_RO_ROLLUP[],MATCH($B24,MMWR_RATING_RO_ROLLUP[MMWR_RATING_RO_ROLLUP],0),MATCH(G$9,MMWR_RATING_RO_ROLLUP[#Headers],0)),"ERROR"))</f>
        <v>2981</v>
      </c>
      <c r="H24" s="155">
        <f>IF($B24=" ","",IFERROR(INDEX(MMWR_RATING_RO_ROLLUP[],MATCH($B24,MMWR_RATING_RO_ROLLUP[MMWR_RATING_RO_ROLLUP],0),MATCH(H$9,MMWR_RATING_RO_ROLLUP[#Headers],0)),"ERROR"))</f>
        <v>198.4</v>
      </c>
      <c r="I24" s="155">
        <f>IF($B24=" ","",IFERROR(INDEX(MMWR_RATING_RO_ROLLUP[],MATCH($B24,MMWR_RATING_RO_ROLLUP[MMWR_RATING_RO_ROLLUP],0),MATCH(I$9,MMWR_RATING_RO_ROLLUP[#Headers],0)),"ERROR"))</f>
        <v>138.76618584369999</v>
      </c>
      <c r="J24" s="157">
        <f>IF($B24=" ","",IFERROR(VLOOKUP($B24,MMWR_ACCURACY_RO[],MATCH(J$9,MMWR_ACCURACY_RO[#Headers],0),0),"ERROR"))</f>
        <v>0.93398216035828141</v>
      </c>
      <c r="K24" s="157">
        <f>IF($B24=" ","",IFERROR(VLOOKUP($B24,MMWR_ACCURACY_RO[],MATCH(K$9,MMWR_ACCURACY_RO[#Headers],0),0),"ERROR"))</f>
        <v>0.86562082777036053</v>
      </c>
      <c r="L24" s="157">
        <f>IF($B24=" ","",IFERROR(VLOOKUP($B24,MMWR_ACCURACY_RO[],MATCH(L$9,MMWR_ACCURACY_RO[#Headers],0),0),"ERROR"))</f>
        <v>0.88854634714594771</v>
      </c>
      <c r="M24" s="157">
        <f>IF($B24=" ","",IFERROR(VLOOKUP($B24,MMWR_ACCURACY_RO[],MATCH(M$9,MMWR_ACCURACY_RO[#Headers],0),0),"ERROR"))</f>
        <v>4.3260926008857364E-2</v>
      </c>
      <c r="N24" s="157">
        <f>IF($B24=" ","",IFERROR(VLOOKUP($B24,MMWR_ACCURACY_RO[],MATCH(N$9,MMWR_ACCURACY_RO[#Headers],0),0),"ERROR"))</f>
        <v>0.86908732126622024</v>
      </c>
      <c r="O24" s="157">
        <f>IF($B24=" ","",IFERROR(VLOOKUP($B24,MMWR_ACCURACY_RO[],MATCH(O$9,MMWR_ACCURACY_RO[#Headers],0),0),"ERROR"))</f>
        <v>4.7505234261764999E-2</v>
      </c>
      <c r="P24" s="28"/>
    </row>
    <row r="25" spans="1:16" x14ac:dyDescent="0.2">
      <c r="A25" s="25"/>
      <c r="B25" s="8" t="str">
        <f>VLOOKUP($B$16,DISTRICT_RO[],10,0)</f>
        <v>Philadelphia VSC</v>
      </c>
      <c r="C25" s="154">
        <f>IF($B25=" ","",IFERROR(INDEX(MMWR_RATING_RO_ROLLUP[],MATCH($B25,MMWR_RATING_RO_ROLLUP[MMWR_RATING_RO_ROLLUP],0),MATCH(C$9,MMWR_RATING_RO_ROLLUP[#Headers],0)),"ERROR"))</f>
        <v>6490</v>
      </c>
      <c r="D25" s="155">
        <f>IF($B25=" ","",IFERROR(INDEX(MMWR_RATING_RO_ROLLUP[],MATCH($B25,MMWR_RATING_RO_ROLLUP[MMWR_RATING_RO_ROLLUP],0),MATCH(D$9,MMWR_RATING_RO_ROLLUP[#Headers],0)),"ERROR"))</f>
        <v>95.965177195699994</v>
      </c>
      <c r="E25" s="156">
        <f>IF($B25=" ","",IFERROR(INDEX(MMWR_RATING_RO_ROLLUP[],MATCH($B25,MMWR_RATING_RO_ROLLUP[MMWR_RATING_RO_ROLLUP],0),MATCH(E$9,MMWR_RATING_RO_ROLLUP[#Headers],0))/$C25,"ERROR"))</f>
        <v>0.27149460708782741</v>
      </c>
      <c r="F25" s="154">
        <f>IF($B25=" ","",IFERROR(INDEX(MMWR_RATING_RO_ROLLUP[],MATCH($B25,MMWR_RATING_RO_ROLLUP[MMWR_RATING_RO_ROLLUP],0),MATCH(F$9,MMWR_RATING_RO_ROLLUP[#Headers],0)),"ERROR"))</f>
        <v>98</v>
      </c>
      <c r="G25" s="154">
        <f>IF($B25=" ","",IFERROR(INDEX(MMWR_RATING_RO_ROLLUP[],MATCH($B25,MMWR_RATING_RO_ROLLUP[MMWR_RATING_RO_ROLLUP],0),MATCH(G$9,MMWR_RATING_RO_ROLLUP[#Headers],0)),"ERROR"))</f>
        <v>12939</v>
      </c>
      <c r="H25" s="155">
        <f>IF($B25=" ","",IFERROR(INDEX(MMWR_RATING_RO_ROLLUP[],MATCH($B25,MMWR_RATING_RO_ROLLUP[MMWR_RATING_RO_ROLLUP],0),MATCH(H$9,MMWR_RATING_RO_ROLLUP[#Headers],0)),"ERROR"))</f>
        <v>128.6428571429</v>
      </c>
      <c r="I25" s="155">
        <f>IF($B25=" ","",IFERROR(INDEX(MMWR_RATING_RO_ROLLUP[],MATCH($B25,MMWR_RATING_RO_ROLLUP[MMWR_RATING_RO_ROLLUP],0),MATCH(I$9,MMWR_RATING_RO_ROLLUP[#Headers],0)),"ERROR"))</f>
        <v>149.79542468509999</v>
      </c>
      <c r="J25" s="157">
        <f>IF($B25=" ","",IFERROR(VLOOKUP($B25,MMWR_ACCURACY_RO[],MATCH(J$9,MMWR_ACCURACY_RO[#Headers],0),0),"ERROR"))</f>
        <v>0.99121389420870898</v>
      </c>
      <c r="K25" s="157">
        <f>IF($B25=" ","",IFERROR(VLOOKUP($B25,MMWR_ACCURACY_RO[],MATCH(K$9,MMWR_ACCURACY_RO[#Headers],0),0),"ERROR"))</f>
        <v>0.96566773348850743</v>
      </c>
      <c r="L25" s="157">
        <f>IF($B25=" ","",IFERROR(VLOOKUP($B25,MMWR_ACCURACY_RO[],MATCH(L$9,MMWR_ACCURACY_RO[#Headers],0),0),"ERROR"))</f>
        <v>0.8793692893290479</v>
      </c>
      <c r="M25" s="157">
        <f>IF($B25=" ","",IFERROR(VLOOKUP($B25,MMWR_ACCURACY_RO[],MATCH(M$9,MMWR_ACCURACY_RO[#Headers],0),0),"ERROR"))</f>
        <v>4.8103667096399363E-2</v>
      </c>
      <c r="N25" s="157">
        <f>IF($B25=" ","",IFERROR(VLOOKUP($B25,MMWR_ACCURACY_RO[],MATCH(N$9,MMWR_ACCURACY_RO[#Headers],0),0),"ERROR"))</f>
        <v>0.8849994555440801</v>
      </c>
      <c r="O25" s="157">
        <f>IF($B25=" ","",IFERROR(VLOOKUP($B25,MMWR_ACCURACY_RO[],MATCH(O$9,MMWR_ACCURACY_RO[#Headers],0),0),"ERROR"))</f>
        <v>5.325367906225132E-2</v>
      </c>
      <c r="P25" s="28"/>
    </row>
    <row r="26" spans="1:16" x14ac:dyDescent="0.2">
      <c r="A26" s="25"/>
      <c r="B26" s="8" t="str">
        <f>VLOOKUP($B$16,DISTRICT_RO[],11,0)</f>
        <v>Pittsburgh VSC</v>
      </c>
      <c r="C26" s="154">
        <f>IF($B26=" ","",IFERROR(INDEX(MMWR_RATING_RO_ROLLUP[],MATCH($B26,MMWR_RATING_RO_ROLLUP[MMWR_RATING_RO_ROLLUP],0),MATCH(C$9,MMWR_RATING_RO_ROLLUP[#Headers],0)),"ERROR"))</f>
        <v>3887</v>
      </c>
      <c r="D26" s="155">
        <f>IF($B26=" ","",IFERROR(INDEX(MMWR_RATING_RO_ROLLUP[],MATCH($B26,MMWR_RATING_RO_ROLLUP[MMWR_RATING_RO_ROLLUP],0),MATCH(D$9,MMWR_RATING_RO_ROLLUP[#Headers],0)),"ERROR"))</f>
        <v>126.0707486493</v>
      </c>
      <c r="E26" s="156">
        <f>IF($B26=" ","",IFERROR(INDEX(MMWR_RATING_RO_ROLLUP[],MATCH($B26,MMWR_RATING_RO_ROLLUP[MMWR_RATING_RO_ROLLUP],0),MATCH(E$9,MMWR_RATING_RO_ROLLUP[#Headers],0))/$C26,"ERROR"))</f>
        <v>0.39259068690506815</v>
      </c>
      <c r="F26" s="154">
        <f>IF($B26=" ","",IFERROR(INDEX(MMWR_RATING_RO_ROLLUP[],MATCH($B26,MMWR_RATING_RO_ROLLUP[MMWR_RATING_RO_ROLLUP],0),MATCH(F$9,MMWR_RATING_RO_ROLLUP[#Headers],0)),"ERROR"))</f>
        <v>34</v>
      </c>
      <c r="G26" s="154">
        <f>IF($B26=" ","",IFERROR(INDEX(MMWR_RATING_RO_ROLLUP[],MATCH($B26,MMWR_RATING_RO_ROLLUP[MMWR_RATING_RO_ROLLUP],0),MATCH(G$9,MMWR_RATING_RO_ROLLUP[#Headers],0)),"ERROR"))</f>
        <v>5322</v>
      </c>
      <c r="H26" s="155">
        <f>IF($B26=" ","",IFERROR(INDEX(MMWR_RATING_RO_ROLLUP[],MATCH($B26,MMWR_RATING_RO_ROLLUP[MMWR_RATING_RO_ROLLUP],0),MATCH(H$9,MMWR_RATING_RO_ROLLUP[#Headers],0)),"ERROR"))</f>
        <v>172.20588235290001</v>
      </c>
      <c r="I26" s="155">
        <f>IF($B26=" ","",IFERROR(INDEX(MMWR_RATING_RO_ROLLUP[],MATCH($B26,MMWR_RATING_RO_ROLLUP[MMWR_RATING_RO_ROLLUP],0),MATCH(I$9,MMWR_RATING_RO_ROLLUP[#Headers],0)),"ERROR"))</f>
        <v>173.45189778279999</v>
      </c>
      <c r="J26" s="157">
        <f>IF($B26=" ","",IFERROR(VLOOKUP($B26,MMWR_ACCURACY_RO[],MATCH(J$9,MMWR_ACCURACY_RO[#Headers],0),0),"ERROR"))</f>
        <v>0.90680195341278813</v>
      </c>
      <c r="K26" s="157">
        <f>IF($B26=" ","",IFERROR(VLOOKUP($B26,MMWR_ACCURACY_RO[],MATCH(K$9,MMWR_ACCURACY_RO[#Headers],0),0),"ERROR"))</f>
        <v>0.84817855843683421</v>
      </c>
      <c r="L26" s="157">
        <f>IF($B26=" ","",IFERROR(VLOOKUP($B26,MMWR_ACCURACY_RO[],MATCH(L$9,MMWR_ACCURACY_RO[#Headers],0),0),"ERROR"))</f>
        <v>0.89047310559173898</v>
      </c>
      <c r="M26" s="157">
        <f>IF($B26=" ","",IFERROR(VLOOKUP($B26,MMWR_ACCURACY_RO[],MATCH(M$9,MMWR_ACCURACY_RO[#Headers],0),0),"ERROR"))</f>
        <v>4.7394938646536461E-2</v>
      </c>
      <c r="N26" s="157">
        <f>IF($B26=" ","",IFERROR(VLOOKUP($B26,MMWR_ACCURACY_RO[],MATCH(N$9,MMWR_ACCURACY_RO[#Headers],0),0),"ERROR"))</f>
        <v>0.88265955570030807</v>
      </c>
      <c r="O26" s="157">
        <f>IF($B26=" ","",IFERROR(VLOOKUP($B26,MMWR_ACCURACY_RO[],MATCH(O$9,MMWR_ACCURACY_RO[#Headers],0),0),"ERROR"))</f>
        <v>6.0579988722067386E-2</v>
      </c>
      <c r="P26" s="28"/>
    </row>
    <row r="27" spans="1:16" x14ac:dyDescent="0.2">
      <c r="A27" s="25"/>
      <c r="B27" s="8" t="str">
        <f>VLOOKUP($B$16,DISTRICT_RO[],12,0)</f>
        <v>Providence VSC</v>
      </c>
      <c r="C27" s="154">
        <f>IF($B27=" ","",IFERROR(INDEX(MMWR_RATING_RO_ROLLUP[],MATCH($B27,MMWR_RATING_RO_ROLLUP[MMWR_RATING_RO_ROLLUP],0),MATCH(C$9,MMWR_RATING_RO_ROLLUP[#Headers],0)),"ERROR"))</f>
        <v>4026</v>
      </c>
      <c r="D27" s="155">
        <f>IF($B27=" ","",IFERROR(INDEX(MMWR_RATING_RO_ROLLUP[],MATCH($B27,MMWR_RATING_RO_ROLLUP[MMWR_RATING_RO_ROLLUP],0),MATCH(D$9,MMWR_RATING_RO_ROLLUP[#Headers],0)),"ERROR"))</f>
        <v>91.215598608999997</v>
      </c>
      <c r="E27" s="156">
        <f>IF($B27=" ","",IFERROR(INDEX(MMWR_RATING_RO_ROLLUP[],MATCH($B27,MMWR_RATING_RO_ROLLUP[MMWR_RATING_RO_ROLLUP],0),MATCH(E$9,MMWR_RATING_RO_ROLLUP[#Headers],0))/$C27,"ERROR"))</f>
        <v>0.25285643318430201</v>
      </c>
      <c r="F27" s="154">
        <f>IF($B27=" ","",IFERROR(INDEX(MMWR_RATING_RO_ROLLUP[],MATCH($B27,MMWR_RATING_RO_ROLLUP[MMWR_RATING_RO_ROLLUP],0),MATCH(F$9,MMWR_RATING_RO_ROLLUP[#Headers],0)),"ERROR"))</f>
        <v>86</v>
      </c>
      <c r="G27" s="154">
        <f>IF($B27=" ","",IFERROR(INDEX(MMWR_RATING_RO_ROLLUP[],MATCH($B27,MMWR_RATING_RO_ROLLUP[MMWR_RATING_RO_ROLLUP],0),MATCH(G$9,MMWR_RATING_RO_ROLLUP[#Headers],0)),"ERROR"))</f>
        <v>12920</v>
      </c>
      <c r="H27" s="155">
        <f>IF($B27=" ","",IFERROR(INDEX(MMWR_RATING_RO_ROLLUP[],MATCH($B27,MMWR_RATING_RO_ROLLUP[MMWR_RATING_RO_ROLLUP],0),MATCH(H$9,MMWR_RATING_RO_ROLLUP[#Headers],0)),"ERROR"))</f>
        <v>56.465116279100002</v>
      </c>
      <c r="I27" s="155">
        <f>IF($B27=" ","",IFERROR(INDEX(MMWR_RATING_RO_ROLLUP[],MATCH($B27,MMWR_RATING_RO_ROLLUP[MMWR_RATING_RO_ROLLUP],0),MATCH(I$9,MMWR_RATING_RO_ROLLUP[#Headers],0)),"ERROR"))</f>
        <v>80.433513931899995</v>
      </c>
      <c r="J27" s="157">
        <f>IF($B27=" ","",IFERROR(VLOOKUP($B27,MMWR_ACCURACY_RO[],MATCH(J$9,MMWR_ACCURACY_RO[#Headers],0),0),"ERROR"))</f>
        <v>0.95798786001290515</v>
      </c>
      <c r="K27" s="157">
        <f>IF($B27=" ","",IFERROR(VLOOKUP($B27,MMWR_ACCURACY_RO[],MATCH(K$9,MMWR_ACCURACY_RO[#Headers],0),0),"ERROR"))</f>
        <v>0.92001515553034507</v>
      </c>
      <c r="L27" s="157">
        <f>IF($B27=" ","",IFERROR(VLOOKUP($B27,MMWR_ACCURACY_RO[],MATCH(L$9,MMWR_ACCURACY_RO[#Headers],0),0),"ERROR"))</f>
        <v>0.85715713301682139</v>
      </c>
      <c r="M27" s="157">
        <f>IF($B27=" ","",IFERROR(VLOOKUP($B27,MMWR_ACCURACY_RO[],MATCH(M$9,MMWR_ACCURACY_RO[#Headers],0),0),"ERROR"))</f>
        <v>6.334556323353048E-2</v>
      </c>
      <c r="N27" s="157">
        <f>IF($B27=" ","",IFERROR(VLOOKUP($B27,MMWR_ACCURACY_RO[],MATCH(N$9,MMWR_ACCURACY_RO[#Headers],0),0),"ERROR"))</f>
        <v>0.92896146581998584</v>
      </c>
      <c r="O27" s="157">
        <f>IF($B27=" ","",IFERROR(VLOOKUP($B27,MMWR_ACCURACY_RO[],MATCH(O$9,MMWR_ACCURACY_RO[#Headers],0),0),"ERROR"))</f>
        <v>4.3014360322444531E-2</v>
      </c>
      <c r="P27" s="28"/>
    </row>
    <row r="28" spans="1:16" x14ac:dyDescent="0.2">
      <c r="A28" s="25"/>
      <c r="B28" s="8" t="str">
        <f>VLOOKUP($B$16,DISTRICT_RO[],13,0)</f>
        <v>Roanoke VSC</v>
      </c>
      <c r="C28" s="154">
        <f>IF($B28=" ","",IFERROR(INDEX(MMWR_RATING_RO_ROLLUP[],MATCH($B28,MMWR_RATING_RO_ROLLUP[MMWR_RATING_RO_ROLLUP],0),MATCH(C$9,MMWR_RATING_RO_ROLLUP[#Headers],0)),"ERROR"))</f>
        <v>3267</v>
      </c>
      <c r="D28" s="155">
        <f>IF($B28=" ","",IFERROR(INDEX(MMWR_RATING_RO_ROLLUP[],MATCH($B28,MMWR_RATING_RO_ROLLUP[MMWR_RATING_RO_ROLLUP],0),MATCH(D$9,MMWR_RATING_RO_ROLLUP[#Headers],0)),"ERROR"))</f>
        <v>81.624426079000003</v>
      </c>
      <c r="E28" s="156">
        <f>IF($B28=" ","",IFERROR(INDEX(MMWR_RATING_RO_ROLLUP[],MATCH($B28,MMWR_RATING_RO_ROLLUP[MMWR_RATING_RO_ROLLUP],0),MATCH(E$9,MMWR_RATING_RO_ROLLUP[#Headers],0))/$C28,"ERROR"))</f>
        <v>0.21946740128558309</v>
      </c>
      <c r="F28" s="154">
        <f>IF($B28=" ","",IFERROR(INDEX(MMWR_RATING_RO_ROLLUP[],MATCH($B28,MMWR_RATING_RO_ROLLUP[MMWR_RATING_RO_ROLLUP],0),MATCH(F$9,MMWR_RATING_RO_ROLLUP[#Headers],0)),"ERROR"))</f>
        <v>176</v>
      </c>
      <c r="G28" s="154">
        <f>IF($B28=" ","",IFERROR(INDEX(MMWR_RATING_RO_ROLLUP[],MATCH($B28,MMWR_RATING_RO_ROLLUP[MMWR_RATING_RO_ROLLUP],0),MATCH(G$9,MMWR_RATING_RO_ROLLUP[#Headers],0)),"ERROR"))</f>
        <v>16908</v>
      </c>
      <c r="H28" s="155">
        <f>IF($B28=" ","",IFERROR(INDEX(MMWR_RATING_RO_ROLLUP[],MATCH($B28,MMWR_RATING_RO_ROLLUP[MMWR_RATING_RO_ROLLUP],0),MATCH(H$9,MMWR_RATING_RO_ROLLUP[#Headers],0)),"ERROR"))</f>
        <v>106.07954545450001</v>
      </c>
      <c r="I28" s="155">
        <f>IF($B28=" ","",IFERROR(INDEX(MMWR_RATING_RO_ROLLUP[],MATCH($B28,MMWR_RATING_RO_ROLLUP[MMWR_RATING_RO_ROLLUP],0),MATCH(I$9,MMWR_RATING_RO_ROLLUP[#Headers],0)),"ERROR"))</f>
        <v>134.26496333099999</v>
      </c>
      <c r="J28" s="157">
        <f>IF($B28=" ","",IFERROR(VLOOKUP($B28,MMWR_ACCURACY_RO[],MATCH(J$9,MMWR_ACCURACY_RO[#Headers],0),0),"ERROR"))</f>
        <v>0.94965168039917702</v>
      </c>
      <c r="K28" s="157">
        <f>IF($B28=" ","",IFERROR(VLOOKUP($B28,MMWR_ACCURACY_RO[],MATCH(K$9,MMWR_ACCURACY_RO[#Headers],0),0),"ERROR"))</f>
        <v>0.90889856494541887</v>
      </c>
      <c r="L28" s="157">
        <f>IF($B28=" ","",IFERROR(VLOOKUP($B28,MMWR_ACCURACY_RO[],MATCH(L$9,MMWR_ACCURACY_RO[#Headers],0),0),"ERROR"))</f>
        <v>0.90058813212864519</v>
      </c>
      <c r="M28" s="157">
        <f>IF($B28=" ","",IFERROR(VLOOKUP($B28,MMWR_ACCURACY_RO[],MATCH(M$9,MMWR_ACCURACY_RO[#Headers],0),0),"ERROR"))</f>
        <v>5.007267739440948E-2</v>
      </c>
      <c r="N28" s="157">
        <f>IF($B28=" ","",IFERROR(VLOOKUP($B28,MMWR_ACCURACY_RO[],MATCH(N$9,MMWR_ACCURACY_RO[#Headers],0),0),"ERROR"))</f>
        <v>0.91471194036455505</v>
      </c>
      <c r="O28" s="157">
        <f>IF($B28=" ","",IFERROR(VLOOKUP($B28,MMWR_ACCURACY_RO[],MATCH(O$9,MMWR_ACCURACY_RO[#Headers],0),0),"ERROR"))</f>
        <v>4.3935413472033676E-2</v>
      </c>
      <c r="P28" s="28"/>
    </row>
    <row r="29" spans="1:16" x14ac:dyDescent="0.2">
      <c r="A29" s="25"/>
      <c r="B29" s="8" t="str">
        <f>VLOOKUP($B$16,DISTRICT_RO[],14,0)</f>
        <v>Togus VSC</v>
      </c>
      <c r="C29" s="154">
        <f>IF($B29=" ","",IFERROR(INDEX(MMWR_RATING_RO_ROLLUP[],MATCH($B29,MMWR_RATING_RO_ROLLUP[MMWR_RATING_RO_ROLLUP],0),MATCH(C$9,MMWR_RATING_RO_ROLLUP[#Headers],0)),"ERROR"))</f>
        <v>3994</v>
      </c>
      <c r="D29" s="155">
        <f>IF($B29=" ","",IFERROR(INDEX(MMWR_RATING_RO_ROLLUP[],MATCH($B29,MMWR_RATING_RO_ROLLUP[MMWR_RATING_RO_ROLLUP],0),MATCH(D$9,MMWR_RATING_RO_ROLLUP[#Headers],0)),"ERROR"))</f>
        <v>117.17426139209999</v>
      </c>
      <c r="E29" s="156">
        <f>IF($B29=" ","",IFERROR(INDEX(MMWR_RATING_RO_ROLLUP[],MATCH($B29,MMWR_RATING_RO_ROLLUP[MMWR_RATING_RO_ROLLUP],0),MATCH(E$9,MMWR_RATING_RO_ROLLUP[#Headers],0))/$C29,"ERROR"))</f>
        <v>0.33375062593890836</v>
      </c>
      <c r="F29" s="154">
        <f>IF($B29=" ","",IFERROR(INDEX(MMWR_RATING_RO_ROLLUP[],MATCH($B29,MMWR_RATING_RO_ROLLUP[MMWR_RATING_RO_ROLLUP],0),MATCH(F$9,MMWR_RATING_RO_ROLLUP[#Headers],0)),"ERROR"))</f>
        <v>107</v>
      </c>
      <c r="G29" s="154">
        <f>IF($B29=" ","",IFERROR(INDEX(MMWR_RATING_RO_ROLLUP[],MATCH($B29,MMWR_RATING_RO_ROLLUP[MMWR_RATING_RO_ROLLUP],0),MATCH(G$9,MMWR_RATING_RO_ROLLUP[#Headers],0)),"ERROR"))</f>
        <v>8866</v>
      </c>
      <c r="H29" s="155">
        <f>IF($B29=" ","",IFERROR(INDEX(MMWR_RATING_RO_ROLLUP[],MATCH($B29,MMWR_RATING_RO_ROLLUP[MMWR_RATING_RO_ROLLUP],0),MATCH(H$9,MMWR_RATING_RO_ROLLUP[#Headers],0)),"ERROR"))</f>
        <v>162.2897196262</v>
      </c>
      <c r="I29" s="155">
        <f>IF($B29=" ","",IFERROR(INDEX(MMWR_RATING_RO_ROLLUP[],MATCH($B29,MMWR_RATING_RO_ROLLUP[MMWR_RATING_RO_ROLLUP],0),MATCH(I$9,MMWR_RATING_RO_ROLLUP[#Headers],0)),"ERROR"))</f>
        <v>140.40142115949999</v>
      </c>
      <c r="J29" s="157">
        <f>IF($B29=" ","",IFERROR(VLOOKUP($B29,MMWR_ACCURACY_RO[],MATCH(J$9,MMWR_ACCURACY_RO[#Headers],0),0),"ERROR"))</f>
        <v>0.98428433183777608</v>
      </c>
      <c r="K29" s="157">
        <f>IF($B29=" ","",IFERROR(VLOOKUP($B29,MMWR_ACCURACY_RO[],MATCH(K$9,MMWR_ACCURACY_RO[#Headers],0),0),"ERROR"))</f>
        <v>0.90675241157556274</v>
      </c>
      <c r="L29" s="157">
        <f>IF($B29=" ","",IFERROR(VLOOKUP($B29,MMWR_ACCURACY_RO[],MATCH(L$9,MMWR_ACCURACY_RO[#Headers],0),0),"ERROR"))</f>
        <v>0.87796734813943222</v>
      </c>
      <c r="M29" s="157">
        <f>IF($B29=" ","",IFERROR(VLOOKUP($B29,MMWR_ACCURACY_RO[],MATCH(M$9,MMWR_ACCURACY_RO[#Headers],0),0),"ERROR"))</f>
        <v>5.6847485559842426E-2</v>
      </c>
      <c r="N29" s="157">
        <f>IF($B29=" ","",IFERROR(VLOOKUP($B29,MMWR_ACCURACY_RO[],MATCH(N$9,MMWR_ACCURACY_RO[#Headers],0),0),"ERROR"))</f>
        <v>0.95482820570401983</v>
      </c>
      <c r="O29" s="157">
        <f>IF($B29=" ","",IFERROR(VLOOKUP($B29,MMWR_ACCURACY_RO[],MATCH(O$9,MMWR_ACCURACY_RO[#Headers],0),0),"ERROR"))</f>
        <v>3.9342749550427103E-2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636</v>
      </c>
      <c r="D30" s="155">
        <f>IF($B30=" ","",IFERROR(INDEX(MMWR_RATING_RO_ROLLUP[],MATCH($B30,MMWR_RATING_RO_ROLLUP[MMWR_RATING_RO_ROLLUP],0),MATCH(D$9,MMWR_RATING_RO_ROLLUP[#Headers],0)),"ERROR"))</f>
        <v>98.976415094299995</v>
      </c>
      <c r="E30" s="156">
        <f>IF($B30=" ","",IFERROR(INDEX(MMWR_RATING_RO_ROLLUP[],MATCH($B30,MMWR_RATING_RO_ROLLUP[MMWR_RATING_RO_ROLLUP],0),MATCH(E$9,MMWR_RATING_RO_ROLLUP[#Headers],0))/$C30,"ERROR"))</f>
        <v>0.25157232704402516</v>
      </c>
      <c r="F30" s="154">
        <f>IF($B30=" ","",IFERROR(INDEX(MMWR_RATING_RO_ROLLUP[],MATCH($B30,MMWR_RATING_RO_ROLLUP[MMWR_RATING_RO_ROLLUP],0),MATCH(F$9,MMWR_RATING_RO_ROLLUP[#Headers],0)),"ERROR"))</f>
        <v>10</v>
      </c>
      <c r="G30" s="154">
        <f>IF($B30=" ","",IFERROR(INDEX(MMWR_RATING_RO_ROLLUP[],MATCH($B30,MMWR_RATING_RO_ROLLUP[MMWR_RATING_RO_ROLLUP],0),MATCH(G$9,MMWR_RATING_RO_ROLLUP[#Headers],0)),"ERROR"))</f>
        <v>1047</v>
      </c>
      <c r="H30" s="155">
        <f>IF($B30=" ","",IFERROR(INDEX(MMWR_RATING_RO_ROLLUP[],MATCH($B30,MMWR_RATING_RO_ROLLUP[MMWR_RATING_RO_ROLLUP],0),MATCH(H$9,MMWR_RATING_RO_ROLLUP[#Headers],0)),"ERROR"))</f>
        <v>106.4</v>
      </c>
      <c r="I30" s="155">
        <f>IF($B30=" ","",IFERROR(INDEX(MMWR_RATING_RO_ROLLUP[],MATCH($B30,MMWR_RATING_RO_ROLLUP[MMWR_RATING_RO_ROLLUP],0),MATCH(I$9,MMWR_RATING_RO_ROLLUP[#Headers],0)),"ERROR"))</f>
        <v>157.83190066860001</v>
      </c>
      <c r="J30" s="157">
        <f>IF($B30=" ","",IFERROR(VLOOKUP($B30,MMWR_ACCURACY_RO[],MATCH(J$9,MMWR_ACCURACY_RO[#Headers],0),0),"ERROR"))</f>
        <v>0.91065920267866485</v>
      </c>
      <c r="K30" s="157">
        <f>IF($B30=" ","",IFERROR(VLOOKUP($B30,MMWR_ACCURACY_RO[],MATCH(K$9,MMWR_ACCURACY_RO[#Headers],0),0),"ERROR"))</f>
        <v>0.75269611341039921</v>
      </c>
      <c r="L30" s="157">
        <f>IF($B30=" ","",IFERROR(VLOOKUP($B30,MMWR_ACCURACY_RO[],MATCH(L$9,MMWR_ACCURACY_RO[#Headers],0),0),"ERROR"))</f>
        <v>0.83407208913926767</v>
      </c>
      <c r="M30" s="157">
        <f>IF($B30=" ","",IFERROR(VLOOKUP($B30,MMWR_ACCURACY_RO[],MATCH(M$9,MMWR_ACCURACY_RO[#Headers],0),0),"ERROR"))</f>
        <v>5.2283654255967489E-2</v>
      </c>
      <c r="N30" s="157">
        <f>IF($B30=" ","",IFERROR(VLOOKUP($B30,MMWR_ACCURACY_RO[],MATCH(N$9,MMWR_ACCURACY_RO[#Headers],0),0),"ERROR"))</f>
        <v>0.90382260101010092</v>
      </c>
      <c r="O30" s="157">
        <f>IF($B30=" ","",IFERROR(VLOOKUP($B30,MMWR_ACCURACY_RO[],MATCH(O$9,MMWR_ACCURACY_RO[#Headers],0),0),"ERROR"))</f>
        <v>4.0650383914480843E-2</v>
      </c>
      <c r="P30" s="28"/>
    </row>
    <row r="31" spans="1:16" x14ac:dyDescent="0.2">
      <c r="A31" s="25"/>
      <c r="B31" s="8" t="str">
        <f>VLOOKUP($B$16,DISTRICT_RO[],16,0)</f>
        <v>Wilmington VSC</v>
      </c>
      <c r="C31" s="154">
        <f>IF($B31=" ","",IFERROR(INDEX(MMWR_RATING_RO_ROLLUP[],MATCH($B31,MMWR_RATING_RO_ROLLUP[MMWR_RATING_RO_ROLLUP],0),MATCH(C$9,MMWR_RATING_RO_ROLLUP[#Headers],0)),"ERROR"))</f>
        <v>536</v>
      </c>
      <c r="D31" s="155">
        <f>IF($B31=" ","",IFERROR(INDEX(MMWR_RATING_RO_ROLLUP[],MATCH($B31,MMWR_RATING_RO_ROLLUP[MMWR_RATING_RO_ROLLUP],0),MATCH(D$9,MMWR_RATING_RO_ROLLUP[#Headers],0)),"ERROR"))</f>
        <v>82.707089552200003</v>
      </c>
      <c r="E31" s="156">
        <f>IF($B31=" ","",IFERROR(INDEX(MMWR_RATING_RO_ROLLUP[],MATCH($B31,MMWR_RATING_RO_ROLLUP[MMWR_RATING_RO_ROLLUP],0),MATCH(E$9,MMWR_RATING_RO_ROLLUP[#Headers],0))/$C31,"ERROR"))</f>
        <v>0.19029850746268656</v>
      </c>
      <c r="F31" s="154">
        <f>IF($B31=" ","",IFERROR(INDEX(MMWR_RATING_RO_ROLLUP[],MATCH($B31,MMWR_RATING_RO_ROLLUP[MMWR_RATING_RO_ROLLUP],0),MATCH(F$9,MMWR_RATING_RO_ROLLUP[#Headers],0)),"ERROR"))</f>
        <v>5</v>
      </c>
      <c r="G31" s="154">
        <f>IF($B31=" ","",IFERROR(INDEX(MMWR_RATING_RO_ROLLUP[],MATCH($B31,MMWR_RATING_RO_ROLLUP[MMWR_RATING_RO_ROLLUP],0),MATCH(G$9,MMWR_RATING_RO_ROLLUP[#Headers],0)),"ERROR"))</f>
        <v>768</v>
      </c>
      <c r="H31" s="155">
        <f>IF($B31=" ","",IFERROR(INDEX(MMWR_RATING_RO_ROLLUP[],MATCH($B31,MMWR_RATING_RO_ROLLUP[MMWR_RATING_RO_ROLLUP],0),MATCH(H$9,MMWR_RATING_RO_ROLLUP[#Headers],0)),"ERROR"))</f>
        <v>163.4</v>
      </c>
      <c r="I31" s="155">
        <f>IF($B31=" ","",IFERROR(INDEX(MMWR_RATING_RO_ROLLUP[],MATCH($B31,MMWR_RATING_RO_ROLLUP[MMWR_RATING_RO_ROLLUP],0),MATCH(I$9,MMWR_RATING_RO_ROLLUP[#Headers],0)),"ERROR"))</f>
        <v>119.0846354167</v>
      </c>
      <c r="J31" s="157">
        <f>IF($B31=" ","",IFERROR(VLOOKUP($B31,MMWR_ACCURACY_RO[],MATCH(J$9,MMWR_ACCURACY_RO[#Headers],0),0),"ERROR"))</f>
        <v>0.93981307560078786</v>
      </c>
      <c r="K31" s="157">
        <f>IF($B31=" ","",IFERROR(VLOOKUP($B31,MMWR_ACCURACY_RO[],MATCH(K$9,MMWR_ACCURACY_RO[#Headers],0),0),"ERROR"))</f>
        <v>0.89596337910944657</v>
      </c>
      <c r="L31" s="157">
        <f>IF($B31=" ","",IFERROR(VLOOKUP($B31,MMWR_ACCURACY_RO[],MATCH(L$9,MMWR_ACCURACY_RO[#Headers],0),0),"ERROR"))</f>
        <v>0.86461939288212908</v>
      </c>
      <c r="M31" s="157">
        <f>IF($B31=" ","",IFERROR(VLOOKUP($B31,MMWR_ACCURACY_RO[],MATCH(M$9,MMWR_ACCURACY_RO[#Headers],0),0),"ERROR"))</f>
        <v>4.9839851386708107E-2</v>
      </c>
      <c r="N31" s="157">
        <f>IF($B31=" ","",IFERROR(VLOOKUP($B31,MMWR_ACCURACY_RO[],MATCH(N$9,MMWR_ACCURACY_RO[#Headers],0),0),"ERROR"))</f>
        <v>0.87411245155810391</v>
      </c>
      <c r="O31" s="157">
        <f>IF($B31=" ","",IFERROR(VLOOKUP($B31,MMWR_ACCURACY_RO[],MATCH(O$9,MMWR_ACCURACY_RO[#Headers],0),0),"ERROR"))</f>
        <v>5.4843963057410294E-2</v>
      </c>
      <c r="P31" s="28"/>
    </row>
    <row r="32" spans="1:16" x14ac:dyDescent="0.2">
      <c r="A32" s="25"/>
      <c r="B32" s="8" t="str">
        <f>VLOOKUP($B$16,DISTRICT_RO[],17,0)</f>
        <v>Winston-Salem VSC</v>
      </c>
      <c r="C32" s="154">
        <f>IF($B32=" ","",IFERROR(INDEX(MMWR_RATING_RO_ROLLUP[],MATCH($B32,MMWR_RATING_RO_ROLLUP[MMWR_RATING_RO_ROLLUP],0),MATCH(C$9,MMWR_RATING_RO_ROLLUP[#Headers],0)),"ERROR"))</f>
        <v>4534</v>
      </c>
      <c r="D32" s="155">
        <f>IF($B32=" ","",IFERROR(INDEX(MMWR_RATING_RO_ROLLUP[],MATCH($B32,MMWR_RATING_RO_ROLLUP[MMWR_RATING_RO_ROLLUP],0),MATCH(D$9,MMWR_RATING_RO_ROLLUP[#Headers],0)),"ERROR"))</f>
        <v>74.078517864999995</v>
      </c>
      <c r="E32" s="156">
        <f>IF($B32=" ","",IFERROR(INDEX(MMWR_RATING_RO_ROLLUP[],MATCH($B32,MMWR_RATING_RO_ROLLUP[MMWR_RATING_RO_ROLLUP],0),MATCH(E$9,MMWR_RATING_RO_ROLLUP[#Headers],0))/$C32,"ERROR"))</f>
        <v>0.1576973974415527</v>
      </c>
      <c r="F32" s="154">
        <f>IF($B32=" ","",IFERROR(INDEX(MMWR_RATING_RO_ROLLUP[],MATCH($B32,MMWR_RATING_RO_ROLLUP[MMWR_RATING_RO_ROLLUP],0),MATCH(F$9,MMWR_RATING_RO_ROLLUP[#Headers],0)),"ERROR"))</f>
        <v>208</v>
      </c>
      <c r="G32" s="154">
        <f>IF($B32=" ","",IFERROR(INDEX(MMWR_RATING_RO_ROLLUP[],MATCH($B32,MMWR_RATING_RO_ROLLUP[MMWR_RATING_RO_ROLLUP],0),MATCH(G$9,MMWR_RATING_RO_ROLLUP[#Headers],0)),"ERROR"))</f>
        <v>16667</v>
      </c>
      <c r="H32" s="155">
        <f>IF($B32=" ","",IFERROR(INDEX(MMWR_RATING_RO_ROLLUP[],MATCH($B32,MMWR_RATING_RO_ROLLUP[MMWR_RATING_RO_ROLLUP],0),MATCH(H$9,MMWR_RATING_RO_ROLLUP[#Headers],0)),"ERROR"))</f>
        <v>133.20673076919999</v>
      </c>
      <c r="I32" s="155">
        <f>IF($B32=" ","",IFERROR(INDEX(MMWR_RATING_RO_ROLLUP[],MATCH($B32,MMWR_RATING_RO_ROLLUP[MMWR_RATING_RO_ROLLUP],0),MATCH(I$9,MMWR_RATING_RO_ROLLUP[#Headers],0)),"ERROR"))</f>
        <v>136.52066958660001</v>
      </c>
      <c r="J32" s="157">
        <f>IF($B32=" ","",IFERROR(VLOOKUP($B32,MMWR_ACCURACY_RO[],MATCH(J$9,MMWR_ACCURACY_RO[#Headers],0),0),"ERROR"))</f>
        <v>0.96463071464182426</v>
      </c>
      <c r="K32" s="157">
        <f>IF($B32=" ","",IFERROR(VLOOKUP($B32,MMWR_ACCURACY_RO[],MATCH(K$9,MMWR_ACCURACY_RO[#Headers],0),0),"ERROR"))</f>
        <v>0.83396470067788231</v>
      </c>
      <c r="L32" s="157">
        <f>IF($B32=" ","",IFERROR(VLOOKUP($B32,MMWR_ACCURACY_RO[],MATCH(L$9,MMWR_ACCURACY_RO[#Headers],0),0),"ERROR"))</f>
        <v>0.83450003385804394</v>
      </c>
      <c r="M32" s="157">
        <f>IF($B32=" ","",IFERROR(VLOOKUP($B32,MMWR_ACCURACY_RO[],MATCH(M$9,MMWR_ACCURACY_RO[#Headers],0),0),"ERROR"))</f>
        <v>5.3520418773903559E-2</v>
      </c>
      <c r="N32" s="157">
        <f>IF($B32=" ","",IFERROR(VLOOKUP($B32,MMWR_ACCURACY_RO[],MATCH(N$9,MMWR_ACCURACY_RO[#Headers],0),0),"ERROR"))</f>
        <v>0.93483940936385457</v>
      </c>
      <c r="O32" s="157">
        <f>IF($B32=" ","",IFERROR(VLOOKUP($B32,MMWR_ACCURACY_RO[],MATCH(O$9,MMWR_ACCURACY_RO[#Headers],0),0),"ERROR"))</f>
        <v>4.0211457684258815E-2</v>
      </c>
      <c r="P32" s="28"/>
    </row>
    <row r="33" spans="1:16" x14ac:dyDescent="0.2">
      <c r="A33" s="25"/>
      <c r="B33" s="341" t="s">
        <v>734</v>
      </c>
      <c r="C33" s="342"/>
      <c r="D33" s="342"/>
      <c r="E33" s="342"/>
      <c r="F33" s="342"/>
      <c r="G33" s="342"/>
      <c r="H33" s="342"/>
      <c r="I33" s="342"/>
      <c r="J33" s="342"/>
      <c r="K33" s="342"/>
      <c r="L33" s="342"/>
      <c r="M33" s="342"/>
      <c r="N33" s="342"/>
      <c r="O33" s="342"/>
      <c r="P33" s="28"/>
    </row>
    <row r="34" spans="1:16" x14ac:dyDescent="0.2">
      <c r="A34" s="25"/>
      <c r="B34" s="11" t="s">
        <v>697</v>
      </c>
      <c r="C34" s="154">
        <f>IF($B34=" ","",IFERROR(INDEX(MMWR_RATING_RO_ROLLUP[],MATCH($B34,MMWR_RATING_RO_ROLLUP[MMWR_RATING_RO_ROLLUP],0),MATCH(C$9,MMWR_RATING_RO_ROLLUP[#Headers],0)),"ERROR"))</f>
        <v>26620</v>
      </c>
      <c r="D34" s="155">
        <f>IF($B34=" ","",IFERROR(INDEX(MMWR_RATING_RO_ROLLUP[],MATCH($B34,MMWR_RATING_RO_ROLLUP[MMWR_RATING_RO_ROLLUP],0),MATCH(D$9,MMWR_RATING_RO_ROLLUP[#Headers],0)),"ERROR"))</f>
        <v>67.553343350899993</v>
      </c>
      <c r="E34" s="156">
        <f>IF($B34=" ","",IFERROR(INDEX(MMWR_RATING_RO_ROLLUP[],MATCH($B34,MMWR_RATING_RO_ROLLUP[MMWR_RATING_RO_ROLLUP],0),MATCH(E$9,MMWR_RATING_RO_ROLLUP[#Headers],0))/$C34,"ERROR"))</f>
        <v>0.12092411720510894</v>
      </c>
      <c r="F34" s="154">
        <f>IF($B34=" ","",IFERROR(INDEX(MMWR_RATING_RO_ROLLUP[],MATCH($B34,MMWR_RATING_RO_ROLLUP[MMWR_RATING_RO_ROLLUP],0),MATCH(F$9,MMWR_RATING_RO_ROLLUP[#Headers],0)),"ERROR"))</f>
        <v>359</v>
      </c>
      <c r="G34" s="154">
        <f>IF($B34=" ","",IFERROR(INDEX(MMWR_RATING_RO_ROLLUP[],MATCH($B34,MMWR_RATING_RO_ROLLUP[MMWR_RATING_RO_ROLLUP],0),MATCH(G$9,MMWR_RATING_RO_ROLLUP[#Headers],0)),"ERROR"))</f>
        <v>73729</v>
      </c>
      <c r="H34" s="155">
        <f>IF($B34=" ","",IFERROR(INDEX(MMWR_RATING_RO_ROLLUP[],MATCH($B34,MMWR_RATING_RO_ROLLUP[MMWR_RATING_RO_ROLLUP],0),MATCH(H$9,MMWR_RATING_RO_ROLLUP[#Headers],0)),"ERROR"))</f>
        <v>76.281337047400001</v>
      </c>
      <c r="I34" s="155">
        <f>IF($B34=" ","",IFERROR(INDEX(MMWR_RATING_RO_ROLLUP[],MATCH($B34,MMWR_RATING_RO_ROLLUP[MMWR_RATING_RO_ROLLUP],0),MATCH(I$9,MMWR_RATING_RO_ROLLUP[#Headers],0)),"ERROR"))</f>
        <v>76.831111231700007</v>
      </c>
      <c r="J34" s="42"/>
      <c r="K34" s="262">
        <f>IF($B34=" ","",IFERROR(VLOOKUP($B34,MMWR_ACCURACY_RO[],MATCH(K$50,MMWR_ACCURACY_RO[#Headers],0),0),"ERROR"))</f>
        <v>0.90256863252037189</v>
      </c>
      <c r="L34" s="262">
        <f>IF($B34=" ","",IFERROR(VLOOKUP($B34,MMWR_ACCURACY_RO[],MATCH(L$50,MMWR_ACCURACY_RO[#Headers],0),0),"ERROR"))</f>
        <v>0.94991467966112864</v>
      </c>
      <c r="M34" s="262">
        <f>IF($B34=" ","",IFERROR(VLOOKUP($B34,MMWR_ACCURACY_RO[],MATCH(M$50,MMWR_ACCURACY_RO[#Headers],0),0),"ERROR"))</f>
        <v>2.1965192651069002E-2</v>
      </c>
      <c r="N34" s="262">
        <f>IF($B34=" ","",IFERROR(VLOOKUP($B34,MMWR_ACCURACY_RO[],MATCH(N$50,MMWR_ACCURACY_RO[#Headers],0),0),"ERROR"))</f>
        <v>0.96860189371887662</v>
      </c>
      <c r="O34" s="262">
        <f>IF($B34=" ","",IFERROR(VLOOKUP($B34,MMWR_ACCURACY_RO[],MATCH(O$50,MMWR_ACCURACY_RO[#Headers],0),0),"ERROR"))</f>
        <v>1.8412519106738544E-2</v>
      </c>
      <c r="P34" s="28"/>
    </row>
    <row r="35" spans="1:16" x14ac:dyDescent="0.2">
      <c r="A35" s="25"/>
      <c r="B35" s="12" t="s">
        <v>210</v>
      </c>
      <c r="C35" s="154">
        <f>IF($B35=" ","",IFERROR(INDEX(MMWR_RATING_RO_ROLLUP[],MATCH($B35,MMWR_RATING_RO_ROLLUP[MMWR_RATING_RO_ROLLUP],0),MATCH(C$9,MMWR_RATING_RO_ROLLUP[#Headers],0)),"ERROR"))</f>
        <v>12910</v>
      </c>
      <c r="D35" s="155">
        <f>IF($B35=" ","",IFERROR(INDEX(MMWR_RATING_RO_ROLLUP[],MATCH($B35,MMWR_RATING_RO_ROLLUP[MMWR_RATING_RO_ROLLUP],0),MATCH(D$9,MMWR_RATING_RO_ROLLUP[#Headers],0)),"ERROR"))</f>
        <v>66.604725019399993</v>
      </c>
      <c r="E35" s="156">
        <f>IF($B35=" ","",IFERROR(INDEX(MMWR_RATING_RO_ROLLUP[],MATCH($B35,MMWR_RATING_RO_ROLLUP[MMWR_RATING_RO_ROLLUP],0),MATCH(E$9,MMWR_RATING_RO_ROLLUP[#Headers],0))/$C35,"ERROR"))</f>
        <v>0.11920991479473277</v>
      </c>
      <c r="F35" s="154">
        <f>IF($B35=" ","",IFERROR(INDEX(MMWR_RATING_RO_ROLLUP[],MATCH($B35,MMWR_RATING_RO_ROLLUP[MMWR_RATING_RO_ROLLUP],0),MATCH(F$9,MMWR_RATING_RO_ROLLUP[#Headers],0)),"ERROR"))</f>
        <v>119</v>
      </c>
      <c r="G35" s="154">
        <f>IF($B35=" ","",IFERROR(INDEX(MMWR_RATING_RO_ROLLUP[],MATCH($B35,MMWR_RATING_RO_ROLLUP[MMWR_RATING_RO_ROLLUP],0),MATCH(G$9,MMWR_RATING_RO_ROLLUP[#Headers],0)),"ERROR"))</f>
        <v>23829</v>
      </c>
      <c r="H35" s="155">
        <f>IF($B35=" ","",IFERROR(INDEX(MMWR_RATING_RO_ROLLUP[],MATCH($B35,MMWR_RATING_RO_ROLLUP[MMWR_RATING_RO_ROLLUP],0),MATCH(H$9,MMWR_RATING_RO_ROLLUP[#Headers],0)),"ERROR"))</f>
        <v>107.5378151261</v>
      </c>
      <c r="I35" s="155">
        <f>IF($B35=" ","",IFERROR(INDEX(MMWR_RATING_RO_ROLLUP[],MATCH($B35,MMWR_RATING_RO_ROLLUP[MMWR_RATING_RO_ROLLUP],0),MATCH(I$9,MMWR_RATING_RO_ROLLUP[#Headers],0)),"ERROR"))</f>
        <v>94.821519996600003</v>
      </c>
      <c r="J35" s="42"/>
      <c r="K35" s="251">
        <f>IF($B35=" ","",IFERROR(VLOOKUP($B35,MMWR_ACCURACY_RO[],MATCH(K$50,MMWR_ACCURACY_RO[#Headers],0),0),"ERROR"))</f>
        <v>0.87550630160799647</v>
      </c>
      <c r="L35" s="251">
        <f>IF($B35=" ","",IFERROR(VLOOKUP($B35,MMWR_ACCURACY_RO[],MATCH(L$50,MMWR_ACCURACY_RO[#Headers],0),0),"ERROR"))</f>
        <v>0.92704294329542236</v>
      </c>
      <c r="M35" s="251">
        <f>IF($B35=" ","",IFERROR(VLOOKUP($B35,MMWR_ACCURACY_RO[],MATCH(M$50,MMWR_ACCURACY_RO[#Headers],0),0),"ERROR"))</f>
        <v>4.3471140061487432E-2</v>
      </c>
      <c r="N35" s="251">
        <f>IF($B35=" ","",IFERROR(VLOOKUP($B35,MMWR_ACCURACY_RO[],MATCH(N$50,MMWR_ACCURACY_RO[#Headers],0),0),"ERROR"))</f>
        <v>0.92988522134158136</v>
      </c>
      <c r="O35" s="251">
        <f>IF($B35=" ","",IFERROR(VLOOKUP($B35,MMWR_ACCURACY_RO[],MATCH(O$50,MMWR_ACCURACY_RO[#Headers],0),0),"ERROR"))</f>
        <v>4.854351026991871E-2</v>
      </c>
      <c r="P35" s="28"/>
    </row>
    <row r="36" spans="1:16" x14ac:dyDescent="0.2">
      <c r="A36" s="43"/>
      <c r="B36" s="12" t="s">
        <v>209</v>
      </c>
      <c r="C36" s="154">
        <f>IF($B36=" ","",IFERROR(INDEX(MMWR_RATING_RO_ROLLUP[],MATCH($B36,MMWR_RATING_RO_ROLLUP[MMWR_RATING_RO_ROLLUP],0),MATCH(C$9,MMWR_RATING_RO_ROLLUP[#Headers],0)),"ERROR"))</f>
        <v>5282</v>
      </c>
      <c r="D36" s="155">
        <f>IF($B36=" ","",IFERROR(INDEX(MMWR_RATING_RO_ROLLUP[],MATCH($B36,MMWR_RATING_RO_ROLLUP[MMWR_RATING_RO_ROLLUP],0),MATCH(D$9,MMWR_RATING_RO_ROLLUP[#Headers],0)),"ERROR"))</f>
        <v>72.058500567999999</v>
      </c>
      <c r="E36" s="156">
        <f>IF($B36=" ","",IFERROR(INDEX(MMWR_RATING_RO_ROLLUP[],MATCH($B36,MMWR_RATING_RO_ROLLUP[MMWR_RATING_RO_ROLLUP],0),MATCH(E$9,MMWR_RATING_RO_ROLLUP[#Headers],0))/$C36,"ERROR"))</f>
        <v>0.14388489208633093</v>
      </c>
      <c r="F36" s="154">
        <f>IF($B36=" ","",IFERROR(INDEX(MMWR_RATING_RO_ROLLUP[],MATCH($B36,MMWR_RATING_RO_ROLLUP[MMWR_RATING_RO_ROLLUP],0),MATCH(F$9,MMWR_RATING_RO_ROLLUP[#Headers],0)),"ERROR"))</f>
        <v>78</v>
      </c>
      <c r="G36" s="154">
        <f>IF($B36=" ","",IFERROR(INDEX(MMWR_RATING_RO_ROLLUP[],MATCH($B36,MMWR_RATING_RO_ROLLUP[MMWR_RATING_RO_ROLLUP],0),MATCH(G$9,MMWR_RATING_RO_ROLLUP[#Headers],0)),"ERROR"))</f>
        <v>21197</v>
      </c>
      <c r="H36" s="155">
        <f>IF($B36=" ","",IFERROR(INDEX(MMWR_RATING_RO_ROLLUP[],MATCH($B36,MMWR_RATING_RO_ROLLUP[MMWR_RATING_RO_ROLLUP],0),MATCH(H$9,MMWR_RATING_RO_ROLLUP[#Headers],0)),"ERROR"))</f>
        <v>62.756410256400002</v>
      </c>
      <c r="I36" s="155">
        <f>IF($B36=" ","",IFERROR(INDEX(MMWR_RATING_RO_ROLLUP[],MATCH($B36,MMWR_RATING_RO_ROLLUP[MMWR_RATING_RO_ROLLUP],0),MATCH(I$9,MMWR_RATING_RO_ROLLUP[#Headers],0)),"ERROR"))</f>
        <v>71.211916780699994</v>
      </c>
      <c r="J36" s="42"/>
      <c r="K36" s="251">
        <f>IF($B36=" ","",IFERROR(VLOOKUP($B36,MMWR_ACCURACY_RO[],MATCH(K$50,MMWR_ACCURACY_RO[#Headers],0),0),"ERROR"))</f>
        <v>0.92422260144103152</v>
      </c>
      <c r="L36" s="251">
        <f>IF($B36=" ","",IFERROR(VLOOKUP($B36,MMWR_ACCURACY_RO[],MATCH(L$50,MMWR_ACCURACY_RO[#Headers],0),0),"ERROR"))</f>
        <v>0.93853459984072274</v>
      </c>
      <c r="M36" s="251">
        <f>IF($B36=" ","",IFERROR(VLOOKUP($B36,MMWR_ACCURACY_RO[],MATCH(M$50,MMWR_ACCURACY_RO[#Headers],0),0),"ERROR"))</f>
        <v>4.2579632236083145E-2</v>
      </c>
      <c r="N36" s="251">
        <f>IF($B36=" ","",IFERROR(VLOOKUP($B36,MMWR_ACCURACY_RO[],MATCH(N$50,MMWR_ACCURACY_RO[#Headers],0),0),"ERROR"))</f>
        <v>0.98716762796096769</v>
      </c>
      <c r="O36" s="251">
        <f>IF($B36=" ","",IFERROR(VLOOKUP($B36,MMWR_ACCURACY_RO[],MATCH(O$50,MMWR_ACCURACY_RO[#Headers],0),0),"ERROR"))</f>
        <v>1.4458487764192113E-2</v>
      </c>
      <c r="P36" s="28"/>
    </row>
    <row r="37" spans="1:16" x14ac:dyDescent="0.2">
      <c r="A37" s="25"/>
      <c r="B37" s="12" t="s">
        <v>212</v>
      </c>
      <c r="C37" s="154">
        <f>IF($B37=" ","",IFERROR(INDEX(MMWR_RATING_RO_ROLLUP[],MATCH($B37,MMWR_RATING_RO_ROLLUP[MMWR_RATING_RO_ROLLUP],0),MATCH(C$9,MMWR_RATING_RO_ROLLUP[#Headers],0)),"ERROR"))</f>
        <v>7727</v>
      </c>
      <c r="D37" s="155">
        <f>IF($B37=" ","",IFERROR(INDEX(MMWR_RATING_RO_ROLLUP[],MATCH($B37,MMWR_RATING_RO_ROLLUP[MMWR_RATING_RO_ROLLUP],0),MATCH(D$9,MMWR_RATING_RO_ROLLUP[#Headers],0)),"ERROR"))</f>
        <v>54.8439239032</v>
      </c>
      <c r="E37" s="156">
        <f>IF($B37=" ","",IFERROR(INDEX(MMWR_RATING_RO_ROLLUP[],MATCH($B37,MMWR_RATING_RO_ROLLUP[MMWR_RATING_RO_ROLLUP],0),MATCH(E$9,MMWR_RATING_RO_ROLLUP[#Headers],0))/$C37,"ERROR"))</f>
        <v>6.8590656140804965E-2</v>
      </c>
      <c r="F37" s="154">
        <f>IF($B37=" ","",IFERROR(INDEX(MMWR_RATING_RO_ROLLUP[],MATCH($B37,MMWR_RATING_RO_ROLLUP[MMWR_RATING_RO_ROLLUP],0),MATCH(F$9,MMWR_RATING_RO_ROLLUP[#Headers],0)),"ERROR"))</f>
        <v>156</v>
      </c>
      <c r="G37" s="154">
        <f>IF($B37=" ","",IFERROR(INDEX(MMWR_RATING_RO_ROLLUP[],MATCH($B37,MMWR_RATING_RO_ROLLUP[MMWR_RATING_RO_ROLLUP],0),MATCH(G$9,MMWR_RATING_RO_ROLLUP[#Headers],0)),"ERROR"))</f>
        <v>26493</v>
      </c>
      <c r="H37" s="155">
        <f>IF($B37=" ","",IFERROR(INDEX(MMWR_RATING_RO_ROLLUP[],MATCH($B37,MMWR_RATING_RO_ROLLUP[MMWR_RATING_RO_ROLLUP],0),MATCH(H$9,MMWR_RATING_RO_ROLLUP[#Headers],0)),"ERROR"))</f>
        <v>58.602564102599999</v>
      </c>
      <c r="I37" s="155">
        <f>IF($B37=" ","",IFERROR(INDEX(MMWR_RATING_RO_ROLLUP[],MATCH($B37,MMWR_RATING_RO_ROLLUP[MMWR_RATING_RO_ROLLUP],0),MATCH(I$9,MMWR_RATING_RO_ROLLUP[#Headers],0)),"ERROR"))</f>
        <v>68.019816555299997</v>
      </c>
      <c r="J37" s="42"/>
      <c r="K37" s="251">
        <f>IF($B37=" ","",IFERROR(VLOOKUP($B37,MMWR_ACCURACY_RO[],MATCH(K$50,MMWR_ACCURACY_RO[#Headers],0),0),"ERROR"))</f>
        <v>0.90907012593405445</v>
      </c>
      <c r="L37" s="251">
        <f>IF($B37=" ","",IFERROR(VLOOKUP($B37,MMWR_ACCURACY_RO[],MATCH(L$50,MMWR_ACCURACY_RO[#Headers],0),0),"ERROR"))</f>
        <v>0.97911641164116403</v>
      </c>
      <c r="M37" s="251">
        <f>IF($B37=" ","",IFERROR(VLOOKUP($B37,MMWR_ACCURACY_RO[],MATCH(M$50,MMWR_ACCURACY_RO[#Headers],0),0),"ERROR"))</f>
        <v>2.5382772230777704E-2</v>
      </c>
      <c r="N37" s="251">
        <f>IF($B37=" ","",IFERROR(VLOOKUP($B37,MMWR_ACCURACY_RO[],MATCH(N$50,MMWR_ACCURACY_RO[#Headers],0),0),"ERROR"))</f>
        <v>0.99046064280963619</v>
      </c>
      <c r="O37" s="251">
        <f>IF($B37=" ","",IFERROR(VLOOKUP($B37,MMWR_ACCURACY_RO[],MATCH(O$50,MMWR_ACCURACY_RO[#Headers],0),0),"ERROR"))</f>
        <v>1.4221748131100186E-2</v>
      </c>
      <c r="P37" s="28"/>
    </row>
    <row r="38" spans="1:16" x14ac:dyDescent="0.2">
      <c r="A38" s="25"/>
      <c r="B38" s="13" t="s">
        <v>224</v>
      </c>
      <c r="C38" s="154">
        <f>IF($B38=" ","",IFERROR(INDEX(MMWR_RATING_RO_ROLLUP[],MATCH($B38,MMWR_RATING_RO_ROLLUP[MMWR_RATING_RO_ROLLUP],0),MATCH(C$9,MMWR_RATING_RO_ROLLUP[#Headers],0)),"ERROR"))</f>
        <v>701</v>
      </c>
      <c r="D38" s="155">
        <f>IF($B38=" ","",IFERROR(INDEX(MMWR_RATING_RO_ROLLUP[],MATCH($B38,MMWR_RATING_RO_ROLLUP[MMWR_RATING_RO_ROLLUP],0),MATCH(D$9,MMWR_RATING_RO_ROLLUP[#Headers],0)),"ERROR"))</f>
        <v>191.17118402279999</v>
      </c>
      <c r="E38" s="156">
        <f>IF($B38=" ","",IFERROR(INDEX(MMWR_RATING_RO_ROLLUP[],MATCH($B38,MMWR_RATING_RO_ROLLUP[MMWR_RATING_RO_ROLLUP],0),MATCH(E$9,MMWR_RATING_RO_ROLLUP[#Headers],0))/$C38,"ERROR"))</f>
        <v>0.55634807417974319</v>
      </c>
      <c r="F38" s="154">
        <f>IF($B38=" ","",IFERROR(INDEX(MMWR_RATING_RO_ROLLUP[],MATCH($B38,MMWR_RATING_RO_ROLLUP[MMWR_RATING_RO_ROLLUP],0),MATCH(F$9,MMWR_RATING_RO_ROLLUP[#Headers],0)),"ERROR"))</f>
        <v>6</v>
      </c>
      <c r="G38" s="154">
        <f>IF($B38=" ","",IFERROR(INDEX(MMWR_RATING_RO_ROLLUP[],MATCH($B38,MMWR_RATING_RO_ROLLUP[MMWR_RATING_RO_ROLLUP],0),MATCH(G$9,MMWR_RATING_RO_ROLLUP[#Headers],0)),"ERROR"))</f>
        <v>2210</v>
      </c>
      <c r="H38" s="155">
        <f>IF($B38=" ","",IFERROR(INDEX(MMWR_RATING_RO_ROLLUP[],MATCH($B38,MMWR_RATING_RO_ROLLUP[MMWR_RATING_RO_ROLLUP],0),MATCH(H$9,MMWR_RATING_RO_ROLLUP[#Headers],0)),"ERROR"))</f>
        <v>91.833333333300004</v>
      </c>
      <c r="I38" s="155">
        <f>IF($B38=" ","",IFERROR(INDEX(MMWR_RATING_RO_ROLLUP[],MATCH($B38,MMWR_RATING_RO_ROLLUP[MMWR_RATING_RO_ROLLUP],0),MATCH(I$9,MMWR_RATING_RO_ROLLUP[#Headers],0)),"ERROR"))</f>
        <v>42.376018099500001</v>
      </c>
      <c r="J38" s="42"/>
      <c r="K38" s="42"/>
      <c r="L38" s="42"/>
      <c r="M38" s="42"/>
      <c r="N38" s="42"/>
      <c r="O38" s="42"/>
      <c r="P38" s="28"/>
    </row>
    <row r="39" spans="1:16" x14ac:dyDescent="0.2">
      <c r="A39" s="25"/>
      <c r="B39" s="341" t="s">
        <v>917</v>
      </c>
      <c r="C39" s="342"/>
      <c r="D39" s="342"/>
      <c r="E39" s="342"/>
      <c r="F39" s="342"/>
      <c r="G39" s="342"/>
      <c r="H39" s="342"/>
      <c r="I39" s="342"/>
      <c r="J39" s="342"/>
      <c r="K39" s="342"/>
      <c r="L39" s="342"/>
      <c r="M39" s="342"/>
      <c r="N39" s="342"/>
      <c r="O39" s="342"/>
      <c r="P39" s="28"/>
    </row>
    <row r="40" spans="1:16" x14ac:dyDescent="0.2">
      <c r="A40" s="25"/>
      <c r="B40" s="44" t="s">
        <v>698</v>
      </c>
      <c r="C40" s="154">
        <f>IF($B40=" ","",IFERROR(INDEX(MMWR_RATING_RO_ROLLUP[],MATCH($B40,MMWR_RATING_RO_ROLLUP[MMWR_RATING_RO_ROLLUP],0),MATCH(C$9,MMWR_RATING_RO_ROLLUP[#Headers],0)),"ERROR"))</f>
        <v>9343</v>
      </c>
      <c r="D40" s="155">
        <f>IF($B40=" ","",IFERROR(INDEX(MMWR_RATING_RO_ROLLUP[],MATCH($B40,MMWR_RATING_RO_ROLLUP[MMWR_RATING_RO_ROLLUP],0),MATCH(D$9,MMWR_RATING_RO_ROLLUP[#Headers],0)),"ERROR"))</f>
        <v>86.319918655699993</v>
      </c>
      <c r="E40" s="156">
        <f>IF($B40=" ","",IFERROR(INDEX(MMWR_RATING_RO_ROLLUP[],MATCH($B40,MMWR_RATING_RO_ROLLUP[MMWR_RATING_RO_ROLLUP],0),MATCH(E$9,MMWR_RATING_RO_ROLLUP[#Headers],0))/$C40,"ERROR"))</f>
        <v>0.22862035748688858</v>
      </c>
      <c r="F40" s="154">
        <f>IF($B40=" ","",IFERROR(INDEX(MMWR_RATING_RO_ROLLUP[],MATCH($B40,MMWR_RATING_RO_ROLLUP[MMWR_RATING_RO_ROLLUP],0),MATCH(F$9,MMWR_RATING_RO_ROLLUP[#Headers],0)),"ERROR"))</f>
        <v>85</v>
      </c>
      <c r="G40" s="154">
        <f>IF($B40=" ","",IFERROR(INDEX(MMWR_RATING_RO_ROLLUP[],MATCH($B40,MMWR_RATING_RO_ROLLUP[MMWR_RATING_RO_ROLLUP],0),MATCH(G$9,MMWR_RATING_RO_ROLLUP[#Headers],0)),"ERROR"))</f>
        <v>11658</v>
      </c>
      <c r="H40" s="155">
        <f>IF($B40=" ","",IFERROR(INDEX(MMWR_RATING_RO_ROLLUP[],MATCH($B40,MMWR_RATING_RO_ROLLUP[MMWR_RATING_RO_ROLLUP],0),MATCH(H$9,MMWR_RATING_RO_ROLLUP[#Headers],0)),"ERROR"))</f>
        <v>132.38823529410001</v>
      </c>
      <c r="I40" s="155">
        <f>IF($B40=" ","",IFERROR(INDEX(MMWR_RATING_RO_ROLLUP[],MATCH($B40,MMWR_RATING_RO_ROLLUP[MMWR_RATING_RO_ROLLUP],0),MATCH(I$9,MMWR_RATING_RO_ROLLUP[#Headers],0)),"ERROR"))</f>
        <v>146.25973580370001</v>
      </c>
      <c r="J40" s="42"/>
      <c r="K40" s="42"/>
      <c r="L40" s="42"/>
      <c r="M40" s="42"/>
      <c r="N40" s="42"/>
      <c r="O40" s="42"/>
      <c r="P40" s="28"/>
    </row>
    <row r="41" spans="1:16" x14ac:dyDescent="0.2">
      <c r="A41" s="25"/>
      <c r="B41" s="45" t="s">
        <v>957</v>
      </c>
      <c r="C41" s="154">
        <f>IF($B41=" ","",IFERROR(INDEX(MMWR_RATING_RO_ROLLUP[],MATCH($B41,MMWR_RATING_RO_ROLLUP[MMWR_RATING_RO_ROLLUP],0),MATCH(C$9,MMWR_RATING_RO_ROLLUP[#Headers],0)),"ERROR"))</f>
        <v>3335</v>
      </c>
      <c r="D41" s="155">
        <f>IF($B41=" ","",IFERROR(INDEX(MMWR_RATING_RO_ROLLUP[],MATCH($B41,MMWR_RATING_RO_ROLLUP[MMWR_RATING_RO_ROLLUP],0),MATCH(D$9,MMWR_RATING_RO_ROLLUP[#Headers],0)),"ERROR"))</f>
        <v>67.075562218900004</v>
      </c>
      <c r="E41" s="156">
        <f>IF($B41=" ","",IFERROR(INDEX(MMWR_RATING_RO_ROLLUP[],MATCH($B41,MMWR_RATING_RO_ROLLUP[MMWR_RATING_RO_ROLLUP],0),MATCH(E$9,MMWR_RATING_RO_ROLLUP[#Headers],0))/$C41,"ERROR"))</f>
        <v>0.13073463268365818</v>
      </c>
      <c r="F41" s="154">
        <f>IF($B41=" ","",IFERROR(INDEX(MMWR_RATING_RO_ROLLUP[],MATCH($B41,MMWR_RATING_RO_ROLLUP[MMWR_RATING_RO_ROLLUP],0),MATCH(F$9,MMWR_RATING_RO_ROLLUP[#Headers],0)),"ERROR"))</f>
        <v>37</v>
      </c>
      <c r="G41" s="154">
        <f>IF($B41=" ","",IFERROR(INDEX(MMWR_RATING_RO_ROLLUP[],MATCH($B41,MMWR_RATING_RO_ROLLUP[MMWR_RATING_RO_ROLLUP],0),MATCH(G$9,MMWR_RATING_RO_ROLLUP[#Headers],0)),"ERROR"))</f>
        <v>5251</v>
      </c>
      <c r="H41" s="155">
        <f>IF($B41=" ","",IFERROR(INDEX(MMWR_RATING_RO_ROLLUP[],MATCH($B41,MMWR_RATING_RO_ROLLUP[MMWR_RATING_RO_ROLLUP],0),MATCH(H$9,MMWR_RATING_RO_ROLLUP[#Headers],0)),"ERROR"))</f>
        <v>102.8918918919</v>
      </c>
      <c r="I41" s="155">
        <f>IF($B41=" ","",IFERROR(INDEX(MMWR_RATING_RO_ROLLUP[],MATCH($B41,MMWR_RATING_RO_ROLLUP[MMWR_RATING_RO_ROLLUP],0),MATCH(I$9,MMWR_RATING_RO_ROLLUP[#Headers],0)),"ERROR"))</f>
        <v>132.27537611880001</v>
      </c>
      <c r="J41" s="42"/>
      <c r="K41" s="42"/>
      <c r="L41" s="42"/>
      <c r="M41" s="42"/>
      <c r="N41" s="42"/>
      <c r="O41" s="42"/>
      <c r="P41" s="28"/>
    </row>
    <row r="42" spans="1:16" x14ac:dyDescent="0.2">
      <c r="A42" s="25"/>
      <c r="B42" s="45" t="s">
        <v>958</v>
      </c>
      <c r="C42" s="154">
        <f>IF($B42=" ","",IFERROR(INDEX(MMWR_RATING_RO_ROLLUP[],MATCH($B42,MMWR_RATING_RO_ROLLUP[MMWR_RATING_RO_ROLLUP],0),MATCH(C$9,MMWR_RATING_RO_ROLLUP[#Headers],0)),"ERROR"))</f>
        <v>3049</v>
      </c>
      <c r="D42" s="155">
        <f>IF($B42=" ","",IFERROR(INDEX(MMWR_RATING_RO_ROLLUP[],MATCH($B42,MMWR_RATING_RO_ROLLUP[MMWR_RATING_RO_ROLLUP],0),MATCH(D$9,MMWR_RATING_RO_ROLLUP[#Headers],0)),"ERROR"))</f>
        <v>89.436536569400005</v>
      </c>
      <c r="E42" s="156">
        <f>IF($B42=" ","",IFERROR(INDEX(MMWR_RATING_RO_ROLLUP[],MATCH($B42,MMWR_RATING_RO_ROLLUP[MMWR_RATING_RO_ROLLUP],0),MATCH(E$9,MMWR_RATING_RO_ROLLUP[#Headers],0))/$C42,"ERROR"))</f>
        <v>0.23843883240406691</v>
      </c>
      <c r="F42" s="154">
        <f>IF($B42=" ","",IFERROR(INDEX(MMWR_RATING_RO_ROLLUP[],MATCH($B42,MMWR_RATING_RO_ROLLUP[MMWR_RATING_RO_ROLLUP],0),MATCH(F$9,MMWR_RATING_RO_ROLLUP[#Headers],0)),"ERROR"))</f>
        <v>28</v>
      </c>
      <c r="G42" s="154">
        <f>IF($B42=" ","",IFERROR(INDEX(MMWR_RATING_RO_ROLLUP[],MATCH($B42,MMWR_RATING_RO_ROLLUP[MMWR_RATING_RO_ROLLUP],0),MATCH(G$9,MMWR_RATING_RO_ROLLUP[#Headers],0)),"ERROR"))</f>
        <v>5059</v>
      </c>
      <c r="H42" s="155">
        <f>IF($B42=" ","",IFERROR(INDEX(MMWR_RATING_RO_ROLLUP[],MATCH($B42,MMWR_RATING_RO_ROLLUP[MMWR_RATING_RO_ROLLUP],0),MATCH(H$9,MMWR_RATING_RO_ROLLUP[#Headers],0)),"ERROR"))</f>
        <v>158.3928571429</v>
      </c>
      <c r="I42" s="155">
        <f>IF($B42=" ","",IFERROR(INDEX(MMWR_RATING_RO_ROLLUP[],MATCH($B42,MMWR_RATING_RO_ROLLUP[MMWR_RATING_RO_ROLLUP],0),MATCH(I$9,MMWR_RATING_RO_ROLLUP[#Headers],0)),"ERROR"))</f>
        <v>162.20498122160001</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2959</v>
      </c>
      <c r="D43" s="155">
        <f>IF($B43=" ","",IFERROR(INDEX(MMWR_RATING_RO_ROLLUP[],MATCH($B43,MMWR_RATING_RO_ROLLUP[MMWR_RATING_RO_ROLLUP],0),MATCH(D$9,MMWR_RATING_RO_ROLLUP[#Headers],0)),"ERROR"))</f>
        <v>104.7982426495</v>
      </c>
      <c r="E43" s="156">
        <f>IF($B43=" ","",IFERROR(INDEX(MMWR_RATING_RO_ROLLUP[],MATCH($B43,MMWR_RATING_RO_ROLLUP[MMWR_RATING_RO_ROLLUP],0),MATCH(E$9,MMWR_RATING_RO_ROLLUP[#Headers],0))/$C43,"ERROR"))</f>
        <v>0.32882730652247383</v>
      </c>
      <c r="F43" s="154">
        <f>IF($B43=" ","",IFERROR(INDEX(MMWR_RATING_RO_ROLLUP[],MATCH($B43,MMWR_RATING_RO_ROLLUP[MMWR_RATING_RO_ROLLUP],0),MATCH(F$9,MMWR_RATING_RO_ROLLUP[#Headers],0)),"ERROR"))</f>
        <v>20</v>
      </c>
      <c r="G43" s="154">
        <f>IF($B43=" ","",IFERROR(INDEX(MMWR_RATING_RO_ROLLUP[],MATCH($B43,MMWR_RATING_RO_ROLLUP[MMWR_RATING_RO_ROLLUP],0),MATCH(G$9,MMWR_RATING_RO_ROLLUP[#Headers],0)),"ERROR"))</f>
        <v>1348</v>
      </c>
      <c r="H43" s="155">
        <f>IF($B43=" ","",IFERROR(INDEX(MMWR_RATING_RO_ROLLUP[],MATCH($B43,MMWR_RATING_RO_ROLLUP[MMWR_RATING_RO_ROLLUP],0),MATCH(H$9,MMWR_RATING_RO_ROLLUP[#Headers],0)),"ERROR"))</f>
        <v>150.55000000000001</v>
      </c>
      <c r="I43" s="155">
        <f>IF($B43=" ","",IFERROR(INDEX(MMWR_RATING_RO_ROLLUP[],MATCH($B43,MMWR_RATING_RO_ROLLUP[MMWR_RATING_RO_ROLLUP],0),MATCH(I$9,MMWR_RATING_RO_ROLLUP[#Headers],0)),"ERROR"))</f>
        <v>140.89243323439999</v>
      </c>
      <c r="J43" s="42"/>
      <c r="K43" s="42"/>
      <c r="L43" s="42"/>
      <c r="M43" s="42"/>
      <c r="N43" s="42"/>
      <c r="O43" s="42"/>
      <c r="P43" s="28"/>
    </row>
    <row r="44" spans="1:16" x14ac:dyDescent="0.2">
      <c r="A44" s="25"/>
      <c r="B44" s="341" t="s">
        <v>735</v>
      </c>
      <c r="C44" s="342"/>
      <c r="D44" s="342"/>
      <c r="E44" s="342"/>
      <c r="F44" s="342"/>
      <c r="G44" s="342"/>
      <c r="H44" s="342"/>
      <c r="I44" s="342"/>
      <c r="J44" s="342"/>
      <c r="K44" s="342"/>
      <c r="L44" s="342"/>
      <c r="M44" s="342"/>
      <c r="N44" s="342"/>
      <c r="O44" s="342"/>
      <c r="P44" s="28"/>
    </row>
    <row r="45" spans="1:16" x14ac:dyDescent="0.2">
      <c r="A45" s="25"/>
      <c r="B45" s="44" t="s">
        <v>696</v>
      </c>
      <c r="C45" s="154">
        <f>IF($B45=" ","",IFERROR(INDEX(MMWR_RATING_RO_ROLLUP[],MATCH($B45,MMWR_RATING_RO_ROLLUP[MMWR_RATING_RO_ROLLUP],0),MATCH(C$9,MMWR_RATING_RO_ROLLUP[#Headers],0)),"ERROR"))</f>
        <v>9633</v>
      </c>
      <c r="D45" s="155">
        <f>IF($B45=" ","",IFERROR(INDEX(MMWR_RATING_RO_ROLLUP[],MATCH($B45,MMWR_RATING_RO_ROLLUP[MMWR_RATING_RO_ROLLUP],0),MATCH(D$9,MMWR_RATING_RO_ROLLUP[#Headers],0)),"ERROR"))</f>
        <v>79.398110661299995</v>
      </c>
      <c r="E45" s="156">
        <f>IF($B45=" ","",IFERROR(INDEX(MMWR_RATING_RO_ROLLUP[],MATCH($B45,MMWR_RATING_RO_ROLLUP[MMWR_RATING_RO_ROLLUP],0),MATCH(E$9,MMWR_RATING_RO_ROLLUP[#Headers],0))/$C45,"ERROR"))</f>
        <v>0.18083670715249664</v>
      </c>
      <c r="F45" s="154">
        <f>IF($B45=" ","",IFERROR(INDEX(MMWR_RATING_RO_ROLLUP[],MATCH($B45,MMWR_RATING_RO_ROLLUP[MMWR_RATING_RO_ROLLUP],0),MATCH(F$9,MMWR_RATING_RO_ROLLUP[#Headers],0)),"ERROR"))</f>
        <v>92</v>
      </c>
      <c r="G45" s="154">
        <f>IF($B45=" ","",IFERROR(INDEX(MMWR_RATING_RO_ROLLUP[],MATCH($B45,MMWR_RATING_RO_ROLLUP[MMWR_RATING_RO_ROLLUP],0),MATCH(G$9,MMWR_RATING_RO_ROLLUP[#Headers],0)),"ERROR"))</f>
        <v>14043</v>
      </c>
      <c r="H45" s="155">
        <f>IF($B45=" ","",IFERROR(INDEX(MMWR_RATING_RO_ROLLUP[],MATCH($B45,MMWR_RATING_RO_ROLLUP[MMWR_RATING_RO_ROLLUP],0),MATCH(H$9,MMWR_RATING_RO_ROLLUP[#Headers],0)),"ERROR"))</f>
        <v>126.6086956522</v>
      </c>
      <c r="I45" s="155">
        <f>IF($B45=" ","",IFERROR(INDEX(MMWR_RATING_RO_ROLLUP[],MATCH($B45,MMWR_RATING_RO_ROLLUP[MMWR_RATING_RO_ROLLUP],0),MATCH(I$9,MMWR_RATING_RO_ROLLUP[#Headers],0)),"ERROR"))</f>
        <v>138.49675995160001</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3269</v>
      </c>
      <c r="D46" s="155">
        <f>IF($B46=" ","",IFERROR(INDEX(MMWR_RATING_RO_ROLLUP[],MATCH($B46,MMWR_RATING_RO_ROLLUP[MMWR_RATING_RO_ROLLUP],0),MATCH(D$9,MMWR_RATING_RO_ROLLUP[#Headers],0)),"ERROR"))</f>
        <v>58.930559804200001</v>
      </c>
      <c r="E46" s="156">
        <f>IF($B46=" ","",IFERROR(INDEX(MMWR_RATING_RO_ROLLUP[],MATCH($B46,MMWR_RATING_RO_ROLLUP[MMWR_RATING_RO_ROLLUP],0),MATCH(E$9,MMWR_RATING_RO_ROLLUP[#Headers],0))/$C46,"ERROR"))</f>
        <v>6.087488528602019E-2</v>
      </c>
      <c r="F46" s="154">
        <f>IF($B46=" ","",IFERROR(INDEX(MMWR_RATING_RO_ROLLUP[],MATCH($B46,MMWR_RATING_RO_ROLLUP[MMWR_RATING_RO_ROLLUP],0),MATCH(F$9,MMWR_RATING_RO_ROLLUP[#Headers],0)),"ERROR"))</f>
        <v>37</v>
      </c>
      <c r="G46" s="154">
        <f>IF($B46=" ","",IFERROR(INDEX(MMWR_RATING_RO_ROLLUP[],MATCH($B46,MMWR_RATING_RO_ROLLUP[MMWR_RATING_RO_ROLLUP],0),MATCH(G$9,MMWR_RATING_RO_ROLLUP[#Headers],0)),"ERROR"))</f>
        <v>5713</v>
      </c>
      <c r="H46" s="155">
        <f>IF($B46=" ","",IFERROR(INDEX(MMWR_RATING_RO_ROLLUP[],MATCH($B46,MMWR_RATING_RO_ROLLUP[MMWR_RATING_RO_ROLLUP],0),MATCH(H$9,MMWR_RATING_RO_ROLLUP[#Headers],0)),"ERROR"))</f>
        <v>101.56756756759999</v>
      </c>
      <c r="I46" s="155">
        <f>IF($B46=" ","",IFERROR(INDEX(MMWR_RATING_RO_ROLLUP[],MATCH($B46,MMWR_RATING_RO_ROLLUP[MMWR_RATING_RO_ROLLUP],0),MATCH(I$9,MMWR_RATING_RO_ROLLUP[#Headers],0)),"ERROR"))</f>
        <v>124.9732189743</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4247</v>
      </c>
      <c r="D47" s="155">
        <f>IF($B47=" ","",IFERROR(INDEX(MMWR_RATING_RO_ROLLUP[],MATCH($B47,MMWR_RATING_RO_ROLLUP[MMWR_RATING_RO_ROLLUP],0),MATCH(D$9,MMWR_RATING_RO_ROLLUP[#Headers],0)),"ERROR"))</f>
        <v>79.359312455899996</v>
      </c>
      <c r="E47" s="156">
        <f>IF($B47=" ","",IFERROR(INDEX(MMWR_RATING_RO_ROLLUP[],MATCH($B47,MMWR_RATING_RO_ROLLUP[MMWR_RATING_RO_ROLLUP],0),MATCH(E$9,MMWR_RATING_RO_ROLLUP[#Headers],0))/$C47,"ERROR"))</f>
        <v>0.14739816340946552</v>
      </c>
      <c r="F47" s="154">
        <f>IF($B47=" ","",IFERROR(INDEX(MMWR_RATING_RO_ROLLUP[],MATCH($B47,MMWR_RATING_RO_ROLLUP[MMWR_RATING_RO_ROLLUP],0),MATCH(F$9,MMWR_RATING_RO_ROLLUP[#Headers],0)),"ERROR"))</f>
        <v>41</v>
      </c>
      <c r="G47" s="154">
        <f>IF($B47=" ","",IFERROR(INDEX(MMWR_RATING_RO_ROLLUP[],MATCH($B47,MMWR_RATING_RO_ROLLUP[MMWR_RATING_RO_ROLLUP],0),MATCH(G$9,MMWR_RATING_RO_ROLLUP[#Headers],0)),"ERROR"))</f>
        <v>5744</v>
      </c>
      <c r="H47" s="155">
        <f>IF($B47=" ","",IFERROR(INDEX(MMWR_RATING_RO_ROLLUP[],MATCH($B47,MMWR_RATING_RO_ROLLUP[MMWR_RATING_RO_ROLLUP],0),MATCH(H$9,MMWR_RATING_RO_ROLLUP[#Headers],0)),"ERROR"))</f>
        <v>142.9756097561</v>
      </c>
      <c r="I47" s="155">
        <f>IF($B47=" ","",IFERROR(INDEX(MMWR_RATING_RO_ROLLUP[],MATCH($B47,MMWR_RATING_RO_ROLLUP[MMWR_RATING_RO_ROLLUP],0),MATCH(I$9,MMWR_RATING_RO_ROLLUP[#Headers],0)),"ERROR"))</f>
        <v>152.08739554319999</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2117</v>
      </c>
      <c r="D48" s="155">
        <f>IF($B48=" ","",IFERROR(INDEX(MMWR_RATING_RO_ROLLUP[],MATCH($B48,MMWR_RATING_RO_ROLLUP[MMWR_RATING_RO_ROLLUP],0),MATCH(D$9,MMWR_RATING_RO_ROLLUP[#Headers],0)),"ERROR"))</f>
        <v>111.0812470477</v>
      </c>
      <c r="E48" s="156">
        <f>IF($B48=" ","",IFERROR(INDEX(MMWR_RATING_RO_ROLLUP[],MATCH($B48,MMWR_RATING_RO_ROLLUP[MMWR_RATING_RO_ROLLUP],0),MATCH(E$9,MMWR_RATING_RO_ROLLUP[#Headers],0))/$C48,"ERROR"))</f>
        <v>0.43316013226263583</v>
      </c>
      <c r="F48" s="154">
        <f>IF($B48=" ","",IFERROR(INDEX(MMWR_RATING_RO_ROLLUP[],MATCH($B48,MMWR_RATING_RO_ROLLUP[MMWR_RATING_RO_ROLLUP],0),MATCH(F$9,MMWR_RATING_RO_ROLLUP[#Headers],0)),"ERROR"))</f>
        <v>14</v>
      </c>
      <c r="G48" s="154">
        <f>IF($B48=" ","",IFERROR(INDEX(MMWR_RATING_RO_ROLLUP[],MATCH($B48,MMWR_RATING_RO_ROLLUP[MMWR_RATING_RO_ROLLUP],0),MATCH(G$9,MMWR_RATING_RO_ROLLUP[#Headers],0)),"ERROR"))</f>
        <v>2586</v>
      </c>
      <c r="H48" s="155">
        <f>IF($B48=" ","",IFERROR(INDEX(MMWR_RATING_RO_ROLLUP[],MATCH($B48,MMWR_RATING_RO_ROLLUP[MMWR_RATING_RO_ROLLUP],0),MATCH(H$9,MMWR_RATING_RO_ROLLUP[#Headers],0)),"ERROR"))</f>
        <v>144.8571428571</v>
      </c>
      <c r="I48" s="155">
        <f>IF($B48=" ","",IFERROR(INDEX(MMWR_RATING_RO_ROLLUP[],MATCH($B48,MMWR_RATING_RO_ROLLUP[MMWR_RATING_RO_ROLLUP],0),MATCH(I$9,MMWR_RATING_RO_ROLLUP[#Headers],0)),"ERROR"))</f>
        <v>138.18561484919999</v>
      </c>
      <c r="J48" s="42"/>
      <c r="K48" s="42"/>
      <c r="L48" s="42"/>
      <c r="M48" s="42"/>
      <c r="N48" s="42"/>
      <c r="O48" s="42"/>
      <c r="P48" s="28"/>
    </row>
    <row r="49" spans="1:16" ht="15.75" x14ac:dyDescent="0.25">
      <c r="A49" s="25"/>
      <c r="B49" s="340" t="s">
        <v>1051</v>
      </c>
      <c r="C49" s="340"/>
      <c r="D49" s="340"/>
      <c r="E49" s="340"/>
      <c r="F49" s="340"/>
      <c r="G49" s="340"/>
      <c r="H49" s="340"/>
      <c r="I49" s="340"/>
      <c r="J49" s="340"/>
      <c r="K49" s="340"/>
      <c r="L49" s="340"/>
      <c r="M49" s="340"/>
      <c r="N49" s="340"/>
      <c r="O49" s="261"/>
      <c r="P49" s="28"/>
    </row>
    <row r="50" spans="1:16" ht="12" customHeight="1" x14ac:dyDescent="0.2">
      <c r="A50" s="25"/>
      <c r="B50" s="26"/>
      <c r="C50" s="26"/>
      <c r="D50" s="26"/>
      <c r="E50" s="26"/>
      <c r="F50" s="26"/>
      <c r="G50" s="26"/>
      <c r="H50" s="26"/>
      <c r="I50" s="26"/>
      <c r="J50" s="26"/>
      <c r="K50" s="27" t="s">
        <v>923</v>
      </c>
      <c r="L50" s="27" t="s">
        <v>928</v>
      </c>
      <c r="M50" s="27" t="s">
        <v>929</v>
      </c>
      <c r="N50" s="27" t="s">
        <v>930</v>
      </c>
      <c r="O50" s="27" t="s">
        <v>931</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5" t="s">
        <v>294</v>
      </c>
      <c r="D2" s="356"/>
      <c r="E2" s="356"/>
      <c r="F2" s="356"/>
      <c r="G2" s="356"/>
      <c r="H2" s="356"/>
      <c r="I2" s="356"/>
      <c r="J2" s="355" t="s">
        <v>300</v>
      </c>
      <c r="K2" s="356"/>
      <c r="L2" s="356"/>
      <c r="M2" s="357"/>
      <c r="N2" s="28"/>
    </row>
    <row r="3" spans="1:16" ht="24" customHeight="1" thickBot="1" x14ac:dyDescent="0.4">
      <c r="A3" s="25"/>
      <c r="B3" s="29"/>
      <c r="C3" s="358"/>
      <c r="D3" s="359"/>
      <c r="E3" s="359"/>
      <c r="F3" s="359"/>
      <c r="G3" s="359"/>
      <c r="H3" s="359"/>
      <c r="I3" s="359"/>
      <c r="J3" s="358" t="str">
        <f>Transformation!B4</f>
        <v>As of: April 02, 2016</v>
      </c>
      <c r="K3" s="359"/>
      <c r="L3" s="359"/>
      <c r="M3" s="360"/>
      <c r="N3" s="28"/>
    </row>
    <row r="4" spans="1:16" ht="51" customHeight="1" thickBot="1" x14ac:dyDescent="0.35">
      <c r="A4" s="30"/>
      <c r="B4" s="246" t="s">
        <v>456</v>
      </c>
      <c r="C4" s="361" t="s">
        <v>971</v>
      </c>
      <c r="D4" s="362"/>
      <c r="E4" s="362"/>
      <c r="F4" s="362"/>
      <c r="G4" s="362"/>
      <c r="H4" s="362"/>
      <c r="I4" s="362"/>
      <c r="J4" s="362"/>
      <c r="K4" s="362"/>
      <c r="L4" s="362"/>
      <c r="M4" s="363"/>
      <c r="N4" s="28"/>
      <c r="O4" s="22"/>
      <c r="P4" s="23"/>
    </row>
    <row r="5" spans="1:16" ht="27" customHeight="1" thickBot="1" x14ac:dyDescent="0.25">
      <c r="A5" s="30"/>
      <c r="B5" s="48"/>
      <c r="C5" s="364" t="s">
        <v>1042</v>
      </c>
      <c r="D5" s="365"/>
      <c r="E5" s="365"/>
      <c r="F5" s="365"/>
      <c r="G5" s="365"/>
      <c r="H5" s="365"/>
      <c r="I5" s="365"/>
      <c r="J5" s="365"/>
      <c r="K5" s="365"/>
      <c r="L5" s="365"/>
      <c r="M5" s="365"/>
      <c r="N5" s="365"/>
      <c r="O5" s="366"/>
    </row>
    <row r="6" spans="1:16" ht="55.5" customHeight="1" x14ac:dyDescent="0.2">
      <c r="A6" s="30"/>
      <c r="B6" s="31"/>
      <c r="C6" s="32" t="s">
        <v>190</v>
      </c>
      <c r="D6" s="367" t="s">
        <v>16</v>
      </c>
      <c r="E6" s="368"/>
      <c r="F6" s="33" t="s">
        <v>193</v>
      </c>
      <c r="G6" s="367" t="s">
        <v>198</v>
      </c>
      <c r="H6" s="369"/>
      <c r="I6" s="33" t="s">
        <v>196</v>
      </c>
      <c r="J6" s="49" t="s">
        <v>14</v>
      </c>
      <c r="K6" s="33" t="s">
        <v>201</v>
      </c>
      <c r="L6" s="373" t="s">
        <v>85</v>
      </c>
      <c r="M6" s="386"/>
      <c r="N6" s="28"/>
    </row>
    <row r="7" spans="1:16" ht="51.75" customHeight="1" x14ac:dyDescent="0.2">
      <c r="A7" s="30"/>
      <c r="B7" s="34"/>
      <c r="C7" s="35" t="s">
        <v>191</v>
      </c>
      <c r="D7" s="343" t="s">
        <v>0</v>
      </c>
      <c r="E7" s="344"/>
      <c r="F7" s="36" t="s">
        <v>194</v>
      </c>
      <c r="G7" s="345" t="s">
        <v>199</v>
      </c>
      <c r="H7" s="345"/>
      <c r="I7" s="36" t="s">
        <v>197</v>
      </c>
      <c r="J7" s="50" t="s">
        <v>19</v>
      </c>
      <c r="K7" s="36" t="s">
        <v>202</v>
      </c>
      <c r="L7" s="387" t="s">
        <v>87</v>
      </c>
      <c r="M7" s="388"/>
      <c r="N7" s="28"/>
    </row>
    <row r="8" spans="1:16" ht="51.75" customHeight="1" thickBot="1" x14ac:dyDescent="0.25">
      <c r="A8" s="25"/>
      <c r="B8" s="28"/>
      <c r="C8" s="37" t="s">
        <v>192</v>
      </c>
      <c r="D8" s="346" t="s">
        <v>18</v>
      </c>
      <c r="E8" s="347"/>
      <c r="F8" s="38" t="s">
        <v>195</v>
      </c>
      <c r="G8" s="348" t="s">
        <v>17</v>
      </c>
      <c r="H8" s="348"/>
      <c r="I8" s="38" t="s">
        <v>200</v>
      </c>
      <c r="J8" s="51" t="s">
        <v>84</v>
      </c>
      <c r="K8" s="38" t="s">
        <v>203</v>
      </c>
      <c r="L8" s="389" t="s">
        <v>86</v>
      </c>
      <c r="M8" s="390"/>
      <c r="N8" s="28"/>
    </row>
    <row r="9" spans="1:16" x14ac:dyDescent="0.2">
      <c r="A9" s="28"/>
      <c r="B9" s="28"/>
      <c r="C9" s="39" t="s">
        <v>700</v>
      </c>
      <c r="D9" s="39" t="s">
        <v>702</v>
      </c>
      <c r="E9" s="39" t="s">
        <v>701</v>
      </c>
      <c r="F9" s="39" t="s">
        <v>704</v>
      </c>
      <c r="G9" s="39" t="s">
        <v>703</v>
      </c>
      <c r="H9" s="39" t="s">
        <v>714</v>
      </c>
      <c r="I9" s="39" t="s">
        <v>713</v>
      </c>
      <c r="J9" s="39"/>
      <c r="K9" s="39"/>
      <c r="L9" s="39"/>
      <c r="M9" s="39"/>
      <c r="N9" s="28"/>
    </row>
    <row r="10" spans="1:16" ht="15.75" customHeight="1" x14ac:dyDescent="0.2">
      <c r="A10" s="25"/>
      <c r="B10" s="26"/>
      <c r="C10" s="349" t="s">
        <v>293</v>
      </c>
      <c r="D10" s="349"/>
      <c r="E10" s="349"/>
      <c r="F10" s="349"/>
      <c r="G10" s="349"/>
      <c r="H10" s="349"/>
      <c r="I10" s="349"/>
      <c r="J10" s="349"/>
      <c r="K10" s="349"/>
      <c r="L10" s="349"/>
      <c r="M10" s="391"/>
      <c r="N10" s="28"/>
    </row>
    <row r="11" spans="1:16" ht="64.5" customHeight="1" x14ac:dyDescent="0.2">
      <c r="A11" s="25"/>
      <c r="B11" s="26"/>
      <c r="C11" s="52" t="s">
        <v>226</v>
      </c>
      <c r="D11" s="52" t="s">
        <v>134</v>
      </c>
      <c r="E11" s="52" t="s">
        <v>227</v>
      </c>
      <c r="F11" s="52" t="s">
        <v>189</v>
      </c>
      <c r="G11" s="52" t="s">
        <v>204</v>
      </c>
      <c r="H11" s="52" t="s">
        <v>206</v>
      </c>
      <c r="I11" s="52" t="s">
        <v>207</v>
      </c>
      <c r="J11" s="393" t="s">
        <v>972</v>
      </c>
      <c r="K11" s="394"/>
      <c r="L11" s="394"/>
      <c r="M11" s="395"/>
      <c r="N11" s="28"/>
    </row>
    <row r="12" spans="1:16" x14ac:dyDescent="0.2">
      <c r="A12" s="25"/>
      <c r="B12" s="41" t="s">
        <v>730</v>
      </c>
      <c r="C12" s="154">
        <f>IF($B12=" ","",IFERROR(INDEX(MMWR_RATING_RO_ROLLUP[],MATCH($B12,MMWR_RATING_RO_ROLLUP[MMWR_RATING_RO_ROLLUP],0),MATCH(C$9,MMWR_RATING_RO_ROLLUP[#Headers],0)),"ERROR"))</f>
        <v>341929</v>
      </c>
      <c r="D12" s="155">
        <f>IF($B12=" ","",IFERROR(INDEX(MMWR_RATING_RO_ROLLUP[],MATCH($B12,MMWR_RATING_RO_ROLLUP[MMWR_RATING_RO_ROLLUP],0),MATCH(D$9,MMWR_RATING_RO_ROLLUP[#Headers],0)),"ERROR"))</f>
        <v>89.626747073199994</v>
      </c>
      <c r="E12" s="156">
        <f>IF($B12=" ","",IFERROR(INDEX(MMWR_RATING_RO_ROLLUP[],MATCH($B12,MMWR_RATING_RO_ROLLUP[MMWR_RATING_RO_ROLLUP],0),MATCH(E$9,MMWR_RATING_RO_ROLLUP[#Headers],0))/$C12,"ERROR"))</f>
        <v>0.22660552336888654</v>
      </c>
      <c r="F12" s="154">
        <f>IF($B12=" ","",IFERROR(INDEX(MMWR_RATING_RO_ROLLUP[],MATCH($B12,MMWR_RATING_RO_ROLLUP[MMWR_RATING_RO_ROLLUP],0),MATCH(F$9,MMWR_RATING_RO_ROLLUP[#Headers],0)),"ERROR"))</f>
        <v>5644</v>
      </c>
      <c r="G12" s="154">
        <f>IF($B12=" ","",IFERROR(INDEX(MMWR_RATING_RO_ROLLUP[],MATCH($B12,MMWR_RATING_RO_ROLLUP[MMWR_RATING_RO_ROLLUP],0),MATCH(G$9,MMWR_RATING_RO_ROLLUP[#Headers],0)),"ERROR"))</f>
        <v>638357</v>
      </c>
      <c r="H12" s="155">
        <f>IF($B12=" ","",IFERROR(INDEX(MMWR_RATING_RO_ROLLUP[],MATCH($B12,MMWR_RATING_RO_ROLLUP[MMWR_RATING_RO_ROLLUP],0),MATCH(H$9,MMWR_RATING_RO_ROLLUP[#Headers],0)),"ERROR"))</f>
        <v>115.62331679659999</v>
      </c>
      <c r="I12" s="155">
        <f>IF($B12=" ","",IFERROR(INDEX(MMWR_RATING_RO_ROLLUP[],MATCH($B12,MMWR_RATING_RO_ROLLUP[MMWR_RATING_RO_ROLLUP],0),MATCH(I$9,MMWR_RATING_RO_ROLLUP[#Headers],0)),"ERROR"))</f>
        <v>125.9668837343</v>
      </c>
      <c r="J12" s="42"/>
      <c r="K12" s="42"/>
      <c r="L12" s="42"/>
      <c r="M12" s="42"/>
      <c r="N12" s="28"/>
    </row>
    <row r="13" spans="1:16" x14ac:dyDescent="0.2">
      <c r="A13" s="25"/>
      <c r="B13" s="341" t="s">
        <v>733</v>
      </c>
      <c r="C13" s="342"/>
      <c r="D13" s="342"/>
      <c r="E13" s="342"/>
      <c r="F13" s="342"/>
      <c r="G13" s="342"/>
      <c r="H13" s="342"/>
      <c r="I13" s="342"/>
      <c r="J13" s="342"/>
      <c r="K13" s="342"/>
      <c r="L13" s="342"/>
      <c r="M13" s="392"/>
      <c r="N13" s="28"/>
    </row>
    <row r="14" spans="1:16" x14ac:dyDescent="0.2">
      <c r="A14" s="25"/>
      <c r="B14" s="41" t="s">
        <v>729</v>
      </c>
      <c r="C14" s="154">
        <f>IF($B14=" ","",IFERROR(INDEX(MMWR_RATING_RO_ROLLUP[],MATCH($B14,MMWR_RATING_RO_ROLLUP[MMWR_RATING_RO_ROLLUP],0),MATCH(C$9,MMWR_RATING_RO_ROLLUP[#Headers],0)),"ERROR"))</f>
        <v>296332</v>
      </c>
      <c r="D14" s="155">
        <f>IF($B14=" ","",IFERROR(INDEX(MMWR_RATING_RO_ROLLUP[],MATCH($B14,MMWR_RATING_RO_ROLLUP[MMWR_RATING_RO_ROLLUP],0),MATCH(D$9,MMWR_RATING_RO_ROLLUP[#Headers],0)),"ERROR"))</f>
        <v>92.045324163399997</v>
      </c>
      <c r="E14" s="156">
        <f>IF($B14=" ","",IFERROR(INDEX(MMWR_RATING_RO_ROLLUP[],MATCH($B14,MMWR_RATING_RO_ROLLUP[MMWR_RATING_RO_ROLLUP],0),MATCH(E$9,MMWR_RATING_RO_ROLLUP[#Headers],0))/$C14,"ERROR"))</f>
        <v>0.23752075374917322</v>
      </c>
      <c r="F14" s="154">
        <f>IF($B14=" ","",IFERROR(INDEX(MMWR_RATING_RO_ROLLUP[],MATCH($B14,MMWR_RATING_RO_ROLLUP[MMWR_RATING_RO_ROLLUP],0),MATCH(F$9,MMWR_RATING_RO_ROLLUP[#Headers],0)),"ERROR"))</f>
        <v>5108</v>
      </c>
      <c r="G14" s="154">
        <f>IF($B14=" ","",IFERROR(INDEX(MMWR_RATING_RO_ROLLUP[],MATCH($B14,MMWR_RATING_RO_ROLLUP[MMWR_RATING_RO_ROLLUP],0),MATCH(G$9,MMWR_RATING_RO_ROLLUP[#Headers],0)),"ERROR"))</f>
        <v>538927</v>
      </c>
      <c r="H14" s="155">
        <f>IF($B14=" ","",IFERROR(INDEX(MMWR_RATING_RO_ROLLUP[],MATCH($B14,MMWR_RATING_RO_ROLLUP[MMWR_RATING_RO_ROLLUP],0),MATCH(H$9,MMWR_RATING_RO_ROLLUP[#Headers],0)),"ERROR"))</f>
        <v>117.9115113547</v>
      </c>
      <c r="I14" s="155">
        <f>IF($B14=" ","",IFERROR(INDEX(MMWR_RATING_RO_ROLLUP[],MATCH($B14,MMWR_RATING_RO_ROLLUP[MMWR_RATING_RO_ROLLUP],0),MATCH(I$9,MMWR_RATING_RO_ROLLUP[#Headers],0)),"ERROR"))</f>
        <v>131.92353509840001</v>
      </c>
      <c r="J14" s="42"/>
      <c r="K14" s="42"/>
      <c r="L14" s="42"/>
      <c r="M14" s="42"/>
      <c r="N14" s="28"/>
    </row>
    <row r="15" spans="1:16" x14ac:dyDescent="0.2">
      <c r="A15" s="25"/>
      <c r="B15" s="247" t="s">
        <v>370</v>
      </c>
      <c r="C15" s="154">
        <f>IF($B15=" ","",IFERROR(INDEX(MMWR_RATING_RO_ROLLUP[],MATCH($B15,MMWR_RATING_RO_ROLLUP[MMWR_RATING_RO_ROLLUP],0),MATCH(C$9,MMWR_RATING_RO_ROLLUP[#Headers],0)),"ERROR"))</f>
        <v>67838</v>
      </c>
      <c r="D15" s="155">
        <f>IF($B15=" ","",IFERROR(INDEX(MMWR_RATING_RO_ROLLUP[],MATCH($B15,MMWR_RATING_RO_ROLLUP[MMWR_RATING_RO_ROLLUP],0),MATCH(D$9,MMWR_RATING_RO_ROLLUP[#Headers],0)),"ERROR"))</f>
        <v>94.265750759200003</v>
      </c>
      <c r="E15" s="156">
        <f>IF($B15=" ","",IFERROR(INDEX(MMWR_RATING_RO_ROLLUP[],MATCH($B15,MMWR_RATING_RO_ROLLUP[MMWR_RATING_RO_ROLLUP],0),MATCH(E$9,MMWR_RATING_RO_ROLLUP[#Headers],0))/$C15,"ERROR"))</f>
        <v>0.24646953035172028</v>
      </c>
      <c r="F15" s="154">
        <f>IF($B15=" ","",IFERROR(INDEX(MMWR_RATING_RO_ROLLUP[],MATCH($B15,MMWR_RATING_RO_ROLLUP[MMWR_RATING_RO_ROLLUP],0),MATCH(F$9,MMWR_RATING_RO_ROLLUP[#Headers],0)),"ERROR"))</f>
        <v>1154</v>
      </c>
      <c r="G15" s="154">
        <f>IF($B15=" ","",IFERROR(INDEX(MMWR_RATING_RO_ROLLUP[],MATCH($B15,MMWR_RATING_RO_ROLLUP[MMWR_RATING_RO_ROLLUP],0),MATCH(G$9,MMWR_RATING_RO_ROLLUP[#Headers],0)),"ERROR"))</f>
        <v>117027</v>
      </c>
      <c r="H15" s="155">
        <f>IF($B15=" ","",IFERROR(INDEX(MMWR_RATING_RO_ROLLUP[],MATCH($B15,MMWR_RATING_RO_ROLLUP[MMWR_RATING_RO_ROLLUP],0),MATCH(H$9,MMWR_RATING_RO_ROLLUP[#Headers],0)),"ERROR"))</f>
        <v>125.6603119584</v>
      </c>
      <c r="I15" s="155">
        <f>IF($B15=" ","",IFERROR(INDEX(MMWR_RATING_RO_ROLLUP[],MATCH($B15,MMWR_RATING_RO_ROLLUP[MMWR_RATING_RO_ROLLUP],0),MATCH(I$9,MMWR_RATING_RO_ROLLUP[#Headers],0)),"ERROR"))</f>
        <v>134.2871986806</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4345</v>
      </c>
      <c r="D16" s="155">
        <f>IF($B16=" ","",IFERROR(INDEX(MMWR_RATING_RO_ROLLUP[],MATCH($B16,MMWR_RATING_RO_ROLLUP[MMWR_RATING_RO_ROLLUP],0),MATCH(D$9,MMWR_RATING_RO_ROLLUP[#Headers],0)),"ERROR"))</f>
        <v>105.2262370541</v>
      </c>
      <c r="E16" s="156">
        <f>IF($B16=" ","",IFERROR(INDEX(MMWR_RATING_RO_ROLLUP[],MATCH($B16,MMWR_RATING_RO_ROLLUP[MMWR_RATING_RO_ROLLUP],0),MATCH(E$9,MMWR_RATING_RO_ROLLUP[#Headers],0))/$C16,"ERROR"))</f>
        <v>0.27065592635212887</v>
      </c>
      <c r="F16" s="154">
        <f>IF($B16=" ","",IFERROR(INDEX(MMWR_RATING_RO_ROLLUP[],MATCH($B16,MMWR_RATING_RO_ROLLUP[MMWR_RATING_RO_ROLLUP],0),MATCH(F$9,MMWR_RATING_RO_ROLLUP[#Headers],0)),"ERROR"))</f>
        <v>113</v>
      </c>
      <c r="G16" s="154">
        <f>IF($B16=" ","",IFERROR(INDEX(MMWR_RATING_RO_ROLLUP[],MATCH($B16,MMWR_RATING_RO_ROLLUP[MMWR_RATING_RO_ROLLUP],0),MATCH(G$9,MMWR_RATING_RO_ROLLUP[#Headers],0)),"ERROR"))</f>
        <v>7480</v>
      </c>
      <c r="H16" s="155">
        <f>IF($B16=" ","",IFERROR(INDEX(MMWR_RATING_RO_ROLLUP[],MATCH($B16,MMWR_RATING_RO_ROLLUP[MMWR_RATING_RO_ROLLUP],0),MATCH(H$9,MMWR_RATING_RO_ROLLUP[#Headers],0)),"ERROR"))</f>
        <v>134.017699115</v>
      </c>
      <c r="I16" s="155">
        <f>IF($B16=" ","",IFERROR(INDEX(MMWR_RATING_RO_ROLLUP[],MATCH($B16,MMWR_RATING_RO_ROLLUP[MMWR_RATING_RO_ROLLUP],0),MATCH(I$9,MMWR_RATING_RO_ROLLUP[#Headers],0)),"ERROR"))</f>
        <v>146.0131016043</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3648</v>
      </c>
      <c r="D17" s="155">
        <f>IF($B17=" ","",IFERROR(INDEX(MMWR_RATING_RO_ROLLUP[],MATCH($B17,MMWR_RATING_RO_ROLLUP[MMWR_RATING_RO_ROLLUP],0),MATCH(D$9,MMWR_RATING_RO_ROLLUP[#Headers],0)),"ERROR"))</f>
        <v>88.265076754399999</v>
      </c>
      <c r="E17" s="156">
        <f>IF($B17=" ","",IFERROR(INDEX(MMWR_RATING_RO_ROLLUP[],MATCH($B17,MMWR_RATING_RO_ROLLUP[MMWR_RATING_RO_ROLLUP],0),MATCH(E$9,MMWR_RATING_RO_ROLLUP[#Headers],0))/$C17,"ERROR"))</f>
        <v>0.21600877192982457</v>
      </c>
      <c r="F17" s="154">
        <f>IF($B17=" ","",IFERROR(INDEX(MMWR_RATING_RO_ROLLUP[],MATCH($B17,MMWR_RATING_RO_ROLLUP[MMWR_RATING_RO_ROLLUP],0),MATCH(F$9,MMWR_RATING_RO_ROLLUP[#Headers],0)),"ERROR"))</f>
        <v>39</v>
      </c>
      <c r="G17" s="154">
        <f>IF($B17=" ","",IFERROR(INDEX(MMWR_RATING_RO_ROLLUP[],MATCH($B17,MMWR_RATING_RO_ROLLUP[MMWR_RATING_RO_ROLLUP],0),MATCH(G$9,MMWR_RATING_RO_ROLLUP[#Headers],0)),"ERROR"))</f>
        <v>5529</v>
      </c>
      <c r="H17" s="155">
        <f>IF($B17=" ","",IFERROR(INDEX(MMWR_RATING_RO_ROLLUP[],MATCH($B17,MMWR_RATING_RO_ROLLUP[MMWR_RATING_RO_ROLLUP],0),MATCH(H$9,MMWR_RATING_RO_ROLLUP[#Headers],0)),"ERROR"))</f>
        <v>131.25641025639999</v>
      </c>
      <c r="I17" s="155">
        <f>IF($B17=" ","",IFERROR(INDEX(MMWR_RATING_RO_ROLLUP[],MATCH($B17,MMWR_RATING_RO_ROLLUP[MMWR_RATING_RO_ROLLUP],0),MATCH(I$9,MMWR_RATING_RO_ROLLUP[#Headers],0)),"ERROR"))</f>
        <v>135.94103816239999</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3811</v>
      </c>
      <c r="D18" s="155">
        <f>IF($B18=" ","",IFERROR(INDEX(MMWR_RATING_RO_ROLLUP[],MATCH($B18,MMWR_RATING_RO_ROLLUP[MMWR_RATING_RO_ROLLUP],0),MATCH(D$9,MMWR_RATING_RO_ROLLUP[#Headers],0)),"ERROR"))</f>
        <v>84.612175282099997</v>
      </c>
      <c r="E18" s="156">
        <f>IF($B18=" ","",IFERROR(INDEX(MMWR_RATING_RO_ROLLUP[],MATCH($B18,MMWR_RATING_RO_ROLLUP[MMWR_RATING_RO_ROLLUP],0),MATCH(E$9,MMWR_RATING_RO_ROLLUP[#Headers],0))/$C18,"ERROR"))</f>
        <v>0.17213329834689059</v>
      </c>
      <c r="F18" s="154">
        <f>IF($B18=" ","",IFERROR(INDEX(MMWR_RATING_RO_ROLLUP[],MATCH($B18,MMWR_RATING_RO_ROLLUP[MMWR_RATING_RO_ROLLUP],0),MATCH(F$9,MMWR_RATING_RO_ROLLUP[#Headers],0)),"ERROR"))</f>
        <v>71</v>
      </c>
      <c r="G18" s="154">
        <f>IF($B18=" ","",IFERROR(INDEX(MMWR_RATING_RO_ROLLUP[],MATCH($B18,MMWR_RATING_RO_ROLLUP[MMWR_RATING_RO_ROLLUP],0),MATCH(G$9,MMWR_RATING_RO_ROLLUP[#Headers],0)),"ERROR"))</f>
        <v>6394</v>
      </c>
      <c r="H18" s="155">
        <f>IF($B18=" ","",IFERROR(INDEX(MMWR_RATING_RO_ROLLUP[],MATCH($B18,MMWR_RATING_RO_ROLLUP[MMWR_RATING_RO_ROLLUP],0),MATCH(H$9,MMWR_RATING_RO_ROLLUP[#Headers],0)),"ERROR"))</f>
        <v>134.8169014085</v>
      </c>
      <c r="I18" s="155">
        <f>IF($B18=" ","",IFERROR(INDEX(MMWR_RATING_RO_ROLLUP[],MATCH($B18,MMWR_RATING_RO_ROLLUP[MMWR_RATING_RO_ROLLUP],0),MATCH(I$9,MMWR_RATING_RO_ROLLUP[#Headers],0)),"ERROR"))</f>
        <v>142.87159837350001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1660</v>
      </c>
      <c r="D19" s="155">
        <f>IF($B19=" ","",IFERROR(INDEX(MMWR_RATING_RO_ROLLUP[],MATCH($B19,MMWR_RATING_RO_ROLLUP[MMWR_RATING_RO_ROLLUP],0),MATCH(D$9,MMWR_RATING_RO_ROLLUP[#Headers],0)),"ERROR"))</f>
        <v>91.819879518099995</v>
      </c>
      <c r="E19" s="156">
        <f>IF($B19=" ","",IFERROR(INDEX(MMWR_RATING_RO_ROLLUP[],MATCH($B19,MMWR_RATING_RO_ROLLUP[MMWR_RATING_RO_ROLLUP],0),MATCH(E$9,MMWR_RATING_RO_ROLLUP[#Headers],0))/$C19,"ERROR"))</f>
        <v>0.24759036144578314</v>
      </c>
      <c r="F19" s="154">
        <f>IF($B19=" ","",IFERROR(INDEX(MMWR_RATING_RO_ROLLUP[],MATCH($B19,MMWR_RATING_RO_ROLLUP[MMWR_RATING_RO_ROLLUP],0),MATCH(F$9,MMWR_RATING_RO_ROLLUP[#Headers],0)),"ERROR"))</f>
        <v>42</v>
      </c>
      <c r="G19" s="154">
        <f>IF($B19=" ","",IFERROR(INDEX(MMWR_RATING_RO_ROLLUP[],MATCH($B19,MMWR_RATING_RO_ROLLUP[MMWR_RATING_RO_ROLLUP],0),MATCH(G$9,MMWR_RATING_RO_ROLLUP[#Headers],0)),"ERROR"))</f>
        <v>3287</v>
      </c>
      <c r="H19" s="155">
        <f>IF($B19=" ","",IFERROR(INDEX(MMWR_RATING_RO_ROLLUP[],MATCH($B19,MMWR_RATING_RO_ROLLUP[MMWR_RATING_RO_ROLLUP],0),MATCH(H$9,MMWR_RATING_RO_ROLLUP[#Headers],0)),"ERROR"))</f>
        <v>118.619047619</v>
      </c>
      <c r="I19" s="155">
        <f>IF($B19=" ","",IFERROR(INDEX(MMWR_RATING_RO_ROLLUP[],MATCH($B19,MMWR_RATING_RO_ROLLUP[MMWR_RATING_RO_ROLLUP],0),MATCH(I$9,MMWR_RATING_RO_ROLLUP[#Headers],0)),"ERROR"))</f>
        <v>115.9692728932</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2535</v>
      </c>
      <c r="D20" s="155">
        <f>IF($B20=" ","",IFERROR(INDEX(MMWR_RATING_RO_ROLLUP[],MATCH($B20,MMWR_RATING_RO_ROLLUP[MMWR_RATING_RO_ROLLUP],0),MATCH(D$9,MMWR_RATING_RO_ROLLUP[#Headers],0)),"ERROR"))</f>
        <v>82.178303747499996</v>
      </c>
      <c r="E20" s="156">
        <f>IF($B20=" ","",IFERROR(INDEX(MMWR_RATING_RO_ROLLUP[],MATCH($B20,MMWR_RATING_RO_ROLLUP[MMWR_RATING_RO_ROLLUP],0),MATCH(E$9,MMWR_RATING_RO_ROLLUP[#Headers],0))/$C20,"ERROR"))</f>
        <v>0.19763313609467456</v>
      </c>
      <c r="F20" s="154">
        <f>IF($B20=" ","",IFERROR(INDEX(MMWR_RATING_RO_ROLLUP[],MATCH($B20,MMWR_RATING_RO_ROLLUP[MMWR_RATING_RO_ROLLUP],0),MATCH(F$9,MMWR_RATING_RO_ROLLUP[#Headers],0)),"ERROR"))</f>
        <v>26</v>
      </c>
      <c r="G20" s="154">
        <f>IF($B20=" ","",IFERROR(INDEX(MMWR_RATING_RO_ROLLUP[],MATCH($B20,MMWR_RATING_RO_ROLLUP[MMWR_RATING_RO_ROLLUP],0),MATCH(G$9,MMWR_RATING_RO_ROLLUP[#Headers],0)),"ERROR"))</f>
        <v>4323</v>
      </c>
      <c r="H20" s="155">
        <f>IF($B20=" ","",IFERROR(INDEX(MMWR_RATING_RO_ROLLUP[],MATCH($B20,MMWR_RATING_RO_ROLLUP[MMWR_RATING_RO_ROLLUP],0),MATCH(H$9,MMWR_RATING_RO_ROLLUP[#Headers],0)),"ERROR"))</f>
        <v>80.461538461499998</v>
      </c>
      <c r="I20" s="155">
        <f>IF($B20=" ","",IFERROR(INDEX(MMWR_RATING_RO_ROLLUP[],MATCH($B20,MMWR_RATING_RO_ROLLUP[MMWR_RATING_RO_ROLLUP],0),MATCH(I$9,MMWR_RATING_RO_ROLLUP[#Headers],0)),"ERROR"))</f>
        <v>120.39278278969999</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1015</v>
      </c>
      <c r="D21" s="155">
        <f>IF($B21=" ","",IFERROR(INDEX(MMWR_RATING_RO_ROLLUP[],MATCH($B21,MMWR_RATING_RO_ROLLUP[MMWR_RATING_RO_ROLLUP],0),MATCH(D$9,MMWR_RATING_RO_ROLLUP[#Headers],0)),"ERROR"))</f>
        <v>78.791133004900004</v>
      </c>
      <c r="E21" s="156">
        <f>IF($B21=" ","",IFERROR(INDEX(MMWR_RATING_RO_ROLLUP[],MATCH($B21,MMWR_RATING_RO_ROLLUP[MMWR_RATING_RO_ROLLUP],0),MATCH(E$9,MMWR_RATING_RO_ROLLUP[#Headers],0))/$C21,"ERROR"))</f>
        <v>0.17241379310344829</v>
      </c>
      <c r="F21" s="154">
        <f>IF($B21=" ","",IFERROR(INDEX(MMWR_RATING_RO_ROLLUP[],MATCH($B21,MMWR_RATING_RO_ROLLUP[MMWR_RATING_RO_ROLLUP],0),MATCH(F$9,MMWR_RATING_RO_ROLLUP[#Headers],0)),"ERROR"))</f>
        <v>23</v>
      </c>
      <c r="G21" s="154">
        <f>IF($B21=" ","",IFERROR(INDEX(MMWR_RATING_RO_ROLLUP[],MATCH($B21,MMWR_RATING_RO_ROLLUP[MMWR_RATING_RO_ROLLUP],0),MATCH(G$9,MMWR_RATING_RO_ROLLUP[#Headers],0)),"ERROR"))</f>
        <v>2030</v>
      </c>
      <c r="H21" s="155">
        <f>IF($B21=" ","",IFERROR(INDEX(MMWR_RATING_RO_ROLLUP[],MATCH($B21,MMWR_RATING_RO_ROLLUP[MMWR_RATING_RO_ROLLUP],0),MATCH(H$9,MMWR_RATING_RO_ROLLUP[#Headers],0)),"ERROR"))</f>
        <v>126</v>
      </c>
      <c r="I21" s="155">
        <f>IF($B21=" ","",IFERROR(INDEX(MMWR_RATING_RO_ROLLUP[],MATCH($B21,MMWR_RATING_RO_ROLLUP[MMWR_RATING_RO_ROLLUP],0),MATCH(I$9,MMWR_RATING_RO_ROLLUP[#Headers],0)),"ERROR"))</f>
        <v>137.29802955669999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4617</v>
      </c>
      <c r="D22" s="155">
        <f>IF($B22=" ","",IFERROR(INDEX(MMWR_RATING_RO_ROLLUP[],MATCH($B22,MMWR_RATING_RO_ROLLUP[MMWR_RATING_RO_ROLLUP],0),MATCH(D$9,MMWR_RATING_RO_ROLLUP[#Headers],0)),"ERROR"))</f>
        <v>102.20706086200001</v>
      </c>
      <c r="E22" s="156">
        <f>IF($B22=" ","",IFERROR(INDEX(MMWR_RATING_RO_ROLLUP[],MATCH($B22,MMWR_RATING_RO_ROLLUP[MMWR_RATING_RO_ROLLUP],0),MATCH(E$9,MMWR_RATING_RO_ROLLUP[#Headers],0))/$C22,"ERROR"))</f>
        <v>0.28914879792072773</v>
      </c>
      <c r="F22" s="154">
        <f>IF($B22=" ","",IFERROR(INDEX(MMWR_RATING_RO_ROLLUP[],MATCH($B22,MMWR_RATING_RO_ROLLUP[MMWR_RATING_RO_ROLLUP],0),MATCH(F$9,MMWR_RATING_RO_ROLLUP[#Headers],0)),"ERROR"))</f>
        <v>97</v>
      </c>
      <c r="G22" s="154">
        <f>IF($B22=" ","",IFERROR(INDEX(MMWR_RATING_RO_ROLLUP[],MATCH($B22,MMWR_RATING_RO_ROLLUP[MMWR_RATING_RO_ROLLUP],0),MATCH(G$9,MMWR_RATING_RO_ROLLUP[#Headers],0)),"ERROR"))</f>
        <v>7332</v>
      </c>
      <c r="H22" s="155">
        <f>IF($B22=" ","",IFERROR(INDEX(MMWR_RATING_RO_ROLLUP[],MATCH($B22,MMWR_RATING_RO_ROLLUP[MMWR_RATING_RO_ROLLUP],0),MATCH(H$9,MMWR_RATING_RO_ROLLUP[#Headers],0)),"ERROR"))</f>
        <v>125.23711340209999</v>
      </c>
      <c r="I22" s="155">
        <f>IF($B22=" ","",IFERROR(INDEX(MMWR_RATING_RO_ROLLUP[],MATCH($B22,MMWR_RATING_RO_ROLLUP[MMWR_RATING_RO_ROLLUP],0),MATCH(I$9,MMWR_RATING_RO_ROLLUP[#Headers],0)),"ERROR"))</f>
        <v>136.089198036</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2916</v>
      </c>
      <c r="D23" s="155">
        <f>IF($B23=" ","",IFERROR(INDEX(MMWR_RATING_RO_ROLLUP[],MATCH($B23,MMWR_RATING_RO_ROLLUP[MMWR_RATING_RO_ROLLUP],0),MATCH(D$9,MMWR_RATING_RO_ROLLUP[#Headers],0)),"ERROR"))</f>
        <v>83.720850480099998</v>
      </c>
      <c r="E23" s="156">
        <f>IF($B23=" ","",IFERROR(INDEX(MMWR_RATING_RO_ROLLUP[],MATCH($B23,MMWR_RATING_RO_ROLLUP[MMWR_RATING_RO_ROLLUP],0),MATCH(E$9,MMWR_RATING_RO_ROLLUP[#Headers],0))/$C23,"ERROR"))</f>
        <v>0.17866941015089163</v>
      </c>
      <c r="F23" s="154">
        <f>IF($B23=" ","",IFERROR(INDEX(MMWR_RATING_RO_ROLLUP[],MATCH($B23,MMWR_RATING_RO_ROLLUP[MMWR_RATING_RO_ROLLUP],0),MATCH(F$9,MMWR_RATING_RO_ROLLUP[#Headers],0)),"ERROR"))</f>
        <v>34</v>
      </c>
      <c r="G23" s="154">
        <f>IF($B23=" ","",IFERROR(INDEX(MMWR_RATING_RO_ROLLUP[],MATCH($B23,MMWR_RATING_RO_ROLLUP[MMWR_RATING_RO_ROLLUP],0),MATCH(G$9,MMWR_RATING_RO_ROLLUP[#Headers],0)),"ERROR"))</f>
        <v>3859</v>
      </c>
      <c r="H23" s="155">
        <f>IF($B23=" ","",IFERROR(INDEX(MMWR_RATING_RO_ROLLUP[],MATCH($B23,MMWR_RATING_RO_ROLLUP[MMWR_RATING_RO_ROLLUP],0),MATCH(H$9,MMWR_RATING_RO_ROLLUP[#Headers],0)),"ERROR"))</f>
        <v>189.23529411760001</v>
      </c>
      <c r="I23" s="155">
        <f>IF($B23=" ","",IFERROR(INDEX(MMWR_RATING_RO_ROLLUP[],MATCH($B23,MMWR_RATING_RO_ROLLUP[MMWR_RATING_RO_ROLLUP],0),MATCH(I$9,MMWR_RATING_RO_ROLLUP[#Headers],0)),"ERROR"))</f>
        <v>143.76677895829999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7106</v>
      </c>
      <c r="D24" s="155">
        <f>IF($B24=" ","",IFERROR(INDEX(MMWR_RATING_RO_ROLLUP[],MATCH($B24,MMWR_RATING_RO_ROLLUP[MMWR_RATING_RO_ROLLUP],0),MATCH(D$9,MMWR_RATING_RO_ROLLUP[#Headers],0)),"ERROR"))</f>
        <v>107.4354066986</v>
      </c>
      <c r="E24" s="156">
        <f>IF($B24=" ","",IFERROR(INDEX(MMWR_RATING_RO_ROLLUP[],MATCH($B24,MMWR_RATING_RO_ROLLUP[MMWR_RATING_RO_ROLLUP],0),MATCH(E$9,MMWR_RATING_RO_ROLLUP[#Headers],0))/$C24,"ERROR"))</f>
        <v>0.29876160990712075</v>
      </c>
      <c r="F24" s="154">
        <f>IF($B24=" ","",IFERROR(INDEX(MMWR_RATING_RO_ROLLUP[],MATCH($B24,MMWR_RATING_RO_ROLLUP[MMWR_RATING_RO_ROLLUP],0),MATCH(F$9,MMWR_RATING_RO_ROLLUP[#Headers],0)),"ERROR"))</f>
        <v>99</v>
      </c>
      <c r="G24" s="154">
        <f>IF($B24=" ","",IFERROR(INDEX(MMWR_RATING_RO_ROLLUP[],MATCH($B24,MMWR_RATING_RO_ROLLUP[MMWR_RATING_RO_ROLLUP],0),MATCH(G$9,MMWR_RATING_RO_ROLLUP[#Headers],0)),"ERROR"))</f>
        <v>12524</v>
      </c>
      <c r="H24" s="155">
        <f>IF($B24=" ","",IFERROR(INDEX(MMWR_RATING_RO_ROLLUP[],MATCH($B24,MMWR_RATING_RO_ROLLUP[MMWR_RATING_RO_ROLLUP],0),MATCH(H$9,MMWR_RATING_RO_ROLLUP[#Headers],0)),"ERROR"))</f>
        <v>134.51515151519999</v>
      </c>
      <c r="I24" s="155">
        <f>IF($B24=" ","",IFERROR(INDEX(MMWR_RATING_RO_ROLLUP[],MATCH($B24,MMWR_RATING_RO_ROLLUP[MMWR_RATING_RO_ROLLUP],0),MATCH(I$9,MMWR_RATING_RO_ROLLUP[#Headers],0)),"ERROR"))</f>
        <v>149.84893005430001</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4711</v>
      </c>
      <c r="D25" s="155">
        <f>IF($B25=" ","",IFERROR(INDEX(MMWR_RATING_RO_ROLLUP[],MATCH($B25,MMWR_RATING_RO_ROLLUP[MMWR_RATING_RO_ROLLUP],0),MATCH(D$9,MMWR_RATING_RO_ROLLUP[#Headers],0)),"ERROR"))</f>
        <v>111.53003608580001</v>
      </c>
      <c r="E25" s="156">
        <f>IF($B25=" ","",IFERROR(INDEX(MMWR_RATING_RO_ROLLUP[],MATCH($B25,MMWR_RATING_RO_ROLLUP[MMWR_RATING_RO_ROLLUP],0),MATCH(E$9,MMWR_RATING_RO_ROLLUP[#Headers],0))/$C25,"ERROR"))</f>
        <v>0.32795584801528338</v>
      </c>
      <c r="F25" s="154">
        <f>IF($B25=" ","",IFERROR(INDEX(MMWR_RATING_RO_ROLLUP[],MATCH($B25,MMWR_RATING_RO_ROLLUP[MMWR_RATING_RO_ROLLUP],0),MATCH(F$9,MMWR_RATING_RO_ROLLUP[#Headers],0)),"ERROR"))</f>
        <v>49</v>
      </c>
      <c r="G25" s="154">
        <f>IF($B25=" ","",IFERROR(INDEX(MMWR_RATING_RO_ROLLUP[],MATCH($B25,MMWR_RATING_RO_ROLLUP[MMWR_RATING_RO_ROLLUP],0),MATCH(G$9,MMWR_RATING_RO_ROLLUP[#Headers],0)),"ERROR"))</f>
        <v>6736</v>
      </c>
      <c r="H25" s="155">
        <f>IF($B25=" ","",IFERROR(INDEX(MMWR_RATING_RO_ROLLUP[],MATCH($B25,MMWR_RATING_RO_ROLLUP[MMWR_RATING_RO_ROLLUP],0),MATCH(H$9,MMWR_RATING_RO_ROLLUP[#Headers],0)),"ERROR"))</f>
        <v>151.6734693878</v>
      </c>
      <c r="I25" s="155">
        <f>IF($B25=" ","",IFERROR(INDEX(MMWR_RATING_RO_ROLLUP[],MATCH($B25,MMWR_RATING_RO_ROLLUP[MMWR_RATING_RO_ROLLUP],0),MATCH(I$9,MMWR_RATING_RO_ROLLUP[#Headers],0)),"ERROR"))</f>
        <v>158.4591745843</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2417</v>
      </c>
      <c r="D26" s="155">
        <f>IF($B26=" ","",IFERROR(INDEX(MMWR_RATING_RO_ROLLUP[],MATCH($B26,MMWR_RATING_RO_ROLLUP[MMWR_RATING_RO_ROLLUP],0),MATCH(D$9,MMWR_RATING_RO_ROLLUP[#Headers],0)),"ERROR"))</f>
        <v>70.109226313600004</v>
      </c>
      <c r="E26" s="156">
        <f>IF($B26=" ","",IFERROR(INDEX(MMWR_RATING_RO_ROLLUP[],MATCH($B26,MMWR_RATING_RO_ROLLUP[MMWR_RATING_RO_ROLLUP],0),MATCH(E$9,MMWR_RATING_RO_ROLLUP[#Headers],0))/$C26,"ERROR"))</f>
        <v>0.16756309474555234</v>
      </c>
      <c r="F26" s="154">
        <f>IF($B26=" ","",IFERROR(INDEX(MMWR_RATING_RO_ROLLUP[],MATCH($B26,MMWR_RATING_RO_ROLLUP[MMWR_RATING_RO_ROLLUP],0),MATCH(F$9,MMWR_RATING_RO_ROLLUP[#Headers],0)),"ERROR"))</f>
        <v>75</v>
      </c>
      <c r="G26" s="154">
        <f>IF($B26=" ","",IFERROR(INDEX(MMWR_RATING_RO_ROLLUP[],MATCH($B26,MMWR_RATING_RO_ROLLUP[MMWR_RATING_RO_ROLLUP],0),MATCH(G$9,MMWR_RATING_RO_ROLLUP[#Headers],0)),"ERROR"))</f>
        <v>10642</v>
      </c>
      <c r="H26" s="155">
        <f>IF($B26=" ","",IFERROR(INDEX(MMWR_RATING_RO_ROLLUP[],MATCH($B26,MMWR_RATING_RO_ROLLUP[MMWR_RATING_RO_ROLLUP],0),MATCH(H$9,MMWR_RATING_RO_ROLLUP[#Headers],0)),"ERROR"))</f>
        <v>42.186666666699999</v>
      </c>
      <c r="I26" s="155">
        <f>IF($B26=" ","",IFERROR(INDEX(MMWR_RATING_RO_ROLLUP[],MATCH($B26,MMWR_RATING_RO_ROLLUP[MMWR_RATING_RO_ROLLUP],0),MATCH(I$9,MMWR_RATING_RO_ROLLUP[#Headers],0)),"ERROR"))</f>
        <v>58.905844766000001</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9919</v>
      </c>
      <c r="D27" s="155">
        <f>IF($B27=" ","",IFERROR(INDEX(MMWR_RATING_RO_ROLLUP[],MATCH($B27,MMWR_RATING_RO_ROLLUP[MMWR_RATING_RO_ROLLUP],0),MATCH(D$9,MMWR_RATING_RO_ROLLUP[#Headers],0)),"ERROR"))</f>
        <v>89.488960580699995</v>
      </c>
      <c r="E27" s="156">
        <f>IF($B27=" ","",IFERROR(INDEX(MMWR_RATING_RO_ROLLUP[],MATCH($B27,MMWR_RATING_RO_ROLLUP[MMWR_RATING_RO_ROLLUP],0),MATCH(E$9,MMWR_RATING_RO_ROLLUP[#Headers],0))/$C27,"ERROR"))</f>
        <v>0.24810968847666096</v>
      </c>
      <c r="F27" s="154">
        <f>IF($B27=" ","",IFERROR(INDEX(MMWR_RATING_RO_ROLLUP[],MATCH($B27,MMWR_RATING_RO_ROLLUP[MMWR_RATING_RO_ROLLUP],0),MATCH(F$9,MMWR_RATING_RO_ROLLUP[#Headers],0)),"ERROR"))</f>
        <v>187</v>
      </c>
      <c r="G27" s="154">
        <f>IF($B27=" ","",IFERROR(INDEX(MMWR_RATING_RO_ROLLUP[],MATCH($B27,MMWR_RATING_RO_ROLLUP[MMWR_RATING_RO_ROLLUP],0),MATCH(G$9,MMWR_RATING_RO_ROLLUP[#Headers],0)),"ERROR"))</f>
        <v>17130</v>
      </c>
      <c r="H27" s="155">
        <f>IF($B27=" ","",IFERROR(INDEX(MMWR_RATING_RO_ROLLUP[],MATCH($B27,MMWR_RATING_RO_ROLLUP[MMWR_RATING_RO_ROLLUP],0),MATCH(H$9,MMWR_RATING_RO_ROLLUP[#Headers],0)),"ERROR"))</f>
        <v>108.8395721925</v>
      </c>
      <c r="I27" s="155">
        <f>IF($B27=" ","",IFERROR(INDEX(MMWR_RATING_RO_ROLLUP[],MATCH($B27,MMWR_RATING_RO_ROLLUP[MMWR_RATING_RO_ROLLUP],0),MATCH(I$9,MMWR_RATING_RO_ROLLUP[#Headers],0)),"ERROR"))</f>
        <v>137.6753064799</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1491</v>
      </c>
      <c r="D28" s="155">
        <f>IF($B28=" ","",IFERROR(INDEX(MMWR_RATING_RO_ROLLUP[],MATCH($B28,MMWR_RATING_RO_ROLLUP[MMWR_RATING_RO_ROLLUP],0),MATCH(D$9,MMWR_RATING_RO_ROLLUP[#Headers],0)),"ERROR"))</f>
        <v>71.819584171700001</v>
      </c>
      <c r="E28" s="156">
        <f>IF($B28=" ","",IFERROR(INDEX(MMWR_RATING_RO_ROLLUP[],MATCH($B28,MMWR_RATING_RO_ROLLUP[MMWR_RATING_RO_ROLLUP],0),MATCH(E$9,MMWR_RATING_RO_ROLLUP[#Headers],0))/$C28,"ERROR"))</f>
        <v>0.11468812877263582</v>
      </c>
      <c r="F28" s="154">
        <f>IF($B28=" ","",IFERROR(INDEX(MMWR_RATING_RO_ROLLUP[],MATCH($B28,MMWR_RATING_RO_ROLLUP[MMWR_RATING_RO_ROLLUP],0),MATCH(F$9,MMWR_RATING_RO_ROLLUP[#Headers],0)),"ERROR"))</f>
        <v>22</v>
      </c>
      <c r="G28" s="154">
        <f>IF($B28=" ","",IFERROR(INDEX(MMWR_RATING_RO_ROLLUP[],MATCH($B28,MMWR_RATING_RO_ROLLUP[MMWR_RATING_RO_ROLLUP],0),MATCH(G$9,MMWR_RATING_RO_ROLLUP[#Headers],0)),"ERROR"))</f>
        <v>2220</v>
      </c>
      <c r="H28" s="155">
        <f>IF($B28=" ","",IFERROR(INDEX(MMWR_RATING_RO_ROLLUP[],MATCH($B28,MMWR_RATING_RO_ROLLUP[MMWR_RATING_RO_ROLLUP],0),MATCH(H$9,MMWR_RATING_RO_ROLLUP[#Headers],0)),"ERROR"))</f>
        <v>136.2727272727</v>
      </c>
      <c r="I28" s="155">
        <f>IF($B28=" ","",IFERROR(INDEX(MMWR_RATING_RO_ROLLUP[],MATCH($B28,MMWR_RATING_RO_ROLLUP[MMWR_RATING_RO_ROLLUP],0),MATCH(I$9,MMWR_RATING_RO_ROLLUP[#Headers],0)),"ERROR"))</f>
        <v>113.42027027029999</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492</v>
      </c>
      <c r="D29" s="155">
        <f>IF($B29=" ","",IFERROR(INDEX(MMWR_RATING_RO_ROLLUP[],MATCH($B29,MMWR_RATING_RO_ROLLUP[MMWR_RATING_RO_ROLLUP],0),MATCH(D$9,MMWR_RATING_RO_ROLLUP[#Headers],0)),"ERROR"))</f>
        <v>96.621951219500005</v>
      </c>
      <c r="E29" s="156">
        <f>IF($B29=" ","",IFERROR(INDEX(MMWR_RATING_RO_ROLLUP[],MATCH($B29,MMWR_RATING_RO_ROLLUP[MMWR_RATING_RO_ROLLUP],0),MATCH(E$9,MMWR_RATING_RO_ROLLUP[#Headers],0))/$C29,"ERROR"))</f>
        <v>0.29878048780487804</v>
      </c>
      <c r="F29" s="154">
        <f>IF($B29=" ","",IFERROR(INDEX(MMWR_RATING_RO_ROLLUP[],MATCH($B29,MMWR_RATING_RO_ROLLUP[MMWR_RATING_RO_ROLLUP],0),MATCH(F$9,MMWR_RATING_RO_ROLLUP[#Headers],0)),"ERROR"))</f>
        <v>8</v>
      </c>
      <c r="G29" s="154">
        <f>IF($B29=" ","",IFERROR(INDEX(MMWR_RATING_RO_ROLLUP[],MATCH($B29,MMWR_RATING_RO_ROLLUP[MMWR_RATING_RO_ROLLUP],0),MATCH(G$9,MMWR_RATING_RO_ROLLUP[#Headers],0)),"ERROR"))</f>
        <v>761</v>
      </c>
      <c r="H29" s="155">
        <f>IF($B29=" ","",IFERROR(INDEX(MMWR_RATING_RO_ROLLUP[],MATCH($B29,MMWR_RATING_RO_ROLLUP[MMWR_RATING_RO_ROLLUP],0),MATCH(H$9,MMWR_RATING_RO_ROLLUP[#Headers],0)),"ERROR"))</f>
        <v>116.875</v>
      </c>
      <c r="I29" s="155">
        <f>IF($B29=" ","",IFERROR(INDEX(MMWR_RATING_RO_ROLLUP[],MATCH($B29,MMWR_RATING_RO_ROLLUP[MMWR_RATING_RO_ROLLUP],0),MATCH(I$9,MMWR_RATING_RO_ROLLUP[#Headers],0)),"ERROR"))</f>
        <v>136.27595269380001</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682</v>
      </c>
      <c r="D30" s="155">
        <f>IF($B30=" ","",IFERROR(INDEX(MMWR_RATING_RO_ROLLUP[],MATCH($B30,MMWR_RATING_RO_ROLLUP[MMWR_RATING_RO_ROLLUP],0),MATCH(D$9,MMWR_RATING_RO_ROLLUP[#Headers],0)),"ERROR"))</f>
        <v>96.932551319599995</v>
      </c>
      <c r="E30" s="156">
        <f>IF($B30=" ","",IFERROR(INDEX(MMWR_RATING_RO_ROLLUP[],MATCH($B30,MMWR_RATING_RO_ROLLUP[MMWR_RATING_RO_ROLLUP],0),MATCH(E$9,MMWR_RATING_RO_ROLLUP[#Headers],0))/$C30,"ERROR"))</f>
        <v>0.24486803519061584</v>
      </c>
      <c r="F30" s="154">
        <f>IF($B30=" ","",IFERROR(INDEX(MMWR_RATING_RO_ROLLUP[],MATCH($B30,MMWR_RATING_RO_ROLLUP[MMWR_RATING_RO_ROLLUP],0),MATCH(F$9,MMWR_RATING_RO_ROLLUP[#Headers],0)),"ERROR"))</f>
        <v>5</v>
      </c>
      <c r="G30" s="154">
        <f>IF($B30=" ","",IFERROR(INDEX(MMWR_RATING_RO_ROLLUP[],MATCH($B30,MMWR_RATING_RO_ROLLUP[MMWR_RATING_RO_ROLLUP],0),MATCH(G$9,MMWR_RATING_RO_ROLLUP[#Headers],0)),"ERROR"))</f>
        <v>1282</v>
      </c>
      <c r="H30" s="155">
        <f>IF($B30=" ","",IFERROR(INDEX(MMWR_RATING_RO_ROLLUP[],MATCH($B30,MMWR_RATING_RO_ROLLUP[MMWR_RATING_RO_ROLLUP],0),MATCH(H$9,MMWR_RATING_RO_ROLLUP[#Headers],0)),"ERROR"))</f>
        <v>163.4</v>
      </c>
      <c r="I30" s="155">
        <f>IF($B30=" ","",IFERROR(INDEX(MMWR_RATING_RO_ROLLUP[],MATCH($B30,MMWR_RATING_RO_ROLLUP[MMWR_RATING_RO_ROLLUP],0),MATCH(I$9,MMWR_RATING_RO_ROLLUP[#Headers],0)),"ERROR"))</f>
        <v>142.0530421217</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16473</v>
      </c>
      <c r="D31" s="155">
        <f>IF($B31=" ","",IFERROR(INDEX(MMWR_RATING_RO_ROLLUP[],MATCH($B31,MMWR_RATING_RO_ROLLUP[MMWR_RATING_RO_ROLLUP],0),MATCH(D$9,MMWR_RATING_RO_ROLLUP[#Headers],0)),"ERROR"))</f>
        <v>95.291082377199999</v>
      </c>
      <c r="E31" s="156">
        <f>IF($B31=" ","",IFERROR(INDEX(MMWR_RATING_RO_ROLLUP[],MATCH($B31,MMWR_RATING_RO_ROLLUP[MMWR_RATING_RO_ROLLUP],0),MATCH(E$9,MMWR_RATING_RO_ROLLUP[#Headers],0))/$C31,"ERROR"))</f>
        <v>0.25119893158501788</v>
      </c>
      <c r="F31" s="154">
        <f>IF($B31=" ","",IFERROR(INDEX(MMWR_RATING_RO_ROLLUP[],MATCH($B31,MMWR_RATING_RO_ROLLUP[MMWR_RATING_RO_ROLLUP],0),MATCH(F$9,MMWR_RATING_RO_ROLLUP[#Headers],0)),"ERROR"))</f>
        <v>264</v>
      </c>
      <c r="G31" s="154">
        <f>IF($B31=" ","",IFERROR(INDEX(MMWR_RATING_RO_ROLLUP[],MATCH($B31,MMWR_RATING_RO_ROLLUP[MMWR_RATING_RO_ROLLUP],0),MATCH(G$9,MMWR_RATING_RO_ROLLUP[#Headers],0)),"ERROR"))</f>
        <v>25498</v>
      </c>
      <c r="H31" s="155">
        <f>IF($B31=" ","",IFERROR(INDEX(MMWR_RATING_RO_ROLLUP[],MATCH($B31,MMWR_RATING_RO_ROLLUP[MMWR_RATING_RO_ROLLUP],0),MATCH(H$9,MMWR_RATING_RO_ROLLUP[#Headers],0)),"ERROR"))</f>
        <v>142.4507575758</v>
      </c>
      <c r="I31" s="155">
        <f>IF($B31=" ","",IFERROR(INDEX(MMWR_RATING_RO_ROLLUP[],MATCH($B31,MMWR_RATING_RO_ROLLUP[MMWR_RATING_RO_ROLLUP],0),MATCH(I$9,MMWR_RATING_RO_ROLLUP[#Headers],0)),"ERROR"))</f>
        <v>147.38375558870001</v>
      </c>
      <c r="J31" s="42"/>
      <c r="K31" s="42"/>
      <c r="L31" s="42"/>
      <c r="M31" s="42"/>
      <c r="N31" s="28"/>
    </row>
    <row r="32" spans="1:14" x14ac:dyDescent="0.2">
      <c r="A32" s="25"/>
      <c r="B32" s="341" t="s">
        <v>734</v>
      </c>
      <c r="C32" s="342"/>
      <c r="D32" s="342"/>
      <c r="E32" s="342"/>
      <c r="F32" s="342"/>
      <c r="G32" s="342"/>
      <c r="H32" s="342"/>
      <c r="I32" s="342"/>
      <c r="J32" s="342"/>
      <c r="K32" s="342"/>
      <c r="L32" s="342"/>
      <c r="M32" s="392"/>
      <c r="N32" s="28"/>
    </row>
    <row r="33" spans="1:14" x14ac:dyDescent="0.2">
      <c r="A33" s="25"/>
      <c r="B33" s="11" t="s">
        <v>697</v>
      </c>
      <c r="C33" s="154">
        <f>IF($B33=" ","",IFERROR(INDEX(MMWR_RATING_RO_ROLLUP[],MATCH($B33,MMWR_RATING_RO_ROLLUP[MMWR_RATING_RO_ROLLUP],0),MATCH(C$9,MMWR_RATING_RO_ROLLUP[#Headers],0)),"ERROR"))</f>
        <v>26621</v>
      </c>
      <c r="D33" s="155">
        <f>IF($B33=" ","",IFERROR(INDEX(MMWR_RATING_RO_ROLLUP[],MATCH($B33,MMWR_RATING_RO_ROLLUP[MMWR_RATING_RO_ROLLUP],0),MATCH(D$9,MMWR_RATING_RO_ROLLUP[#Headers],0)),"ERROR"))</f>
        <v>67.566207129700004</v>
      </c>
      <c r="E33" s="156">
        <f>IF($B33=" ","",IFERROR(INDEX(MMWR_RATING_RO_ROLLUP[],MATCH($B33,MMWR_RATING_RO_ROLLUP[MMWR_RATING_RO_ROLLUP],0),MATCH(E$9,MMWR_RATING_RO_ROLLUP[#Headers],0))/$C33,"ERROR"))</f>
        <v>0.12095713910070996</v>
      </c>
      <c r="F33" s="154">
        <f>IF($B33=" ","",IFERROR(INDEX(MMWR_RATING_RO_ROLLUP[],MATCH($B33,MMWR_RATING_RO_ROLLUP[MMWR_RATING_RO_ROLLUP],0),MATCH(F$9,MMWR_RATING_RO_ROLLUP[#Headers],0)),"ERROR"))</f>
        <v>359</v>
      </c>
      <c r="G33" s="154">
        <f>IF($B33=" ","",IFERROR(INDEX(MMWR_RATING_RO_ROLLUP[],MATCH($B33,MMWR_RATING_RO_ROLLUP[MMWR_RATING_RO_ROLLUP],0),MATCH(G$9,MMWR_RATING_RO_ROLLUP[#Headers],0)),"ERROR"))</f>
        <v>73729</v>
      </c>
      <c r="H33" s="155">
        <f>IF($B33=" ","",IFERROR(INDEX(MMWR_RATING_RO_ROLLUP[],MATCH($B33,MMWR_RATING_RO_ROLLUP[MMWR_RATING_RO_ROLLUP],0),MATCH(H$9,MMWR_RATING_RO_ROLLUP[#Headers],0)),"ERROR"))</f>
        <v>76.281337047400001</v>
      </c>
      <c r="I33" s="155">
        <f>IF($B33=" ","",IFERROR(INDEX(MMWR_RATING_RO_ROLLUP[],MATCH($B33,MMWR_RATING_RO_ROLLUP[MMWR_RATING_RO_ROLLUP],0),MATCH(I$9,MMWR_RATING_RO_ROLLUP[#Headers],0)),"ERROR"))</f>
        <v>76.831111231700007</v>
      </c>
      <c r="J33" s="42"/>
      <c r="K33" s="42"/>
      <c r="L33" s="42"/>
      <c r="M33" s="42"/>
      <c r="N33" s="28"/>
    </row>
    <row r="34" spans="1:14" x14ac:dyDescent="0.2">
      <c r="A34" s="25"/>
      <c r="B34" s="12" t="s">
        <v>210</v>
      </c>
      <c r="C34" s="154">
        <f>IF($B34=" ","",IFERROR(INDEX(MMWR_RATING_RO_ROLLUP[],MATCH($B34,MMWR_RATING_RO_ROLLUP[MMWR_RATING_RO_ROLLUP],0),MATCH(C$9,MMWR_RATING_RO_ROLLUP[#Headers],0)),"ERROR"))</f>
        <v>12866</v>
      </c>
      <c r="D34" s="155">
        <f>IF($B34=" ","",IFERROR(INDEX(MMWR_RATING_RO_ROLLUP[],MATCH($B34,MMWR_RATING_RO_ROLLUP[MMWR_RATING_RO_ROLLUP],0),MATCH(D$9,MMWR_RATING_RO_ROLLUP[#Headers],0)),"ERROR"))</f>
        <v>66.439219648700004</v>
      </c>
      <c r="E34" s="156">
        <f>IF($B34=" ","",IFERROR(INDEX(MMWR_RATING_RO_ROLLUP[],MATCH($B34,MMWR_RATING_RO_ROLLUP[MMWR_RATING_RO_ROLLUP],0),MATCH(E$9,MMWR_RATING_RO_ROLLUP[#Headers],0))/$C34,"ERROR"))</f>
        <v>0.11806311207834602</v>
      </c>
      <c r="F34" s="154">
        <f>IF($B34=" ","",IFERROR(INDEX(MMWR_RATING_RO_ROLLUP[],MATCH($B34,MMWR_RATING_RO_ROLLUP[MMWR_RATING_RO_ROLLUP],0),MATCH(F$9,MMWR_RATING_RO_ROLLUP[#Headers],0)),"ERROR"))</f>
        <v>119</v>
      </c>
      <c r="G34" s="154">
        <f>IF($B34=" ","",IFERROR(INDEX(MMWR_RATING_RO_ROLLUP[],MATCH($B34,MMWR_RATING_RO_ROLLUP[MMWR_RATING_RO_ROLLUP],0),MATCH(G$9,MMWR_RATING_RO_ROLLUP[#Headers],0)),"ERROR"))</f>
        <v>23679</v>
      </c>
      <c r="H34" s="155">
        <f>IF($B34=" ","",IFERROR(INDEX(MMWR_RATING_RO_ROLLUP[],MATCH($B34,MMWR_RATING_RO_ROLLUP[MMWR_RATING_RO_ROLLUP],0),MATCH(H$9,MMWR_RATING_RO_ROLLUP[#Headers],0)),"ERROR"))</f>
        <v>107.1176470588</v>
      </c>
      <c r="I34" s="155">
        <f>IF($B34=" ","",IFERROR(INDEX(MMWR_RATING_RO_ROLLUP[],MATCH($B34,MMWR_RATING_RO_ROLLUP[MMWR_RATING_RO_ROLLUP],0),MATCH(I$9,MMWR_RATING_RO_ROLLUP[#Headers],0)),"ERROR"))</f>
        <v>94.405380294799997</v>
      </c>
      <c r="J34" s="42"/>
      <c r="K34" s="42"/>
      <c r="L34" s="42"/>
      <c r="M34" s="42"/>
      <c r="N34" s="28"/>
    </row>
    <row r="35" spans="1:14" x14ac:dyDescent="0.2">
      <c r="A35" s="43"/>
      <c r="B35" s="12" t="s">
        <v>209</v>
      </c>
      <c r="C35" s="154">
        <f>IF($B35=" ","",IFERROR(INDEX(MMWR_RATING_RO_ROLLUP[],MATCH($B35,MMWR_RATING_RO_ROLLUP[MMWR_RATING_RO_ROLLUP],0),MATCH(C$9,MMWR_RATING_RO_ROLLUP[#Headers],0)),"ERROR"))</f>
        <v>5278</v>
      </c>
      <c r="D35" s="155">
        <f>IF($B35=" ","",IFERROR(INDEX(MMWR_RATING_RO_ROLLUP[],MATCH($B35,MMWR_RATING_RO_ROLLUP[MMWR_RATING_RO_ROLLUP],0),MATCH(D$9,MMWR_RATING_RO_ROLLUP[#Headers],0)),"ERROR"))</f>
        <v>72.507389162600006</v>
      </c>
      <c r="E35" s="156">
        <f>IF($B35=" ","",IFERROR(INDEX(MMWR_RATING_RO_ROLLUP[],MATCH($B35,MMWR_RATING_RO_ROLLUP[MMWR_RATING_RO_ROLLUP],0),MATCH(E$9,MMWR_RATING_RO_ROLLUP[#Headers],0))/$C35,"ERROR"))</f>
        <v>0.14532019704433496</v>
      </c>
      <c r="F35" s="154">
        <f>IF($B35=" ","",IFERROR(INDEX(MMWR_RATING_RO_ROLLUP[],MATCH($B35,MMWR_RATING_RO_ROLLUP[MMWR_RATING_RO_ROLLUP],0),MATCH(F$9,MMWR_RATING_RO_ROLLUP[#Headers],0)),"ERROR"))</f>
        <v>78</v>
      </c>
      <c r="G35" s="154">
        <f>IF($B35=" ","",IFERROR(INDEX(MMWR_RATING_RO_ROLLUP[],MATCH($B35,MMWR_RATING_RO_ROLLUP[MMWR_RATING_RO_ROLLUP],0),MATCH(G$9,MMWR_RATING_RO_ROLLUP[#Headers],0)),"ERROR"))</f>
        <v>21085</v>
      </c>
      <c r="H35" s="155">
        <f>IF($B35=" ","",IFERROR(INDEX(MMWR_RATING_RO_ROLLUP[],MATCH($B35,MMWR_RATING_RO_ROLLUP[MMWR_RATING_RO_ROLLUP],0),MATCH(H$9,MMWR_RATING_RO_ROLLUP[#Headers],0)),"ERROR"))</f>
        <v>62.756410256400002</v>
      </c>
      <c r="I35" s="155">
        <f>IF($B35=" ","",IFERROR(INDEX(MMWR_RATING_RO_ROLLUP[],MATCH($B35,MMWR_RATING_RO_ROLLUP[MMWR_RATING_RO_ROLLUP],0),MATCH(I$9,MMWR_RATING_RO_ROLLUP[#Headers],0)),"ERROR"))</f>
        <v>71.001233104099995</v>
      </c>
      <c r="J35" s="42"/>
      <c r="K35" s="42"/>
      <c r="L35" s="42"/>
      <c r="M35" s="42"/>
      <c r="N35" s="28"/>
    </row>
    <row r="36" spans="1:14" x14ac:dyDescent="0.2">
      <c r="A36" s="25"/>
      <c r="B36" s="12" t="s">
        <v>212</v>
      </c>
      <c r="C36" s="154">
        <f>IF($B36=" ","",IFERROR(INDEX(MMWR_RATING_RO_ROLLUP[],MATCH($B36,MMWR_RATING_RO_ROLLUP[MMWR_RATING_RO_ROLLUP],0),MATCH(C$9,MMWR_RATING_RO_ROLLUP[#Headers],0)),"ERROR"))</f>
        <v>7697</v>
      </c>
      <c r="D36" s="155">
        <f>IF($B36=" ","",IFERROR(INDEX(MMWR_RATING_RO_ROLLUP[],MATCH($B36,MMWR_RATING_RO_ROLLUP[MMWR_RATING_RO_ROLLUP],0),MATCH(D$9,MMWR_RATING_RO_ROLLUP[#Headers],0)),"ERROR"))</f>
        <v>55.074054826599998</v>
      </c>
      <c r="E36" s="156">
        <f>IF($B36=" ","",IFERROR(INDEX(MMWR_RATING_RO_ROLLUP[],MATCH($B36,MMWR_RATING_RO_ROLLUP[MMWR_RATING_RO_ROLLUP],0),MATCH(E$9,MMWR_RATING_RO_ROLLUP[#Headers],0))/$C36,"ERROR"))</f>
        <v>6.898791737040405E-2</v>
      </c>
      <c r="F36" s="154">
        <f>IF($B36=" ","",IFERROR(INDEX(MMWR_RATING_RO_ROLLUP[],MATCH($B36,MMWR_RATING_RO_ROLLUP[MMWR_RATING_RO_ROLLUP],0),MATCH(F$9,MMWR_RATING_RO_ROLLUP[#Headers],0)),"ERROR"))</f>
        <v>154</v>
      </c>
      <c r="G36" s="154">
        <f>IF($B36=" ","",IFERROR(INDEX(MMWR_RATING_RO_ROLLUP[],MATCH($B36,MMWR_RATING_RO_ROLLUP[MMWR_RATING_RO_ROLLUP],0),MATCH(G$9,MMWR_RATING_RO_ROLLUP[#Headers],0)),"ERROR"))</f>
        <v>26313</v>
      </c>
      <c r="H36" s="155">
        <f>IF($B36=" ","",IFERROR(INDEX(MMWR_RATING_RO_ROLLUP[],MATCH($B36,MMWR_RATING_RO_ROLLUP[MMWR_RATING_RO_ROLLUP],0),MATCH(H$9,MMWR_RATING_RO_ROLLUP[#Headers],0)),"ERROR"))</f>
        <v>58.149350649399999</v>
      </c>
      <c r="I36" s="155">
        <f>IF($B36=" ","",IFERROR(INDEX(MMWR_RATING_RO_ROLLUP[],MATCH($B36,MMWR_RATING_RO_ROLLUP[MMWR_RATING_RO_ROLLUP],0),MATCH(I$9,MMWR_RATING_RO_ROLLUP[#Headers],0)),"ERROR"))</f>
        <v>67.842891346499997</v>
      </c>
      <c r="J36" s="42"/>
      <c r="K36" s="42"/>
      <c r="L36" s="42"/>
      <c r="M36" s="42"/>
      <c r="N36" s="28"/>
    </row>
    <row r="37" spans="1:14" x14ac:dyDescent="0.2">
      <c r="A37" s="25"/>
      <c r="B37" s="13" t="s">
        <v>224</v>
      </c>
      <c r="C37" s="154">
        <f>IF($B37=" ","",IFERROR(INDEX(MMWR_RATING_RO_ROLLUP[],MATCH($B37,MMWR_RATING_RO_ROLLUP[MMWR_RATING_RO_ROLLUP],0),MATCH(C$9,MMWR_RATING_RO_ROLLUP[#Headers],0)),"ERROR"))</f>
        <v>780</v>
      </c>
      <c r="D37" s="155">
        <f>IF($B37=" ","",IFERROR(INDEX(MMWR_RATING_RO_ROLLUP[],MATCH($B37,MMWR_RATING_RO_ROLLUP[MMWR_RATING_RO_ROLLUP],0),MATCH(D$9,MMWR_RATING_RO_ROLLUP[#Headers],0)),"ERROR"))</f>
        <v>175.99230769229999</v>
      </c>
      <c r="E37" s="156">
        <f>IF($B37=" ","",IFERROR(INDEX(MMWR_RATING_RO_ROLLUP[],MATCH($B37,MMWR_RATING_RO_ROLLUP[MMWR_RATING_RO_ROLLUP],0),MATCH(E$9,MMWR_RATING_RO_ROLLUP[#Headers],0))/$C37,"ERROR"))</f>
        <v>0.51666666666666672</v>
      </c>
      <c r="F37" s="154">
        <f>IF($B37=" ","",IFERROR(INDEX(MMWR_RATING_RO_ROLLUP[],MATCH($B37,MMWR_RATING_RO_ROLLUP[MMWR_RATING_RO_ROLLUP],0),MATCH(F$9,MMWR_RATING_RO_ROLLUP[#Headers],0)),"ERROR"))</f>
        <v>8</v>
      </c>
      <c r="G37" s="154">
        <f>IF($B37=" ","",IFERROR(INDEX(MMWR_RATING_RO_ROLLUP[],MATCH($B37,MMWR_RATING_RO_ROLLUP[MMWR_RATING_RO_ROLLUP],0),MATCH(G$9,MMWR_RATING_RO_ROLLUP[#Headers],0)),"ERROR"))</f>
        <v>2652</v>
      </c>
      <c r="H37" s="155">
        <f>IF($B37=" ","",IFERROR(INDEX(MMWR_RATING_RO_ROLLUP[],MATCH($B37,MMWR_RATING_RO_ROLLUP[MMWR_RATING_RO_ROLLUP],0),MATCH(H$9,MMWR_RATING_RO_ROLLUP[#Headers],0)),"ERROR"))</f>
        <v>98.5</v>
      </c>
      <c r="I37" s="155">
        <f>IF($B37=" ","",IFERROR(INDEX(MMWR_RATING_RO_ROLLUP[],MATCH($B37,MMWR_RATING_RO_ROLLUP[MMWR_RATING_RO_ROLLUP],0),MATCH(I$9,MMWR_RATING_RO_ROLLUP[#Headers],0)),"ERROR"))</f>
        <v>55.446832579199999</v>
      </c>
      <c r="J37" s="42"/>
      <c r="K37" s="42"/>
      <c r="L37" s="42"/>
      <c r="M37" s="42"/>
      <c r="N37" s="28"/>
    </row>
    <row r="38" spans="1:14" x14ac:dyDescent="0.2">
      <c r="A38" s="25"/>
      <c r="B38" s="341" t="s">
        <v>917</v>
      </c>
      <c r="C38" s="342"/>
      <c r="D38" s="342"/>
      <c r="E38" s="342"/>
      <c r="F38" s="342"/>
      <c r="G38" s="342"/>
      <c r="H38" s="342"/>
      <c r="I38" s="342"/>
      <c r="J38" s="342"/>
      <c r="K38" s="342"/>
      <c r="L38" s="342"/>
      <c r="M38" s="392"/>
      <c r="N38" s="28"/>
    </row>
    <row r="39" spans="1:14" x14ac:dyDescent="0.2">
      <c r="A39" s="25"/>
      <c r="B39" s="44" t="s">
        <v>698</v>
      </c>
      <c r="C39" s="154">
        <f>IF($B39=" ","",IFERROR(INDEX(MMWR_RATING_RO_ROLLUP[],MATCH($B39,MMWR_RATING_RO_ROLLUP[MMWR_RATING_RO_ROLLUP],0),MATCH(C$9,MMWR_RATING_RO_ROLLUP[#Headers],0)),"ERROR"))</f>
        <v>9343</v>
      </c>
      <c r="D39" s="155">
        <f>IF($B39=" ","",IFERROR(INDEX(MMWR_RATING_RO_ROLLUP[],MATCH($B39,MMWR_RATING_RO_ROLLUP[MMWR_RATING_RO_ROLLUP],0),MATCH(D$9,MMWR_RATING_RO_ROLLUP[#Headers],0)),"ERROR"))</f>
        <v>86.319918655699993</v>
      </c>
      <c r="E39" s="156">
        <f>IF($B39=" ","",IFERROR(INDEX(MMWR_RATING_RO_ROLLUP[],MATCH($B39,MMWR_RATING_RO_ROLLUP[MMWR_RATING_RO_ROLLUP],0),MATCH(E$9,MMWR_RATING_RO_ROLLUP[#Headers],0))/$C39,"ERROR"))</f>
        <v>0.22862035748688858</v>
      </c>
      <c r="F39" s="154">
        <f>IF($B39=" ","",IFERROR(INDEX(MMWR_RATING_RO_ROLLUP[],MATCH($B39,MMWR_RATING_RO_ROLLUP[MMWR_RATING_RO_ROLLUP],0),MATCH(F$9,MMWR_RATING_RO_ROLLUP[#Headers],0)),"ERROR"))</f>
        <v>85</v>
      </c>
      <c r="G39" s="154">
        <f>IF($B39=" ","",IFERROR(INDEX(MMWR_RATING_RO_ROLLUP[],MATCH($B39,MMWR_RATING_RO_ROLLUP[MMWR_RATING_RO_ROLLUP],0),MATCH(G$9,MMWR_RATING_RO_ROLLUP[#Headers],0)),"ERROR"))</f>
        <v>11658</v>
      </c>
      <c r="H39" s="155">
        <f>IF($B39=" ","",IFERROR(INDEX(MMWR_RATING_RO_ROLLUP[],MATCH($B39,MMWR_RATING_RO_ROLLUP[MMWR_RATING_RO_ROLLUP],0),MATCH(H$9,MMWR_RATING_RO_ROLLUP[#Headers],0)),"ERROR"))</f>
        <v>132.38823529410001</v>
      </c>
      <c r="I39" s="155">
        <f>IF($B39=" ","",IFERROR(INDEX(MMWR_RATING_RO_ROLLUP[],MATCH($B39,MMWR_RATING_RO_ROLLUP[MMWR_RATING_RO_ROLLUP],0),MATCH(I$9,MMWR_RATING_RO_ROLLUP[#Headers],0)),"ERROR"))</f>
        <v>146.25973580370001</v>
      </c>
      <c r="J39" s="42"/>
      <c r="K39" s="42"/>
      <c r="L39" s="42"/>
      <c r="M39" s="42"/>
      <c r="N39" s="28"/>
    </row>
    <row r="40" spans="1:14" x14ac:dyDescent="0.2">
      <c r="A40" s="25"/>
      <c r="B40" s="53" t="s">
        <v>957</v>
      </c>
      <c r="C40" s="154">
        <f>IF($B40=" ","",IFERROR(INDEX(MMWR_RATING_RO_ROLLUP[],MATCH($B40,MMWR_RATING_RO_ROLLUP[MMWR_RATING_RO_ROLLUP],0),MATCH(C$9,MMWR_RATING_RO_ROLLUP[#Headers],0)),"ERROR"))</f>
        <v>1362</v>
      </c>
      <c r="D40" s="155">
        <f>IF($B40=" ","",IFERROR(INDEX(MMWR_RATING_RO_ROLLUP[],MATCH($B40,MMWR_RATING_RO_ROLLUP[MMWR_RATING_RO_ROLLUP],0),MATCH(D$9,MMWR_RATING_RO_ROLLUP[#Headers],0)),"ERROR"))</f>
        <v>75.730543318599999</v>
      </c>
      <c r="E40" s="156">
        <f>IF($B40=" ","",IFERROR(INDEX(MMWR_RATING_RO_ROLLUP[],MATCH($B40,MMWR_RATING_RO_ROLLUP[MMWR_RATING_RO_ROLLUP],0),MATCH(E$9,MMWR_RATING_RO_ROLLUP[#Headers],0))/$C40,"ERROR"))</f>
        <v>0.16005873715124816</v>
      </c>
      <c r="F40" s="154">
        <f>IF($B40=" ","",IFERROR(INDEX(MMWR_RATING_RO_ROLLUP[],MATCH($B40,MMWR_RATING_RO_ROLLUP[MMWR_RATING_RO_ROLLUP],0),MATCH(F$9,MMWR_RATING_RO_ROLLUP[#Headers],0)),"ERROR"))</f>
        <v>14</v>
      </c>
      <c r="G40" s="154">
        <f>IF($B40=" ","",IFERROR(INDEX(MMWR_RATING_RO_ROLLUP[],MATCH($B40,MMWR_RATING_RO_ROLLUP[MMWR_RATING_RO_ROLLUP],0),MATCH(G$9,MMWR_RATING_RO_ROLLUP[#Headers],0)),"ERROR"))</f>
        <v>2442</v>
      </c>
      <c r="H40" s="155">
        <f>IF($B40=" ","",IFERROR(INDEX(MMWR_RATING_RO_ROLLUP[],MATCH($B40,MMWR_RATING_RO_ROLLUP[MMWR_RATING_RO_ROLLUP],0),MATCH(H$9,MMWR_RATING_RO_ROLLUP[#Headers],0)),"ERROR"))</f>
        <v>132.21428571429999</v>
      </c>
      <c r="I40" s="155">
        <f>IF($B40=" ","",IFERROR(INDEX(MMWR_RATING_RO_ROLLUP[],MATCH($B40,MMWR_RATING_RO_ROLLUP[MMWR_RATING_RO_ROLLUP],0),MATCH(I$9,MMWR_RATING_RO_ROLLUP[#Headers],0)),"ERROR"))</f>
        <v>131.15151515150001</v>
      </c>
      <c r="J40" s="42"/>
      <c r="K40" s="42"/>
      <c r="L40" s="42"/>
      <c r="M40" s="42"/>
      <c r="N40" s="28"/>
    </row>
    <row r="41" spans="1:14" x14ac:dyDescent="0.2">
      <c r="A41" s="25"/>
      <c r="B41" s="53" t="s">
        <v>958</v>
      </c>
      <c r="C41" s="154">
        <f>IF($B41=" ","",IFERROR(INDEX(MMWR_RATING_RO_ROLLUP[],MATCH($B41,MMWR_RATING_RO_ROLLUP[MMWR_RATING_RO_ROLLUP],0),MATCH(C$9,MMWR_RATING_RO_ROLLUP[#Headers],0)),"ERROR"))</f>
        <v>1381</v>
      </c>
      <c r="D41" s="155">
        <f>IF($B41=" ","",IFERROR(INDEX(MMWR_RATING_RO_ROLLUP[],MATCH($B41,MMWR_RATING_RO_ROLLUP[MMWR_RATING_RO_ROLLUP],0),MATCH(D$9,MMWR_RATING_RO_ROLLUP[#Headers],0)),"ERROR"))</f>
        <v>98.064446053599994</v>
      </c>
      <c r="E41" s="156">
        <f>IF($B41=" ","",IFERROR(INDEX(MMWR_RATING_RO_ROLLUP[],MATCH($B41,MMWR_RATING_RO_ROLLUP[MMWR_RATING_RO_ROLLUP],0),MATCH(E$9,MMWR_RATING_RO_ROLLUP[#Headers],0))/$C41,"ERROR"))</f>
        <v>0.30847212165097754</v>
      </c>
      <c r="F41" s="154">
        <f>IF($B41=" ","",IFERROR(INDEX(MMWR_RATING_RO_ROLLUP[],MATCH($B41,MMWR_RATING_RO_ROLLUP[MMWR_RATING_RO_ROLLUP],0),MATCH(F$9,MMWR_RATING_RO_ROLLUP[#Headers],0)),"ERROR"))</f>
        <v>10</v>
      </c>
      <c r="G41" s="154">
        <f>IF($B41=" ","",IFERROR(INDEX(MMWR_RATING_RO_ROLLUP[],MATCH($B41,MMWR_RATING_RO_ROLLUP[MMWR_RATING_RO_ROLLUP],0),MATCH(G$9,MMWR_RATING_RO_ROLLUP[#Headers],0)),"ERROR"))</f>
        <v>1928</v>
      </c>
      <c r="H41" s="155">
        <f>IF($B41=" ","",IFERROR(INDEX(MMWR_RATING_RO_ROLLUP[],MATCH($B41,MMWR_RATING_RO_ROLLUP[MMWR_RATING_RO_ROLLUP],0),MATCH(H$9,MMWR_RATING_RO_ROLLUP[#Headers],0)),"ERROR"))</f>
        <v>185</v>
      </c>
      <c r="I41" s="155">
        <f>IF($B41=" ","",IFERROR(INDEX(MMWR_RATING_RO_ROLLUP[],MATCH($B41,MMWR_RATING_RO_ROLLUP[MMWR_RATING_RO_ROLLUP],0),MATCH(I$9,MMWR_RATING_RO_ROLLUP[#Headers],0)),"ERROR"))</f>
        <v>157.4336099585</v>
      </c>
      <c r="J41" s="42"/>
      <c r="K41" s="42"/>
      <c r="L41" s="42"/>
      <c r="M41" s="42"/>
      <c r="N41" s="28"/>
    </row>
    <row r="42" spans="1:14" x14ac:dyDescent="0.2">
      <c r="A42" s="25"/>
      <c r="B42" s="46" t="s">
        <v>307</v>
      </c>
      <c r="C42" s="154">
        <f>IF($B42=" ","",IFERROR(INDEX(MMWR_RATING_RO_ROLLUP[],MATCH($B42,MMWR_RATING_RO_ROLLUP[MMWR_RATING_RO_ROLLUP],0),MATCH(C$9,MMWR_RATING_RO_ROLLUP[#Headers],0)),"ERROR"))</f>
        <v>6600</v>
      </c>
      <c r="D42" s="155">
        <f>IF($B42=" ","",IFERROR(INDEX(MMWR_RATING_RO_ROLLUP[],MATCH($B42,MMWR_RATING_RO_ROLLUP[MMWR_RATING_RO_ROLLUP],0),MATCH(D$9,MMWR_RATING_RO_ROLLUP[#Headers],0)),"ERROR"))</f>
        <v>86.047727272700001</v>
      </c>
      <c r="E42" s="156">
        <f>IF($B42=" ","",IFERROR(INDEX(MMWR_RATING_RO_ROLLUP[],MATCH($B42,MMWR_RATING_RO_ROLLUP[MMWR_RATING_RO_ROLLUP],0),MATCH(E$9,MMWR_RATING_RO_ROLLUP[#Headers],0))/$C42,"ERROR"))</f>
        <v>0.22606060606060607</v>
      </c>
      <c r="F42" s="154">
        <f>IF($B42=" ","",IFERROR(INDEX(MMWR_RATING_RO_ROLLUP[],MATCH($B42,MMWR_RATING_RO_ROLLUP[MMWR_RATING_RO_ROLLUP],0),MATCH(F$9,MMWR_RATING_RO_ROLLUP[#Headers],0)),"ERROR"))</f>
        <v>61</v>
      </c>
      <c r="G42" s="154">
        <f>IF($B42=" ","",IFERROR(INDEX(MMWR_RATING_RO_ROLLUP[],MATCH($B42,MMWR_RATING_RO_ROLLUP[MMWR_RATING_RO_ROLLUP],0),MATCH(G$9,MMWR_RATING_RO_ROLLUP[#Headers],0)),"ERROR"))</f>
        <v>7288</v>
      </c>
      <c r="H42" s="155">
        <f>IF($B42=" ","",IFERROR(INDEX(MMWR_RATING_RO_ROLLUP[],MATCH($B42,MMWR_RATING_RO_ROLLUP[MMWR_RATING_RO_ROLLUP],0),MATCH(H$9,MMWR_RATING_RO_ROLLUP[#Headers],0)),"ERROR"))</f>
        <v>123.8032786885</v>
      </c>
      <c r="I42" s="155">
        <f>IF($B42=" ","",IFERROR(INDEX(MMWR_RATING_RO_ROLLUP[],MATCH($B42,MMWR_RATING_RO_ROLLUP[MMWR_RATING_RO_ROLLUP],0),MATCH(I$9,MMWR_RATING_RO_ROLLUP[#Headers],0)),"ERROR"))</f>
        <v>148.36608122940001</v>
      </c>
      <c r="J42" s="42"/>
      <c r="K42" s="42"/>
      <c r="L42" s="42"/>
      <c r="M42" s="42"/>
      <c r="N42" s="28"/>
    </row>
    <row r="43" spans="1:14" x14ac:dyDescent="0.2">
      <c r="A43" s="25"/>
      <c r="B43" s="341" t="s">
        <v>735</v>
      </c>
      <c r="C43" s="342"/>
      <c r="D43" s="342"/>
      <c r="E43" s="342"/>
      <c r="F43" s="342"/>
      <c r="G43" s="342"/>
      <c r="H43" s="342"/>
      <c r="I43" s="342"/>
      <c r="J43" s="342"/>
      <c r="K43" s="342"/>
      <c r="L43" s="342"/>
      <c r="M43" s="392"/>
      <c r="N43" s="28"/>
    </row>
    <row r="44" spans="1:14" x14ac:dyDescent="0.2">
      <c r="A44" s="25"/>
      <c r="B44" s="44" t="s">
        <v>696</v>
      </c>
      <c r="C44" s="154">
        <f>IF($B44=" ","",IFERROR(INDEX(MMWR_RATING_RO_ROLLUP[],MATCH($B44,MMWR_RATING_RO_ROLLUP[MMWR_RATING_RO_ROLLUP],0),MATCH(C$9,MMWR_RATING_RO_ROLLUP[#Headers],0)),"ERROR"))</f>
        <v>9633</v>
      </c>
      <c r="D44" s="155">
        <f>IF($B44=" ","",IFERROR(INDEX(MMWR_RATING_RO_ROLLUP[],MATCH($B44,MMWR_RATING_RO_ROLLUP[MMWR_RATING_RO_ROLLUP],0),MATCH(D$9,MMWR_RATING_RO_ROLLUP[#Headers],0)),"ERROR"))</f>
        <v>79.398110661299995</v>
      </c>
      <c r="E44" s="156">
        <f>IF($B44=" ","",IFERROR(INDEX(MMWR_RATING_RO_ROLLUP[],MATCH($B44,MMWR_RATING_RO_ROLLUP[MMWR_RATING_RO_ROLLUP],0),MATCH(E$9,MMWR_RATING_RO_ROLLUP[#Headers],0))/$C44,"ERROR"))</f>
        <v>0.18083670715249664</v>
      </c>
      <c r="F44" s="154">
        <f>IF($B44=" ","",IFERROR(INDEX(MMWR_RATING_RO_ROLLUP[],MATCH($B44,MMWR_RATING_RO_ROLLUP[MMWR_RATING_RO_ROLLUP],0),MATCH(F$9,MMWR_RATING_RO_ROLLUP[#Headers],0)),"ERROR"))</f>
        <v>92</v>
      </c>
      <c r="G44" s="154">
        <f>IF($B44=" ","",IFERROR(INDEX(MMWR_RATING_RO_ROLLUP[],MATCH($B44,MMWR_RATING_RO_ROLLUP[MMWR_RATING_RO_ROLLUP],0),MATCH(G$9,MMWR_RATING_RO_ROLLUP[#Headers],0)),"ERROR"))</f>
        <v>14043</v>
      </c>
      <c r="H44" s="155">
        <f>IF($B44=" ","",IFERROR(INDEX(MMWR_RATING_RO_ROLLUP[],MATCH($B44,MMWR_RATING_RO_ROLLUP[MMWR_RATING_RO_ROLLUP],0),MATCH(H$9,MMWR_RATING_RO_ROLLUP[#Headers],0)),"ERROR"))</f>
        <v>126.6086956522</v>
      </c>
      <c r="I44" s="155">
        <f>IF($B44=" ","",IFERROR(INDEX(MMWR_RATING_RO_ROLLUP[],MATCH($B44,MMWR_RATING_RO_ROLLUP[MMWR_RATING_RO_ROLLUP],0),MATCH(I$9,MMWR_RATING_RO_ROLLUP[#Headers],0)),"ERROR"))</f>
        <v>138.49675995160001</v>
      </c>
      <c r="J44" s="42"/>
      <c r="K44" s="42"/>
      <c r="L44" s="42"/>
      <c r="M44" s="42"/>
      <c r="N44" s="28"/>
    </row>
    <row r="45" spans="1:14" x14ac:dyDescent="0.2">
      <c r="A45" s="25"/>
      <c r="B45" s="45" t="s">
        <v>211</v>
      </c>
      <c r="C45" s="154">
        <f>IF($B45=" ","",IFERROR(INDEX(MMWR_RATING_RO_ROLLUP[],MATCH($B45,MMWR_RATING_RO_ROLLUP[MMWR_RATING_RO_ROLLUP],0),MATCH(C$9,MMWR_RATING_RO_ROLLUP[#Headers],0)),"ERROR"))</f>
        <v>63</v>
      </c>
      <c r="D45" s="155">
        <f>IF($B45=" ","",IFERROR(INDEX(MMWR_RATING_RO_ROLLUP[],MATCH($B45,MMWR_RATING_RO_ROLLUP[MMWR_RATING_RO_ROLLUP],0),MATCH(D$9,MMWR_RATING_RO_ROLLUP[#Headers],0)),"ERROR"))</f>
        <v>79.523809523799997</v>
      </c>
      <c r="E45" s="156">
        <f>IF($B45=" ","",IFERROR(INDEX(MMWR_RATING_RO_ROLLUP[],MATCH($B45,MMWR_RATING_RO_ROLLUP[MMWR_RATING_RO_ROLLUP],0),MATCH(E$9,MMWR_RATING_RO_ROLLUP[#Headers],0))/$C45,"ERROR"))</f>
        <v>0.22222222222222221</v>
      </c>
      <c r="F45" s="154">
        <f>IF($B45=" ","",IFERROR(INDEX(MMWR_RATING_RO_ROLLUP[],MATCH($B45,MMWR_RATING_RO_ROLLUP[MMWR_RATING_RO_ROLLUP],0),MATCH(F$9,MMWR_RATING_RO_ROLLUP[#Headers],0)),"ERROR"))</f>
        <v>0</v>
      </c>
      <c r="G45" s="154">
        <f>IF($B45=" ","",IFERROR(INDEX(MMWR_RATING_RO_ROLLUP[],MATCH($B45,MMWR_RATING_RO_ROLLUP[MMWR_RATING_RO_ROLLUP],0),MATCH(G$9,MMWR_RATING_RO_ROLLUP[#Headers],0)),"ERROR"))</f>
        <v>107</v>
      </c>
      <c r="H45" s="155">
        <f>IF($B45=" ","",IFERROR(INDEX(MMWR_RATING_RO_ROLLUP[],MATCH($B45,MMWR_RATING_RO_ROLLUP[MMWR_RATING_RO_ROLLUP],0),MATCH(H$9,MMWR_RATING_RO_ROLLUP[#Headers],0)),"ERROR"))</f>
        <v>0</v>
      </c>
      <c r="I45" s="155">
        <f>IF($B45=" ","",IFERROR(INDEX(MMWR_RATING_RO_ROLLUP[],MATCH($B45,MMWR_RATING_RO_ROLLUP[MMWR_RATING_RO_ROLLUP],0),MATCH(I$9,MMWR_RATING_RO_ROLLUP[#Headers],0)),"ERROR"))</f>
        <v>132.83177570090001</v>
      </c>
      <c r="J45" s="42"/>
      <c r="K45" s="42"/>
      <c r="L45" s="42"/>
      <c r="M45" s="42"/>
      <c r="N45" s="28"/>
    </row>
    <row r="46" spans="1:14" x14ac:dyDescent="0.2">
      <c r="A46" s="25"/>
      <c r="B46" s="45" t="s">
        <v>213</v>
      </c>
      <c r="C46" s="154">
        <f>IF($B46=" ","",IFERROR(INDEX(MMWR_RATING_RO_ROLLUP[],MATCH($B46,MMWR_RATING_RO_ROLLUP[MMWR_RATING_RO_ROLLUP],0),MATCH(C$9,MMWR_RATING_RO_ROLLUP[#Headers],0)),"ERROR"))</f>
        <v>1433</v>
      </c>
      <c r="D46" s="155">
        <f>IF($B46=" ","",IFERROR(INDEX(MMWR_RATING_RO_ROLLUP[],MATCH($B46,MMWR_RATING_RO_ROLLUP[MMWR_RATING_RO_ROLLUP],0),MATCH(D$9,MMWR_RATING_RO_ROLLUP[#Headers],0)),"ERROR"))</f>
        <v>88.215631542200001</v>
      </c>
      <c r="E46" s="156">
        <f>IF($B46=" ","",IFERROR(INDEX(MMWR_RATING_RO_ROLLUP[],MATCH($B46,MMWR_RATING_RO_ROLLUP[MMWR_RATING_RO_ROLLUP],0),MATCH(E$9,MMWR_RATING_RO_ROLLUP[#Headers],0))/$C46,"ERROR"))</f>
        <v>0.20167480809490579</v>
      </c>
      <c r="F46" s="154">
        <f>IF($B46=" ","",IFERROR(INDEX(MMWR_RATING_RO_ROLLUP[],MATCH($B46,MMWR_RATING_RO_ROLLUP[MMWR_RATING_RO_ROLLUP],0),MATCH(F$9,MMWR_RATING_RO_ROLLUP[#Headers],0)),"ERROR"))</f>
        <v>8</v>
      </c>
      <c r="G46" s="154">
        <f>IF($B46=" ","",IFERROR(INDEX(MMWR_RATING_RO_ROLLUP[],MATCH($B46,MMWR_RATING_RO_ROLLUP[MMWR_RATING_RO_ROLLUP],0),MATCH(G$9,MMWR_RATING_RO_ROLLUP[#Headers],0)),"ERROR"))</f>
        <v>2322</v>
      </c>
      <c r="H46" s="155">
        <f>IF($B46=" ","",IFERROR(INDEX(MMWR_RATING_RO_ROLLUP[],MATCH($B46,MMWR_RATING_RO_ROLLUP[MMWR_RATING_RO_ROLLUP],0),MATCH(H$9,MMWR_RATING_RO_ROLLUP[#Headers],0)),"ERROR"))</f>
        <v>131.25</v>
      </c>
      <c r="I46" s="155">
        <f>IF($B46=" ","",IFERROR(INDEX(MMWR_RATING_RO_ROLLUP[],MATCH($B46,MMWR_RATING_RO_ROLLUP[MMWR_RATING_RO_ROLLUP],0),MATCH(I$9,MMWR_RATING_RO_ROLLUP[#Headers],0)),"ERROR"))</f>
        <v>148.80404823430001</v>
      </c>
      <c r="J46" s="42"/>
      <c r="K46" s="42"/>
      <c r="L46" s="42"/>
      <c r="M46" s="42"/>
      <c r="N46" s="28"/>
    </row>
    <row r="47" spans="1:14" x14ac:dyDescent="0.2">
      <c r="A47" s="25"/>
      <c r="B47" s="47" t="s">
        <v>308</v>
      </c>
      <c r="C47" s="154">
        <f>IF($B47=" ","",IFERROR(INDEX(MMWR_RATING_RO_ROLLUP[],MATCH($B47,MMWR_RATING_RO_ROLLUP[MMWR_RATING_RO_ROLLUP],0),MATCH(C$9,MMWR_RATING_RO_ROLLUP[#Headers],0)),"ERROR"))</f>
        <v>8137</v>
      </c>
      <c r="D47" s="155">
        <f>IF($B47=" ","",IFERROR(INDEX(MMWR_RATING_RO_ROLLUP[],MATCH($B47,MMWR_RATING_RO_ROLLUP[MMWR_RATING_RO_ROLLUP],0),MATCH(D$9,MMWR_RATING_RO_ROLLUP[#Headers],0)),"ERROR"))</f>
        <v>77.844291507899996</v>
      </c>
      <c r="E47" s="156">
        <f>IF($B47=" ","",IFERROR(INDEX(MMWR_RATING_RO_ROLLUP[],MATCH($B47,MMWR_RATING_RO_ROLLUP[MMWR_RATING_RO_ROLLUP],0),MATCH(E$9,MMWR_RATING_RO_ROLLUP[#Headers],0))/$C47,"ERROR"))</f>
        <v>0.17684650362541476</v>
      </c>
      <c r="F47" s="154">
        <f>IF($B47=" ","",IFERROR(INDEX(MMWR_RATING_RO_ROLLUP[],MATCH($B47,MMWR_RATING_RO_ROLLUP[MMWR_RATING_RO_ROLLUP],0),MATCH(F$9,MMWR_RATING_RO_ROLLUP[#Headers],0)),"ERROR"))</f>
        <v>84</v>
      </c>
      <c r="G47" s="154">
        <f>IF($B47=" ","",IFERROR(INDEX(MMWR_RATING_RO_ROLLUP[],MATCH($B47,MMWR_RATING_RO_ROLLUP[MMWR_RATING_RO_ROLLUP],0),MATCH(G$9,MMWR_RATING_RO_ROLLUP[#Headers],0)),"ERROR"))</f>
        <v>11614</v>
      </c>
      <c r="H47" s="155">
        <f>IF($B47=" ","",IFERROR(INDEX(MMWR_RATING_RO_ROLLUP[],MATCH($B47,MMWR_RATING_RO_ROLLUP[MMWR_RATING_RO_ROLLUP],0),MATCH(H$9,MMWR_RATING_RO_ROLLUP[#Headers],0)),"ERROR"))</f>
        <v>126.1666666667</v>
      </c>
      <c r="I47" s="155">
        <f>IF($B47=" ","",IFERROR(INDEX(MMWR_RATING_RO_ROLLUP[],MATCH($B47,MMWR_RATING_RO_ROLLUP[MMWR_RATING_RO_ROLLUP],0),MATCH(I$9,MMWR_RATING_RO_ROLLUP[#Headers],0)),"ERROR"))</f>
        <v>136.48820389190001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5" t="s">
        <v>978</v>
      </c>
      <c r="D2" s="356"/>
      <c r="E2" s="356"/>
      <c r="F2" s="356"/>
      <c r="G2" s="356"/>
      <c r="H2" s="356"/>
      <c r="I2" s="356"/>
      <c r="J2" s="355" t="s">
        <v>300</v>
      </c>
      <c r="K2" s="356"/>
      <c r="L2" s="356"/>
      <c r="M2" s="357"/>
      <c r="N2" s="28"/>
    </row>
    <row r="3" spans="1:15" ht="24" customHeight="1" thickBot="1" x14ac:dyDescent="0.4">
      <c r="A3" s="25"/>
      <c r="B3" s="29"/>
      <c r="C3" s="358"/>
      <c r="D3" s="359"/>
      <c r="E3" s="359"/>
      <c r="F3" s="359"/>
      <c r="G3" s="359"/>
      <c r="H3" s="359"/>
      <c r="I3" s="359"/>
      <c r="J3" s="358" t="str">
        <f>Transformation!B4</f>
        <v>As of: April 02, 2016</v>
      </c>
      <c r="K3" s="359"/>
      <c r="L3" s="359"/>
      <c r="M3" s="360"/>
      <c r="N3" s="28"/>
    </row>
    <row r="4" spans="1:15" ht="51.75" customHeight="1" thickBot="1" x14ac:dyDescent="0.35">
      <c r="A4" s="30"/>
      <c r="B4" s="246" t="s">
        <v>456</v>
      </c>
      <c r="C4" s="361" t="s">
        <v>432</v>
      </c>
      <c r="D4" s="362"/>
      <c r="E4" s="362"/>
      <c r="F4" s="362"/>
      <c r="G4" s="362"/>
      <c r="H4" s="362"/>
      <c r="I4" s="362"/>
      <c r="J4" s="362"/>
      <c r="K4" s="362"/>
      <c r="L4" s="362"/>
      <c r="M4" s="363"/>
      <c r="N4" s="28"/>
    </row>
    <row r="5" spans="1:15" ht="27" customHeight="1" thickBot="1" x14ac:dyDescent="0.25">
      <c r="A5" s="30"/>
      <c r="B5" s="245" t="s">
        <v>370</v>
      </c>
      <c r="C5" s="364" t="s">
        <v>1042</v>
      </c>
      <c r="D5" s="365"/>
      <c r="E5" s="365"/>
      <c r="F5" s="365"/>
      <c r="G5" s="365"/>
      <c r="H5" s="365"/>
      <c r="I5" s="365"/>
      <c r="J5" s="365"/>
      <c r="K5" s="365"/>
      <c r="L5" s="365"/>
      <c r="M5" s="365"/>
      <c r="N5" s="365"/>
      <c r="O5" s="366"/>
    </row>
    <row r="6" spans="1:15" ht="55.5" customHeight="1" x14ac:dyDescent="0.2">
      <c r="A6" s="30"/>
      <c r="B6" s="31"/>
      <c r="C6" s="32" t="s">
        <v>190</v>
      </c>
      <c r="D6" s="367" t="s">
        <v>16</v>
      </c>
      <c r="E6" s="368"/>
      <c r="F6" s="33" t="s">
        <v>193</v>
      </c>
      <c r="G6" s="367" t="s">
        <v>198</v>
      </c>
      <c r="H6" s="369"/>
      <c r="I6" s="33" t="s">
        <v>196</v>
      </c>
      <c r="J6" s="49" t="s">
        <v>14</v>
      </c>
      <c r="K6" s="33" t="s">
        <v>201</v>
      </c>
      <c r="L6" s="373" t="s">
        <v>85</v>
      </c>
      <c r="M6" s="386"/>
      <c r="N6" s="28"/>
    </row>
    <row r="7" spans="1:15" ht="51.75" customHeight="1" x14ac:dyDescent="0.2">
      <c r="A7" s="30"/>
      <c r="B7" s="34"/>
      <c r="C7" s="35" t="s">
        <v>191</v>
      </c>
      <c r="D7" s="343" t="s">
        <v>0</v>
      </c>
      <c r="E7" s="344"/>
      <c r="F7" s="36" t="s">
        <v>194</v>
      </c>
      <c r="G7" s="345" t="s">
        <v>199</v>
      </c>
      <c r="H7" s="345"/>
      <c r="I7" s="36" t="s">
        <v>197</v>
      </c>
      <c r="J7" s="50" t="s">
        <v>19</v>
      </c>
      <c r="K7" s="36" t="s">
        <v>202</v>
      </c>
      <c r="L7" s="387" t="s">
        <v>87</v>
      </c>
      <c r="M7" s="388"/>
      <c r="N7" s="28"/>
    </row>
    <row r="8" spans="1:15" ht="51.75" customHeight="1" thickBot="1" x14ac:dyDescent="0.25">
      <c r="A8" s="25"/>
      <c r="B8" s="28"/>
      <c r="C8" s="37" t="s">
        <v>192</v>
      </c>
      <c r="D8" s="346" t="s">
        <v>18</v>
      </c>
      <c r="E8" s="347"/>
      <c r="F8" s="38" t="s">
        <v>195</v>
      </c>
      <c r="G8" s="348" t="s">
        <v>17</v>
      </c>
      <c r="H8" s="348"/>
      <c r="I8" s="38" t="s">
        <v>200</v>
      </c>
      <c r="J8" s="51" t="s">
        <v>84</v>
      </c>
      <c r="K8" s="38" t="s">
        <v>203</v>
      </c>
      <c r="L8" s="389" t="s">
        <v>86</v>
      </c>
      <c r="M8" s="390"/>
      <c r="N8" s="28"/>
    </row>
    <row r="9" spans="1:15" x14ac:dyDescent="0.2">
      <c r="A9" s="28"/>
      <c r="B9" s="39"/>
      <c r="C9" s="39" t="s">
        <v>715</v>
      </c>
      <c r="D9" s="39" t="s">
        <v>717</v>
      </c>
      <c r="E9" s="39" t="s">
        <v>716</v>
      </c>
      <c r="F9" s="39" t="s">
        <v>719</v>
      </c>
      <c r="G9" s="39" t="s">
        <v>718</v>
      </c>
      <c r="H9" s="39" t="s">
        <v>721</v>
      </c>
      <c r="I9" s="39" t="s">
        <v>720</v>
      </c>
      <c r="J9" s="39"/>
      <c r="K9" s="39"/>
      <c r="L9" s="39"/>
      <c r="M9" s="39"/>
      <c r="N9" s="39"/>
    </row>
    <row r="10" spans="1:15" ht="15.75" customHeight="1" x14ac:dyDescent="0.2">
      <c r="A10" s="25"/>
      <c r="B10" s="26"/>
      <c r="C10" s="349" t="s">
        <v>293</v>
      </c>
      <c r="D10" s="349"/>
      <c r="E10" s="349"/>
      <c r="F10" s="349"/>
      <c r="G10" s="349"/>
      <c r="H10" s="349"/>
      <c r="I10" s="349"/>
      <c r="J10" s="349"/>
      <c r="K10" s="349"/>
      <c r="L10" s="349"/>
      <c r="M10" s="391"/>
      <c r="N10" s="28"/>
    </row>
    <row r="11" spans="1:15" ht="63.75" customHeight="1" x14ac:dyDescent="0.2">
      <c r="A11" s="25"/>
      <c r="B11" s="26"/>
      <c r="C11" s="52" t="s">
        <v>226</v>
      </c>
      <c r="D11" s="52" t="s">
        <v>134</v>
      </c>
      <c r="E11" s="52" t="s">
        <v>227</v>
      </c>
      <c r="F11" s="52" t="s">
        <v>189</v>
      </c>
      <c r="G11" s="52" t="s">
        <v>204</v>
      </c>
      <c r="H11" s="52" t="s">
        <v>206</v>
      </c>
      <c r="I11" s="52" t="s">
        <v>207</v>
      </c>
      <c r="J11" s="393" t="s">
        <v>973</v>
      </c>
      <c r="K11" s="394"/>
      <c r="L11" s="394"/>
      <c r="M11" s="395"/>
      <c r="N11" s="28"/>
    </row>
    <row r="12" spans="1:15" x14ac:dyDescent="0.2">
      <c r="A12" s="25"/>
      <c r="B12" s="41" t="s">
        <v>730</v>
      </c>
      <c r="C12" s="154">
        <f>IF($B12=" ","",IFERROR(INDEX(MMWR_RATING_STATE_ROLLUP_VSC[],MATCH($B12,MMWR_RATING_STATE_ROLLUP_VSC[MMWR_RATING_STATE_ROLLUP_VSC],0),MATCH(C$9,MMWR_RATING_STATE_ROLLUP_VSC[#Headers],0)),"ERROR"))</f>
        <v>341929</v>
      </c>
      <c r="D12" s="155">
        <f>IF($B12=" ","",IFERROR(INDEX(MMWR_RATING_STATE_ROLLUP_VSC[],MATCH($B12,MMWR_RATING_STATE_ROLLUP_VSC[MMWR_RATING_STATE_ROLLUP_VSC],0),MATCH(D$9,MMWR_RATING_STATE_ROLLUP_VSC[#Headers],0)),"ERROR"))</f>
        <v>89.626747073199994</v>
      </c>
      <c r="E12" s="157">
        <f>IF($B12=" ","",IFERROR(INDEX(MMWR_RATING_STATE_ROLLUP_VSC[],MATCH($B12,MMWR_RATING_STATE_ROLLUP_VSC[MMWR_RATING_STATE_ROLLUP_VSC],0),MATCH(E$9,MMWR_RATING_STATE_ROLLUP_VSC[#Headers],0))/$C12,"ERROR"))</f>
        <v>0.22660552336888654</v>
      </c>
      <c r="F12" s="154">
        <f>IF($B12=" ","",IFERROR(INDEX(MMWR_RATING_STATE_ROLLUP_VSC[],MATCH($B12,MMWR_RATING_STATE_ROLLUP_VSC[MMWR_RATING_STATE_ROLLUP_VSC],0),MATCH(F$9,MMWR_RATING_STATE_ROLLUP_VSC[#Headers],0)),"ERROR"))</f>
        <v>5644</v>
      </c>
      <c r="G12" s="154">
        <f>IF($B12=" ","",IFERROR(INDEX(MMWR_RATING_STATE_ROLLUP_VSC[],MATCH($B12,MMWR_RATING_STATE_ROLLUP_VSC[MMWR_RATING_STATE_ROLLUP_VSC],0),MATCH(G$9,MMWR_RATING_STATE_ROLLUP_VSC[#Headers],0)),"ERROR"))</f>
        <v>638357</v>
      </c>
      <c r="H12" s="155">
        <f>IF($B12=" ","",IFERROR(INDEX(MMWR_RATING_STATE_ROLLUP_VSC[],MATCH($B12,MMWR_RATING_STATE_ROLLUP_VSC[MMWR_RATING_STATE_ROLLUP_VSC],0),MATCH(H$9,MMWR_RATING_STATE_ROLLUP_VSC[#Headers],0)),"ERROR"))</f>
        <v>115.62331679659999</v>
      </c>
      <c r="I12" s="155">
        <f>IF($B12=" ","",IFERROR(INDEX(MMWR_RATING_STATE_ROLLUP_VSC[],MATCH($B12,MMWR_RATING_STATE_ROLLUP_VSC[MMWR_RATING_STATE_ROLLUP_VSC],0),MATCH(I$9,MMWR_RATING_STATE_ROLLUP_VSC[#Headers],0)),"ERROR"))</f>
        <v>125.9668837343</v>
      </c>
      <c r="J12" s="42"/>
      <c r="K12" s="42"/>
      <c r="L12" s="42"/>
      <c r="M12" s="42"/>
      <c r="N12" s="28"/>
    </row>
    <row r="13" spans="1:15" x14ac:dyDescent="0.2">
      <c r="A13" s="25"/>
      <c r="B13" s="341" t="s">
        <v>959</v>
      </c>
      <c r="C13" s="342"/>
      <c r="D13" s="342"/>
      <c r="E13" s="342"/>
      <c r="F13" s="342"/>
      <c r="G13" s="342"/>
      <c r="H13" s="342"/>
      <c r="I13" s="342"/>
      <c r="J13" s="342"/>
      <c r="K13" s="342"/>
      <c r="L13" s="342"/>
      <c r="M13" s="392"/>
      <c r="N13" s="28"/>
    </row>
    <row r="14" spans="1:15" x14ac:dyDescent="0.2">
      <c r="A14" s="25"/>
      <c r="B14" s="41" t="s">
        <v>1036</v>
      </c>
      <c r="C14" s="154">
        <f>IF($B14=" ","",IFERROR(INDEX(MMWR_RATING_STATE_ROLLUP_VSC[],MATCH($B14,MMWR_RATING_STATE_ROLLUP_VSC[MMWR_RATING_STATE_ROLLUP_VSC],0),MATCH(C$9,MMWR_RATING_STATE_ROLLUP_VSC[#Headers],0)),"ERROR"))</f>
        <v>296333</v>
      </c>
      <c r="D14" s="155">
        <f>IF($B14=" ","",IFERROR(INDEX(MMWR_RATING_STATE_ROLLUP_VSC[],MATCH($B14,MMWR_RATING_STATE_ROLLUP_VSC[MMWR_RATING_STATE_ROLLUP_VSC],0),MATCH(D$9,MMWR_RATING_STATE_ROLLUP_VSC[#Headers],0)),"ERROR"))</f>
        <v>92.046397127600002</v>
      </c>
      <c r="E14" s="156">
        <f>IF($B14=" ","",IFERROR(INDEX(MMWR_RATING_STATE_ROLLUP_VSC[],MATCH($B14,MMWR_RATING_STATE_ROLLUP_VSC[MMWR_RATING_STATE_ROLLUP_VSC],0),MATCH(E$9,MMWR_RATING_STATE_ROLLUP_VSC[#Headers],0))/$C14,"ERROR"))</f>
        <v>0.2375233267978929</v>
      </c>
      <c r="F14" s="154">
        <f>IF($B14=" ","",IFERROR(INDEX(MMWR_RATING_STATE_ROLLUP_VSC[],MATCH($B14,MMWR_RATING_STATE_ROLLUP_VSC[MMWR_RATING_STATE_ROLLUP_VSC],0),MATCH(F$9,MMWR_RATING_STATE_ROLLUP_VSC[#Headers],0)),"ERROR"))</f>
        <v>5108</v>
      </c>
      <c r="G14" s="154">
        <f>IF($B14=" ","",IFERROR(INDEX(MMWR_RATING_STATE_ROLLUP_VSC[],MATCH($B14,MMWR_RATING_STATE_ROLLUP_VSC[MMWR_RATING_STATE_ROLLUP_VSC],0),MATCH(G$9,MMWR_RATING_STATE_ROLLUP_VSC[#Headers],0)),"ERROR"))</f>
        <v>538927</v>
      </c>
      <c r="H14" s="155">
        <f>IF($B14=" ","",IFERROR(INDEX(MMWR_RATING_STATE_ROLLUP_VSC[],MATCH($B14,MMWR_RATING_STATE_ROLLUP_VSC[MMWR_RATING_STATE_ROLLUP_VSC],0),MATCH(H$9,MMWR_RATING_STATE_ROLLUP_VSC[#Headers],0)),"ERROR"))</f>
        <v>117.9115113547</v>
      </c>
      <c r="I14" s="155">
        <f>IF($B14=" ","",IFERROR(INDEX(MMWR_RATING_STATE_ROLLUP_VSC[],MATCH($B14,MMWR_RATING_STATE_ROLLUP_VSC[MMWR_RATING_STATE_ROLLUP_VSC],0),MATCH(I$9,MMWR_RATING_STATE_ROLLUP_VSC[#Headers],0)),"ERROR"))</f>
        <v>131.92353509840001</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64948</v>
      </c>
      <c r="D15" s="155">
        <f>IF($B15=" ","",IFERROR(INDEX(MMWR_RATING_STATE_ROLLUP_VSC[],MATCH($B15,MMWR_RATING_STATE_ROLLUP_VSC[MMWR_RATING_STATE_ROLLUP_VSC],0),MATCH(D$9,MMWR_RATING_STATE_ROLLUP_VSC[#Headers],0)),"ERROR"))</f>
        <v>93.235018784299996</v>
      </c>
      <c r="E15" s="156">
        <f>IF($B15=" ","",IFERROR(INDEX(MMWR_RATING_STATE_ROLLUP_VSC[],MATCH($B15,MMWR_RATING_STATE_ROLLUP_VSC[MMWR_RATING_STATE_ROLLUP_VSC],0),MATCH(E$9,MMWR_RATING_STATE_ROLLUP_VSC[#Headers],0))/$C15,"ERROR"))</f>
        <v>0.24167025928435057</v>
      </c>
      <c r="F15" s="154">
        <f>IF($B15=" ","",IFERROR(INDEX(MMWR_RATING_STATE_ROLLUP_VSC[],MATCH($B15,MMWR_RATING_STATE_ROLLUP_VSC[MMWR_RATING_STATE_ROLLUP_VSC],0),MATCH(F$9,MMWR_RATING_STATE_ROLLUP_VSC[#Headers],0)),"ERROR"))</f>
        <v>1109</v>
      </c>
      <c r="G15" s="154">
        <f>IF($B15=" ","",IFERROR(INDEX(MMWR_RATING_STATE_ROLLUP_VSC[],MATCH($B15,MMWR_RATING_STATE_ROLLUP_VSC[MMWR_RATING_STATE_ROLLUP_VSC],0),MATCH(G$9,MMWR_RATING_STATE_ROLLUP_VSC[#Headers],0)),"ERROR"))</f>
        <v>111833</v>
      </c>
      <c r="H15" s="155">
        <f>IF($B15=" ","",IFERROR(INDEX(MMWR_RATING_STATE_ROLLUP_VSC[],MATCH($B15,MMWR_RATING_STATE_ROLLUP_VSC[MMWR_RATING_STATE_ROLLUP_VSC],0),MATCH(H$9,MMWR_RATING_STATE_ROLLUP_VSC[#Headers],0)),"ERROR"))</f>
        <v>126.2272317403</v>
      </c>
      <c r="I15" s="155">
        <f>IF($B15=" ","",IFERROR(INDEX(MMWR_RATING_STATE_ROLLUP_VSC[],MATCH($B15,MMWR_RATING_STATE_ROLLUP_VSC[MMWR_RATING_STATE_ROLLUP_VSC],0),MATCH(I$9,MMWR_RATING_STATE_ROLLUP_VSC[#Headers],0)),"ERROR"))</f>
        <v>135.56058587359999</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1599</v>
      </c>
      <c r="D16" s="155">
        <f>IF($B16=" ","",IFERROR(INDEX(MMWR_RATING_STATE_ROLLUP_VSC[],MATCH($B16,MMWR_RATING_STATE_ROLLUP_VSC[MMWR_RATING_STATE_ROLLUP_VSC],0),MATCH(D$9,MMWR_RATING_STATE_ROLLUP_VSC[#Headers],0)),"ERROR"))</f>
        <v>94.350844277700006</v>
      </c>
      <c r="E16" s="156">
        <f>IF($B16=" ","",IFERROR(INDEX(MMWR_RATING_STATE_ROLLUP_VSC[],MATCH($B16,MMWR_RATING_STATE_ROLLUP_VSC[MMWR_RATING_STATE_ROLLUP_VSC],0),MATCH(E$9,MMWR_RATING_STATE_ROLLUP_VSC[#Headers],0))/$C16,"ERROR"))</f>
        <v>0.25891181988742962</v>
      </c>
      <c r="F16" s="154">
        <f>IF($B16=" ","",IFERROR(INDEX(MMWR_RATING_STATE_ROLLUP_VSC[],MATCH($B16,MMWR_RATING_STATE_ROLLUP_VSC[MMWR_RATING_STATE_ROLLUP_VSC],0),MATCH(F$9,MMWR_RATING_STATE_ROLLUP_VSC[#Headers],0)),"ERROR"))</f>
        <v>38</v>
      </c>
      <c r="G16" s="154">
        <f>IF($B16=" ","",IFERROR(INDEX(MMWR_RATING_STATE_ROLLUP_VSC[],MATCH($B16,MMWR_RATING_STATE_ROLLUP_VSC[MMWR_RATING_STATE_ROLLUP_VSC],0),MATCH(G$9,MMWR_RATING_STATE_ROLLUP_VSC[#Headers],0)),"ERROR"))</f>
        <v>3396</v>
      </c>
      <c r="H16" s="155">
        <f>IF($B16=" ","",IFERROR(INDEX(MMWR_RATING_STATE_ROLLUP_VSC[],MATCH($B16,MMWR_RATING_STATE_ROLLUP_VSC[MMWR_RATING_STATE_ROLLUP_VSC],0),MATCH(H$9,MMWR_RATING_STATE_ROLLUP_VSC[#Headers],0)),"ERROR"))</f>
        <v>116.3947368421</v>
      </c>
      <c r="I16" s="155">
        <f>IF($B16=" ","",IFERROR(INDEX(MMWR_RATING_STATE_ROLLUP_VSC[],MATCH($B16,MMWR_RATING_STATE_ROLLUP_VSC[MMWR_RATING_STATE_ROLLUP_VSC],0),MATCH(I$9,MMWR_RATING_STATE_ROLLUP_VSC[#Headers],0)),"ERROR"))</f>
        <v>114.7770906949</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803</v>
      </c>
      <c r="D17" s="155">
        <f>IF($B17=" ","",IFERROR(INDEX(MMWR_RATING_STATE_ROLLUP_VSC[],MATCH($B17,MMWR_RATING_STATE_ROLLUP_VSC[MMWR_RATING_STATE_ROLLUP_VSC],0),MATCH(D$9,MMWR_RATING_STATE_ROLLUP_VSC[#Headers],0)),"ERROR"))</f>
        <v>98.574097135700001</v>
      </c>
      <c r="E17" s="156">
        <f>IF($B17=" ","",IFERROR(INDEX(MMWR_RATING_STATE_ROLLUP_VSC[],MATCH($B17,MMWR_RATING_STATE_ROLLUP_VSC[MMWR_RATING_STATE_ROLLUP_VSC],0),MATCH(E$9,MMWR_RATING_STATE_ROLLUP_VSC[#Headers],0))/$C17,"ERROR"))</f>
        <v>0.24782067247820672</v>
      </c>
      <c r="F17" s="154">
        <f>IF($B17=" ","",IFERROR(INDEX(MMWR_RATING_STATE_ROLLUP_VSC[],MATCH($B17,MMWR_RATING_STATE_ROLLUP_VSC[MMWR_RATING_STATE_ROLLUP_VSC],0),MATCH(F$9,MMWR_RATING_STATE_ROLLUP_VSC[#Headers],0)),"ERROR"))</f>
        <v>6</v>
      </c>
      <c r="G17" s="154">
        <f>IF($B17=" ","",IFERROR(INDEX(MMWR_RATING_STATE_ROLLUP_VSC[],MATCH($B17,MMWR_RATING_STATE_ROLLUP_VSC[MMWR_RATING_STATE_ROLLUP_VSC],0),MATCH(G$9,MMWR_RATING_STATE_ROLLUP_VSC[#Headers],0)),"ERROR"))</f>
        <v>1526</v>
      </c>
      <c r="H17" s="155">
        <f>IF($B17=" ","",IFERROR(INDEX(MMWR_RATING_STATE_ROLLUP_VSC[],MATCH($B17,MMWR_RATING_STATE_ROLLUP_VSC[MMWR_RATING_STATE_ROLLUP_VSC],0),MATCH(H$9,MMWR_RATING_STATE_ROLLUP_VSC[#Headers],0)),"ERROR"))</f>
        <v>141.5</v>
      </c>
      <c r="I17" s="155">
        <f>IF($B17=" ","",IFERROR(INDEX(MMWR_RATING_STATE_ROLLUP_VSC[],MATCH($B17,MMWR_RATING_STATE_ROLLUP_VSC[MMWR_RATING_STATE_ROLLUP_VSC],0),MATCH(I$9,MMWR_RATING_STATE_ROLLUP_VSC[#Headers],0)),"ERROR"))</f>
        <v>140.8571428571</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376</v>
      </c>
      <c r="D18" s="155">
        <f>IF($B18=" ","",IFERROR(INDEX(MMWR_RATING_STATE_ROLLUP_VSC[],MATCH($B18,MMWR_RATING_STATE_ROLLUP_VSC[MMWR_RATING_STATE_ROLLUP_VSC],0),MATCH(D$9,MMWR_RATING_STATE_ROLLUP_VSC[#Headers],0)),"ERROR"))</f>
        <v>89.587765957399995</v>
      </c>
      <c r="E18" s="156">
        <f>IF($B18=" ","",IFERROR(INDEX(MMWR_RATING_STATE_ROLLUP_VSC[],MATCH($B18,MMWR_RATING_STATE_ROLLUP_VSC[MMWR_RATING_STATE_ROLLUP_VSC],0),MATCH(E$9,MMWR_RATING_STATE_ROLLUP_VSC[#Headers],0))/$C18,"ERROR"))</f>
        <v>0.21010638297872342</v>
      </c>
      <c r="F18" s="154">
        <f>IF($B18=" ","",IFERROR(INDEX(MMWR_RATING_STATE_ROLLUP_VSC[],MATCH($B18,MMWR_RATING_STATE_ROLLUP_VSC[MMWR_RATING_STATE_ROLLUP_VSC],0),MATCH(F$9,MMWR_RATING_STATE_ROLLUP_VSC[#Headers],0)),"ERROR"))</f>
        <v>8</v>
      </c>
      <c r="G18" s="154">
        <f>IF($B18=" ","",IFERROR(INDEX(MMWR_RATING_STATE_ROLLUP_VSC[],MATCH($B18,MMWR_RATING_STATE_ROLLUP_VSC[MMWR_RATING_STATE_ROLLUP_VSC],0),MATCH(G$9,MMWR_RATING_STATE_ROLLUP_VSC[#Headers],0)),"ERROR"))</f>
        <v>697</v>
      </c>
      <c r="H18" s="155">
        <f>IF($B18=" ","",IFERROR(INDEX(MMWR_RATING_STATE_ROLLUP_VSC[],MATCH($B18,MMWR_RATING_STATE_ROLLUP_VSC[MMWR_RATING_STATE_ROLLUP_VSC],0),MATCH(H$9,MMWR_RATING_STATE_ROLLUP_VSC[#Headers],0)),"ERROR"))</f>
        <v>84.25</v>
      </c>
      <c r="I18" s="155">
        <f>IF($B18=" ","",IFERROR(INDEX(MMWR_RATING_STATE_ROLLUP_VSC[],MATCH($B18,MMWR_RATING_STATE_ROLLUP_VSC[MMWR_RATING_STATE_ROLLUP_VSC],0),MATCH(I$9,MMWR_RATING_STATE_ROLLUP_VSC[#Headers],0)),"ERROR"))</f>
        <v>145.16929698710001</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1489</v>
      </c>
      <c r="D19" s="155">
        <f>IF($B19=" ","",IFERROR(INDEX(MMWR_RATING_STATE_ROLLUP_VSC[],MATCH($B19,MMWR_RATING_STATE_ROLLUP_VSC[MMWR_RATING_STATE_ROLLUP_VSC],0),MATCH(D$9,MMWR_RATING_STATE_ROLLUP_VSC[#Headers],0)),"ERROR"))</f>
        <v>72.7803895232</v>
      </c>
      <c r="E19" s="156">
        <f>IF($B19=" ","",IFERROR(INDEX(MMWR_RATING_STATE_ROLLUP_VSC[],MATCH($B19,MMWR_RATING_STATE_ROLLUP_VSC[MMWR_RATING_STATE_ROLLUP_VSC],0),MATCH(E$9,MMWR_RATING_STATE_ROLLUP_VSC[#Headers],0))/$C19,"ERROR"))</f>
        <v>0.12088650100738751</v>
      </c>
      <c r="F19" s="154">
        <f>IF($B19=" ","",IFERROR(INDEX(MMWR_RATING_STATE_ROLLUP_VSC[],MATCH($B19,MMWR_RATING_STATE_ROLLUP_VSC[MMWR_RATING_STATE_ROLLUP_VSC],0),MATCH(F$9,MMWR_RATING_STATE_ROLLUP_VSC[#Headers],0)),"ERROR"))</f>
        <v>24</v>
      </c>
      <c r="G19" s="154">
        <f>IF($B19=" ","",IFERROR(INDEX(MMWR_RATING_STATE_ROLLUP_VSC[],MATCH($B19,MMWR_RATING_STATE_ROLLUP_VSC[MMWR_RATING_STATE_ROLLUP_VSC],0),MATCH(G$9,MMWR_RATING_STATE_ROLLUP_VSC[#Headers],0)),"ERROR"))</f>
        <v>2309</v>
      </c>
      <c r="H19" s="155">
        <f>IF($B19=" ","",IFERROR(INDEX(MMWR_RATING_STATE_ROLLUP_VSC[],MATCH($B19,MMWR_RATING_STATE_ROLLUP_VSC[MMWR_RATING_STATE_ROLLUP_VSC],0),MATCH(H$9,MMWR_RATING_STATE_ROLLUP_VSC[#Headers],0)),"ERROR"))</f>
        <v>143</v>
      </c>
      <c r="I19" s="155">
        <f>IF($B19=" ","",IFERROR(INDEX(MMWR_RATING_STATE_ROLLUP_VSC[],MATCH($B19,MMWR_RATING_STATE_ROLLUP_VSC[MMWR_RATING_STATE_ROLLUP_VSC],0),MATCH(I$9,MMWR_RATING_STATE_ROLLUP_VSC[#Headers],0)),"ERROR"))</f>
        <v>113.24166305759999</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4774</v>
      </c>
      <c r="D20" s="155">
        <f>IF($B20=" ","",IFERROR(INDEX(MMWR_RATING_STATE_ROLLUP_VSC[],MATCH($B20,MMWR_RATING_STATE_ROLLUP_VSC[MMWR_RATING_STATE_ROLLUP_VSC],0),MATCH(D$9,MMWR_RATING_STATE_ROLLUP_VSC[#Headers],0)),"ERROR"))</f>
        <v>105.6744868035</v>
      </c>
      <c r="E20" s="156">
        <f>IF($B20=" ","",IFERROR(INDEX(MMWR_RATING_STATE_ROLLUP_VSC[],MATCH($B20,MMWR_RATING_STATE_ROLLUP_VSC[MMWR_RATING_STATE_ROLLUP_VSC],0),MATCH(E$9,MMWR_RATING_STATE_ROLLUP_VSC[#Headers],0))/$C20,"ERROR"))</f>
        <v>0.27586929199832427</v>
      </c>
      <c r="F20" s="154">
        <f>IF($B20=" ","",IFERROR(INDEX(MMWR_RATING_STATE_ROLLUP_VSC[],MATCH($B20,MMWR_RATING_STATE_ROLLUP_VSC[MMWR_RATING_STATE_ROLLUP_VSC],0),MATCH(F$9,MMWR_RATING_STATE_ROLLUP_VSC[#Headers],0)),"ERROR"))</f>
        <v>118</v>
      </c>
      <c r="G20" s="154">
        <f>IF($B20=" ","",IFERROR(INDEX(MMWR_RATING_STATE_ROLLUP_VSC[],MATCH($B20,MMWR_RATING_STATE_ROLLUP_VSC[MMWR_RATING_STATE_ROLLUP_VSC],0),MATCH(G$9,MMWR_RATING_STATE_ROLLUP_VSC[#Headers],0)),"ERROR"))</f>
        <v>8810</v>
      </c>
      <c r="H20" s="155">
        <f>IF($B20=" ","",IFERROR(INDEX(MMWR_RATING_STATE_ROLLUP_VSC[],MATCH($B20,MMWR_RATING_STATE_ROLLUP_VSC[MMWR_RATING_STATE_ROLLUP_VSC],0),MATCH(H$9,MMWR_RATING_STATE_ROLLUP_VSC[#Headers],0)),"ERROR"))</f>
        <v>130.73728813560001</v>
      </c>
      <c r="I20" s="155">
        <f>IF($B20=" ","",IFERROR(INDEX(MMWR_RATING_STATE_ROLLUP_VSC[],MATCH($B20,MMWR_RATING_STATE_ROLLUP_VSC[MMWR_RATING_STATE_ROLLUP_VSC],0),MATCH(I$9,MMWR_RATING_STATE_ROLLUP_VSC[#Headers],0)),"ERROR"))</f>
        <v>138.68569807040001</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4400</v>
      </c>
      <c r="D21" s="155">
        <f>IF($B21=" ","",IFERROR(INDEX(MMWR_RATING_STATE_ROLLUP_VSC[],MATCH($B21,MMWR_RATING_STATE_ROLLUP_VSC[MMWR_RATING_STATE_ROLLUP_VSC],0),MATCH(D$9,MMWR_RATING_STATE_ROLLUP_VSC[#Headers],0)),"ERROR"))</f>
        <v>89.038636363600006</v>
      </c>
      <c r="E21" s="156">
        <f>IF($B21=" ","",IFERROR(INDEX(MMWR_RATING_STATE_ROLLUP_VSC[],MATCH($B21,MMWR_RATING_STATE_ROLLUP_VSC[MMWR_RATING_STATE_ROLLUP_VSC],0),MATCH(E$9,MMWR_RATING_STATE_ROLLUP_VSC[#Headers],0))/$C21,"ERROR"))</f>
        <v>0.21840909090909091</v>
      </c>
      <c r="F21" s="154">
        <f>IF($B21=" ","",IFERROR(INDEX(MMWR_RATING_STATE_ROLLUP_VSC[],MATCH($B21,MMWR_RATING_STATE_ROLLUP_VSC[MMWR_RATING_STATE_ROLLUP_VSC],0),MATCH(F$9,MMWR_RATING_STATE_ROLLUP_VSC[#Headers],0)),"ERROR"))</f>
        <v>45</v>
      </c>
      <c r="G21" s="154">
        <f>IF($B21=" ","",IFERROR(INDEX(MMWR_RATING_STATE_ROLLUP_VSC[],MATCH($B21,MMWR_RATING_STATE_ROLLUP_VSC[MMWR_RATING_STATE_ROLLUP_VSC],0),MATCH(G$9,MMWR_RATING_STATE_ROLLUP_VSC[#Headers],0)),"ERROR"))</f>
        <v>6831</v>
      </c>
      <c r="H21" s="155">
        <f>IF($B21=" ","",IFERROR(INDEX(MMWR_RATING_STATE_ROLLUP_VSC[],MATCH($B21,MMWR_RATING_STATE_ROLLUP_VSC[MMWR_RATING_STATE_ROLLUP_VSC],0),MATCH(H$9,MMWR_RATING_STATE_ROLLUP_VSC[#Headers],0)),"ERROR"))</f>
        <v>141</v>
      </c>
      <c r="I21" s="155">
        <f>IF($B21=" ","",IFERROR(INDEX(MMWR_RATING_STATE_ROLLUP_VSC[],MATCH($B21,MMWR_RATING_STATE_ROLLUP_VSC[MMWR_RATING_STATE_ROLLUP_VSC],0),MATCH(I$9,MMWR_RATING_STATE_ROLLUP_VSC[#Headers],0)),"ERROR"))</f>
        <v>132.53198653199999</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1109</v>
      </c>
      <c r="D22" s="155">
        <f>IF($B22=" ","",IFERROR(INDEX(MMWR_RATING_STATE_ROLLUP_VSC[],MATCH($B22,MMWR_RATING_STATE_ROLLUP_VSC[MMWR_RATING_STATE_ROLLUP_VSC],0),MATCH(D$9,MMWR_RATING_STATE_ROLLUP_VSC[#Headers],0)),"ERROR"))</f>
        <v>81.190261496800005</v>
      </c>
      <c r="E22" s="156">
        <f>IF($B22=" ","",IFERROR(INDEX(MMWR_RATING_STATE_ROLLUP_VSC[],MATCH($B22,MMWR_RATING_STATE_ROLLUP_VSC[MMWR_RATING_STATE_ROLLUP_VSC],0),MATCH(E$9,MMWR_RATING_STATE_ROLLUP_VSC[#Headers],0))/$C22,"ERROR"))</f>
        <v>0.1812443642921551</v>
      </c>
      <c r="F22" s="154">
        <f>IF($B22=" ","",IFERROR(INDEX(MMWR_RATING_STATE_ROLLUP_VSC[],MATCH($B22,MMWR_RATING_STATE_ROLLUP_VSC[MMWR_RATING_STATE_ROLLUP_VSC],0),MATCH(F$9,MMWR_RATING_STATE_ROLLUP_VSC[#Headers],0)),"ERROR"))</f>
        <v>23</v>
      </c>
      <c r="G22" s="154">
        <f>IF($B22=" ","",IFERROR(INDEX(MMWR_RATING_STATE_ROLLUP_VSC[],MATCH($B22,MMWR_RATING_STATE_ROLLUP_VSC[MMWR_RATING_STATE_ROLLUP_VSC],0),MATCH(G$9,MMWR_RATING_STATE_ROLLUP_VSC[#Headers],0)),"ERROR"))</f>
        <v>2133</v>
      </c>
      <c r="H22" s="155">
        <f>IF($B22=" ","",IFERROR(INDEX(MMWR_RATING_STATE_ROLLUP_VSC[],MATCH($B22,MMWR_RATING_STATE_ROLLUP_VSC[MMWR_RATING_STATE_ROLLUP_VSC],0),MATCH(H$9,MMWR_RATING_STATE_ROLLUP_VSC[#Headers],0)),"ERROR"))</f>
        <v>123.652173913</v>
      </c>
      <c r="I22" s="155">
        <f>IF($B22=" ","",IFERROR(INDEX(MMWR_RATING_STATE_ROLLUP_VSC[],MATCH($B22,MMWR_RATING_STATE_ROLLUP_VSC[MMWR_RATING_STATE_ROLLUP_VSC],0),MATCH(I$9,MMWR_RATING_STATE_ROLLUP_VSC[#Headers],0)),"ERROR"))</f>
        <v>135.6300984529</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4011</v>
      </c>
      <c r="D23" s="155">
        <f>IF($B23=" ","",IFERROR(INDEX(MMWR_RATING_STATE_ROLLUP_VSC[],MATCH($B23,MMWR_RATING_STATE_ROLLUP_VSC[MMWR_RATING_STATE_ROLLUP_VSC],0),MATCH(D$9,MMWR_RATING_STATE_ROLLUP_VSC[#Headers],0)),"ERROR"))</f>
        <v>92.053103964100004</v>
      </c>
      <c r="E23" s="156">
        <f>IF($B23=" ","",IFERROR(INDEX(MMWR_RATING_STATE_ROLLUP_VSC[],MATCH($B23,MMWR_RATING_STATE_ROLLUP_VSC[MMWR_RATING_STATE_ROLLUP_VSC],0),MATCH(E$9,MMWR_RATING_STATE_ROLLUP_VSC[#Headers],0))/$C23,"ERROR"))</f>
        <v>0.2181500872600349</v>
      </c>
      <c r="F23" s="154">
        <f>IF($B23=" ","",IFERROR(INDEX(MMWR_RATING_STATE_ROLLUP_VSC[],MATCH($B23,MMWR_RATING_STATE_ROLLUP_VSC[MMWR_RATING_STATE_ROLLUP_VSC],0),MATCH(F$9,MMWR_RATING_STATE_ROLLUP_VSC[#Headers],0)),"ERROR"))</f>
        <v>48</v>
      </c>
      <c r="G23" s="154">
        <f>IF($B23=" ","",IFERROR(INDEX(MMWR_RATING_STATE_ROLLUP_VSC[],MATCH($B23,MMWR_RATING_STATE_ROLLUP_VSC[MMWR_RATING_STATE_ROLLUP_VSC],0),MATCH(G$9,MMWR_RATING_STATE_ROLLUP_VSC[#Headers],0)),"ERROR"))</f>
        <v>6332</v>
      </c>
      <c r="H23" s="155">
        <f>IF($B23=" ","",IFERROR(INDEX(MMWR_RATING_STATE_ROLLUP_VSC[],MATCH($B23,MMWR_RATING_STATE_ROLLUP_VSC[MMWR_RATING_STATE_ROLLUP_VSC],0),MATCH(H$9,MMWR_RATING_STATE_ROLLUP_VSC[#Headers],0)),"ERROR"))</f>
        <v>174.875</v>
      </c>
      <c r="I23" s="155">
        <f>IF($B23=" ","",IFERROR(INDEX(MMWR_RATING_STATE_ROLLUP_VSC[],MATCH($B23,MMWR_RATING_STATE_ROLLUP_VSC[MMWR_RATING_STATE_ROLLUP_VSC],0),MATCH(I$9,MMWR_RATING_STATE_ROLLUP_VSC[#Headers],0)),"ERROR"))</f>
        <v>141.0979153506</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8289</v>
      </c>
      <c r="D24" s="155">
        <f>IF($B24=" ","",IFERROR(INDEX(MMWR_RATING_STATE_ROLLUP_VSC[],MATCH($B24,MMWR_RATING_STATE_ROLLUP_VSC[MMWR_RATING_STATE_ROLLUP_VSC],0),MATCH(D$9,MMWR_RATING_STATE_ROLLUP_VSC[#Headers],0)),"ERROR"))</f>
        <v>93.5653275425</v>
      </c>
      <c r="E24" s="156">
        <f>IF($B24=" ","",IFERROR(INDEX(MMWR_RATING_STATE_ROLLUP_VSC[],MATCH($B24,MMWR_RATING_STATE_ROLLUP_VSC[MMWR_RATING_STATE_ROLLUP_VSC],0),MATCH(E$9,MMWR_RATING_STATE_ROLLUP_VSC[#Headers],0))/$C24,"ERROR"))</f>
        <v>0.23392447822415249</v>
      </c>
      <c r="F24" s="154">
        <f>IF($B24=" ","",IFERROR(INDEX(MMWR_RATING_STATE_ROLLUP_VSC[],MATCH($B24,MMWR_RATING_STATE_ROLLUP_VSC[MMWR_RATING_STATE_ROLLUP_VSC],0),MATCH(F$9,MMWR_RATING_STATE_ROLLUP_VSC[#Headers],0)),"ERROR"))</f>
        <v>171</v>
      </c>
      <c r="G24" s="154">
        <f>IF($B24=" ","",IFERROR(INDEX(MMWR_RATING_STATE_ROLLUP_VSC[],MATCH($B24,MMWR_RATING_STATE_ROLLUP_VSC[MMWR_RATING_STATE_ROLLUP_VSC],0),MATCH(G$9,MMWR_RATING_STATE_ROLLUP_VSC[#Headers],0)),"ERROR"))</f>
        <v>14322</v>
      </c>
      <c r="H24" s="155">
        <f>IF($B24=" ","",IFERROR(INDEX(MMWR_RATING_STATE_ROLLUP_VSC[],MATCH($B24,MMWR_RATING_STATE_ROLLUP_VSC[MMWR_RATING_STATE_ROLLUP_VSC],0),MATCH(H$9,MMWR_RATING_STATE_ROLLUP_VSC[#Headers],0)),"ERROR"))</f>
        <v>125.3216374269</v>
      </c>
      <c r="I24" s="155">
        <f>IF($B24=" ","",IFERROR(INDEX(MMWR_RATING_STATE_ROLLUP_VSC[],MATCH($B24,MMWR_RATING_STATE_ROLLUP_VSC[MMWR_RATING_STATE_ROLLUP_VSC],0),MATCH(I$9,MMWR_RATING_STATE_ROLLUP_VSC[#Headers],0)),"ERROR"))</f>
        <v>133.38500209470001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15938</v>
      </c>
      <c r="D25" s="155">
        <f>IF($B25=" ","",IFERROR(INDEX(MMWR_RATING_STATE_ROLLUP_VSC[],MATCH($B25,MMWR_RATING_STATE_ROLLUP_VSC[MMWR_RATING_STATE_ROLLUP_VSC],0),MATCH(D$9,MMWR_RATING_STATE_ROLLUP_VSC[#Headers],0)),"ERROR"))</f>
        <v>94.371753042999998</v>
      </c>
      <c r="E25" s="156">
        <f>IF($B25=" ","",IFERROR(INDEX(MMWR_RATING_STATE_ROLLUP_VSC[],MATCH($B25,MMWR_RATING_STATE_ROLLUP_VSC[MMWR_RATING_STATE_ROLLUP_VSC],0),MATCH(E$9,MMWR_RATING_STATE_ROLLUP_VSC[#Headers],0))/$C25,"ERROR"))</f>
        <v>0.25141172041661436</v>
      </c>
      <c r="F25" s="154">
        <f>IF($B25=" ","",IFERROR(INDEX(MMWR_RATING_STATE_ROLLUP_VSC[],MATCH($B25,MMWR_RATING_STATE_ROLLUP_VSC[MMWR_RATING_STATE_ROLLUP_VSC],0),MATCH(F$9,MMWR_RATING_STATE_ROLLUP_VSC[#Headers],0)),"ERROR"))</f>
        <v>280</v>
      </c>
      <c r="G25" s="154">
        <f>IF($B25=" ","",IFERROR(INDEX(MMWR_RATING_STATE_ROLLUP_VSC[],MATCH($B25,MMWR_RATING_STATE_ROLLUP_VSC[MMWR_RATING_STATE_ROLLUP_VSC],0),MATCH(G$9,MMWR_RATING_STATE_ROLLUP_VSC[#Headers],0)),"ERROR"))</f>
        <v>25630</v>
      </c>
      <c r="H25" s="155">
        <f>IF($B25=" ","",IFERROR(INDEX(MMWR_RATING_STATE_ROLLUP_VSC[],MATCH($B25,MMWR_RATING_STATE_ROLLUP_VSC[MMWR_RATING_STATE_ROLLUP_VSC],0),MATCH(H$9,MMWR_RATING_STATE_ROLLUP_VSC[#Headers],0)),"ERROR"))</f>
        <v>134.03571428570001</v>
      </c>
      <c r="I25" s="155">
        <f>IF($B25=" ","",IFERROR(INDEX(MMWR_RATING_STATE_ROLLUP_VSC[],MATCH($B25,MMWR_RATING_STATE_ROLLUP_VSC[MMWR_RATING_STATE_ROLLUP_VSC],0),MATCH(I$9,MMWR_RATING_STATE_ROLLUP_VSC[#Headers],0)),"ERROR"))</f>
        <v>140.5097151775</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8438</v>
      </c>
      <c r="D26" s="155">
        <f>IF($B26=" ","",IFERROR(INDEX(MMWR_RATING_STATE_ROLLUP_VSC[],MATCH($B26,MMWR_RATING_STATE_ROLLUP_VSC[MMWR_RATING_STATE_ROLLUP_VSC],0),MATCH(D$9,MMWR_RATING_STATE_ROLLUP_VSC[#Headers],0)),"ERROR"))</f>
        <v>101.444773643</v>
      </c>
      <c r="E26" s="156">
        <f>IF($B26=" ","",IFERROR(INDEX(MMWR_RATING_STATE_ROLLUP_VSC[],MATCH($B26,MMWR_RATING_STATE_ROLLUP_VSC[MMWR_RATING_STATE_ROLLUP_VSC],0),MATCH(E$9,MMWR_RATING_STATE_ROLLUP_VSC[#Headers],0))/$C26,"ERROR"))</f>
        <v>0.27909457217350081</v>
      </c>
      <c r="F26" s="154">
        <f>IF($B26=" ","",IFERROR(INDEX(MMWR_RATING_STATE_ROLLUP_VSC[],MATCH($B26,MMWR_RATING_STATE_ROLLUP_VSC[MMWR_RATING_STATE_ROLLUP_VSC],0),MATCH(F$9,MMWR_RATING_STATE_ROLLUP_VSC[#Headers],0)),"ERROR"))</f>
        <v>114</v>
      </c>
      <c r="G26" s="154">
        <f>IF($B26=" ","",IFERROR(INDEX(MMWR_RATING_STATE_ROLLUP_VSC[],MATCH($B26,MMWR_RATING_STATE_ROLLUP_VSC[MMWR_RATING_STATE_ROLLUP_VSC],0),MATCH(G$9,MMWR_RATING_STATE_ROLLUP_VSC[#Headers],0)),"ERROR"))</f>
        <v>15222</v>
      </c>
      <c r="H26" s="155">
        <f>IF($B26=" ","",IFERROR(INDEX(MMWR_RATING_STATE_ROLLUP_VSC[],MATCH($B26,MMWR_RATING_STATE_ROLLUP_VSC[MMWR_RATING_STATE_ROLLUP_VSC],0),MATCH(H$9,MMWR_RATING_STATE_ROLLUP_VSC[#Headers],0)),"ERROR"))</f>
        <v>127.649122807</v>
      </c>
      <c r="I26" s="155">
        <f>IF($B26=" ","",IFERROR(INDEX(MMWR_RATING_STATE_ROLLUP_VSC[],MATCH($B26,MMWR_RATING_STATE_ROLLUP_VSC[MMWR_RATING_STATE_ROLLUP_VSC],0),MATCH(I$9,MMWR_RATING_STATE_ROLLUP_VSC[#Headers],0)),"ERROR"))</f>
        <v>142.40336355279999</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891</v>
      </c>
      <c r="D27" s="155">
        <f>IF($B27=" ","",IFERROR(INDEX(MMWR_RATING_STATE_ROLLUP_VSC[],MATCH($B27,MMWR_RATING_STATE_ROLLUP_VSC[MMWR_RATING_STATE_ROLLUP_VSC],0),MATCH(D$9,MMWR_RATING_STATE_ROLLUP_VSC[#Headers],0)),"ERROR"))</f>
        <v>81.570145903500006</v>
      </c>
      <c r="E27" s="156">
        <f>IF($B27=" ","",IFERROR(INDEX(MMWR_RATING_STATE_ROLLUP_VSC[],MATCH($B27,MMWR_RATING_STATE_ROLLUP_VSC[MMWR_RATING_STATE_ROLLUP_VSC],0),MATCH(E$9,MMWR_RATING_STATE_ROLLUP_VSC[#Headers],0))/$C27,"ERROR"))</f>
        <v>0.18518518518518517</v>
      </c>
      <c r="F27" s="154">
        <f>IF($B27=" ","",IFERROR(INDEX(MMWR_RATING_STATE_ROLLUP_VSC[],MATCH($B27,MMWR_RATING_STATE_ROLLUP_VSC[MMWR_RATING_STATE_ROLLUP_VSC],0),MATCH(F$9,MMWR_RATING_STATE_ROLLUP_VSC[#Headers],0)),"ERROR"))</f>
        <v>4</v>
      </c>
      <c r="G27" s="154">
        <f>IF($B27=" ","",IFERROR(INDEX(MMWR_RATING_STATE_ROLLUP_VSC[],MATCH($B27,MMWR_RATING_STATE_ROLLUP_VSC[MMWR_RATING_STATE_ROLLUP_VSC],0),MATCH(G$9,MMWR_RATING_STATE_ROLLUP_VSC[#Headers],0)),"ERROR"))</f>
        <v>1602</v>
      </c>
      <c r="H27" s="155">
        <f>IF($B27=" ","",IFERROR(INDEX(MMWR_RATING_STATE_ROLLUP_VSC[],MATCH($B27,MMWR_RATING_STATE_ROLLUP_VSC[MMWR_RATING_STATE_ROLLUP_VSC],0),MATCH(H$9,MMWR_RATING_STATE_ROLLUP_VSC[#Headers],0)),"ERROR"))</f>
        <v>40.75</v>
      </c>
      <c r="I27" s="155">
        <f>IF($B27=" ","",IFERROR(INDEX(MMWR_RATING_STATE_ROLLUP_VSC[],MATCH($B27,MMWR_RATING_STATE_ROLLUP_VSC[MMWR_RATING_STATE_ROLLUP_VSC],0),MATCH(I$9,MMWR_RATING_STATE_ROLLUP_VSC[#Headers],0)),"ERROR"))</f>
        <v>115.9837702871</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475</v>
      </c>
      <c r="D28" s="155">
        <f>IF($B28=" ","",IFERROR(INDEX(MMWR_RATING_STATE_ROLLUP_VSC[],MATCH($B28,MMWR_RATING_STATE_ROLLUP_VSC[MMWR_RATING_STATE_ROLLUP_VSC],0),MATCH(D$9,MMWR_RATING_STATE_ROLLUP_VSC[#Headers],0)),"ERROR"))</f>
        <v>92.517894736800002</v>
      </c>
      <c r="E28" s="156">
        <f>IF($B28=" ","",IFERROR(INDEX(MMWR_RATING_STATE_ROLLUP_VSC[],MATCH($B28,MMWR_RATING_STATE_ROLLUP_VSC[MMWR_RATING_STATE_ROLLUP_VSC],0),MATCH(E$9,MMWR_RATING_STATE_ROLLUP_VSC[#Headers],0))/$C28,"ERROR"))</f>
        <v>0.28210526315789475</v>
      </c>
      <c r="F28" s="154">
        <f>IF($B28=" ","",IFERROR(INDEX(MMWR_RATING_STATE_ROLLUP_VSC[],MATCH($B28,MMWR_RATING_STATE_ROLLUP_VSC[MMWR_RATING_STATE_ROLLUP_VSC],0),MATCH(F$9,MMWR_RATING_STATE_ROLLUP_VSC[#Headers],0)),"ERROR"))</f>
        <v>6</v>
      </c>
      <c r="G28" s="154">
        <f>IF($B28=" ","",IFERROR(INDEX(MMWR_RATING_STATE_ROLLUP_VSC[],MATCH($B28,MMWR_RATING_STATE_ROLLUP_VSC[MMWR_RATING_STATE_ROLLUP_VSC],0),MATCH(G$9,MMWR_RATING_STATE_ROLLUP_VSC[#Headers],0)),"ERROR"))</f>
        <v>746</v>
      </c>
      <c r="H28" s="155">
        <f>IF($B28=" ","",IFERROR(INDEX(MMWR_RATING_STATE_ROLLUP_VSC[],MATCH($B28,MMWR_RATING_STATE_ROLLUP_VSC[MMWR_RATING_STATE_ROLLUP_VSC],0),MATCH(H$9,MMWR_RATING_STATE_ROLLUP_VSC[#Headers],0)),"ERROR"))</f>
        <v>123.3333333333</v>
      </c>
      <c r="I28" s="155">
        <f>IF($B28=" ","",IFERROR(INDEX(MMWR_RATING_STATE_ROLLUP_VSC[],MATCH($B28,MMWR_RATING_STATE_ROLLUP_VSC[MMWR_RATING_STATE_ROLLUP_VSC],0),MATCH(I$9,MMWR_RATING_STATE_ROLLUP_VSC[#Headers],0)),"ERROR"))</f>
        <v>133.07908847179999</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9741</v>
      </c>
      <c r="D29" s="155">
        <f>IF($B29=" ","",IFERROR(INDEX(MMWR_RATING_STATE_ROLLUP_VSC[],MATCH($B29,MMWR_RATING_STATE_ROLLUP_VSC[MMWR_RATING_STATE_ROLLUP_VSC],0),MATCH(D$9,MMWR_RATING_STATE_ROLLUP_VSC[#Headers],0)),"ERROR"))</f>
        <v>88.385278718799995</v>
      </c>
      <c r="E29" s="156">
        <f>IF($B29=" ","",IFERROR(INDEX(MMWR_RATING_STATE_ROLLUP_VSC[],MATCH($B29,MMWR_RATING_STATE_ROLLUP_VSC[MMWR_RATING_STATE_ROLLUP_VSC],0),MATCH(E$9,MMWR_RATING_STATE_ROLLUP_VSC[#Headers],0))/$C29,"ERROR"))</f>
        <v>0.24186428498100812</v>
      </c>
      <c r="F29" s="154">
        <f>IF($B29=" ","",IFERROR(INDEX(MMWR_RATING_STATE_ROLLUP_VSC[],MATCH($B29,MMWR_RATING_STATE_ROLLUP_VSC[MMWR_RATING_STATE_ROLLUP_VSC],0),MATCH(F$9,MMWR_RATING_STATE_ROLLUP_VSC[#Headers],0)),"ERROR"))</f>
        <v>195</v>
      </c>
      <c r="G29" s="154">
        <f>IF($B29=" ","",IFERROR(INDEX(MMWR_RATING_STATE_ROLLUP_VSC[],MATCH($B29,MMWR_RATING_STATE_ROLLUP_VSC[MMWR_RATING_STATE_ROLLUP_VSC],0),MATCH(G$9,MMWR_RATING_STATE_ROLLUP_VSC[#Headers],0)),"ERROR"))</f>
        <v>17879</v>
      </c>
      <c r="H29" s="155">
        <f>IF($B29=" ","",IFERROR(INDEX(MMWR_RATING_STATE_ROLLUP_VSC[],MATCH($B29,MMWR_RATING_STATE_ROLLUP_VSC[MMWR_RATING_STATE_ROLLUP_VSC],0),MATCH(H$9,MMWR_RATING_STATE_ROLLUP_VSC[#Headers],0)),"ERROR"))</f>
        <v>106.81538461540001</v>
      </c>
      <c r="I29" s="155">
        <f>IF($B29=" ","",IFERROR(INDEX(MMWR_RATING_STATE_ROLLUP_VSC[],MATCH($B29,MMWR_RATING_STATE_ROLLUP_VSC[MMWR_RATING_STATE_ROLLUP_VSC],0),MATCH(I$9,MMWR_RATING_STATE_ROLLUP_VSC[#Headers],0)),"ERROR"))</f>
        <v>133.1087309134</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2615</v>
      </c>
      <c r="D30" s="155">
        <f>IF($B30=" ","",IFERROR(INDEX(MMWR_RATING_STATE_ROLLUP_VSC[],MATCH($B30,MMWR_RATING_STATE_ROLLUP_VSC[MMWR_RATING_STATE_ROLLUP_VSC],0),MATCH(D$9,MMWR_RATING_STATE_ROLLUP_VSC[#Headers],0)),"ERROR"))</f>
        <v>82.0608030593</v>
      </c>
      <c r="E30" s="156">
        <f>IF($B30=" ","",IFERROR(INDEX(MMWR_RATING_STATE_ROLLUP_VSC[],MATCH($B30,MMWR_RATING_STATE_ROLLUP_VSC[MMWR_RATING_STATE_ROLLUP_VSC],0),MATCH(E$9,MMWR_RATING_STATE_ROLLUP_VSC[#Headers],0))/$C30,"ERROR"))</f>
        <v>0.1965583173996176</v>
      </c>
      <c r="F30" s="154">
        <f>IF($B30=" ","",IFERROR(INDEX(MMWR_RATING_STATE_ROLLUP_VSC[],MATCH($B30,MMWR_RATING_STATE_ROLLUP_VSC[MMWR_RATING_STATE_ROLLUP_VSC],0),MATCH(F$9,MMWR_RATING_STATE_ROLLUP_VSC[#Headers],0)),"ERROR"))</f>
        <v>29</v>
      </c>
      <c r="G30" s="154">
        <f>IF($B30=" ","",IFERROR(INDEX(MMWR_RATING_STATE_ROLLUP_VSC[],MATCH($B30,MMWR_RATING_STATE_ROLLUP_VSC[MMWR_RATING_STATE_ROLLUP_VSC],0),MATCH(G$9,MMWR_RATING_STATE_ROLLUP_VSC[#Headers],0)),"ERROR"))</f>
        <v>4398</v>
      </c>
      <c r="H30" s="155">
        <f>IF($B30=" ","",IFERROR(INDEX(MMWR_RATING_STATE_ROLLUP_VSC[],MATCH($B30,MMWR_RATING_STATE_ROLLUP_VSC[MMWR_RATING_STATE_ROLLUP_VSC],0),MATCH(H$9,MMWR_RATING_STATE_ROLLUP_VSC[#Headers],0)),"ERROR"))</f>
        <v>81.172413793100006</v>
      </c>
      <c r="I30" s="155">
        <f>IF($B30=" ","",IFERROR(INDEX(MMWR_RATING_STATE_ROLLUP_VSC[],MATCH($B30,MMWR_RATING_STATE_ROLLUP_VSC[MMWR_RATING_STATE_ROLLUP_VSC],0),MATCH(I$9,MMWR_RATING_STATE_ROLLUP_VSC[#Headers],0)),"ERROR"))</f>
        <v>122.4824920418</v>
      </c>
      <c r="J30" s="42"/>
      <c r="K30" s="42"/>
      <c r="L30" s="42"/>
      <c r="M30" s="42"/>
      <c r="N30" s="28"/>
    </row>
    <row r="31" spans="1:14" x14ac:dyDescent="0.2">
      <c r="A31" s="25"/>
      <c r="B31" s="341" t="s">
        <v>960</v>
      </c>
      <c r="C31" s="342"/>
      <c r="D31" s="342"/>
      <c r="E31" s="342"/>
      <c r="F31" s="342"/>
      <c r="G31" s="342"/>
      <c r="H31" s="342"/>
      <c r="I31" s="342"/>
      <c r="J31" s="342"/>
      <c r="K31" s="342"/>
      <c r="L31" s="342"/>
      <c r="M31" s="392"/>
      <c r="N31" s="28"/>
    </row>
    <row r="32" spans="1:14" x14ac:dyDescent="0.2">
      <c r="A32" s="25"/>
      <c r="B32" s="41" t="s">
        <v>1038</v>
      </c>
      <c r="C32" s="154">
        <f>IF($B32=" ","",IFERROR(INDEX(MMWR_RATING_STATE_ROLLUP_PMC[],MATCH($B32,MMWR_RATING_STATE_ROLLUP_PMC[MMWR_RATING_STATE_ROLLUP_PMC],0),MATCH(C$9,MMWR_RATING_STATE_ROLLUP_PMC[#Headers],0)),"ERROR"))</f>
        <v>26620</v>
      </c>
      <c r="D32" s="155">
        <f>IF($B32=" ","",IFERROR(INDEX(MMWR_RATING_STATE_ROLLUP_PMC[],MATCH($B32,MMWR_RATING_STATE_ROLLUP_PMC[MMWR_RATING_STATE_ROLLUP_PMC],0),MATCH(D$9,MMWR_RATING_STATE_ROLLUP_PMC[#Headers],0)),"ERROR"))</f>
        <v>67.553343350899993</v>
      </c>
      <c r="E32" s="156">
        <f>IF($B32=" ","",IFERROR(INDEX(MMWR_RATING_STATE_ROLLUP_PMC[],MATCH($B32,MMWR_RATING_STATE_ROLLUP_PMC[MMWR_RATING_STATE_ROLLUP_PMC],0),MATCH(E$9,MMWR_RATING_STATE_ROLLUP_PMC[#Headers],0))/$C32,"ERROR"))</f>
        <v>0.12092411720510894</v>
      </c>
      <c r="F32" s="154">
        <f>IF($B32=" ","",IFERROR(INDEX(MMWR_RATING_STATE_ROLLUP_PMC[],MATCH($B32,MMWR_RATING_STATE_ROLLUP_PMC[MMWR_RATING_STATE_ROLLUP_PMC],0),MATCH(F$9,MMWR_RATING_STATE_ROLLUP_PMC[#Headers],0)),"ERROR"))</f>
        <v>359</v>
      </c>
      <c r="G32" s="154">
        <f>IF($B32=" ","",IFERROR(INDEX(MMWR_RATING_STATE_ROLLUP_PMC[],MATCH($B32,MMWR_RATING_STATE_ROLLUP_PMC[MMWR_RATING_STATE_ROLLUP_PMC],0),MATCH(G$9,MMWR_RATING_STATE_ROLLUP_PMC[#Headers],0)),"ERROR"))</f>
        <v>73729</v>
      </c>
      <c r="H32" s="155">
        <f>IF($B32=" ","",IFERROR(INDEX(MMWR_RATING_STATE_ROLLUP_PMC[],MATCH($B32,MMWR_RATING_STATE_ROLLUP_PMC[MMWR_RATING_STATE_ROLLUP_PMC],0),MATCH(H$9,MMWR_RATING_STATE_ROLLUP_PMC[#Headers],0)),"ERROR"))</f>
        <v>76.281337047400001</v>
      </c>
      <c r="I32" s="155">
        <f>IF($B32=" ","",IFERROR(INDEX(MMWR_RATING_STATE_ROLLUP_PMC[],MATCH($B32,MMWR_RATING_STATE_ROLLUP_PMC[MMWR_RATING_STATE_ROLLUP_PMC],0),MATCH(I$9,MMWR_RATING_STATE_ROLLUP_PMC[#Headers],0)),"ERROR"))</f>
        <v>76.831111231700007</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7657</v>
      </c>
      <c r="D33" s="155">
        <f>IF($B33=" ","",IFERROR(INDEX(MMWR_RATING_STATE_ROLLUP_PMC[],MATCH($B33,MMWR_RATING_STATE_ROLLUP_PMC[MMWR_RATING_STATE_ROLLUP_PMC],0),MATCH(D$9,MMWR_RATING_STATE_ROLLUP_PMC[#Headers],0)),"ERROR"))</f>
        <v>70.906360193300003</v>
      </c>
      <c r="E33" s="156">
        <f>IF($B33=" ","",IFERROR(INDEX(MMWR_RATING_STATE_ROLLUP_PMC[],MATCH($B33,MMWR_RATING_STATE_ROLLUP_PMC[MMWR_RATING_STATE_ROLLUP_PMC],0),MATCH(E$9,MMWR_RATING_STATE_ROLLUP_PMC[#Headers],0))/$C33,"ERROR"))</f>
        <v>0.13934961473161814</v>
      </c>
      <c r="F33" s="154">
        <f>IF($B33=" ","",IFERROR(INDEX(MMWR_RATING_STATE_ROLLUP_PMC[],MATCH($B33,MMWR_RATING_STATE_ROLLUP_PMC[MMWR_RATING_STATE_ROLLUP_PMC],0),MATCH(F$9,MMWR_RATING_STATE_ROLLUP_PMC[#Headers],0)),"ERROR"))</f>
        <v>75</v>
      </c>
      <c r="G33" s="154">
        <f>IF($B33=" ","",IFERROR(INDEX(MMWR_RATING_STATE_ROLLUP_PMC[],MATCH($B33,MMWR_RATING_STATE_ROLLUP_PMC[MMWR_RATING_STATE_ROLLUP_PMC],0),MATCH(G$9,MMWR_RATING_STATE_ROLLUP_PMC[#Headers],0)),"ERROR"))</f>
        <v>14635</v>
      </c>
      <c r="H33" s="155">
        <f>IF($B33=" ","",IFERROR(INDEX(MMWR_RATING_STATE_ROLLUP_PMC[],MATCH($B33,MMWR_RATING_STATE_ROLLUP_PMC[MMWR_RATING_STATE_ROLLUP_PMC],0),MATCH(H$9,MMWR_RATING_STATE_ROLLUP_PMC[#Headers],0)),"ERROR"))</f>
        <v>110.64</v>
      </c>
      <c r="I33" s="155">
        <f>IF($B33=" ","",IFERROR(INDEX(MMWR_RATING_STATE_ROLLUP_PMC[],MATCH($B33,MMWR_RATING_STATE_ROLLUP_PMC[MMWR_RATING_STATE_ROLLUP_PMC],0),MATCH(I$9,MMWR_RATING_STATE_ROLLUP_PMC[#Headers],0)),"ERROR"))</f>
        <v>93.387974034799996</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212</v>
      </c>
      <c r="D34" s="155">
        <f>IF($B34=" ","",IFERROR(INDEX(MMWR_RATING_STATE_ROLLUP_PMC[],MATCH($B34,MMWR_RATING_STATE_ROLLUP_PMC[MMWR_RATING_STATE_ROLLUP_PMC],0),MATCH(D$9,MMWR_RATING_STATE_ROLLUP_PMC[#Headers],0)),"ERROR"))</f>
        <v>72.202830188700005</v>
      </c>
      <c r="E34" s="156">
        <f>IF($B34=" ","",IFERROR(INDEX(MMWR_RATING_STATE_ROLLUP_PMC[],MATCH($B34,MMWR_RATING_STATE_ROLLUP_PMC[MMWR_RATING_STATE_ROLLUP_PMC],0),MATCH(E$9,MMWR_RATING_STATE_ROLLUP_PMC[#Headers],0))/$C34,"ERROR"))</f>
        <v>0.15566037735849056</v>
      </c>
      <c r="F34" s="154">
        <f>IF($B34=" ","",IFERROR(INDEX(MMWR_RATING_STATE_ROLLUP_PMC[],MATCH($B34,MMWR_RATING_STATE_ROLLUP_PMC[MMWR_RATING_STATE_ROLLUP_PMC],0),MATCH(F$9,MMWR_RATING_STATE_ROLLUP_PMC[#Headers],0)),"ERROR"))</f>
        <v>0</v>
      </c>
      <c r="G34" s="154">
        <f>IF($B34=" ","",IFERROR(INDEX(MMWR_RATING_STATE_ROLLUP_PMC[],MATCH($B34,MMWR_RATING_STATE_ROLLUP_PMC[MMWR_RATING_STATE_ROLLUP_PMC],0),MATCH(G$9,MMWR_RATING_STATE_ROLLUP_PMC[#Headers],0)),"ERROR"))</f>
        <v>436</v>
      </c>
      <c r="H34" s="155">
        <f>IF($B34=" ","",IFERROR(INDEX(MMWR_RATING_STATE_ROLLUP_PMC[],MATCH($B34,MMWR_RATING_STATE_ROLLUP_PMC[MMWR_RATING_STATE_ROLLUP_PMC],0),MATCH(H$9,MMWR_RATING_STATE_ROLLUP_PMC[#Headers],0)),"ERROR"))</f>
        <v>0</v>
      </c>
      <c r="I34" s="155">
        <f>IF($B34=" ","",IFERROR(INDEX(MMWR_RATING_STATE_ROLLUP_PMC[],MATCH($B34,MMWR_RATING_STATE_ROLLUP_PMC[MMWR_RATING_STATE_ROLLUP_PMC],0),MATCH(I$9,MMWR_RATING_STATE_ROLLUP_PMC[#Headers],0)),"ERROR"))</f>
        <v>91.155963302800004</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88</v>
      </c>
      <c r="D35" s="155">
        <f>IF($B35=" ","",IFERROR(INDEX(MMWR_RATING_STATE_ROLLUP_PMC[],MATCH($B35,MMWR_RATING_STATE_ROLLUP_PMC[MMWR_RATING_STATE_ROLLUP_PMC],0),MATCH(D$9,MMWR_RATING_STATE_ROLLUP_PMC[#Headers],0)),"ERROR"))</f>
        <v>76.488636363599994</v>
      </c>
      <c r="E35" s="156">
        <f>IF($B35=" ","",IFERROR(INDEX(MMWR_RATING_STATE_ROLLUP_PMC[],MATCH($B35,MMWR_RATING_STATE_ROLLUP_PMC[MMWR_RATING_STATE_ROLLUP_PMC],0),MATCH(E$9,MMWR_RATING_STATE_ROLLUP_PMC[#Headers],0))/$C35,"ERROR"))</f>
        <v>0.17045454545454544</v>
      </c>
      <c r="F35" s="154">
        <f>IF($B35=" ","",IFERROR(INDEX(MMWR_RATING_STATE_ROLLUP_PMC[],MATCH($B35,MMWR_RATING_STATE_ROLLUP_PMC[MMWR_RATING_STATE_ROLLUP_PMC],0),MATCH(F$9,MMWR_RATING_STATE_ROLLUP_PMC[#Headers],0)),"ERROR"))</f>
        <v>0</v>
      </c>
      <c r="G35" s="154">
        <f>IF($B35=" ","",IFERROR(INDEX(MMWR_RATING_STATE_ROLLUP_PMC[],MATCH($B35,MMWR_RATING_STATE_ROLLUP_PMC[MMWR_RATING_STATE_ROLLUP_PMC],0),MATCH(G$9,MMWR_RATING_STATE_ROLLUP_PMC[#Headers],0)),"ERROR"))</f>
        <v>138</v>
      </c>
      <c r="H35" s="155">
        <f>IF($B35=" ","",IFERROR(INDEX(MMWR_RATING_STATE_ROLLUP_PMC[],MATCH($B35,MMWR_RATING_STATE_ROLLUP_PMC[MMWR_RATING_STATE_ROLLUP_PMC],0),MATCH(H$9,MMWR_RATING_STATE_ROLLUP_PMC[#Headers],0)),"ERROR"))</f>
        <v>0</v>
      </c>
      <c r="I35" s="155">
        <f>IF($B35=" ","",IFERROR(INDEX(MMWR_RATING_STATE_ROLLUP_PMC[],MATCH($B35,MMWR_RATING_STATE_ROLLUP_PMC[MMWR_RATING_STATE_ROLLUP_PMC],0),MATCH(I$9,MMWR_RATING_STATE_ROLLUP_PMC[#Headers],0)),"ERROR"))</f>
        <v>91.811594202899997</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62</v>
      </c>
      <c r="D36" s="155">
        <f>IF($B36=" ","",IFERROR(INDEX(MMWR_RATING_STATE_ROLLUP_PMC[],MATCH($B36,MMWR_RATING_STATE_ROLLUP_PMC[MMWR_RATING_STATE_ROLLUP_PMC],0),MATCH(D$9,MMWR_RATING_STATE_ROLLUP_PMC[#Headers],0)),"ERROR"))</f>
        <v>79.435483871000002</v>
      </c>
      <c r="E36" s="156">
        <f>IF($B36=" ","",IFERROR(INDEX(MMWR_RATING_STATE_ROLLUP_PMC[],MATCH($B36,MMWR_RATING_STATE_ROLLUP_PMC[MMWR_RATING_STATE_ROLLUP_PMC],0),MATCH(E$9,MMWR_RATING_STATE_ROLLUP_PMC[#Headers],0))/$C36,"ERROR"))</f>
        <v>0.17741935483870969</v>
      </c>
      <c r="F36" s="154">
        <f>IF($B36=" ","",IFERROR(INDEX(MMWR_RATING_STATE_ROLLUP_PMC[],MATCH($B36,MMWR_RATING_STATE_ROLLUP_PMC[MMWR_RATING_STATE_ROLLUP_PMC],0),MATCH(F$9,MMWR_RATING_STATE_ROLLUP_PMC[#Headers],0)),"ERROR"))</f>
        <v>1</v>
      </c>
      <c r="G36" s="154">
        <f>IF($B36=" ","",IFERROR(INDEX(MMWR_RATING_STATE_ROLLUP_PMC[],MATCH($B36,MMWR_RATING_STATE_ROLLUP_PMC[MMWR_RATING_STATE_ROLLUP_PMC],0),MATCH(G$9,MMWR_RATING_STATE_ROLLUP_PMC[#Headers],0)),"ERROR"))</f>
        <v>140</v>
      </c>
      <c r="H36" s="155">
        <f>IF($B36=" ","",IFERROR(INDEX(MMWR_RATING_STATE_ROLLUP_PMC[],MATCH($B36,MMWR_RATING_STATE_ROLLUP_PMC[MMWR_RATING_STATE_ROLLUP_PMC],0),MATCH(H$9,MMWR_RATING_STATE_ROLLUP_PMC[#Headers],0)),"ERROR"))</f>
        <v>110</v>
      </c>
      <c r="I36" s="155">
        <f>IF($B36=" ","",IFERROR(INDEX(MMWR_RATING_STATE_ROLLUP_PMC[],MATCH($B36,MMWR_RATING_STATE_ROLLUP_PMC[MMWR_RATING_STATE_ROLLUP_PMC],0),MATCH(I$9,MMWR_RATING_STATE_ROLLUP_PMC[#Headers],0)),"ERROR"))</f>
        <v>99.842857142900002</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128</v>
      </c>
      <c r="D37" s="155">
        <f>IF($B37=" ","",IFERROR(INDEX(MMWR_RATING_STATE_ROLLUP_PMC[],MATCH($B37,MMWR_RATING_STATE_ROLLUP_PMC[MMWR_RATING_STATE_ROLLUP_PMC],0),MATCH(D$9,MMWR_RATING_STATE_ROLLUP_PMC[#Headers],0)),"ERROR"))</f>
        <v>66.65625</v>
      </c>
      <c r="E37" s="156">
        <f>IF($B37=" ","",IFERROR(INDEX(MMWR_RATING_STATE_ROLLUP_PMC[],MATCH($B37,MMWR_RATING_STATE_ROLLUP_PMC[MMWR_RATING_STATE_ROLLUP_PMC],0),MATCH(E$9,MMWR_RATING_STATE_ROLLUP_PMC[#Headers],0))/$C37,"ERROR"))</f>
        <v>0.15625</v>
      </c>
      <c r="F37" s="154">
        <f>IF($B37=" ","",IFERROR(INDEX(MMWR_RATING_STATE_ROLLUP_PMC[],MATCH($B37,MMWR_RATING_STATE_ROLLUP_PMC[MMWR_RATING_STATE_ROLLUP_PMC],0),MATCH(F$9,MMWR_RATING_STATE_ROLLUP_PMC[#Headers],0)),"ERROR"))</f>
        <v>0</v>
      </c>
      <c r="G37" s="154">
        <f>IF($B37=" ","",IFERROR(INDEX(MMWR_RATING_STATE_ROLLUP_PMC[],MATCH($B37,MMWR_RATING_STATE_ROLLUP_PMC[MMWR_RATING_STATE_ROLLUP_PMC],0),MATCH(G$9,MMWR_RATING_STATE_ROLLUP_PMC[#Headers],0)),"ERROR"))</f>
        <v>278</v>
      </c>
      <c r="H37" s="155">
        <f>IF($B37=" ","",IFERROR(INDEX(MMWR_RATING_STATE_ROLLUP_PMC[],MATCH($B37,MMWR_RATING_STATE_ROLLUP_PMC[MMWR_RATING_STATE_ROLLUP_PMC],0),MATCH(H$9,MMWR_RATING_STATE_ROLLUP_PMC[#Headers],0)),"ERROR"))</f>
        <v>0</v>
      </c>
      <c r="I37" s="155">
        <f>IF($B37=" ","",IFERROR(INDEX(MMWR_RATING_STATE_ROLLUP_PMC[],MATCH($B37,MMWR_RATING_STATE_ROLLUP_PMC[MMWR_RATING_STATE_ROLLUP_PMC],0),MATCH(I$9,MMWR_RATING_STATE_ROLLUP_PMC[#Headers],0)),"ERROR"))</f>
        <v>81.115107913700001</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474</v>
      </c>
      <c r="D38" s="155">
        <f>IF($B38=" ","",IFERROR(INDEX(MMWR_RATING_STATE_ROLLUP_PMC[],MATCH($B38,MMWR_RATING_STATE_ROLLUP_PMC[MMWR_RATING_STATE_ROLLUP_PMC],0),MATCH(D$9,MMWR_RATING_STATE_ROLLUP_PMC[#Headers],0)),"ERROR"))</f>
        <v>69.143459915600005</v>
      </c>
      <c r="E38" s="156">
        <f>IF($B38=" ","",IFERROR(INDEX(MMWR_RATING_STATE_ROLLUP_PMC[],MATCH($B38,MMWR_RATING_STATE_ROLLUP_PMC[MMWR_RATING_STATE_ROLLUP_PMC],0),MATCH(E$9,MMWR_RATING_STATE_ROLLUP_PMC[#Headers],0))/$C38,"ERROR"))</f>
        <v>0.14135021097046413</v>
      </c>
      <c r="F38" s="154">
        <f>IF($B38=" ","",IFERROR(INDEX(MMWR_RATING_STATE_ROLLUP_PMC[],MATCH($B38,MMWR_RATING_STATE_ROLLUP_PMC[MMWR_RATING_STATE_ROLLUP_PMC],0),MATCH(F$9,MMWR_RATING_STATE_ROLLUP_PMC[#Headers],0)),"ERROR"))</f>
        <v>6</v>
      </c>
      <c r="G38" s="154">
        <f>IF($B38=" ","",IFERROR(INDEX(MMWR_RATING_STATE_ROLLUP_PMC[],MATCH($B38,MMWR_RATING_STATE_ROLLUP_PMC[MMWR_RATING_STATE_ROLLUP_PMC],0),MATCH(G$9,MMWR_RATING_STATE_ROLLUP_PMC[#Headers],0)),"ERROR"))</f>
        <v>967</v>
      </c>
      <c r="H38" s="155">
        <f>IF($B38=" ","",IFERROR(INDEX(MMWR_RATING_STATE_ROLLUP_PMC[],MATCH($B38,MMWR_RATING_STATE_ROLLUP_PMC[MMWR_RATING_STATE_ROLLUP_PMC],0),MATCH(H$9,MMWR_RATING_STATE_ROLLUP_PMC[#Headers],0)),"ERROR"))</f>
        <v>124.3333333333</v>
      </c>
      <c r="I38" s="155">
        <f>IF($B38=" ","",IFERROR(INDEX(MMWR_RATING_STATE_ROLLUP_PMC[],MATCH($B38,MMWR_RATING_STATE_ROLLUP_PMC[MMWR_RATING_STATE_ROLLUP_PMC],0),MATCH(I$9,MMWR_RATING_STATE_ROLLUP_PMC[#Headers],0)),"ERROR"))</f>
        <v>95.130299896599993</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458</v>
      </c>
      <c r="D39" s="155">
        <f>IF($B39=" ","",IFERROR(INDEX(MMWR_RATING_STATE_ROLLUP_PMC[],MATCH($B39,MMWR_RATING_STATE_ROLLUP_PMC[MMWR_RATING_STATE_ROLLUP_PMC],0),MATCH(D$9,MMWR_RATING_STATE_ROLLUP_PMC[#Headers],0)),"ERROR"))</f>
        <v>72.875545851499993</v>
      </c>
      <c r="E39" s="156">
        <f>IF($B39=" ","",IFERROR(INDEX(MMWR_RATING_STATE_ROLLUP_PMC[],MATCH($B39,MMWR_RATING_STATE_ROLLUP_PMC[MMWR_RATING_STATE_ROLLUP_PMC],0),MATCH(E$9,MMWR_RATING_STATE_ROLLUP_PMC[#Headers],0))/$C39,"ERROR"))</f>
        <v>0.13973799126637554</v>
      </c>
      <c r="F39" s="154">
        <f>IF($B39=" ","",IFERROR(INDEX(MMWR_RATING_STATE_ROLLUP_PMC[],MATCH($B39,MMWR_RATING_STATE_ROLLUP_PMC[MMWR_RATING_STATE_ROLLUP_PMC],0),MATCH(F$9,MMWR_RATING_STATE_ROLLUP_PMC[#Headers],0)),"ERROR"))</f>
        <v>5</v>
      </c>
      <c r="G39" s="154">
        <f>IF($B39=" ","",IFERROR(INDEX(MMWR_RATING_STATE_ROLLUP_PMC[],MATCH($B39,MMWR_RATING_STATE_ROLLUP_PMC[MMWR_RATING_STATE_ROLLUP_PMC],0),MATCH(G$9,MMWR_RATING_STATE_ROLLUP_PMC[#Headers],0)),"ERROR"))</f>
        <v>933</v>
      </c>
      <c r="H39" s="155">
        <f>IF($B39=" ","",IFERROR(INDEX(MMWR_RATING_STATE_ROLLUP_PMC[],MATCH($B39,MMWR_RATING_STATE_ROLLUP_PMC[MMWR_RATING_STATE_ROLLUP_PMC],0),MATCH(H$9,MMWR_RATING_STATE_ROLLUP_PMC[#Headers],0)),"ERROR"))</f>
        <v>117</v>
      </c>
      <c r="I39" s="155">
        <f>IF($B39=" ","",IFERROR(INDEX(MMWR_RATING_STATE_ROLLUP_PMC[],MATCH($B39,MMWR_RATING_STATE_ROLLUP_PMC[MMWR_RATING_STATE_ROLLUP_PMC],0),MATCH(I$9,MMWR_RATING_STATE_ROLLUP_PMC[#Headers],0)),"ERROR"))</f>
        <v>87.864951768500006</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111</v>
      </c>
      <c r="D40" s="155">
        <f>IF($B40=" ","",IFERROR(INDEX(MMWR_RATING_STATE_ROLLUP_PMC[],MATCH($B40,MMWR_RATING_STATE_ROLLUP_PMC[MMWR_RATING_STATE_ROLLUP_PMC],0),MATCH(D$9,MMWR_RATING_STATE_ROLLUP_PMC[#Headers],0)),"ERROR"))</f>
        <v>66.369369369400005</v>
      </c>
      <c r="E40" s="156">
        <f>IF($B40=" ","",IFERROR(INDEX(MMWR_RATING_STATE_ROLLUP_PMC[],MATCH($B40,MMWR_RATING_STATE_ROLLUP_PMC[MMWR_RATING_STATE_ROLLUP_PMC],0),MATCH(E$9,MMWR_RATING_STATE_ROLLUP_PMC[#Headers],0))/$C40,"ERROR"))</f>
        <v>0.10810810810810811</v>
      </c>
      <c r="F40" s="154">
        <f>IF($B40=" ","",IFERROR(INDEX(MMWR_RATING_STATE_ROLLUP_PMC[],MATCH($B40,MMWR_RATING_STATE_ROLLUP_PMC[MMWR_RATING_STATE_ROLLUP_PMC],0),MATCH(F$9,MMWR_RATING_STATE_ROLLUP_PMC[#Headers],0)),"ERROR"))</f>
        <v>2</v>
      </c>
      <c r="G40" s="154">
        <f>IF($B40=" ","",IFERROR(INDEX(MMWR_RATING_STATE_ROLLUP_PMC[],MATCH($B40,MMWR_RATING_STATE_ROLLUP_PMC[MMWR_RATING_STATE_ROLLUP_PMC],0),MATCH(G$9,MMWR_RATING_STATE_ROLLUP_PMC[#Headers],0)),"ERROR"))</f>
        <v>219</v>
      </c>
      <c r="H40" s="155">
        <f>IF($B40=" ","",IFERROR(INDEX(MMWR_RATING_STATE_ROLLUP_PMC[],MATCH($B40,MMWR_RATING_STATE_ROLLUP_PMC[MMWR_RATING_STATE_ROLLUP_PMC],0),MATCH(H$9,MMWR_RATING_STATE_ROLLUP_PMC[#Headers],0)),"ERROR"))</f>
        <v>80.5</v>
      </c>
      <c r="I40" s="155">
        <f>IF($B40=" ","",IFERROR(INDEX(MMWR_RATING_STATE_ROLLUP_PMC[],MATCH($B40,MMWR_RATING_STATE_ROLLUP_PMC[MMWR_RATING_STATE_ROLLUP_PMC],0),MATCH(I$9,MMWR_RATING_STATE_ROLLUP_PMC[#Headers],0)),"ERROR"))</f>
        <v>94.630136986300002</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520</v>
      </c>
      <c r="D41" s="155">
        <f>IF($B41=" ","",IFERROR(INDEX(MMWR_RATING_STATE_ROLLUP_PMC[],MATCH($B41,MMWR_RATING_STATE_ROLLUP_PMC[MMWR_RATING_STATE_ROLLUP_PMC],0),MATCH(D$9,MMWR_RATING_STATE_ROLLUP_PMC[#Headers],0)),"ERROR"))</f>
        <v>70.434615384599994</v>
      </c>
      <c r="E41" s="156">
        <f>IF($B41=" ","",IFERROR(INDEX(MMWR_RATING_STATE_ROLLUP_PMC[],MATCH($B41,MMWR_RATING_STATE_ROLLUP_PMC[MMWR_RATING_STATE_ROLLUP_PMC],0),MATCH(E$9,MMWR_RATING_STATE_ROLLUP_PMC[#Headers],0))/$C41,"ERROR"))</f>
        <v>0.13653846153846153</v>
      </c>
      <c r="F41" s="154">
        <f>IF($B41=" ","",IFERROR(INDEX(MMWR_RATING_STATE_ROLLUP_PMC[],MATCH($B41,MMWR_RATING_STATE_ROLLUP_PMC[MMWR_RATING_STATE_ROLLUP_PMC],0),MATCH(F$9,MMWR_RATING_STATE_ROLLUP_PMC[#Headers],0)),"ERROR"))</f>
        <v>6</v>
      </c>
      <c r="G41" s="154">
        <f>IF($B41=" ","",IFERROR(INDEX(MMWR_RATING_STATE_ROLLUP_PMC[],MATCH($B41,MMWR_RATING_STATE_ROLLUP_PMC[MMWR_RATING_STATE_ROLLUP_PMC],0),MATCH(G$9,MMWR_RATING_STATE_ROLLUP_PMC[#Headers],0)),"ERROR"))</f>
        <v>998</v>
      </c>
      <c r="H41" s="155">
        <f>IF($B41=" ","",IFERROR(INDEX(MMWR_RATING_STATE_ROLLUP_PMC[],MATCH($B41,MMWR_RATING_STATE_ROLLUP_PMC[MMWR_RATING_STATE_ROLLUP_PMC],0),MATCH(H$9,MMWR_RATING_STATE_ROLLUP_PMC[#Headers],0)),"ERROR"))</f>
        <v>82.333333333300004</v>
      </c>
      <c r="I41" s="155">
        <f>IF($B41=" ","",IFERROR(INDEX(MMWR_RATING_STATE_ROLLUP_PMC[],MATCH($B41,MMWR_RATING_STATE_ROLLUP_PMC[MMWR_RATING_STATE_ROLLUP_PMC],0),MATCH(I$9,MMWR_RATING_STATE_ROLLUP_PMC[#Headers],0)),"ERROR"))</f>
        <v>92.113226452899994</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1323</v>
      </c>
      <c r="D42" s="155">
        <f>IF($B42=" ","",IFERROR(INDEX(MMWR_RATING_STATE_ROLLUP_PMC[],MATCH($B42,MMWR_RATING_STATE_ROLLUP_PMC[MMWR_RATING_STATE_ROLLUP_PMC],0),MATCH(D$9,MMWR_RATING_STATE_ROLLUP_PMC[#Headers],0)),"ERROR"))</f>
        <v>72.256991685599999</v>
      </c>
      <c r="E42" s="156">
        <f>IF($B42=" ","",IFERROR(INDEX(MMWR_RATING_STATE_ROLLUP_PMC[],MATCH($B42,MMWR_RATING_STATE_ROLLUP_PMC[MMWR_RATING_STATE_ROLLUP_PMC],0),MATCH(E$9,MMWR_RATING_STATE_ROLLUP_PMC[#Headers],0))/$C42,"ERROR"))</f>
        <v>0.14361300075585789</v>
      </c>
      <c r="F42" s="154">
        <f>IF($B42=" ","",IFERROR(INDEX(MMWR_RATING_STATE_ROLLUP_PMC[],MATCH($B42,MMWR_RATING_STATE_ROLLUP_PMC[MMWR_RATING_STATE_ROLLUP_PMC],0),MATCH(F$9,MMWR_RATING_STATE_ROLLUP_PMC[#Headers],0)),"ERROR"))</f>
        <v>15</v>
      </c>
      <c r="G42" s="154">
        <f>IF($B42=" ","",IFERROR(INDEX(MMWR_RATING_STATE_ROLLUP_PMC[],MATCH($B42,MMWR_RATING_STATE_ROLLUP_PMC[MMWR_RATING_STATE_ROLLUP_PMC],0),MATCH(G$9,MMWR_RATING_STATE_ROLLUP_PMC[#Headers],0)),"ERROR"))</f>
        <v>2537</v>
      </c>
      <c r="H42" s="155">
        <f>IF($B42=" ","",IFERROR(INDEX(MMWR_RATING_STATE_ROLLUP_PMC[],MATCH($B42,MMWR_RATING_STATE_ROLLUP_PMC[MMWR_RATING_STATE_ROLLUP_PMC],0),MATCH(H$9,MMWR_RATING_STATE_ROLLUP_PMC[#Headers],0)),"ERROR"))</f>
        <v>121</v>
      </c>
      <c r="I42" s="155">
        <f>IF($B42=" ","",IFERROR(INDEX(MMWR_RATING_STATE_ROLLUP_PMC[],MATCH($B42,MMWR_RATING_STATE_ROLLUP_PMC[MMWR_RATING_STATE_ROLLUP_PMC],0),MATCH(I$9,MMWR_RATING_STATE_ROLLUP_PMC[#Headers],0)),"ERROR"))</f>
        <v>94.575088687399997</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1461</v>
      </c>
      <c r="D43" s="155">
        <f>IF($B43=" ","",IFERROR(INDEX(MMWR_RATING_STATE_ROLLUP_PMC[],MATCH($B43,MMWR_RATING_STATE_ROLLUP_PMC[MMWR_RATING_STATE_ROLLUP_PMC],0),MATCH(D$9,MMWR_RATING_STATE_ROLLUP_PMC[#Headers],0)),"ERROR"))</f>
        <v>70.525667351099997</v>
      </c>
      <c r="E43" s="156">
        <f>IF($B43=" ","",IFERROR(INDEX(MMWR_RATING_STATE_ROLLUP_PMC[],MATCH($B43,MMWR_RATING_STATE_ROLLUP_PMC[MMWR_RATING_STATE_ROLLUP_PMC],0),MATCH(E$9,MMWR_RATING_STATE_ROLLUP_PMC[#Headers],0))/$C43,"ERROR"))</f>
        <v>0.12867898699520877</v>
      </c>
      <c r="F43" s="154">
        <f>IF($B43=" ","",IFERROR(INDEX(MMWR_RATING_STATE_ROLLUP_PMC[],MATCH($B43,MMWR_RATING_STATE_ROLLUP_PMC[MMWR_RATING_STATE_ROLLUP_PMC],0),MATCH(F$9,MMWR_RATING_STATE_ROLLUP_PMC[#Headers],0)),"ERROR"))</f>
        <v>16</v>
      </c>
      <c r="G43" s="154">
        <f>IF($B43=" ","",IFERROR(INDEX(MMWR_RATING_STATE_ROLLUP_PMC[],MATCH($B43,MMWR_RATING_STATE_ROLLUP_PMC[MMWR_RATING_STATE_ROLLUP_PMC],0),MATCH(G$9,MMWR_RATING_STATE_ROLLUP_PMC[#Headers],0)),"ERROR"))</f>
        <v>2526</v>
      </c>
      <c r="H43" s="155">
        <f>IF($B43=" ","",IFERROR(INDEX(MMWR_RATING_STATE_ROLLUP_PMC[],MATCH($B43,MMWR_RATING_STATE_ROLLUP_PMC[MMWR_RATING_STATE_ROLLUP_PMC],0),MATCH(H$9,MMWR_RATING_STATE_ROLLUP_PMC[#Headers],0)),"ERROR"))</f>
        <v>117.1875</v>
      </c>
      <c r="I43" s="155">
        <f>IF($B43=" ","",IFERROR(INDEX(MMWR_RATING_STATE_ROLLUP_PMC[],MATCH($B43,MMWR_RATING_STATE_ROLLUP_PMC[MMWR_RATING_STATE_ROLLUP_PMC],0),MATCH(I$9,MMWR_RATING_STATE_ROLLUP_PMC[#Headers],0)),"ERROR"))</f>
        <v>93.511084718899994</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1541</v>
      </c>
      <c r="D44" s="155">
        <f>IF($B44=" ","",IFERROR(INDEX(MMWR_RATING_STATE_ROLLUP_PMC[],MATCH($B44,MMWR_RATING_STATE_ROLLUP_PMC[MMWR_RATING_STATE_ROLLUP_PMC],0),MATCH(D$9,MMWR_RATING_STATE_ROLLUP_PMC[#Headers],0)),"ERROR"))</f>
        <v>71.371187540600005</v>
      </c>
      <c r="E44" s="156">
        <f>IF($B44=" ","",IFERROR(INDEX(MMWR_RATING_STATE_ROLLUP_PMC[],MATCH($B44,MMWR_RATING_STATE_ROLLUP_PMC[MMWR_RATING_STATE_ROLLUP_PMC],0),MATCH(E$9,MMWR_RATING_STATE_ROLLUP_PMC[#Headers],0))/$C44,"ERROR"))</f>
        <v>0.1427644386761843</v>
      </c>
      <c r="F44" s="154">
        <f>IF($B44=" ","",IFERROR(INDEX(MMWR_RATING_STATE_ROLLUP_PMC[],MATCH($B44,MMWR_RATING_STATE_ROLLUP_PMC[MMWR_RATING_STATE_ROLLUP_PMC],0),MATCH(F$9,MMWR_RATING_STATE_ROLLUP_PMC[#Headers],0)),"ERROR"))</f>
        <v>16</v>
      </c>
      <c r="G44" s="154">
        <f>IF($B44=" ","",IFERROR(INDEX(MMWR_RATING_STATE_ROLLUP_PMC[],MATCH($B44,MMWR_RATING_STATE_ROLLUP_PMC[MMWR_RATING_STATE_ROLLUP_PMC],0),MATCH(G$9,MMWR_RATING_STATE_ROLLUP_PMC[#Headers],0)),"ERROR"))</f>
        <v>3004</v>
      </c>
      <c r="H44" s="155">
        <f>IF($B44=" ","",IFERROR(INDEX(MMWR_RATING_STATE_ROLLUP_PMC[],MATCH($B44,MMWR_RATING_STATE_ROLLUP_PMC[MMWR_RATING_STATE_ROLLUP_PMC],0),MATCH(H$9,MMWR_RATING_STATE_ROLLUP_PMC[#Headers],0)),"ERROR"))</f>
        <v>105.6875</v>
      </c>
      <c r="I44" s="155">
        <f>IF($B44=" ","",IFERROR(INDEX(MMWR_RATING_STATE_ROLLUP_PMC[],MATCH($B44,MMWR_RATING_STATE_ROLLUP_PMC[MMWR_RATING_STATE_ROLLUP_PMC],0),MATCH(I$9,MMWR_RATING_STATE_ROLLUP_PMC[#Headers],0)),"ERROR"))</f>
        <v>91.4041278296</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110</v>
      </c>
      <c r="D45" s="155">
        <f>IF($B45=" ","",IFERROR(INDEX(MMWR_RATING_STATE_ROLLUP_PMC[],MATCH($B45,MMWR_RATING_STATE_ROLLUP_PMC[MMWR_RATING_STATE_ROLLUP_PMC],0),MATCH(D$9,MMWR_RATING_STATE_ROLLUP_PMC[#Headers],0)),"ERROR"))</f>
        <v>66.863636363599994</v>
      </c>
      <c r="E45" s="156">
        <f>IF($B45=" ","",IFERROR(INDEX(MMWR_RATING_STATE_ROLLUP_PMC[],MATCH($B45,MMWR_RATING_STATE_ROLLUP_PMC[MMWR_RATING_STATE_ROLLUP_PMC],0),MATCH(E$9,MMWR_RATING_STATE_ROLLUP_PMC[#Headers],0))/$C45,"ERROR"))</f>
        <v>0.10909090909090909</v>
      </c>
      <c r="F45" s="154">
        <f>IF($B45=" ","",IFERROR(INDEX(MMWR_RATING_STATE_ROLLUP_PMC[],MATCH($B45,MMWR_RATING_STATE_ROLLUP_PMC[MMWR_RATING_STATE_ROLLUP_PMC],0),MATCH(F$9,MMWR_RATING_STATE_ROLLUP_PMC[#Headers],0)),"ERROR"))</f>
        <v>1</v>
      </c>
      <c r="G45" s="154">
        <f>IF($B45=" ","",IFERROR(INDEX(MMWR_RATING_STATE_ROLLUP_PMC[],MATCH($B45,MMWR_RATING_STATE_ROLLUP_PMC[MMWR_RATING_STATE_ROLLUP_PMC],0),MATCH(G$9,MMWR_RATING_STATE_ROLLUP_PMC[#Headers],0)),"ERROR"))</f>
        <v>243</v>
      </c>
      <c r="H45" s="155">
        <f>IF($B45=" ","",IFERROR(INDEX(MMWR_RATING_STATE_ROLLUP_PMC[],MATCH($B45,MMWR_RATING_STATE_ROLLUP_PMC[MMWR_RATING_STATE_ROLLUP_PMC],0),MATCH(H$9,MMWR_RATING_STATE_ROLLUP_PMC[#Headers],0)),"ERROR"))</f>
        <v>134</v>
      </c>
      <c r="I45" s="155">
        <f>IF($B45=" ","",IFERROR(INDEX(MMWR_RATING_STATE_ROLLUP_PMC[],MATCH($B45,MMWR_RATING_STATE_ROLLUP_PMC[MMWR_RATING_STATE_ROLLUP_PMC],0),MATCH(I$9,MMWR_RATING_STATE_ROLLUP_PMC[#Headers],0)),"ERROR"))</f>
        <v>93.432098765399999</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56</v>
      </c>
      <c r="D46" s="155">
        <f>IF($B46=" ","",IFERROR(INDEX(MMWR_RATING_STATE_ROLLUP_PMC[],MATCH($B46,MMWR_RATING_STATE_ROLLUP_PMC[MMWR_RATING_STATE_ROLLUP_PMC],0),MATCH(D$9,MMWR_RATING_STATE_ROLLUP_PMC[#Headers],0)),"ERROR"))</f>
        <v>76.410714285699996</v>
      </c>
      <c r="E46" s="156">
        <f>IF($B46=" ","",IFERROR(INDEX(MMWR_RATING_STATE_ROLLUP_PMC[],MATCH($B46,MMWR_RATING_STATE_ROLLUP_PMC[MMWR_RATING_STATE_ROLLUP_PMC],0),MATCH(E$9,MMWR_RATING_STATE_ROLLUP_PMC[#Headers],0))/$C46,"ERROR"))</f>
        <v>0.10714285714285714</v>
      </c>
      <c r="F46" s="154">
        <f>IF($B46=" ","",IFERROR(INDEX(MMWR_RATING_STATE_ROLLUP_PMC[],MATCH($B46,MMWR_RATING_STATE_ROLLUP_PMC[MMWR_RATING_STATE_ROLLUP_PMC],0),MATCH(F$9,MMWR_RATING_STATE_ROLLUP_PMC[#Headers],0)),"ERROR"))</f>
        <v>0</v>
      </c>
      <c r="G46" s="154">
        <f>IF($B46=" ","",IFERROR(INDEX(MMWR_RATING_STATE_ROLLUP_PMC[],MATCH($B46,MMWR_RATING_STATE_ROLLUP_PMC[MMWR_RATING_STATE_ROLLUP_PMC],0),MATCH(G$9,MMWR_RATING_STATE_ROLLUP_PMC[#Headers],0)),"ERROR"))</f>
        <v>80</v>
      </c>
      <c r="H46" s="155">
        <f>IF($B46=" ","",IFERROR(INDEX(MMWR_RATING_STATE_ROLLUP_PMC[],MATCH($B46,MMWR_RATING_STATE_ROLLUP_PMC[MMWR_RATING_STATE_ROLLUP_PMC],0),MATCH(H$9,MMWR_RATING_STATE_ROLLUP_PMC[#Headers],0)),"ERROR"))</f>
        <v>0</v>
      </c>
      <c r="I46" s="155">
        <f>IF($B46=" ","",IFERROR(INDEX(MMWR_RATING_STATE_ROLLUP_PMC[],MATCH($B46,MMWR_RATING_STATE_ROLLUP_PMC[MMWR_RATING_STATE_ROLLUP_PMC],0),MATCH(I$9,MMWR_RATING_STATE_ROLLUP_PMC[#Headers],0)),"ERROR"))</f>
        <v>92.174999999999997</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850</v>
      </c>
      <c r="D47" s="155">
        <f>IF($B47=" ","",IFERROR(INDEX(MMWR_RATING_STATE_ROLLUP_PMC[],MATCH($B47,MMWR_RATING_STATE_ROLLUP_PMC[MMWR_RATING_STATE_ROLLUP_PMC],0),MATCH(D$9,MMWR_RATING_STATE_ROLLUP_PMC[#Headers],0)),"ERROR"))</f>
        <v>68.243529411799997</v>
      </c>
      <c r="E47" s="156">
        <f>IF($B47=" ","",IFERROR(INDEX(MMWR_RATING_STATE_ROLLUP_PMC[],MATCH($B47,MMWR_RATING_STATE_ROLLUP_PMC[MMWR_RATING_STATE_ROLLUP_PMC],0),MATCH(E$9,MMWR_RATING_STATE_ROLLUP_PMC[#Headers],0))/$C47,"ERROR"))</f>
        <v>0.14000000000000001</v>
      </c>
      <c r="F47" s="154">
        <f>IF($B47=" ","",IFERROR(INDEX(MMWR_RATING_STATE_ROLLUP_PMC[],MATCH($B47,MMWR_RATING_STATE_ROLLUP_PMC[MMWR_RATING_STATE_ROLLUP_PMC],0),MATCH(F$9,MMWR_RATING_STATE_ROLLUP_PMC[#Headers],0)),"ERROR"))</f>
        <v>5</v>
      </c>
      <c r="G47" s="154">
        <f>IF($B47=" ","",IFERROR(INDEX(MMWR_RATING_STATE_ROLLUP_PMC[],MATCH($B47,MMWR_RATING_STATE_ROLLUP_PMC[MMWR_RATING_STATE_ROLLUP_PMC],0),MATCH(G$9,MMWR_RATING_STATE_ROLLUP_PMC[#Headers],0)),"ERROR"))</f>
        <v>1597</v>
      </c>
      <c r="H47" s="155">
        <f>IF($B47=" ","",IFERROR(INDEX(MMWR_RATING_STATE_ROLLUP_PMC[],MATCH($B47,MMWR_RATING_STATE_ROLLUP_PMC[MMWR_RATING_STATE_ROLLUP_PMC],0),MATCH(H$9,MMWR_RATING_STATE_ROLLUP_PMC[#Headers],0)),"ERROR"))</f>
        <v>97</v>
      </c>
      <c r="I47" s="155">
        <f>IF($B47=" ","",IFERROR(INDEX(MMWR_RATING_STATE_ROLLUP_PMC[],MATCH($B47,MMWR_RATING_STATE_ROLLUP_PMC[MMWR_RATING_STATE_ROLLUP_PMC],0),MATCH(I$9,MMWR_RATING_STATE_ROLLUP_PMC[#Headers],0)),"ERROR"))</f>
        <v>99.734502191600001</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263</v>
      </c>
      <c r="D48" s="155">
        <f>IF($B48=" ","",IFERROR(INDEX(MMWR_RATING_STATE_ROLLUP_PMC[],MATCH($B48,MMWR_RATING_STATE_ROLLUP_PMC[MMWR_RATING_STATE_ROLLUP_PMC],0),MATCH(D$9,MMWR_RATING_STATE_ROLLUP_PMC[#Headers],0)),"ERROR"))</f>
        <v>72.368821292800007</v>
      </c>
      <c r="E48" s="156">
        <f>IF($B48=" ","",IFERROR(INDEX(MMWR_RATING_STATE_ROLLUP_PMC[],MATCH($B48,MMWR_RATING_STATE_ROLLUP_PMC[MMWR_RATING_STATE_ROLLUP_PMC],0),MATCH(E$9,MMWR_RATING_STATE_ROLLUP_PMC[#Headers],0))/$C48,"ERROR"))</f>
        <v>0.14828897338403041</v>
      </c>
      <c r="F48" s="154">
        <f>IF($B48=" ","",IFERROR(INDEX(MMWR_RATING_STATE_ROLLUP_PMC[],MATCH($B48,MMWR_RATING_STATE_ROLLUP_PMC[MMWR_RATING_STATE_ROLLUP_PMC],0),MATCH(F$9,MMWR_RATING_STATE_ROLLUP_PMC[#Headers],0)),"ERROR"))</f>
        <v>2</v>
      </c>
      <c r="G48" s="154">
        <f>IF($B48=" ","",IFERROR(INDEX(MMWR_RATING_STATE_ROLLUP_PMC[],MATCH($B48,MMWR_RATING_STATE_ROLLUP_PMC[MMWR_RATING_STATE_ROLLUP_PMC],0),MATCH(G$9,MMWR_RATING_STATE_ROLLUP_PMC[#Headers],0)),"ERROR"))</f>
        <v>539</v>
      </c>
      <c r="H48" s="155">
        <f>IF($B48=" ","",IFERROR(INDEX(MMWR_RATING_STATE_ROLLUP_PMC[],MATCH($B48,MMWR_RATING_STATE_ROLLUP_PMC[MMWR_RATING_STATE_ROLLUP_PMC],0),MATCH(H$9,MMWR_RATING_STATE_ROLLUP_PMC[#Headers],0)),"ERROR"))</f>
        <v>101</v>
      </c>
      <c r="I48" s="155">
        <f>IF($B48=" ","",IFERROR(INDEX(MMWR_RATING_STATE_ROLLUP_PMC[],MATCH($B48,MMWR_RATING_STATE_ROLLUP_PMC[MMWR_RATING_STATE_ROLLUP_PMC],0),MATCH(I$9,MMWR_RATING_STATE_ROLLUP_PMC[#Headers],0)),"ERROR"))</f>
        <v>94.788497217100002</v>
      </c>
      <c r="J48" s="42"/>
      <c r="K48" s="42"/>
      <c r="L48" s="42"/>
      <c r="M48" s="42"/>
      <c r="N48" s="28"/>
    </row>
    <row r="49" spans="1:14" x14ac:dyDescent="0.2">
      <c r="A49" s="25"/>
      <c r="B49" s="341" t="s">
        <v>1040</v>
      </c>
      <c r="C49" s="342"/>
      <c r="D49" s="342"/>
      <c r="E49" s="342"/>
      <c r="F49" s="342"/>
      <c r="G49" s="342"/>
      <c r="H49" s="342"/>
      <c r="I49" s="342"/>
      <c r="J49" s="342"/>
      <c r="K49" s="342"/>
      <c r="L49" s="342"/>
      <c r="M49" s="392"/>
      <c r="N49" s="28"/>
    </row>
    <row r="50" spans="1:14" x14ac:dyDescent="0.2">
      <c r="A50" s="25"/>
      <c r="B50" s="41" t="s">
        <v>1039</v>
      </c>
      <c r="C50" s="154">
        <f>IF($B50=" ","",IFERROR(INDEX(MMWR_RATING_STATE_ROLLUP_QST[],MATCH($B50,MMWR_RATING_STATE_ROLLUP_QST[MMWR_RATING_STATE_ROLLUP_QST],0),MATCH(C$9,MMWR_RATING_STATE_ROLLUP_QST[#Headers],0)),"ERROR"))</f>
        <v>9343</v>
      </c>
      <c r="D50" s="155">
        <f>IF($B50=" ","",IFERROR(INDEX(MMWR_RATING_STATE_ROLLUP_QST[],MATCH($B50,MMWR_RATING_STATE_ROLLUP_QST[MMWR_RATING_STATE_ROLLUP_QST],0),MATCH(D$9,MMWR_RATING_STATE_ROLLUP_QST[#Headers],0)),"ERROR"))</f>
        <v>86.319918655699993</v>
      </c>
      <c r="E50" s="156">
        <f>IF($B50=" ","",IFERROR(INDEX(MMWR_RATING_STATE_ROLLUP_QST[],MATCH($B50,MMWR_RATING_STATE_ROLLUP_QST[MMWR_RATING_STATE_ROLLUP_QST],0),MATCH(E$9,MMWR_RATING_STATE_ROLLUP_QST[#Headers],0))/$C50,"ERROR"))</f>
        <v>0.22862035748688858</v>
      </c>
      <c r="F50" s="154">
        <f>IF($B50=" ","",IFERROR(INDEX(MMWR_RATING_STATE_ROLLUP_QST[],MATCH($B50,MMWR_RATING_STATE_ROLLUP_QST[MMWR_RATING_STATE_ROLLUP_QST],0),MATCH(F$9,MMWR_RATING_STATE_ROLLUP_QST[#Headers],0)),"ERROR"))</f>
        <v>85</v>
      </c>
      <c r="G50" s="154">
        <f>IF($B50=" ","",IFERROR(INDEX(MMWR_RATING_STATE_ROLLUP_QST[],MATCH($B50,MMWR_RATING_STATE_ROLLUP_QST[MMWR_RATING_STATE_ROLLUP_QST],0),MATCH(G$9,MMWR_RATING_STATE_ROLLUP_QST[#Headers],0)),"ERROR"))</f>
        <v>11658</v>
      </c>
      <c r="H50" s="155">
        <f>IF($B50=" ","",IFERROR(INDEX(MMWR_RATING_STATE_ROLLUP_QST[],MATCH($B50,MMWR_RATING_STATE_ROLLUP_QST[MMWR_RATING_STATE_ROLLUP_QST],0),MATCH(H$9,MMWR_RATING_STATE_ROLLUP_QST[#Headers],0)),"ERROR"))</f>
        <v>132.38823529410001</v>
      </c>
      <c r="I50" s="155">
        <f>IF($B50=" ","",IFERROR(INDEX(MMWR_RATING_STATE_ROLLUP_QST[],MATCH($B50,MMWR_RATING_STATE_ROLLUP_QST[MMWR_RATING_STATE_ROLLUP_QST],0),MATCH(I$9,MMWR_RATING_STATE_ROLLUP_QST[#Headers],0)),"ERROR"))</f>
        <v>146.25973580370001</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2096</v>
      </c>
      <c r="D51" s="155">
        <f>IF($B51=" ","",IFERROR(INDEX(MMWR_RATING_STATE_ROLLUP_QST[],MATCH($B51,MMWR_RATING_STATE_ROLLUP_QST[MMWR_RATING_STATE_ROLLUP_QST],0),MATCH(D$9,MMWR_RATING_STATE_ROLLUP_QST[#Headers],0)),"ERROR"))</f>
        <v>88.555343511499998</v>
      </c>
      <c r="E51" s="156">
        <f>IF($B51=" ","",IFERROR(INDEX(MMWR_RATING_STATE_ROLLUP_QST[],MATCH($B51,MMWR_RATING_STATE_ROLLUP_QST[MMWR_RATING_STATE_ROLLUP_QST],0),MATCH(E$9,MMWR_RATING_STATE_ROLLUP_QST[#Headers],0))/$C51,"ERROR"))</f>
        <v>0.2433206106870229</v>
      </c>
      <c r="F51" s="154">
        <f>IF($B51=" ","",IFERROR(INDEX(MMWR_RATING_STATE_ROLLUP_QST[],MATCH($B51,MMWR_RATING_STATE_ROLLUP_QST[MMWR_RATING_STATE_ROLLUP_QST],0),MATCH(F$9,MMWR_RATING_STATE_ROLLUP_QST[#Headers],0)),"ERROR"))</f>
        <v>15</v>
      </c>
      <c r="G51" s="154">
        <f>IF($B51=" ","",IFERROR(INDEX(MMWR_RATING_STATE_ROLLUP_QST[],MATCH($B51,MMWR_RATING_STATE_ROLLUP_QST[MMWR_RATING_STATE_ROLLUP_QST],0),MATCH(G$9,MMWR_RATING_STATE_ROLLUP_QST[#Headers],0)),"ERROR"))</f>
        <v>2638</v>
      </c>
      <c r="H51" s="155">
        <f>IF($B51=" ","",IFERROR(INDEX(MMWR_RATING_STATE_ROLLUP_QST[],MATCH($B51,MMWR_RATING_STATE_ROLLUP_QST[MMWR_RATING_STATE_ROLLUP_QST],0),MATCH(H$9,MMWR_RATING_STATE_ROLLUP_QST[#Headers],0)),"ERROR"))</f>
        <v>157.73333333330001</v>
      </c>
      <c r="I51" s="155">
        <f>IF($B51=" ","",IFERROR(INDEX(MMWR_RATING_STATE_ROLLUP_QST[],MATCH($B51,MMWR_RATING_STATE_ROLLUP_QST[MMWR_RATING_STATE_ROLLUP_QST],0),MATCH(I$9,MMWR_RATING_STATE_ROLLUP_QST[#Headers],0)),"ERROR"))</f>
        <v>153.13949962090001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51</v>
      </c>
      <c r="D52" s="155">
        <f>IF($B52=" ","",IFERROR(INDEX(MMWR_RATING_STATE_ROLLUP_QST[],MATCH($B52,MMWR_RATING_STATE_ROLLUP_QST[MMWR_RATING_STATE_ROLLUP_QST],0),MATCH(D$9,MMWR_RATING_STATE_ROLLUP_QST[#Headers],0)),"ERROR"))</f>
        <v>73.941176470599999</v>
      </c>
      <c r="E52" s="156">
        <f>IF($B52=" ","",IFERROR(INDEX(MMWR_RATING_STATE_ROLLUP_QST[],MATCH($B52,MMWR_RATING_STATE_ROLLUP_QST[MMWR_RATING_STATE_ROLLUP_QST],0),MATCH(E$9,MMWR_RATING_STATE_ROLLUP_QST[#Headers],0))/$C52,"ERROR"))</f>
        <v>0.23529411764705882</v>
      </c>
      <c r="F52" s="154">
        <f>IF($B52=" ","",IFERROR(INDEX(MMWR_RATING_STATE_ROLLUP_QST[],MATCH($B52,MMWR_RATING_STATE_ROLLUP_QST[MMWR_RATING_STATE_ROLLUP_QST],0),MATCH(F$9,MMWR_RATING_STATE_ROLLUP_QST[#Headers],0)),"ERROR"))</f>
        <v>0</v>
      </c>
      <c r="G52" s="154">
        <f>IF($B52=" ","",IFERROR(INDEX(MMWR_RATING_STATE_ROLLUP_QST[],MATCH($B52,MMWR_RATING_STATE_ROLLUP_QST[MMWR_RATING_STATE_ROLLUP_QST],0),MATCH(G$9,MMWR_RATING_STATE_ROLLUP_QST[#Headers],0)),"ERROR"))</f>
        <v>67</v>
      </c>
      <c r="H52" s="155">
        <f>IF($B52=" ","",IFERROR(INDEX(MMWR_RATING_STATE_ROLLUP_QST[],MATCH($B52,MMWR_RATING_STATE_ROLLUP_QST[MMWR_RATING_STATE_ROLLUP_QST],0),MATCH(H$9,MMWR_RATING_STATE_ROLLUP_QST[#Headers],0)),"ERROR"))</f>
        <v>0</v>
      </c>
      <c r="I52" s="155">
        <f>IF($B52=" ","",IFERROR(INDEX(MMWR_RATING_STATE_ROLLUP_QST[],MATCH($B52,MMWR_RATING_STATE_ROLLUP_QST[MMWR_RATING_STATE_ROLLUP_QST],0),MATCH(I$9,MMWR_RATING_STATE_ROLLUP_QST[#Headers],0)),"ERROR"))</f>
        <v>143.0149253731</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18</v>
      </c>
      <c r="D53" s="155">
        <f>IF($B53=" ","",IFERROR(INDEX(MMWR_RATING_STATE_ROLLUP_QST[],MATCH($B53,MMWR_RATING_STATE_ROLLUP_QST[MMWR_RATING_STATE_ROLLUP_QST],0),MATCH(D$9,MMWR_RATING_STATE_ROLLUP_QST[#Headers],0)),"ERROR"))</f>
        <v>116.2222222222</v>
      </c>
      <c r="E53" s="156">
        <f>IF($B53=" ","",IFERROR(INDEX(MMWR_RATING_STATE_ROLLUP_QST[],MATCH($B53,MMWR_RATING_STATE_ROLLUP_QST[MMWR_RATING_STATE_ROLLUP_QST],0),MATCH(E$9,MMWR_RATING_STATE_ROLLUP_QST[#Headers],0))/$C53,"ERROR"))</f>
        <v>0.33333333333333331</v>
      </c>
      <c r="F53" s="154">
        <f>IF($B53=" ","",IFERROR(INDEX(MMWR_RATING_STATE_ROLLUP_QST[],MATCH($B53,MMWR_RATING_STATE_ROLLUP_QST[MMWR_RATING_STATE_ROLLUP_QST],0),MATCH(F$9,MMWR_RATING_STATE_ROLLUP_QST[#Headers],0)),"ERROR"))</f>
        <v>0</v>
      </c>
      <c r="G53" s="154">
        <f>IF($B53=" ","",IFERROR(INDEX(MMWR_RATING_STATE_ROLLUP_QST[],MATCH($B53,MMWR_RATING_STATE_ROLLUP_QST[MMWR_RATING_STATE_ROLLUP_QST],0),MATCH(G$9,MMWR_RATING_STATE_ROLLUP_QST[#Headers],0)),"ERROR"))</f>
        <v>20</v>
      </c>
      <c r="H53" s="155">
        <f>IF($B53=" ","",IFERROR(INDEX(MMWR_RATING_STATE_ROLLUP_QST[],MATCH($B53,MMWR_RATING_STATE_ROLLUP_QST[MMWR_RATING_STATE_ROLLUP_QST],0),MATCH(H$9,MMWR_RATING_STATE_ROLLUP_QST[#Headers],0)),"ERROR"))</f>
        <v>0</v>
      </c>
      <c r="I53" s="155">
        <f>IF($B53=" ","",IFERROR(INDEX(MMWR_RATING_STATE_ROLLUP_QST[],MATCH($B53,MMWR_RATING_STATE_ROLLUP_QST[MMWR_RATING_STATE_ROLLUP_QST],0),MATCH(I$9,MMWR_RATING_STATE_ROLLUP_QST[#Headers],0)),"ERROR"))</f>
        <v>142.4</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15</v>
      </c>
      <c r="D54" s="155">
        <f>IF($B54=" ","",IFERROR(INDEX(MMWR_RATING_STATE_ROLLUP_QST[],MATCH($B54,MMWR_RATING_STATE_ROLLUP_QST[MMWR_RATING_STATE_ROLLUP_QST],0),MATCH(D$9,MMWR_RATING_STATE_ROLLUP_QST[#Headers],0)),"ERROR"))</f>
        <v>99.266666666700004</v>
      </c>
      <c r="E54" s="156">
        <f>IF($B54=" ","",IFERROR(INDEX(MMWR_RATING_STATE_ROLLUP_QST[],MATCH($B54,MMWR_RATING_STATE_ROLLUP_QST[MMWR_RATING_STATE_ROLLUP_QST],0),MATCH(E$9,MMWR_RATING_STATE_ROLLUP_QST[#Headers],0))/$C54,"ERROR"))</f>
        <v>0.2</v>
      </c>
      <c r="F54" s="154">
        <f>IF($B54=" ","",IFERROR(INDEX(MMWR_RATING_STATE_ROLLUP_QST[],MATCH($B54,MMWR_RATING_STATE_ROLLUP_QST[MMWR_RATING_STATE_ROLLUP_QST],0),MATCH(F$9,MMWR_RATING_STATE_ROLLUP_QST[#Headers],0)),"ERROR"))</f>
        <v>0</v>
      </c>
      <c r="G54" s="154">
        <f>IF($B54=" ","",IFERROR(INDEX(MMWR_RATING_STATE_ROLLUP_QST[],MATCH($B54,MMWR_RATING_STATE_ROLLUP_QST[MMWR_RATING_STATE_ROLLUP_QST],0),MATCH(G$9,MMWR_RATING_STATE_ROLLUP_QST[#Headers],0)),"ERROR"))</f>
        <v>21</v>
      </c>
      <c r="H54" s="155">
        <f>IF($B54=" ","",IFERROR(INDEX(MMWR_RATING_STATE_ROLLUP_QST[],MATCH($B54,MMWR_RATING_STATE_ROLLUP_QST[MMWR_RATING_STATE_ROLLUP_QST],0),MATCH(H$9,MMWR_RATING_STATE_ROLLUP_QST[#Headers],0)),"ERROR"))</f>
        <v>0</v>
      </c>
      <c r="I54" s="155">
        <f>IF($B54=" ","",IFERROR(INDEX(MMWR_RATING_STATE_ROLLUP_QST[],MATCH($B54,MMWR_RATING_STATE_ROLLUP_QST[MMWR_RATING_STATE_ROLLUP_QST],0),MATCH(I$9,MMWR_RATING_STATE_ROLLUP_QST[#Headers],0)),"ERROR"))</f>
        <v>163.19047619049999</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21</v>
      </c>
      <c r="D55" s="155">
        <f>IF($B55=" ","",IFERROR(INDEX(MMWR_RATING_STATE_ROLLUP_QST[],MATCH($B55,MMWR_RATING_STATE_ROLLUP_QST[MMWR_RATING_STATE_ROLLUP_QST],0),MATCH(D$9,MMWR_RATING_STATE_ROLLUP_QST[#Headers],0)),"ERROR"))</f>
        <v>100.1428571429</v>
      </c>
      <c r="E55" s="156">
        <f>IF($B55=" ","",IFERROR(INDEX(MMWR_RATING_STATE_ROLLUP_QST[],MATCH($B55,MMWR_RATING_STATE_ROLLUP_QST[MMWR_RATING_STATE_ROLLUP_QST],0),MATCH(E$9,MMWR_RATING_STATE_ROLLUP_QST[#Headers],0))/$C55,"ERROR"))</f>
        <v>0.38095238095238093</v>
      </c>
      <c r="F55" s="154">
        <f>IF($B55=" ","",IFERROR(INDEX(MMWR_RATING_STATE_ROLLUP_QST[],MATCH($B55,MMWR_RATING_STATE_ROLLUP_QST[MMWR_RATING_STATE_ROLLUP_QST],0),MATCH(F$9,MMWR_RATING_STATE_ROLLUP_QST[#Headers],0)),"ERROR"))</f>
        <v>0</v>
      </c>
      <c r="G55" s="154">
        <f>IF($B55=" ","",IFERROR(INDEX(MMWR_RATING_STATE_ROLLUP_QST[],MATCH($B55,MMWR_RATING_STATE_ROLLUP_QST[MMWR_RATING_STATE_ROLLUP_QST],0),MATCH(G$9,MMWR_RATING_STATE_ROLLUP_QST[#Headers],0)),"ERROR"))</f>
        <v>29</v>
      </c>
      <c r="H55" s="155">
        <f>IF($B55=" ","",IFERROR(INDEX(MMWR_RATING_STATE_ROLLUP_QST[],MATCH($B55,MMWR_RATING_STATE_ROLLUP_QST[MMWR_RATING_STATE_ROLLUP_QST],0),MATCH(H$9,MMWR_RATING_STATE_ROLLUP_QST[#Headers],0)),"ERROR"))</f>
        <v>0</v>
      </c>
      <c r="I55" s="155">
        <f>IF($B55=" ","",IFERROR(INDEX(MMWR_RATING_STATE_ROLLUP_QST[],MATCH($B55,MMWR_RATING_STATE_ROLLUP_QST[MMWR_RATING_STATE_ROLLUP_QST],0),MATCH(I$9,MMWR_RATING_STATE_ROLLUP_QST[#Headers],0)),"ERROR"))</f>
        <v>150.4137931034</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218</v>
      </c>
      <c r="D56" s="155">
        <f>IF($B56=" ","",IFERROR(INDEX(MMWR_RATING_STATE_ROLLUP_QST[],MATCH($B56,MMWR_RATING_STATE_ROLLUP_QST[MMWR_RATING_STATE_ROLLUP_QST],0),MATCH(D$9,MMWR_RATING_STATE_ROLLUP_QST[#Headers],0)),"ERROR"))</f>
        <v>83.587155963300006</v>
      </c>
      <c r="E56" s="156">
        <f>IF($B56=" ","",IFERROR(INDEX(MMWR_RATING_STATE_ROLLUP_QST[],MATCH($B56,MMWR_RATING_STATE_ROLLUP_QST[MMWR_RATING_STATE_ROLLUP_QST],0),MATCH(E$9,MMWR_RATING_STATE_ROLLUP_QST[#Headers],0))/$C56,"ERROR"))</f>
        <v>0.21559633027522937</v>
      </c>
      <c r="F56" s="154">
        <f>IF($B56=" ","",IFERROR(INDEX(MMWR_RATING_STATE_ROLLUP_QST[],MATCH($B56,MMWR_RATING_STATE_ROLLUP_QST[MMWR_RATING_STATE_ROLLUP_QST],0),MATCH(F$9,MMWR_RATING_STATE_ROLLUP_QST[#Headers],0)),"ERROR"))</f>
        <v>1</v>
      </c>
      <c r="G56" s="154">
        <f>IF($B56=" ","",IFERROR(INDEX(MMWR_RATING_STATE_ROLLUP_QST[],MATCH($B56,MMWR_RATING_STATE_ROLLUP_QST[MMWR_RATING_STATE_ROLLUP_QST],0),MATCH(G$9,MMWR_RATING_STATE_ROLLUP_QST[#Headers],0)),"ERROR"))</f>
        <v>292</v>
      </c>
      <c r="H56" s="155">
        <f>IF($B56=" ","",IFERROR(INDEX(MMWR_RATING_STATE_ROLLUP_QST[],MATCH($B56,MMWR_RATING_STATE_ROLLUP_QST[MMWR_RATING_STATE_ROLLUP_QST],0),MATCH(H$9,MMWR_RATING_STATE_ROLLUP_QST[#Headers],0)),"ERROR"))</f>
        <v>153</v>
      </c>
      <c r="I56" s="155">
        <f>IF($B56=" ","",IFERROR(INDEX(MMWR_RATING_STATE_ROLLUP_QST[],MATCH($B56,MMWR_RATING_STATE_ROLLUP_QST[MMWR_RATING_STATE_ROLLUP_QST],0),MATCH(I$9,MMWR_RATING_STATE_ROLLUP_QST[#Headers],0)),"ERROR"))</f>
        <v>151.5171232877</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72</v>
      </c>
      <c r="D57" s="155">
        <f>IF($B57=" ","",IFERROR(INDEX(MMWR_RATING_STATE_ROLLUP_QST[],MATCH($B57,MMWR_RATING_STATE_ROLLUP_QST[MMWR_RATING_STATE_ROLLUP_QST],0),MATCH(D$9,MMWR_RATING_STATE_ROLLUP_QST[#Headers],0)),"ERROR"))</f>
        <v>85.361111111100001</v>
      </c>
      <c r="E57" s="156">
        <f>IF($B57=" ","",IFERROR(INDEX(MMWR_RATING_STATE_ROLLUP_QST[],MATCH($B57,MMWR_RATING_STATE_ROLLUP_QST[MMWR_RATING_STATE_ROLLUP_QST],0),MATCH(E$9,MMWR_RATING_STATE_ROLLUP_QST[#Headers],0))/$C57,"ERROR"))</f>
        <v>0.2361111111111111</v>
      </c>
      <c r="F57" s="154">
        <f>IF($B57=" ","",IFERROR(INDEX(MMWR_RATING_STATE_ROLLUP_QST[],MATCH($B57,MMWR_RATING_STATE_ROLLUP_QST[MMWR_RATING_STATE_ROLLUP_QST],0),MATCH(F$9,MMWR_RATING_STATE_ROLLUP_QST[#Headers],0)),"ERROR"))</f>
        <v>0</v>
      </c>
      <c r="G57" s="154">
        <f>IF($B57=" ","",IFERROR(INDEX(MMWR_RATING_STATE_ROLLUP_QST[],MATCH($B57,MMWR_RATING_STATE_ROLLUP_QST[MMWR_RATING_STATE_ROLLUP_QST],0),MATCH(G$9,MMWR_RATING_STATE_ROLLUP_QST[#Headers],0)),"ERROR"))</f>
        <v>116</v>
      </c>
      <c r="H57" s="155">
        <f>IF($B57=" ","",IFERROR(INDEX(MMWR_RATING_STATE_ROLLUP_QST[],MATCH($B57,MMWR_RATING_STATE_ROLLUP_QST[MMWR_RATING_STATE_ROLLUP_QST],0),MATCH(H$9,MMWR_RATING_STATE_ROLLUP_QST[#Headers],0)),"ERROR"))</f>
        <v>0</v>
      </c>
      <c r="I57" s="155">
        <f>IF($B57=" ","",IFERROR(INDEX(MMWR_RATING_STATE_ROLLUP_QST[],MATCH($B57,MMWR_RATING_STATE_ROLLUP_QST[MMWR_RATING_STATE_ROLLUP_QST],0),MATCH(I$9,MMWR_RATING_STATE_ROLLUP_QST[#Headers],0)),"ERROR"))</f>
        <v>146.80172413790001</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17</v>
      </c>
      <c r="D58" s="155">
        <f>IF($B58=" ","",IFERROR(INDEX(MMWR_RATING_STATE_ROLLUP_QST[],MATCH($B58,MMWR_RATING_STATE_ROLLUP_QST[MMWR_RATING_STATE_ROLLUP_QST],0),MATCH(D$9,MMWR_RATING_STATE_ROLLUP_QST[#Headers],0)),"ERROR"))</f>
        <v>96.294117647099995</v>
      </c>
      <c r="E58" s="156">
        <f>IF($B58=" ","",IFERROR(INDEX(MMWR_RATING_STATE_ROLLUP_QST[],MATCH($B58,MMWR_RATING_STATE_ROLLUP_QST[MMWR_RATING_STATE_ROLLUP_QST],0),MATCH(E$9,MMWR_RATING_STATE_ROLLUP_QST[#Headers],0))/$C58,"ERROR"))</f>
        <v>0.29411764705882354</v>
      </c>
      <c r="F58" s="154">
        <f>IF($B58=" ","",IFERROR(INDEX(MMWR_RATING_STATE_ROLLUP_QST[],MATCH($B58,MMWR_RATING_STATE_ROLLUP_QST[MMWR_RATING_STATE_ROLLUP_QST],0),MATCH(F$9,MMWR_RATING_STATE_ROLLUP_QST[#Headers],0)),"ERROR"))</f>
        <v>1</v>
      </c>
      <c r="G58" s="154">
        <f>IF($B58=" ","",IFERROR(INDEX(MMWR_RATING_STATE_ROLLUP_QST[],MATCH($B58,MMWR_RATING_STATE_ROLLUP_QST[MMWR_RATING_STATE_ROLLUP_QST],0),MATCH(G$9,MMWR_RATING_STATE_ROLLUP_QST[#Headers],0)),"ERROR"))</f>
        <v>30</v>
      </c>
      <c r="H58" s="155">
        <f>IF($B58=" ","",IFERROR(INDEX(MMWR_RATING_STATE_ROLLUP_QST[],MATCH($B58,MMWR_RATING_STATE_ROLLUP_QST[MMWR_RATING_STATE_ROLLUP_QST],0),MATCH(H$9,MMWR_RATING_STATE_ROLLUP_QST[#Headers],0)),"ERROR"))</f>
        <v>113</v>
      </c>
      <c r="I58" s="155">
        <f>IF($B58=" ","",IFERROR(INDEX(MMWR_RATING_STATE_ROLLUP_QST[],MATCH($B58,MMWR_RATING_STATE_ROLLUP_QST[MMWR_RATING_STATE_ROLLUP_QST],0),MATCH(I$9,MMWR_RATING_STATE_ROLLUP_QST[#Headers],0)),"ERROR"))</f>
        <v>152.9</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114</v>
      </c>
      <c r="D59" s="155">
        <f>IF($B59=" ","",IFERROR(INDEX(MMWR_RATING_STATE_ROLLUP_QST[],MATCH($B59,MMWR_RATING_STATE_ROLLUP_QST[MMWR_RATING_STATE_ROLLUP_QST],0),MATCH(D$9,MMWR_RATING_STATE_ROLLUP_QST[#Headers],0)),"ERROR"))</f>
        <v>91.763157894700001</v>
      </c>
      <c r="E59" s="156">
        <f>IF($B59=" ","",IFERROR(INDEX(MMWR_RATING_STATE_ROLLUP_QST[],MATCH($B59,MMWR_RATING_STATE_ROLLUP_QST[MMWR_RATING_STATE_ROLLUP_QST],0),MATCH(E$9,MMWR_RATING_STATE_ROLLUP_QST[#Headers],0))/$C59,"ERROR"))</f>
        <v>0.2807017543859649</v>
      </c>
      <c r="F59" s="154">
        <f>IF($B59=" ","",IFERROR(INDEX(MMWR_RATING_STATE_ROLLUP_QST[],MATCH($B59,MMWR_RATING_STATE_ROLLUP_QST[MMWR_RATING_STATE_ROLLUP_QST],0),MATCH(F$9,MMWR_RATING_STATE_ROLLUP_QST[#Headers],0)),"ERROR"))</f>
        <v>1</v>
      </c>
      <c r="G59" s="154">
        <f>IF($B59=" ","",IFERROR(INDEX(MMWR_RATING_STATE_ROLLUP_QST[],MATCH($B59,MMWR_RATING_STATE_ROLLUP_QST[MMWR_RATING_STATE_ROLLUP_QST],0),MATCH(G$9,MMWR_RATING_STATE_ROLLUP_QST[#Headers],0)),"ERROR"))</f>
        <v>112</v>
      </c>
      <c r="H59" s="155">
        <f>IF($B59=" ","",IFERROR(INDEX(MMWR_RATING_STATE_ROLLUP_QST[],MATCH($B59,MMWR_RATING_STATE_ROLLUP_QST[MMWR_RATING_STATE_ROLLUP_QST],0),MATCH(H$9,MMWR_RATING_STATE_ROLLUP_QST[#Headers],0)),"ERROR"))</f>
        <v>147</v>
      </c>
      <c r="I59" s="155">
        <f>IF($B59=" ","",IFERROR(INDEX(MMWR_RATING_STATE_ROLLUP_QST[],MATCH($B59,MMWR_RATING_STATE_ROLLUP_QST[MMWR_RATING_STATE_ROLLUP_QST],0),MATCH(I$9,MMWR_RATING_STATE_ROLLUP_QST[#Headers],0)),"ERROR"))</f>
        <v>149.25892857139999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232</v>
      </c>
      <c r="D60" s="155">
        <f>IF($B60=" ","",IFERROR(INDEX(MMWR_RATING_STATE_ROLLUP_QST[],MATCH($B60,MMWR_RATING_STATE_ROLLUP_QST[MMWR_RATING_STATE_ROLLUP_QST],0),MATCH(D$9,MMWR_RATING_STATE_ROLLUP_QST[#Headers],0)),"ERROR"))</f>
        <v>82.452586206899994</v>
      </c>
      <c r="E60" s="156">
        <f>IF($B60=" ","",IFERROR(INDEX(MMWR_RATING_STATE_ROLLUP_QST[],MATCH($B60,MMWR_RATING_STATE_ROLLUP_QST[MMWR_RATING_STATE_ROLLUP_QST],0),MATCH(E$9,MMWR_RATING_STATE_ROLLUP_QST[#Headers],0))/$C60,"ERROR"))</f>
        <v>0.21982758620689655</v>
      </c>
      <c r="F60" s="154">
        <f>IF($B60=" ","",IFERROR(INDEX(MMWR_RATING_STATE_ROLLUP_QST[],MATCH($B60,MMWR_RATING_STATE_ROLLUP_QST[MMWR_RATING_STATE_ROLLUP_QST],0),MATCH(F$9,MMWR_RATING_STATE_ROLLUP_QST[#Headers],0)),"ERROR"))</f>
        <v>3</v>
      </c>
      <c r="G60" s="154">
        <f>IF($B60=" ","",IFERROR(INDEX(MMWR_RATING_STATE_ROLLUP_QST[],MATCH($B60,MMWR_RATING_STATE_ROLLUP_QST[MMWR_RATING_STATE_ROLLUP_QST],0),MATCH(G$9,MMWR_RATING_STATE_ROLLUP_QST[#Headers],0)),"ERROR"))</f>
        <v>283</v>
      </c>
      <c r="H60" s="155">
        <f>IF($B60=" ","",IFERROR(INDEX(MMWR_RATING_STATE_ROLLUP_QST[],MATCH($B60,MMWR_RATING_STATE_ROLLUP_QST[MMWR_RATING_STATE_ROLLUP_QST],0),MATCH(H$9,MMWR_RATING_STATE_ROLLUP_QST[#Headers],0)),"ERROR"))</f>
        <v>150.3333333333</v>
      </c>
      <c r="I60" s="155">
        <f>IF($B60=" ","",IFERROR(INDEX(MMWR_RATING_STATE_ROLLUP_QST[],MATCH($B60,MMWR_RATING_STATE_ROLLUP_QST[MMWR_RATING_STATE_ROLLUP_QST],0),MATCH(I$9,MMWR_RATING_STATE_ROLLUP_QST[#Headers],0)),"ERROR"))</f>
        <v>140.777385159</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522</v>
      </c>
      <c r="D61" s="155">
        <f>IF($B61=" ","",IFERROR(INDEX(MMWR_RATING_STATE_ROLLUP_QST[],MATCH($B61,MMWR_RATING_STATE_ROLLUP_QST[MMWR_RATING_STATE_ROLLUP_QST],0),MATCH(D$9,MMWR_RATING_STATE_ROLLUP_QST[#Headers],0)),"ERROR"))</f>
        <v>94.737547892699993</v>
      </c>
      <c r="E61" s="156">
        <f>IF($B61=" ","",IFERROR(INDEX(MMWR_RATING_STATE_ROLLUP_QST[],MATCH($B61,MMWR_RATING_STATE_ROLLUP_QST[MMWR_RATING_STATE_ROLLUP_QST],0),MATCH(E$9,MMWR_RATING_STATE_ROLLUP_QST[#Headers],0))/$C61,"ERROR"))</f>
        <v>0.27969348659003829</v>
      </c>
      <c r="F61" s="154">
        <f>IF($B61=" ","",IFERROR(INDEX(MMWR_RATING_STATE_ROLLUP_QST[],MATCH($B61,MMWR_RATING_STATE_ROLLUP_QST[MMWR_RATING_STATE_ROLLUP_QST],0),MATCH(F$9,MMWR_RATING_STATE_ROLLUP_QST[#Headers],0)),"ERROR"))</f>
        <v>5</v>
      </c>
      <c r="G61" s="154">
        <f>IF($B61=" ","",IFERROR(INDEX(MMWR_RATING_STATE_ROLLUP_QST[],MATCH($B61,MMWR_RATING_STATE_ROLLUP_QST[MMWR_RATING_STATE_ROLLUP_QST],0),MATCH(G$9,MMWR_RATING_STATE_ROLLUP_QST[#Headers],0)),"ERROR"))</f>
        <v>644</v>
      </c>
      <c r="H61" s="155">
        <f>IF($B61=" ","",IFERROR(INDEX(MMWR_RATING_STATE_ROLLUP_QST[],MATCH($B61,MMWR_RATING_STATE_ROLLUP_QST[MMWR_RATING_STATE_ROLLUP_QST],0),MATCH(H$9,MMWR_RATING_STATE_ROLLUP_QST[#Headers],0)),"ERROR"))</f>
        <v>190.6</v>
      </c>
      <c r="I61" s="155">
        <f>IF($B61=" ","",IFERROR(INDEX(MMWR_RATING_STATE_ROLLUP_QST[],MATCH($B61,MMWR_RATING_STATE_ROLLUP_QST[MMWR_RATING_STATE_ROLLUP_QST],0),MATCH(I$9,MMWR_RATING_STATE_ROLLUP_QST[#Headers],0)),"ERROR"))</f>
        <v>154.38819875780001</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172</v>
      </c>
      <c r="D62" s="155">
        <f>IF($B62=" ","",IFERROR(INDEX(MMWR_RATING_STATE_ROLLUP_QST[],MATCH($B62,MMWR_RATING_STATE_ROLLUP_QST[MMWR_RATING_STATE_ROLLUP_QST],0),MATCH(D$9,MMWR_RATING_STATE_ROLLUP_QST[#Headers],0)),"ERROR"))</f>
        <v>89.174418604699994</v>
      </c>
      <c r="E62" s="156">
        <f>IF($B62=" ","",IFERROR(INDEX(MMWR_RATING_STATE_ROLLUP_QST[],MATCH($B62,MMWR_RATING_STATE_ROLLUP_QST[MMWR_RATING_STATE_ROLLUP_QST],0),MATCH(E$9,MMWR_RATING_STATE_ROLLUP_QST[#Headers],0))/$C62,"ERROR"))</f>
        <v>0.23255813953488372</v>
      </c>
      <c r="F62" s="154">
        <f>IF($B62=" ","",IFERROR(INDEX(MMWR_RATING_STATE_ROLLUP_QST[],MATCH($B62,MMWR_RATING_STATE_ROLLUP_QST[MMWR_RATING_STATE_ROLLUP_QST],0),MATCH(F$9,MMWR_RATING_STATE_ROLLUP_QST[#Headers],0)),"ERROR"))</f>
        <v>1</v>
      </c>
      <c r="G62" s="154">
        <f>IF($B62=" ","",IFERROR(INDEX(MMWR_RATING_STATE_ROLLUP_QST[],MATCH($B62,MMWR_RATING_STATE_ROLLUP_QST[MMWR_RATING_STATE_ROLLUP_QST],0),MATCH(G$9,MMWR_RATING_STATE_ROLLUP_QST[#Headers],0)),"ERROR"))</f>
        <v>235</v>
      </c>
      <c r="H62" s="155">
        <f>IF($B62=" ","",IFERROR(INDEX(MMWR_RATING_STATE_ROLLUP_QST[],MATCH($B62,MMWR_RATING_STATE_ROLLUP_QST[MMWR_RATING_STATE_ROLLUP_QST],0),MATCH(H$9,MMWR_RATING_STATE_ROLLUP_QST[#Headers],0)),"ERROR"))</f>
        <v>210</v>
      </c>
      <c r="I62" s="155">
        <f>IF($B62=" ","",IFERROR(INDEX(MMWR_RATING_STATE_ROLLUP_QST[],MATCH($B62,MMWR_RATING_STATE_ROLLUP_QST[MMWR_RATING_STATE_ROLLUP_QST],0),MATCH(I$9,MMWR_RATING_STATE_ROLLUP_QST[#Headers],0)),"ERROR"))</f>
        <v>145.2638297872</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12</v>
      </c>
      <c r="D63" s="155">
        <f>IF($B63=" ","",IFERROR(INDEX(MMWR_RATING_STATE_ROLLUP_QST[],MATCH($B63,MMWR_RATING_STATE_ROLLUP_QST[MMWR_RATING_STATE_ROLLUP_QST],0),MATCH(D$9,MMWR_RATING_STATE_ROLLUP_QST[#Headers],0)),"ERROR"))</f>
        <v>81.25</v>
      </c>
      <c r="E63" s="156">
        <f>IF($B63=" ","",IFERROR(INDEX(MMWR_RATING_STATE_ROLLUP_QST[],MATCH($B63,MMWR_RATING_STATE_ROLLUP_QST[MMWR_RATING_STATE_ROLLUP_QST],0),MATCH(E$9,MMWR_RATING_STATE_ROLLUP_QST[#Headers],0))/$C63,"ERROR"))</f>
        <v>0.25</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14</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173.07142857139999</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5</v>
      </c>
      <c r="D64" s="155">
        <f>IF($B64=" ","",IFERROR(INDEX(MMWR_RATING_STATE_ROLLUP_QST[],MATCH($B64,MMWR_RATING_STATE_ROLLUP_QST[MMWR_RATING_STATE_ROLLUP_QST],0),MATCH(D$9,MMWR_RATING_STATE_ROLLUP_QST[#Headers],0)),"ERROR"))</f>
        <v>48.8</v>
      </c>
      <c r="E64" s="156">
        <f>IF($B64=" ","",IFERROR(INDEX(MMWR_RATING_STATE_ROLLUP_QST[],MATCH($B64,MMWR_RATING_STATE_ROLLUP_QST[MMWR_RATING_STATE_ROLLUP_QST],0),MATCH(E$9,MMWR_RATING_STATE_ROLLUP_QST[#Headers],0))/$C64,"ERROR"))</f>
        <v>0.2</v>
      </c>
      <c r="F64" s="154">
        <f>IF($B64=" ","",IFERROR(INDEX(MMWR_RATING_STATE_ROLLUP_QST[],MATCH($B64,MMWR_RATING_STATE_ROLLUP_QST[MMWR_RATING_STATE_ROLLUP_QST],0),MATCH(F$9,MMWR_RATING_STATE_ROLLUP_QST[#Headers],0)),"ERROR"))</f>
        <v>0</v>
      </c>
      <c r="G64" s="154">
        <f>IF($B64=" ","",IFERROR(INDEX(MMWR_RATING_STATE_ROLLUP_QST[],MATCH($B64,MMWR_RATING_STATE_ROLLUP_QST[MMWR_RATING_STATE_ROLLUP_QST],0),MATCH(G$9,MMWR_RATING_STATE_ROLLUP_QST[#Headers],0)),"ERROR"))</f>
        <v>6</v>
      </c>
      <c r="H64" s="155">
        <f>IF($B64=" ","",IFERROR(INDEX(MMWR_RATING_STATE_ROLLUP_QST[],MATCH($B64,MMWR_RATING_STATE_ROLLUP_QST[MMWR_RATING_STATE_ROLLUP_QST],0),MATCH(H$9,MMWR_RATING_STATE_ROLLUP_QST[#Headers],0)),"ERROR"))</f>
        <v>0</v>
      </c>
      <c r="I64" s="155">
        <f>IF($B64=" ","",IFERROR(INDEX(MMWR_RATING_STATE_ROLLUP_QST[],MATCH($B64,MMWR_RATING_STATE_ROLLUP_QST[MMWR_RATING_STATE_ROLLUP_QST],0),MATCH(I$9,MMWR_RATING_STATE_ROLLUP_QST[#Headers],0)),"ERROR"))</f>
        <v>135.1666666667</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606</v>
      </c>
      <c r="D65" s="155">
        <f>IF($B65=" ","",IFERROR(INDEX(MMWR_RATING_STATE_ROLLUP_QST[],MATCH($B65,MMWR_RATING_STATE_ROLLUP_QST[MMWR_RATING_STATE_ROLLUP_QST],0),MATCH(D$9,MMWR_RATING_STATE_ROLLUP_QST[#Headers],0)),"ERROR"))</f>
        <v>87.141914191400005</v>
      </c>
      <c r="E65" s="156">
        <f>IF($B65=" ","",IFERROR(INDEX(MMWR_RATING_STATE_ROLLUP_QST[],MATCH($B65,MMWR_RATING_STATE_ROLLUP_QST[MMWR_RATING_STATE_ROLLUP_QST],0),MATCH(E$9,MMWR_RATING_STATE_ROLLUP_QST[#Headers],0))/$C65,"ERROR"))</f>
        <v>0.22442244224422442</v>
      </c>
      <c r="F65" s="154">
        <f>IF($B65=" ","",IFERROR(INDEX(MMWR_RATING_STATE_ROLLUP_QST[],MATCH($B65,MMWR_RATING_STATE_ROLLUP_QST[MMWR_RATING_STATE_ROLLUP_QST],0),MATCH(F$9,MMWR_RATING_STATE_ROLLUP_QST[#Headers],0)),"ERROR"))</f>
        <v>3</v>
      </c>
      <c r="G65" s="154">
        <f>IF($B65=" ","",IFERROR(INDEX(MMWR_RATING_STATE_ROLLUP_QST[],MATCH($B65,MMWR_RATING_STATE_ROLLUP_QST[MMWR_RATING_STATE_ROLLUP_QST],0),MATCH(G$9,MMWR_RATING_STATE_ROLLUP_QST[#Headers],0)),"ERROR"))</f>
        <v>743</v>
      </c>
      <c r="H65" s="155">
        <f>IF($B65=" ","",IFERROR(INDEX(MMWR_RATING_STATE_ROLLUP_QST[],MATCH($B65,MMWR_RATING_STATE_ROLLUP_QST[MMWR_RATING_STATE_ROLLUP_QST],0),MATCH(H$9,MMWR_RATING_STATE_ROLLUP_QST[#Headers],0)),"ERROR"))</f>
        <v>113</v>
      </c>
      <c r="I65" s="155">
        <f>IF($B65=" ","",IFERROR(INDEX(MMWR_RATING_STATE_ROLLUP_QST[],MATCH($B65,MMWR_RATING_STATE_ROLLUP_QST[MMWR_RATING_STATE_ROLLUP_QST],0),MATCH(I$9,MMWR_RATING_STATE_ROLLUP_QST[#Headers],0)),"ERROR"))</f>
        <v>162.52220726780001</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21</v>
      </c>
      <c r="D66" s="155">
        <f>IF($B66=" ","",IFERROR(INDEX(MMWR_RATING_STATE_ROLLUP_QST[],MATCH($B66,MMWR_RATING_STATE_ROLLUP_QST[MMWR_RATING_STATE_ROLLUP_QST],0),MATCH(D$9,MMWR_RATING_STATE_ROLLUP_QST[#Headers],0)),"ERROR"))</f>
        <v>83.047619047599994</v>
      </c>
      <c r="E66" s="156">
        <f>IF($B66=" ","",IFERROR(INDEX(MMWR_RATING_STATE_ROLLUP_QST[],MATCH($B66,MMWR_RATING_STATE_ROLLUP_QST[MMWR_RATING_STATE_ROLLUP_QST],0),MATCH(E$9,MMWR_RATING_STATE_ROLLUP_QST[#Headers],0))/$C66,"ERROR"))</f>
        <v>0.14285714285714285</v>
      </c>
      <c r="F66" s="154">
        <f>IF($B66=" ","",IFERROR(INDEX(MMWR_RATING_STATE_ROLLUP_QST[],MATCH($B66,MMWR_RATING_STATE_ROLLUP_QST[MMWR_RATING_STATE_ROLLUP_QST],0),MATCH(F$9,MMWR_RATING_STATE_ROLLUP_QST[#Headers],0)),"ERROR"))</f>
        <v>0</v>
      </c>
      <c r="G66" s="154">
        <f>IF($B66=" ","",IFERROR(INDEX(MMWR_RATING_STATE_ROLLUP_QST[],MATCH($B66,MMWR_RATING_STATE_ROLLUP_QST[MMWR_RATING_STATE_ROLLUP_QST],0),MATCH(G$9,MMWR_RATING_STATE_ROLLUP_QST[#Headers],0)),"ERROR"))</f>
        <v>26</v>
      </c>
      <c r="H66" s="155">
        <f>IF($B66=" ","",IFERROR(INDEX(MMWR_RATING_STATE_ROLLUP_QST[],MATCH($B66,MMWR_RATING_STATE_ROLLUP_QST[MMWR_RATING_STATE_ROLLUP_QST],0),MATCH(H$9,MMWR_RATING_STATE_ROLLUP_QST[#Headers],0)),"ERROR"))</f>
        <v>0</v>
      </c>
      <c r="I66" s="155">
        <f>IF($B66=" ","",IFERROR(INDEX(MMWR_RATING_STATE_ROLLUP_QST[],MATCH($B66,MMWR_RATING_STATE_ROLLUP_QST[MMWR_RATING_STATE_ROLLUP_QST],0),MATCH(I$9,MMWR_RATING_STATE_ROLLUP_QST[#Headers],0)),"ERROR"))</f>
        <v>146</v>
      </c>
      <c r="J66" s="42"/>
      <c r="K66" s="42"/>
      <c r="L66" s="42"/>
      <c r="M66" s="42"/>
      <c r="N66" s="28"/>
    </row>
    <row r="67" spans="1:14" x14ac:dyDescent="0.2">
      <c r="A67" s="25"/>
      <c r="B67" s="341" t="s">
        <v>1041</v>
      </c>
      <c r="C67" s="342"/>
      <c r="D67" s="342"/>
      <c r="E67" s="342"/>
      <c r="F67" s="342"/>
      <c r="G67" s="342"/>
      <c r="H67" s="342"/>
      <c r="I67" s="342"/>
      <c r="J67" s="342"/>
      <c r="K67" s="342"/>
      <c r="L67" s="342"/>
      <c r="M67" s="392"/>
      <c r="N67" s="28"/>
    </row>
    <row r="68" spans="1:14" ht="25.5" x14ac:dyDescent="0.2">
      <c r="A68" s="25"/>
      <c r="B68" s="250" t="s">
        <v>1037</v>
      </c>
      <c r="C68" s="154">
        <f>IF($B68=" ","",IFERROR(INDEX(MMWR_RATING_STATE_ROLLUP_BDD[],MATCH($B68,MMWR_RATING_STATE_ROLLUP_BDD[MMWR_RATING_STATE_ROLLUP_BDD],0),MATCH(C$9,MMWR_RATING_STATE_ROLLUP_BDD[#Headers],0)),"ERROR"))</f>
        <v>9633</v>
      </c>
      <c r="D68" s="155">
        <f>IF($B68=" ","",IFERROR(INDEX(MMWR_RATING_STATE_ROLLUP_BDD[],MATCH($B68,MMWR_RATING_STATE_ROLLUP_BDD[MMWR_RATING_STATE_ROLLUP_BDD],0),MATCH(D$9,MMWR_RATING_STATE_ROLLUP_BDD[#Headers],0)),"ERROR"))</f>
        <v>79.398110661299995</v>
      </c>
      <c r="E68" s="156">
        <f>IF($B68=" ","",IFERROR(INDEX(MMWR_RATING_STATE_ROLLUP_BDD[],MATCH($B68,MMWR_RATING_STATE_ROLLUP_BDD[MMWR_RATING_STATE_ROLLUP_BDD],0),MATCH(E$9,MMWR_RATING_STATE_ROLLUP_BDD[#Headers],0))/$C68,"ERROR"))</f>
        <v>0.18083670715249664</v>
      </c>
      <c r="F68" s="154">
        <f>IF($B68=" ","",IFERROR(INDEX(MMWR_RATING_STATE_ROLLUP_BDD[],MATCH($B68,MMWR_RATING_STATE_ROLLUP_BDD[MMWR_RATING_STATE_ROLLUP_BDD],0),MATCH(F$9,MMWR_RATING_STATE_ROLLUP_BDD[#Headers],0)),"ERROR"))</f>
        <v>92</v>
      </c>
      <c r="G68" s="154">
        <f>IF($B68=" ","",IFERROR(INDEX(MMWR_RATING_STATE_ROLLUP_BDD[],MATCH($B68,MMWR_RATING_STATE_ROLLUP_BDD[MMWR_RATING_STATE_ROLLUP_BDD],0),MATCH(G$9,MMWR_RATING_STATE_ROLLUP_BDD[#Headers],0)),"ERROR"))</f>
        <v>14043</v>
      </c>
      <c r="H68" s="155">
        <f>IF($B68=" ","",IFERROR(INDEX(MMWR_RATING_STATE_ROLLUP_BDD[],MATCH($B68,MMWR_RATING_STATE_ROLLUP_BDD[MMWR_RATING_STATE_ROLLUP_BDD],0),MATCH(H$9,MMWR_RATING_STATE_ROLLUP_BDD[#Headers],0)),"ERROR"))</f>
        <v>126.6086956522</v>
      </c>
      <c r="I68" s="155">
        <f>IF($B68=" ","",IFERROR(INDEX(MMWR_RATING_STATE_ROLLUP_BDD[],MATCH($B68,MMWR_RATING_STATE_ROLLUP_BDD[MMWR_RATING_STATE_ROLLUP_BDD],0),MATCH(I$9,MMWR_RATING_STATE_ROLLUP_BDD[#Headers],0)),"ERROR"))</f>
        <v>138.49675995160001</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2783</v>
      </c>
      <c r="D69" s="155">
        <f>IF($B69=" ","",IFERROR(INDEX(MMWR_RATING_STATE_ROLLUP_BDD[],MATCH($B69,MMWR_RATING_STATE_ROLLUP_BDD[MMWR_RATING_STATE_ROLLUP_BDD],0),MATCH(D$9,MMWR_RATING_STATE_ROLLUP_BDD[#Headers],0)),"ERROR"))</f>
        <v>84.5659360402</v>
      </c>
      <c r="E69" s="156">
        <f>IF($B69=" ","",IFERROR(INDEX(MMWR_RATING_STATE_ROLLUP_BDD[],MATCH($B69,MMWR_RATING_STATE_ROLLUP_BDD[MMWR_RATING_STATE_ROLLUP_BDD],0),MATCH(E$9,MMWR_RATING_STATE_ROLLUP_BDD[#Headers],0))/$C69,"ERROR"))</f>
        <v>0.1911606180380884</v>
      </c>
      <c r="F69" s="154">
        <f>IF($B69=" ","",IFERROR(INDEX(MMWR_RATING_STATE_ROLLUP_BDD[],MATCH($B69,MMWR_RATING_STATE_ROLLUP_BDD[MMWR_RATING_STATE_ROLLUP_BDD],0),MATCH(F$9,MMWR_RATING_STATE_ROLLUP_BDD[#Headers],0)),"ERROR"))</f>
        <v>25</v>
      </c>
      <c r="G69" s="154">
        <f>IF($B69=" ","",IFERROR(INDEX(MMWR_RATING_STATE_ROLLUP_BDD[],MATCH($B69,MMWR_RATING_STATE_ROLLUP_BDD[MMWR_RATING_STATE_ROLLUP_BDD],0),MATCH(G$9,MMWR_RATING_STATE_ROLLUP_BDD[#Headers],0)),"ERROR"))</f>
        <v>3657</v>
      </c>
      <c r="H69" s="155">
        <f>IF($B69=" ","",IFERROR(INDEX(MMWR_RATING_STATE_ROLLUP_BDD[],MATCH($B69,MMWR_RATING_STATE_ROLLUP_BDD[MMWR_RATING_STATE_ROLLUP_BDD],0),MATCH(H$9,MMWR_RATING_STATE_ROLLUP_BDD[#Headers],0)),"ERROR"))</f>
        <v>143.4</v>
      </c>
      <c r="I69" s="155">
        <f>IF($B69=" ","",IFERROR(INDEX(MMWR_RATING_STATE_ROLLUP_BDD[],MATCH($B69,MMWR_RATING_STATE_ROLLUP_BDD[MMWR_RATING_STATE_ROLLUP_BDD],0),MATCH(I$9,MMWR_RATING_STATE_ROLLUP_BDD[#Headers],0)),"ERROR"))</f>
        <v>149.11730926990001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46</v>
      </c>
      <c r="D70" s="155">
        <f>IF($B70=" ","",IFERROR(INDEX(MMWR_RATING_STATE_ROLLUP_BDD[],MATCH($B70,MMWR_RATING_STATE_ROLLUP_BDD[MMWR_RATING_STATE_ROLLUP_BDD],0),MATCH(D$9,MMWR_RATING_STATE_ROLLUP_BDD[#Headers],0)),"ERROR"))</f>
        <v>85.282608695700006</v>
      </c>
      <c r="E70" s="156">
        <f>IF($B70=" ","",IFERROR(INDEX(MMWR_RATING_STATE_ROLLUP_BDD[],MATCH($B70,MMWR_RATING_STATE_ROLLUP_BDD[MMWR_RATING_STATE_ROLLUP_BDD],0),MATCH(E$9,MMWR_RATING_STATE_ROLLUP_BDD[#Headers],0))/$C70,"ERROR"))</f>
        <v>0.21739130434782608</v>
      </c>
      <c r="F70" s="154">
        <f>IF($B70=" ","",IFERROR(INDEX(MMWR_RATING_STATE_ROLLUP_BDD[],MATCH($B70,MMWR_RATING_STATE_ROLLUP_BDD[MMWR_RATING_STATE_ROLLUP_BDD],0),MATCH(F$9,MMWR_RATING_STATE_ROLLUP_BDD[#Headers],0)),"ERROR"))</f>
        <v>0</v>
      </c>
      <c r="G70" s="154">
        <f>IF($B70=" ","",IFERROR(INDEX(MMWR_RATING_STATE_ROLLUP_BDD[],MATCH($B70,MMWR_RATING_STATE_ROLLUP_BDD[MMWR_RATING_STATE_ROLLUP_BDD],0),MATCH(G$9,MMWR_RATING_STATE_ROLLUP_BDD[#Headers],0)),"ERROR"))</f>
        <v>80</v>
      </c>
      <c r="H70" s="155">
        <f>IF($B70=" ","",IFERROR(INDEX(MMWR_RATING_STATE_ROLLUP_BDD[],MATCH($B70,MMWR_RATING_STATE_ROLLUP_BDD[MMWR_RATING_STATE_ROLLUP_BDD],0),MATCH(H$9,MMWR_RATING_STATE_ROLLUP_BDD[#Headers],0)),"ERROR"))</f>
        <v>0</v>
      </c>
      <c r="I70" s="155">
        <f>IF($B70=" ","",IFERROR(INDEX(MMWR_RATING_STATE_ROLLUP_BDD[],MATCH($B70,MMWR_RATING_STATE_ROLLUP_BDD[MMWR_RATING_STATE_ROLLUP_BDD],0),MATCH(I$9,MMWR_RATING_STATE_ROLLUP_BDD[#Headers],0)),"ERROR"))</f>
        <v>147.22499999999999</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19</v>
      </c>
      <c r="D71" s="155">
        <f>IF($B71=" ","",IFERROR(INDEX(MMWR_RATING_STATE_ROLLUP_BDD[],MATCH($B71,MMWR_RATING_STATE_ROLLUP_BDD[MMWR_RATING_STATE_ROLLUP_BDD],0),MATCH(D$9,MMWR_RATING_STATE_ROLLUP_BDD[#Headers],0)),"ERROR"))</f>
        <v>78.421052631600006</v>
      </c>
      <c r="E71" s="156">
        <f>IF($B71=" ","",IFERROR(INDEX(MMWR_RATING_STATE_ROLLUP_BDD[],MATCH($B71,MMWR_RATING_STATE_ROLLUP_BDD[MMWR_RATING_STATE_ROLLUP_BDD],0),MATCH(E$9,MMWR_RATING_STATE_ROLLUP_BDD[#Headers],0))/$C71,"ERROR"))</f>
        <v>0.21052631578947367</v>
      </c>
      <c r="F71" s="154">
        <f>IF($B71=" ","",IFERROR(INDEX(MMWR_RATING_STATE_ROLLUP_BDD[],MATCH($B71,MMWR_RATING_STATE_ROLLUP_BDD[MMWR_RATING_STATE_ROLLUP_BDD],0),MATCH(F$9,MMWR_RATING_STATE_ROLLUP_BDD[#Headers],0)),"ERROR"))</f>
        <v>0</v>
      </c>
      <c r="G71" s="154">
        <f>IF($B71=" ","",IFERROR(INDEX(MMWR_RATING_STATE_ROLLUP_BDD[],MATCH($B71,MMWR_RATING_STATE_ROLLUP_BDD[MMWR_RATING_STATE_ROLLUP_BDD],0),MATCH(G$9,MMWR_RATING_STATE_ROLLUP_BDD[#Headers],0)),"ERROR"))</f>
        <v>30</v>
      </c>
      <c r="H71" s="155">
        <f>IF($B71=" ","",IFERROR(INDEX(MMWR_RATING_STATE_ROLLUP_BDD[],MATCH($B71,MMWR_RATING_STATE_ROLLUP_BDD[MMWR_RATING_STATE_ROLLUP_BDD],0),MATCH(H$9,MMWR_RATING_STATE_ROLLUP_BDD[#Headers],0)),"ERROR"))</f>
        <v>0</v>
      </c>
      <c r="I71" s="155">
        <f>IF($B71=" ","",IFERROR(INDEX(MMWR_RATING_STATE_ROLLUP_BDD[],MATCH($B71,MMWR_RATING_STATE_ROLLUP_BDD[MMWR_RATING_STATE_ROLLUP_BDD],0),MATCH(I$9,MMWR_RATING_STATE_ROLLUP_BDD[#Headers],0)),"ERROR"))</f>
        <v>157.80000000000001</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24</v>
      </c>
      <c r="D72" s="155">
        <f>IF($B72=" ","",IFERROR(INDEX(MMWR_RATING_STATE_ROLLUP_BDD[],MATCH($B72,MMWR_RATING_STATE_ROLLUP_BDD[MMWR_RATING_STATE_ROLLUP_BDD],0),MATCH(D$9,MMWR_RATING_STATE_ROLLUP_BDD[#Headers],0)),"ERROR"))</f>
        <v>70.916666666699996</v>
      </c>
      <c r="E72" s="156">
        <f>IF($B72=" ","",IFERROR(INDEX(MMWR_RATING_STATE_ROLLUP_BDD[],MATCH($B72,MMWR_RATING_STATE_ROLLUP_BDD[MMWR_RATING_STATE_ROLLUP_BDD],0),MATCH(E$9,MMWR_RATING_STATE_ROLLUP_BDD[#Headers],0))/$C72,"ERROR"))</f>
        <v>8.3333333333333329E-2</v>
      </c>
      <c r="F72" s="154">
        <f>IF($B72=" ","",IFERROR(INDEX(MMWR_RATING_STATE_ROLLUP_BDD[],MATCH($B72,MMWR_RATING_STATE_ROLLUP_BDD[MMWR_RATING_STATE_ROLLUP_BDD],0),MATCH(F$9,MMWR_RATING_STATE_ROLLUP_BDD[#Headers],0)),"ERROR"))</f>
        <v>0</v>
      </c>
      <c r="G72" s="154">
        <f>IF($B72=" ","",IFERROR(INDEX(MMWR_RATING_STATE_ROLLUP_BDD[],MATCH($B72,MMWR_RATING_STATE_ROLLUP_BDD[MMWR_RATING_STATE_ROLLUP_BDD],0),MATCH(G$9,MMWR_RATING_STATE_ROLLUP_BDD[#Headers],0)),"ERROR"))</f>
        <v>30</v>
      </c>
      <c r="H72" s="155">
        <f>IF($B72=" ","",IFERROR(INDEX(MMWR_RATING_STATE_ROLLUP_BDD[],MATCH($B72,MMWR_RATING_STATE_ROLLUP_BDD[MMWR_RATING_STATE_ROLLUP_BDD],0),MATCH(H$9,MMWR_RATING_STATE_ROLLUP_BDD[#Headers],0)),"ERROR"))</f>
        <v>0</v>
      </c>
      <c r="I72" s="155">
        <f>IF($B72=" ","",IFERROR(INDEX(MMWR_RATING_STATE_ROLLUP_BDD[],MATCH($B72,MMWR_RATING_STATE_ROLLUP_BDD[MMWR_RATING_STATE_ROLLUP_BDD],0),MATCH(I$9,MMWR_RATING_STATE_ROLLUP_BDD[#Headers],0)),"ERROR"))</f>
        <v>141.3333333333</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12</v>
      </c>
      <c r="D73" s="155">
        <f>IF($B73=" ","",IFERROR(INDEX(MMWR_RATING_STATE_ROLLUP_BDD[],MATCH($B73,MMWR_RATING_STATE_ROLLUP_BDD[MMWR_RATING_STATE_ROLLUP_BDD],0),MATCH(D$9,MMWR_RATING_STATE_ROLLUP_BDD[#Headers],0)),"ERROR"))</f>
        <v>82.5</v>
      </c>
      <c r="E73" s="156">
        <f>IF($B73=" ","",IFERROR(INDEX(MMWR_RATING_STATE_ROLLUP_BDD[],MATCH($B73,MMWR_RATING_STATE_ROLLUP_BDD[MMWR_RATING_STATE_ROLLUP_BDD],0),MATCH(E$9,MMWR_RATING_STATE_ROLLUP_BDD[#Headers],0))/$C73,"ERROR"))</f>
        <v>0.25</v>
      </c>
      <c r="F73" s="154">
        <f>IF($B73=" ","",IFERROR(INDEX(MMWR_RATING_STATE_ROLLUP_BDD[],MATCH($B73,MMWR_RATING_STATE_ROLLUP_BDD[MMWR_RATING_STATE_ROLLUP_BDD],0),MATCH(F$9,MMWR_RATING_STATE_ROLLUP_BDD[#Headers],0)),"ERROR"))</f>
        <v>1</v>
      </c>
      <c r="G73" s="154">
        <f>IF($B73=" ","",IFERROR(INDEX(MMWR_RATING_STATE_ROLLUP_BDD[],MATCH($B73,MMWR_RATING_STATE_ROLLUP_BDD[MMWR_RATING_STATE_ROLLUP_BDD],0),MATCH(G$9,MMWR_RATING_STATE_ROLLUP_BDD[#Headers],0)),"ERROR"))</f>
        <v>29</v>
      </c>
      <c r="H73" s="155">
        <f>IF($B73=" ","",IFERROR(INDEX(MMWR_RATING_STATE_ROLLUP_BDD[],MATCH($B73,MMWR_RATING_STATE_ROLLUP_BDD[MMWR_RATING_STATE_ROLLUP_BDD],0),MATCH(H$9,MMWR_RATING_STATE_ROLLUP_BDD[#Headers],0)),"ERROR"))</f>
        <v>153</v>
      </c>
      <c r="I73" s="155">
        <f>IF($B73=" ","",IFERROR(INDEX(MMWR_RATING_STATE_ROLLUP_BDD[],MATCH($B73,MMWR_RATING_STATE_ROLLUP_BDD[MMWR_RATING_STATE_ROLLUP_BDD],0),MATCH(I$9,MMWR_RATING_STATE_ROLLUP_BDD[#Headers],0)),"ERROR"))</f>
        <v>158.4137931034</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296</v>
      </c>
      <c r="D74" s="155">
        <f>IF($B74=" ","",IFERROR(INDEX(MMWR_RATING_STATE_ROLLUP_BDD[],MATCH($B74,MMWR_RATING_STATE_ROLLUP_BDD[MMWR_RATING_STATE_ROLLUP_BDD],0),MATCH(D$9,MMWR_RATING_STATE_ROLLUP_BDD[#Headers],0)),"ERROR"))</f>
        <v>83.25</v>
      </c>
      <c r="E74" s="156">
        <f>IF($B74=" ","",IFERROR(INDEX(MMWR_RATING_STATE_ROLLUP_BDD[],MATCH($B74,MMWR_RATING_STATE_ROLLUP_BDD[MMWR_RATING_STATE_ROLLUP_BDD],0),MATCH(E$9,MMWR_RATING_STATE_ROLLUP_BDD[#Headers],0))/$C74,"ERROR"))</f>
        <v>0.17905405405405406</v>
      </c>
      <c r="F74" s="154">
        <f>IF($B74=" ","",IFERROR(INDEX(MMWR_RATING_STATE_ROLLUP_BDD[],MATCH($B74,MMWR_RATING_STATE_ROLLUP_BDD[MMWR_RATING_STATE_ROLLUP_BDD],0),MATCH(F$9,MMWR_RATING_STATE_ROLLUP_BDD[#Headers],0)),"ERROR"))</f>
        <v>2</v>
      </c>
      <c r="G74" s="154">
        <f>IF($B74=" ","",IFERROR(INDEX(MMWR_RATING_STATE_ROLLUP_BDD[],MATCH($B74,MMWR_RATING_STATE_ROLLUP_BDD[MMWR_RATING_STATE_ROLLUP_BDD],0),MATCH(G$9,MMWR_RATING_STATE_ROLLUP_BDD[#Headers],0)),"ERROR"))</f>
        <v>400</v>
      </c>
      <c r="H74" s="155">
        <f>IF($B74=" ","",IFERROR(INDEX(MMWR_RATING_STATE_ROLLUP_BDD[],MATCH($B74,MMWR_RATING_STATE_ROLLUP_BDD[MMWR_RATING_STATE_ROLLUP_BDD],0),MATCH(H$9,MMWR_RATING_STATE_ROLLUP_BDD[#Headers],0)),"ERROR"))</f>
        <v>119.5</v>
      </c>
      <c r="I74" s="155">
        <f>IF($B74=" ","",IFERROR(INDEX(MMWR_RATING_STATE_ROLLUP_BDD[],MATCH($B74,MMWR_RATING_STATE_ROLLUP_BDD[MMWR_RATING_STATE_ROLLUP_BDD],0),MATCH(I$9,MMWR_RATING_STATE_ROLLUP_BDD[#Headers],0)),"ERROR"))</f>
        <v>150.2225</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36</v>
      </c>
      <c r="D75" s="155">
        <f>IF($B75=" ","",IFERROR(INDEX(MMWR_RATING_STATE_ROLLUP_BDD[],MATCH($B75,MMWR_RATING_STATE_ROLLUP_BDD[MMWR_RATING_STATE_ROLLUP_BDD],0),MATCH(D$9,MMWR_RATING_STATE_ROLLUP_BDD[#Headers],0)),"ERROR"))</f>
        <v>73.111111111100001</v>
      </c>
      <c r="E75" s="156">
        <f>IF($B75=" ","",IFERROR(INDEX(MMWR_RATING_STATE_ROLLUP_BDD[],MATCH($B75,MMWR_RATING_STATE_ROLLUP_BDD[MMWR_RATING_STATE_ROLLUP_BDD],0),MATCH(E$9,MMWR_RATING_STATE_ROLLUP_BDD[#Headers],0))/$C75,"ERROR"))</f>
        <v>0.16666666666666666</v>
      </c>
      <c r="F75" s="154">
        <f>IF($B75=" ","",IFERROR(INDEX(MMWR_RATING_STATE_ROLLUP_BDD[],MATCH($B75,MMWR_RATING_STATE_ROLLUP_BDD[MMWR_RATING_STATE_ROLLUP_BDD],0),MATCH(F$9,MMWR_RATING_STATE_ROLLUP_BDD[#Headers],0)),"ERROR"))</f>
        <v>0</v>
      </c>
      <c r="G75" s="154">
        <f>IF($B75=" ","",IFERROR(INDEX(MMWR_RATING_STATE_ROLLUP_BDD[],MATCH($B75,MMWR_RATING_STATE_ROLLUP_BDD[MMWR_RATING_STATE_ROLLUP_BDD],0),MATCH(G$9,MMWR_RATING_STATE_ROLLUP_BDD[#Headers],0)),"ERROR"))</f>
        <v>72</v>
      </c>
      <c r="H75" s="155">
        <f>IF($B75=" ","",IFERROR(INDEX(MMWR_RATING_STATE_ROLLUP_BDD[],MATCH($B75,MMWR_RATING_STATE_ROLLUP_BDD[MMWR_RATING_STATE_ROLLUP_BDD],0),MATCH(H$9,MMWR_RATING_STATE_ROLLUP_BDD[#Headers],0)),"ERROR"))</f>
        <v>0</v>
      </c>
      <c r="I75" s="155">
        <f>IF($B75=" ","",IFERROR(INDEX(MMWR_RATING_STATE_ROLLUP_BDD[],MATCH($B75,MMWR_RATING_STATE_ROLLUP_BDD[MMWR_RATING_STATE_ROLLUP_BDD],0),MATCH(I$9,MMWR_RATING_STATE_ROLLUP_BDD[#Headers],0)),"ERROR"))</f>
        <v>135.05555555559999</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17</v>
      </c>
      <c r="D76" s="155">
        <f>IF($B76=" ","",IFERROR(INDEX(MMWR_RATING_STATE_ROLLUP_BDD[],MATCH($B76,MMWR_RATING_STATE_ROLLUP_BDD[MMWR_RATING_STATE_ROLLUP_BDD],0),MATCH(D$9,MMWR_RATING_STATE_ROLLUP_BDD[#Headers],0)),"ERROR"))</f>
        <v>80.882352941199997</v>
      </c>
      <c r="E76" s="156">
        <f>IF($B76=" ","",IFERROR(INDEX(MMWR_RATING_STATE_ROLLUP_BDD[],MATCH($B76,MMWR_RATING_STATE_ROLLUP_BDD[MMWR_RATING_STATE_ROLLUP_BDD],0),MATCH(E$9,MMWR_RATING_STATE_ROLLUP_BDD[#Headers],0))/$C76,"ERROR"))</f>
        <v>0.23529411764705882</v>
      </c>
      <c r="F76" s="154">
        <f>IF($B76=" ","",IFERROR(INDEX(MMWR_RATING_STATE_ROLLUP_BDD[],MATCH($B76,MMWR_RATING_STATE_ROLLUP_BDD[MMWR_RATING_STATE_ROLLUP_BDD],0),MATCH(F$9,MMWR_RATING_STATE_ROLLUP_BDD[#Headers],0)),"ERROR"))</f>
        <v>0</v>
      </c>
      <c r="G76" s="154">
        <f>IF($B76=" ","",IFERROR(INDEX(MMWR_RATING_STATE_ROLLUP_BDD[],MATCH($B76,MMWR_RATING_STATE_ROLLUP_BDD[MMWR_RATING_STATE_ROLLUP_BDD],0),MATCH(G$9,MMWR_RATING_STATE_ROLLUP_BDD[#Headers],0)),"ERROR"))</f>
        <v>31</v>
      </c>
      <c r="H76" s="155">
        <f>IF($B76=" ","",IFERROR(INDEX(MMWR_RATING_STATE_ROLLUP_BDD[],MATCH($B76,MMWR_RATING_STATE_ROLLUP_BDD[MMWR_RATING_STATE_ROLLUP_BDD],0),MATCH(H$9,MMWR_RATING_STATE_ROLLUP_BDD[#Headers],0)),"ERROR"))</f>
        <v>0</v>
      </c>
      <c r="I76" s="155">
        <f>IF($B76=" ","",IFERROR(INDEX(MMWR_RATING_STATE_ROLLUP_BDD[],MATCH($B76,MMWR_RATING_STATE_ROLLUP_BDD[MMWR_RATING_STATE_ROLLUP_BDD],0),MATCH(I$9,MMWR_RATING_STATE_ROLLUP_BDD[#Headers],0)),"ERROR"))</f>
        <v>135.03225806450001</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66</v>
      </c>
      <c r="D77" s="155">
        <f>IF($B77=" ","",IFERROR(INDEX(MMWR_RATING_STATE_ROLLUP_BDD[],MATCH($B77,MMWR_RATING_STATE_ROLLUP_BDD[MMWR_RATING_STATE_ROLLUP_BDD],0),MATCH(D$9,MMWR_RATING_STATE_ROLLUP_BDD[#Headers],0)),"ERROR"))</f>
        <v>81.136363636400006</v>
      </c>
      <c r="E77" s="156">
        <f>IF($B77=" ","",IFERROR(INDEX(MMWR_RATING_STATE_ROLLUP_BDD[],MATCH($B77,MMWR_RATING_STATE_ROLLUP_BDD[MMWR_RATING_STATE_ROLLUP_BDD],0),MATCH(E$9,MMWR_RATING_STATE_ROLLUP_BDD[#Headers],0))/$C77,"ERROR"))</f>
        <v>0.16666666666666666</v>
      </c>
      <c r="F77" s="154">
        <f>IF($B77=" ","",IFERROR(INDEX(MMWR_RATING_STATE_ROLLUP_BDD[],MATCH($B77,MMWR_RATING_STATE_ROLLUP_BDD[MMWR_RATING_STATE_ROLLUP_BDD],0),MATCH(F$9,MMWR_RATING_STATE_ROLLUP_BDD[#Headers],0)),"ERROR"))</f>
        <v>0</v>
      </c>
      <c r="G77" s="154">
        <f>IF($B77=" ","",IFERROR(INDEX(MMWR_RATING_STATE_ROLLUP_BDD[],MATCH($B77,MMWR_RATING_STATE_ROLLUP_BDD[MMWR_RATING_STATE_ROLLUP_BDD],0),MATCH(G$9,MMWR_RATING_STATE_ROLLUP_BDD[#Headers],0)),"ERROR"))</f>
        <v>111</v>
      </c>
      <c r="H77" s="155">
        <f>IF($B77=" ","",IFERROR(INDEX(MMWR_RATING_STATE_ROLLUP_BDD[],MATCH($B77,MMWR_RATING_STATE_ROLLUP_BDD[MMWR_RATING_STATE_ROLLUP_BDD],0),MATCH(H$9,MMWR_RATING_STATE_ROLLUP_BDD[#Headers],0)),"ERROR"))</f>
        <v>0</v>
      </c>
      <c r="I77" s="155">
        <f>IF($B77=" ","",IFERROR(INDEX(MMWR_RATING_STATE_ROLLUP_BDD[],MATCH($B77,MMWR_RATING_STATE_ROLLUP_BDD[MMWR_RATING_STATE_ROLLUP_BDD],0),MATCH(I$9,MMWR_RATING_STATE_ROLLUP_BDD[#Headers],0)),"ERROR"))</f>
        <v>141.2792792793</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151</v>
      </c>
      <c r="D78" s="155">
        <f>IF($B78=" ","",IFERROR(INDEX(MMWR_RATING_STATE_ROLLUP_BDD[],MATCH($B78,MMWR_RATING_STATE_ROLLUP_BDD[MMWR_RATING_STATE_ROLLUP_BDD],0),MATCH(D$9,MMWR_RATING_STATE_ROLLUP_BDD[#Headers],0)),"ERROR"))</f>
        <v>86.543046357600005</v>
      </c>
      <c r="E78" s="156">
        <f>IF($B78=" ","",IFERROR(INDEX(MMWR_RATING_STATE_ROLLUP_BDD[],MATCH($B78,MMWR_RATING_STATE_ROLLUP_BDD[MMWR_RATING_STATE_ROLLUP_BDD],0),MATCH(E$9,MMWR_RATING_STATE_ROLLUP_BDD[#Headers],0))/$C78,"ERROR"))</f>
        <v>0.17218543046357615</v>
      </c>
      <c r="F78" s="154">
        <f>IF($B78=" ","",IFERROR(INDEX(MMWR_RATING_STATE_ROLLUP_BDD[],MATCH($B78,MMWR_RATING_STATE_ROLLUP_BDD[MMWR_RATING_STATE_ROLLUP_BDD],0),MATCH(F$9,MMWR_RATING_STATE_ROLLUP_BDD[#Headers],0)),"ERROR"))</f>
        <v>3</v>
      </c>
      <c r="G78" s="154">
        <f>IF($B78=" ","",IFERROR(INDEX(MMWR_RATING_STATE_ROLLUP_BDD[],MATCH($B78,MMWR_RATING_STATE_ROLLUP_BDD[MMWR_RATING_STATE_ROLLUP_BDD],0),MATCH(G$9,MMWR_RATING_STATE_ROLLUP_BDD[#Headers],0)),"ERROR"))</f>
        <v>210</v>
      </c>
      <c r="H78" s="155">
        <f>IF($B78=" ","",IFERROR(INDEX(MMWR_RATING_STATE_ROLLUP_BDD[],MATCH($B78,MMWR_RATING_STATE_ROLLUP_BDD[MMWR_RATING_STATE_ROLLUP_BDD],0),MATCH(H$9,MMWR_RATING_STATE_ROLLUP_BDD[#Headers],0)),"ERROR"))</f>
        <v>154</v>
      </c>
      <c r="I78" s="155">
        <f>IF($B78=" ","",IFERROR(INDEX(MMWR_RATING_STATE_ROLLUP_BDD[],MATCH($B78,MMWR_RATING_STATE_ROLLUP_BDD[MMWR_RATING_STATE_ROLLUP_BDD],0),MATCH(I$9,MMWR_RATING_STATE_ROLLUP_BDD[#Headers],0)),"ERROR"))</f>
        <v>138.25714285710001</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970</v>
      </c>
      <c r="D79" s="155">
        <f>IF($B79=" ","",IFERROR(INDEX(MMWR_RATING_STATE_ROLLUP_BDD[],MATCH($B79,MMWR_RATING_STATE_ROLLUP_BDD[MMWR_RATING_STATE_ROLLUP_BDD],0),MATCH(D$9,MMWR_RATING_STATE_ROLLUP_BDD[#Headers],0)),"ERROR"))</f>
        <v>83.744329896899998</v>
      </c>
      <c r="E79" s="156">
        <f>IF($B79=" ","",IFERROR(INDEX(MMWR_RATING_STATE_ROLLUP_BDD[],MATCH($B79,MMWR_RATING_STATE_ROLLUP_BDD[MMWR_RATING_STATE_ROLLUP_BDD],0),MATCH(E$9,MMWR_RATING_STATE_ROLLUP_BDD[#Headers],0))/$C79,"ERROR"))</f>
        <v>0.17731958762886599</v>
      </c>
      <c r="F79" s="154">
        <f>IF($B79=" ","",IFERROR(INDEX(MMWR_RATING_STATE_ROLLUP_BDD[],MATCH($B79,MMWR_RATING_STATE_ROLLUP_BDD[MMWR_RATING_STATE_ROLLUP_BDD],0),MATCH(F$9,MMWR_RATING_STATE_ROLLUP_BDD[#Headers],0)),"ERROR"))</f>
        <v>6</v>
      </c>
      <c r="G79" s="154">
        <f>IF($B79=" ","",IFERROR(INDEX(MMWR_RATING_STATE_ROLLUP_BDD[],MATCH($B79,MMWR_RATING_STATE_ROLLUP_BDD[MMWR_RATING_STATE_ROLLUP_BDD],0),MATCH(G$9,MMWR_RATING_STATE_ROLLUP_BDD[#Headers],0)),"ERROR"))</f>
        <v>1166</v>
      </c>
      <c r="H79" s="155">
        <f>IF($B79=" ","",IFERROR(INDEX(MMWR_RATING_STATE_ROLLUP_BDD[],MATCH($B79,MMWR_RATING_STATE_ROLLUP_BDD[MMWR_RATING_STATE_ROLLUP_BDD],0),MATCH(H$9,MMWR_RATING_STATE_ROLLUP_BDD[#Headers],0)),"ERROR"))</f>
        <v>127</v>
      </c>
      <c r="I79" s="155">
        <f>IF($B79=" ","",IFERROR(INDEX(MMWR_RATING_STATE_ROLLUP_BDD[],MATCH($B79,MMWR_RATING_STATE_ROLLUP_BDD[MMWR_RATING_STATE_ROLLUP_BDD],0),MATCH(I$9,MMWR_RATING_STATE_ROLLUP_BDD[#Headers],0)),"ERROR"))</f>
        <v>147.07718696399999</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110</v>
      </c>
      <c r="D80" s="155">
        <f>IF($B80=" ","",IFERROR(INDEX(MMWR_RATING_STATE_ROLLUP_BDD[],MATCH($B80,MMWR_RATING_STATE_ROLLUP_BDD[MMWR_RATING_STATE_ROLLUP_BDD],0),MATCH(D$9,MMWR_RATING_STATE_ROLLUP_BDD[#Headers],0)),"ERROR"))</f>
        <v>79.3818181818</v>
      </c>
      <c r="E80" s="156">
        <f>IF($B80=" ","",IFERROR(INDEX(MMWR_RATING_STATE_ROLLUP_BDD[],MATCH($B80,MMWR_RATING_STATE_ROLLUP_BDD[MMWR_RATING_STATE_ROLLUP_BDD],0),MATCH(E$9,MMWR_RATING_STATE_ROLLUP_BDD[#Headers],0))/$C80,"ERROR"))</f>
        <v>0.14545454545454545</v>
      </c>
      <c r="F80" s="154">
        <f>IF($B80=" ","",IFERROR(INDEX(MMWR_RATING_STATE_ROLLUP_BDD[],MATCH($B80,MMWR_RATING_STATE_ROLLUP_BDD[MMWR_RATING_STATE_ROLLUP_BDD],0),MATCH(F$9,MMWR_RATING_STATE_ROLLUP_BDD[#Headers],0)),"ERROR"))</f>
        <v>0</v>
      </c>
      <c r="G80" s="154">
        <f>IF($B80=" ","",IFERROR(INDEX(MMWR_RATING_STATE_ROLLUP_BDD[],MATCH($B80,MMWR_RATING_STATE_ROLLUP_BDD[MMWR_RATING_STATE_ROLLUP_BDD],0),MATCH(G$9,MMWR_RATING_STATE_ROLLUP_BDD[#Headers],0)),"ERROR"))</f>
        <v>213</v>
      </c>
      <c r="H80" s="155">
        <f>IF($B80=" ","",IFERROR(INDEX(MMWR_RATING_STATE_ROLLUP_BDD[],MATCH($B80,MMWR_RATING_STATE_ROLLUP_BDD[MMWR_RATING_STATE_ROLLUP_BDD],0),MATCH(H$9,MMWR_RATING_STATE_ROLLUP_BDD[#Headers],0)),"ERROR"))</f>
        <v>0</v>
      </c>
      <c r="I80" s="155">
        <f>IF($B80=" ","",IFERROR(INDEX(MMWR_RATING_STATE_ROLLUP_BDD[],MATCH($B80,MMWR_RATING_STATE_ROLLUP_BDD[MMWR_RATING_STATE_ROLLUP_BDD],0),MATCH(I$9,MMWR_RATING_STATE_ROLLUP_BDD[#Headers],0)),"ERROR"))</f>
        <v>135.56338028170001</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5</v>
      </c>
      <c r="D81" s="155">
        <f>IF($B81=" ","",IFERROR(INDEX(MMWR_RATING_STATE_ROLLUP_BDD[],MATCH($B81,MMWR_RATING_STATE_ROLLUP_BDD[MMWR_RATING_STATE_ROLLUP_BDD],0),MATCH(D$9,MMWR_RATING_STATE_ROLLUP_BDD[#Headers],0)),"ERROR"))</f>
        <v>78.599999999999994</v>
      </c>
      <c r="E81" s="156">
        <f>IF($B81=" ","",IFERROR(INDEX(MMWR_RATING_STATE_ROLLUP_BDD[],MATCH($B81,MMWR_RATING_STATE_ROLLUP_BDD[MMWR_RATING_STATE_ROLLUP_BDD],0),MATCH(E$9,MMWR_RATING_STATE_ROLLUP_BDD[#Headers],0))/$C81,"ERROR"))</f>
        <v>0.2</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17</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133.6470588235</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4</v>
      </c>
      <c r="D82" s="155">
        <f>IF($B82=" ","",IFERROR(INDEX(MMWR_RATING_STATE_ROLLUP_BDD[],MATCH($B82,MMWR_RATING_STATE_ROLLUP_BDD[MMWR_RATING_STATE_ROLLUP_BDD],0),MATCH(D$9,MMWR_RATING_STATE_ROLLUP_BDD[#Headers],0)),"ERROR"))</f>
        <v>87.75</v>
      </c>
      <c r="E82" s="156">
        <f>IF($B82=" ","",IFERROR(INDEX(MMWR_RATING_STATE_ROLLUP_BDD[],MATCH($B82,MMWR_RATING_STATE_ROLLUP_BDD[MMWR_RATING_STATE_ROLLUP_BDD],0),MATCH(E$9,MMWR_RATING_STATE_ROLLUP_BDD[#Headers],0))/$C82,"ERROR"))</f>
        <v>0</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10</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112.9</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1007</v>
      </c>
      <c r="D83" s="155">
        <f>IF($B83=" ","",IFERROR(INDEX(MMWR_RATING_STATE_ROLLUP_BDD[],MATCH($B83,MMWR_RATING_STATE_ROLLUP_BDD[MMWR_RATING_STATE_ROLLUP_BDD],0),MATCH(D$9,MMWR_RATING_STATE_ROLLUP_BDD[#Headers],0)),"ERROR"))</f>
        <v>87.196623634600002</v>
      </c>
      <c r="E83" s="156">
        <f>IF($B83=" ","",IFERROR(INDEX(MMWR_RATING_STATE_ROLLUP_BDD[],MATCH($B83,MMWR_RATING_STATE_ROLLUP_BDD[MMWR_RATING_STATE_ROLLUP_BDD],0),MATCH(E$9,MMWR_RATING_STATE_ROLLUP_BDD[#Headers],0))/$C83,"ERROR"))</f>
        <v>0.21847070506454816</v>
      </c>
      <c r="F83" s="154">
        <f>IF($B83=" ","",IFERROR(INDEX(MMWR_RATING_STATE_ROLLUP_BDD[],MATCH($B83,MMWR_RATING_STATE_ROLLUP_BDD[MMWR_RATING_STATE_ROLLUP_BDD],0),MATCH(F$9,MMWR_RATING_STATE_ROLLUP_BDD[#Headers],0)),"ERROR"))</f>
        <v>13</v>
      </c>
      <c r="G83" s="154">
        <f>IF($B83=" ","",IFERROR(INDEX(MMWR_RATING_STATE_ROLLUP_BDD[],MATCH($B83,MMWR_RATING_STATE_ROLLUP_BDD[MMWR_RATING_STATE_ROLLUP_BDD],0),MATCH(G$9,MMWR_RATING_STATE_ROLLUP_BDD[#Headers],0)),"ERROR"))</f>
        <v>1214</v>
      </c>
      <c r="H83" s="155">
        <f>IF($B83=" ","",IFERROR(INDEX(MMWR_RATING_STATE_ROLLUP_BDD[],MATCH($B83,MMWR_RATING_STATE_ROLLUP_BDD[MMWR_RATING_STATE_ROLLUP_BDD],0),MATCH(H$9,MMWR_RATING_STATE_ROLLUP_BDD[#Headers],0)),"ERROR"))</f>
        <v>151.4615384615</v>
      </c>
      <c r="I83" s="155">
        <f>IF($B83=" ","",IFERROR(INDEX(MMWR_RATING_STATE_ROLLUP_BDD[],MATCH($B83,MMWR_RATING_STATE_ROLLUP_BDD[MMWR_RATING_STATE_ROLLUP_BDD],0),MATCH(I$9,MMWR_RATING_STATE_ROLLUP_BDD[#Headers],0)),"ERROR"))</f>
        <v>157.2973640857</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20</v>
      </c>
      <c r="D84" s="155">
        <f>IF($B84=" ","",IFERROR(INDEX(MMWR_RATING_STATE_ROLLUP_BDD[],MATCH($B84,MMWR_RATING_STATE_ROLLUP_BDD[MMWR_RATING_STATE_ROLLUP_BDD],0),MATCH(D$9,MMWR_RATING_STATE_ROLLUP_BDD[#Headers],0)),"ERROR"))</f>
        <v>82.75</v>
      </c>
      <c r="E84" s="156">
        <f>IF($B84=" ","",IFERROR(INDEX(MMWR_RATING_STATE_ROLLUP_BDD[],MATCH($B84,MMWR_RATING_STATE_ROLLUP_BDD[MMWR_RATING_STATE_ROLLUP_BDD],0),MATCH(E$9,MMWR_RATING_STATE_ROLLUP_BDD[#Headers],0))/$C84,"ERROR"))</f>
        <v>0.2</v>
      </c>
      <c r="F84" s="154">
        <f>IF($B84=" ","",IFERROR(INDEX(MMWR_RATING_STATE_ROLLUP_BDD[],MATCH($B84,MMWR_RATING_STATE_ROLLUP_BDD[MMWR_RATING_STATE_ROLLUP_BDD],0),MATCH(F$9,MMWR_RATING_STATE_ROLLUP_BDD[#Headers],0)),"ERROR"))</f>
        <v>0</v>
      </c>
      <c r="G84" s="154">
        <f>IF($B84=" ","",IFERROR(INDEX(MMWR_RATING_STATE_ROLLUP_BDD[],MATCH($B84,MMWR_RATING_STATE_ROLLUP_BDD[MMWR_RATING_STATE_ROLLUP_BDD],0),MATCH(G$9,MMWR_RATING_STATE_ROLLUP_BDD[#Headers],0)),"ERROR"))</f>
        <v>44</v>
      </c>
      <c r="H84" s="155">
        <f>IF($B84=" ","",IFERROR(INDEX(MMWR_RATING_STATE_ROLLUP_BDD[],MATCH($B84,MMWR_RATING_STATE_ROLLUP_BDD[MMWR_RATING_STATE_ROLLUP_BDD],0),MATCH(H$9,MMWR_RATING_STATE_ROLLUP_BDD[#Headers],0)),"ERROR"))</f>
        <v>0</v>
      </c>
      <c r="I84" s="155">
        <f>IF($B84=" ","",IFERROR(INDEX(MMWR_RATING_STATE_ROLLUP_BDD[],MATCH($B84,MMWR_RATING_STATE_ROLLUP_BDD[MMWR_RATING_STATE_ROLLUP_BDD],0),MATCH(I$9,MMWR_RATING_STATE_ROLLUP_BDD[#Headers],0)),"ERROR"))</f>
        <v>148.5</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2" t="s">
        <v>296</v>
      </c>
      <c r="C2" s="423"/>
      <c r="D2" s="423"/>
      <c r="E2" s="423"/>
      <c r="F2" s="423"/>
      <c r="G2" s="423"/>
      <c r="H2" s="423"/>
      <c r="I2" s="423"/>
      <c r="J2" s="423"/>
      <c r="K2" s="423"/>
      <c r="L2" s="423"/>
      <c r="M2" s="423"/>
      <c r="N2" s="423"/>
      <c r="O2" s="423"/>
      <c r="P2" s="423"/>
      <c r="Q2" s="423"/>
      <c r="R2" s="423"/>
      <c r="S2" s="423"/>
      <c r="T2" s="423"/>
      <c r="U2" s="424"/>
      <c r="V2" s="25"/>
    </row>
    <row r="3" spans="1:22" s="1" customFormat="1" ht="63" customHeight="1" thickBot="1" x14ac:dyDescent="0.25">
      <c r="A3" s="25"/>
      <c r="B3" s="431" t="s">
        <v>311</v>
      </c>
      <c r="C3" s="432"/>
      <c r="D3" s="432"/>
      <c r="E3" s="432"/>
      <c r="F3" s="432"/>
      <c r="G3" s="432"/>
      <c r="H3" s="432"/>
      <c r="I3" s="432"/>
      <c r="J3" s="432"/>
      <c r="K3" s="432"/>
      <c r="L3" s="432"/>
      <c r="M3" s="432"/>
      <c r="N3" s="432"/>
      <c r="O3" s="432"/>
      <c r="P3" s="432"/>
      <c r="Q3" s="432"/>
      <c r="R3" s="432"/>
      <c r="S3" s="432"/>
      <c r="T3" s="432"/>
      <c r="U3" s="433"/>
      <c r="V3" s="25"/>
    </row>
    <row r="4" spans="1:22" s="1" customFormat="1" ht="32.25" customHeight="1" thickBot="1" x14ac:dyDescent="0.25">
      <c r="A4" s="25"/>
      <c r="B4" s="428" t="str">
        <f>Transformation!B4</f>
        <v>As of: April 02, 2016</v>
      </c>
      <c r="C4" s="429"/>
      <c r="D4" s="429"/>
      <c r="E4" s="429"/>
      <c r="F4" s="429"/>
      <c r="G4" s="429"/>
      <c r="H4" s="429"/>
      <c r="I4" s="429"/>
      <c r="J4" s="429"/>
      <c r="K4" s="429"/>
      <c r="L4" s="429"/>
      <c r="M4" s="429"/>
      <c r="N4" s="429"/>
      <c r="O4" s="429"/>
      <c r="P4" s="429"/>
      <c r="Q4" s="429"/>
      <c r="R4" s="429"/>
      <c r="S4" s="429"/>
      <c r="T4" s="429"/>
      <c r="U4" s="430"/>
      <c r="V4" s="25"/>
    </row>
    <row r="5" spans="1:22" s="1" customFormat="1" ht="27" customHeight="1" thickBot="1" x14ac:dyDescent="0.45">
      <c r="A5" s="25"/>
      <c r="B5" s="434" t="s">
        <v>239</v>
      </c>
      <c r="C5" s="435"/>
      <c r="D5" s="435"/>
      <c r="E5" s="435"/>
      <c r="F5" s="435"/>
      <c r="G5" s="435"/>
      <c r="H5" s="436"/>
      <c r="I5" s="55"/>
      <c r="J5" s="434" t="s">
        <v>236</v>
      </c>
      <c r="K5" s="435"/>
      <c r="L5" s="435"/>
      <c r="M5" s="435"/>
      <c r="N5" s="436"/>
      <c r="O5" s="56"/>
      <c r="P5" s="406" t="s">
        <v>11</v>
      </c>
      <c r="Q5" s="407"/>
      <c r="R5" s="407"/>
      <c r="S5" s="407"/>
      <c r="T5" s="407"/>
      <c r="U5" s="408"/>
      <c r="V5" s="25"/>
    </row>
    <row r="6" spans="1:22" s="1" customFormat="1" ht="65.25" customHeight="1" thickBot="1" x14ac:dyDescent="0.25">
      <c r="A6" s="25"/>
      <c r="B6" s="425" t="s">
        <v>279</v>
      </c>
      <c r="C6" s="426"/>
      <c r="D6" s="426"/>
      <c r="E6" s="427"/>
      <c r="F6" s="57" t="s">
        <v>12</v>
      </c>
      <c r="G6" s="58" t="s">
        <v>3</v>
      </c>
      <c r="H6" s="59" t="s">
        <v>4</v>
      </c>
      <c r="I6" s="25"/>
      <c r="J6" s="445" t="s">
        <v>279</v>
      </c>
      <c r="K6" s="446"/>
      <c r="L6" s="60" t="s">
        <v>12</v>
      </c>
      <c r="M6" s="61" t="s">
        <v>3</v>
      </c>
      <c r="N6" s="62" t="s">
        <v>4</v>
      </c>
      <c r="O6" s="63"/>
      <c r="P6" s="437" t="s">
        <v>279</v>
      </c>
      <c r="Q6" s="438"/>
      <c r="R6" s="64" t="s">
        <v>489</v>
      </c>
      <c r="S6" s="440" t="s">
        <v>279</v>
      </c>
      <c r="T6" s="441"/>
      <c r="U6" s="65" t="s">
        <v>134</v>
      </c>
      <c r="V6" s="25"/>
    </row>
    <row r="7" spans="1:22" s="1" customFormat="1" ht="32.25" customHeight="1" thickBot="1" x14ac:dyDescent="0.25">
      <c r="A7" s="25"/>
      <c r="B7" s="409" t="s">
        <v>298</v>
      </c>
      <c r="C7" s="410"/>
      <c r="D7" s="410"/>
      <c r="E7" s="410"/>
      <c r="F7" s="166">
        <f>SUM(F8:F10)</f>
        <v>112638</v>
      </c>
      <c r="G7" s="167">
        <f>SUM(G8:G10)</f>
        <v>32282</v>
      </c>
      <c r="H7" s="168">
        <f t="shared" ref="H7:H44" si="0">IF(G7="--", 0, G7/F7)</f>
        <v>0.28659954899767398</v>
      </c>
      <c r="I7" s="25"/>
      <c r="J7" s="409" t="s">
        <v>264</v>
      </c>
      <c r="K7" s="410"/>
      <c r="L7" s="167">
        <f>SUM(L8:L10)</f>
        <v>31214</v>
      </c>
      <c r="M7" s="167">
        <f>SUM(M8:M10)</f>
        <v>5416</v>
      </c>
      <c r="N7" s="178">
        <f>IF(M7="--", 0, M7/L7)</f>
        <v>0.17351188569231754</v>
      </c>
      <c r="O7" s="66"/>
      <c r="P7" s="409" t="s">
        <v>967</v>
      </c>
      <c r="Q7" s="410"/>
      <c r="R7" s="179">
        <f>R8+R9+R10+R11+R12</f>
        <v>328268</v>
      </c>
      <c r="S7" s="409"/>
      <c r="T7" s="410"/>
      <c r="U7" s="67"/>
      <c r="V7" s="25"/>
    </row>
    <row r="8" spans="1:22" s="1" customFormat="1" ht="51" customHeight="1" x14ac:dyDescent="0.2">
      <c r="A8" s="25"/>
      <c r="B8" s="322" t="s">
        <v>249</v>
      </c>
      <c r="C8" s="323"/>
      <c r="D8" s="323"/>
      <c r="E8" s="402"/>
      <c r="F8" s="169">
        <f>IFERROR(VLOOKUP(MID(B8,4,3),MMWR_TRAD_AGG_NATIONAL[],2,0),"--")</f>
        <v>298</v>
      </c>
      <c r="G8" s="170">
        <f>IFERROR(VLOOKUP(MID(B8,4,3),MMWR_TRAD_AGG_NATIONAL[],3,0),"--")</f>
        <v>155</v>
      </c>
      <c r="H8" s="171">
        <f t="shared" si="0"/>
        <v>0.52013422818791943</v>
      </c>
      <c r="I8" s="25"/>
      <c r="J8" s="420" t="s">
        <v>266</v>
      </c>
      <c r="K8" s="439"/>
      <c r="L8" s="169">
        <f>IFERROR(VLOOKUP(MID(J8,4,3),MMWR_TRAD_AGG_NATIONAL[],2,0),"--")</f>
        <v>7404</v>
      </c>
      <c r="M8" s="170">
        <f>IFERROR(VLOOKUP(MID(J8,4,3),MMWR_TRAD_AGG_NATIONAL[],3,0),"--")</f>
        <v>695</v>
      </c>
      <c r="N8" s="171">
        <f>IF(M8="--", 0, M8/L8)</f>
        <v>9.3868179362506757E-2</v>
      </c>
      <c r="O8" s="68" t="s">
        <v>310</v>
      </c>
      <c r="P8" s="442" t="s">
        <v>240</v>
      </c>
      <c r="Q8" s="443"/>
      <c r="R8" s="180">
        <f>VLOOKUP(P8,MMWR_APP_NATIONAL[],2,0)</f>
        <v>238679</v>
      </c>
      <c r="S8" s="444" t="s">
        <v>229</v>
      </c>
      <c r="T8" s="421"/>
      <c r="U8" s="181">
        <f>VLOOKUP(P8,MMWR_APP_NATIONAL[],3,0)</f>
        <v>405.3933196744</v>
      </c>
      <c r="V8" s="25"/>
    </row>
    <row r="9" spans="1:22" s="1" customFormat="1" ht="45" customHeight="1" x14ac:dyDescent="0.2">
      <c r="A9" s="25"/>
      <c r="B9" s="322" t="s">
        <v>247</v>
      </c>
      <c r="C9" s="323"/>
      <c r="D9" s="323"/>
      <c r="E9" s="402"/>
      <c r="F9" s="169">
        <f>IFERROR(VLOOKUP(MID(B9,4,3),MMWR_TRAD_AGG_NATIONAL[],2,0),"--")</f>
        <v>37553</v>
      </c>
      <c r="G9" s="170">
        <f>IFERROR(VLOOKUP(MID(B9,4,3),MMWR_TRAD_AGG_NATIONAL[],3,0),"--")</f>
        <v>12021</v>
      </c>
      <c r="H9" s="171">
        <f t="shared" si="0"/>
        <v>0.32010758128511702</v>
      </c>
      <c r="I9" s="68" t="s">
        <v>310</v>
      </c>
      <c r="J9" s="322" t="s">
        <v>265</v>
      </c>
      <c r="K9" s="323"/>
      <c r="L9" s="169">
        <f>IFERROR(VLOOKUP(MID(J9,4,3),MMWR_TRAD_AGG_NATIONAL[],2,0),"--")</f>
        <v>7837</v>
      </c>
      <c r="M9" s="170">
        <f>IFERROR(VLOOKUP(MID(J9,4,3),MMWR_TRAD_AGG_NATIONAL[],3,0),"--")</f>
        <v>497</v>
      </c>
      <c r="N9" s="171">
        <f>IF(M9="--", 0, M9/L9)</f>
        <v>6.3417123899451325E-2</v>
      </c>
      <c r="O9" s="68" t="s">
        <v>310</v>
      </c>
      <c r="P9" s="400" t="s">
        <v>241</v>
      </c>
      <c r="Q9" s="401"/>
      <c r="R9" s="182">
        <f>VLOOKUP(P9,MMWR_APP_NATIONAL[],2,0)</f>
        <v>53868</v>
      </c>
      <c r="S9" s="396" t="s">
        <v>230</v>
      </c>
      <c r="T9" s="397"/>
      <c r="U9" s="183">
        <f>VLOOKUP(P9,MMWR_APP_NATIONAL[],3,0)</f>
        <v>581.44137521350001</v>
      </c>
      <c r="V9" s="25"/>
    </row>
    <row r="10" spans="1:22" s="1" customFormat="1" ht="63" customHeight="1" thickBot="1" x14ac:dyDescent="0.25">
      <c r="A10" s="25"/>
      <c r="B10" s="322" t="s">
        <v>248</v>
      </c>
      <c r="C10" s="323"/>
      <c r="D10" s="323"/>
      <c r="E10" s="402"/>
      <c r="F10" s="169">
        <f>IFERROR(VLOOKUP(MID(B10,4,3),MMWR_TRAD_AGG_NATIONAL[],2,0),"--")</f>
        <v>74787</v>
      </c>
      <c r="G10" s="170">
        <f>IFERROR(VLOOKUP(MID(B10,4,3),MMWR_TRAD_AGG_NATIONAL[],3,0),"--")</f>
        <v>20106</v>
      </c>
      <c r="H10" s="171">
        <f t="shared" si="0"/>
        <v>0.26884351558425928</v>
      </c>
      <c r="I10" s="68" t="s">
        <v>310</v>
      </c>
      <c r="J10" s="324" t="s">
        <v>267</v>
      </c>
      <c r="K10" s="325"/>
      <c r="L10" s="169">
        <f>IFERROR(VLOOKUP(MID(J10,4,3),MMWR_TRAD_AGG_NATIONAL[],2,0),"--")</f>
        <v>15973</v>
      </c>
      <c r="M10" s="170">
        <f>IFERROR(VLOOKUP(MID(J10,4,3),MMWR_TRAD_AGG_NATIONAL[],3,0),"--")</f>
        <v>4224</v>
      </c>
      <c r="N10" s="171">
        <f>IF(M10="--", 0, M10/L10)</f>
        <v>0.26444625305202529</v>
      </c>
      <c r="O10" s="69"/>
      <c r="P10" s="400" t="s">
        <v>242</v>
      </c>
      <c r="Q10" s="401"/>
      <c r="R10" s="182">
        <f>VLOOKUP(P10,MMWR_APP_NATIONAL[],2,0)</f>
        <v>24569</v>
      </c>
      <c r="S10" s="396" t="s">
        <v>231</v>
      </c>
      <c r="T10" s="397"/>
      <c r="U10" s="183">
        <f>VLOOKUP(P10,MMWR_APP_NATIONAL[],3,0)</f>
        <v>518.50018320239997</v>
      </c>
      <c r="V10" s="25"/>
    </row>
    <row r="11" spans="1:22" s="1" customFormat="1" ht="45" customHeight="1" thickBot="1" x14ac:dyDescent="0.25">
      <c r="A11" s="25"/>
      <c r="B11" s="409" t="s">
        <v>299</v>
      </c>
      <c r="C11" s="410"/>
      <c r="D11" s="410"/>
      <c r="E11" s="410"/>
      <c r="F11" s="166">
        <f>SUM(F12:F13)</f>
        <v>10652</v>
      </c>
      <c r="G11" s="167">
        <f>SUM(G12:G13)</f>
        <v>2590</v>
      </c>
      <c r="H11" s="168">
        <f t="shared" si="0"/>
        <v>0.24314682688696959</v>
      </c>
      <c r="I11" s="25"/>
      <c r="J11" s="409" t="s">
        <v>237</v>
      </c>
      <c r="K11" s="410"/>
      <c r="L11" s="166">
        <f>SUM(L12:L17)</f>
        <v>33843</v>
      </c>
      <c r="M11" s="166">
        <f>SUM(M12:M17)</f>
        <v>5999</v>
      </c>
      <c r="N11" s="159">
        <f>IF(M11="--", 0, M11/L11)</f>
        <v>0.17725969919924356</v>
      </c>
      <c r="O11" s="69"/>
      <c r="P11" s="400" t="s">
        <v>968</v>
      </c>
      <c r="Q11" s="401"/>
      <c r="R11" s="182">
        <f>VLOOKUP(P11,MMWR_APP_NATIONAL[],2,0)</f>
        <v>10607</v>
      </c>
      <c r="S11" s="396" t="s">
        <v>232</v>
      </c>
      <c r="T11" s="397"/>
      <c r="U11" s="183">
        <f>VLOOKUP(P11,MMWR_APP_NATIONAL[],3,0)</f>
        <v>177.4853371051</v>
      </c>
      <c r="V11" s="25"/>
    </row>
    <row r="12" spans="1:22" s="1" customFormat="1" ht="46.5" customHeight="1" thickBot="1" x14ac:dyDescent="0.25">
      <c r="A12" s="25"/>
      <c r="B12" s="403" t="s">
        <v>269</v>
      </c>
      <c r="C12" s="404"/>
      <c r="D12" s="404"/>
      <c r="E12" s="405"/>
      <c r="F12" s="169">
        <f>IFERROR(VLOOKUP(MID(B12,4,3),MMWR_TRAD_AGG_NATIONAL[],2,0),"--")</f>
        <v>9392</v>
      </c>
      <c r="G12" s="170">
        <f>IFERROR(VLOOKUP(MID(B12,4,3),MMWR_TRAD_AGG_NATIONAL[],3,0),"--")</f>
        <v>1718</v>
      </c>
      <c r="H12" s="171">
        <f t="shared" si="0"/>
        <v>0.18292163543441226</v>
      </c>
      <c r="I12" s="68" t="s">
        <v>310</v>
      </c>
      <c r="J12" s="324" t="s">
        <v>259</v>
      </c>
      <c r="K12" s="397"/>
      <c r="L12" s="169">
        <f>IFERROR(VLOOKUP(MID(J12,4,3)&amp;"p",MMWR_TRAD_AGG_NATIONAL[],2,0),"--")</f>
        <v>1655</v>
      </c>
      <c r="M12" s="170">
        <f>IFERROR(VLOOKUP(MID(J12,4,3)&amp;"p",MMWR_TRAD_AGG_NATIONAL[],3,0),"--")</f>
        <v>283</v>
      </c>
      <c r="N12" s="171">
        <f t="shared" ref="N12:N17" si="1">IF(L12="--", 0,M12/L12)</f>
        <v>0.17099697885196374</v>
      </c>
      <c r="O12" s="69"/>
      <c r="P12" s="400" t="s">
        <v>949</v>
      </c>
      <c r="Q12" s="401"/>
      <c r="R12" s="182">
        <f>VLOOKUP(P12,MMWR_APP_NATIONAL[],2,0)</f>
        <v>545</v>
      </c>
      <c r="S12" s="398" t="s">
        <v>966</v>
      </c>
      <c r="T12" s="399"/>
      <c r="U12" s="183">
        <f>VLOOKUP(P12,MMWR_APP_NATIONAL[],3,0)</f>
        <v>446.29908256879997</v>
      </c>
      <c r="V12" s="25"/>
    </row>
    <row r="13" spans="1:22" s="1" customFormat="1" ht="49.5" customHeight="1" thickBot="1" x14ac:dyDescent="0.25">
      <c r="A13" s="25"/>
      <c r="B13" s="403" t="s">
        <v>1058</v>
      </c>
      <c r="C13" s="404"/>
      <c r="D13" s="404"/>
      <c r="E13" s="405"/>
      <c r="F13" s="169">
        <f>IFERROR(VLOOKUP(MID(B13,4,3),MMWR_TRAD_AGG_NATIONAL[],2,0),"--")</f>
        <v>1260</v>
      </c>
      <c r="G13" s="170">
        <f>IFERROR(VLOOKUP(MID(B13,4,3),MMWR_TRAD_AGG_NATIONAL[],3,0),"--")</f>
        <v>872</v>
      </c>
      <c r="H13" s="171">
        <f t="shared" si="0"/>
        <v>0.69206349206349205</v>
      </c>
      <c r="I13" s="25"/>
      <c r="J13" s="324" t="s">
        <v>268</v>
      </c>
      <c r="K13" s="397"/>
      <c r="L13" s="169">
        <f>IFERROR(VLOOKUP(MID(J13,4,3),MMWR_TRAD_AGG_NATIONAL[],2,0),"--")</f>
        <v>5305</v>
      </c>
      <c r="M13" s="170">
        <f>IFERROR(VLOOKUP(MID(J13,4,3),MMWR_TRAD_AGG_NATIONAL[],3,0),"--")</f>
        <v>831</v>
      </c>
      <c r="N13" s="171">
        <f t="shared" si="1"/>
        <v>0.15664467483506125</v>
      </c>
      <c r="O13" s="69"/>
      <c r="P13" s="409" t="s">
        <v>977</v>
      </c>
      <c r="Q13" s="410"/>
      <c r="R13" s="411"/>
      <c r="S13" s="412">
        <f>VLOOKUP(P13,MMWR_APP_NATIONAL[],2,0)</f>
        <v>23455</v>
      </c>
      <c r="T13" s="413"/>
      <c r="U13" s="414"/>
      <c r="V13" s="25"/>
    </row>
    <row r="14" spans="1:22" s="1" customFormat="1" ht="45" customHeight="1" thickBot="1" x14ac:dyDescent="0.25">
      <c r="A14" s="25"/>
      <c r="B14" s="409" t="s">
        <v>1</v>
      </c>
      <c r="C14" s="410"/>
      <c r="D14" s="410"/>
      <c r="E14" s="410"/>
      <c r="F14" s="166">
        <f>SUM(F15:F21)</f>
        <v>192313</v>
      </c>
      <c r="G14" s="167">
        <f>SUM(G15:G21)</f>
        <v>40498</v>
      </c>
      <c r="H14" s="168">
        <f t="shared" si="0"/>
        <v>0.2105837878874543</v>
      </c>
      <c r="I14" s="25"/>
      <c r="J14" s="324" t="s">
        <v>270</v>
      </c>
      <c r="K14" s="397"/>
      <c r="L14" s="169">
        <f>IFERROR(VLOOKUP(MID(J14,4,3),MMWR_TRAD_AGG_NATIONAL[],2,0),"--")</f>
        <v>18266</v>
      </c>
      <c r="M14" s="170">
        <f>IFERROR(VLOOKUP(MID(J14,4,3),MMWR_TRAD_AGG_NATIONAL[],3,0),"--")</f>
        <v>2805</v>
      </c>
      <c r="N14" s="171">
        <f t="shared" si="1"/>
        <v>0.15356399868608345</v>
      </c>
      <c r="O14" s="69"/>
      <c r="P14" s="21"/>
      <c r="Q14" s="21"/>
      <c r="R14" s="21"/>
      <c r="S14" s="28"/>
      <c r="T14" s="28"/>
      <c r="U14" s="70"/>
      <c r="V14" s="25"/>
    </row>
    <row r="15" spans="1:22" s="1" customFormat="1" ht="44.25" customHeight="1" thickBot="1" x14ac:dyDescent="0.25">
      <c r="A15" s="25"/>
      <c r="B15" s="322" t="s">
        <v>250</v>
      </c>
      <c r="C15" s="323"/>
      <c r="D15" s="323"/>
      <c r="E15" s="402"/>
      <c r="F15" s="169">
        <f>IFERROR(VLOOKUP(MID(B15,4,3),MMWR_TRAD_AGG_NATIONAL[],2,0),"--")</f>
        <v>191679</v>
      </c>
      <c r="G15" s="170">
        <f>IFERROR(VLOOKUP(MID(B15,4,3),MMWR_TRAD_AGG_NATIONAL[],3,0),"--")</f>
        <v>40277</v>
      </c>
      <c r="H15" s="171">
        <f t="shared" si="0"/>
        <v>0.21012734832715113</v>
      </c>
      <c r="I15" s="68" t="s">
        <v>310</v>
      </c>
      <c r="J15" s="324" t="s">
        <v>271</v>
      </c>
      <c r="K15" s="397"/>
      <c r="L15" s="169">
        <f>IFERROR(VLOOKUP(MID(J15,4,3),MMWR_TRAD_AGG_NATIONAL[],2,0),"--")</f>
        <v>2</v>
      </c>
      <c r="M15" s="170">
        <f>IFERROR(VLOOKUP(MID(J15,4,3),MMWR_TRAD_AGG_NATIONAL[],3,0),"--")</f>
        <v>1</v>
      </c>
      <c r="N15" s="171">
        <f t="shared" si="1"/>
        <v>0.5</v>
      </c>
      <c r="O15" s="69"/>
      <c r="P15" s="25"/>
      <c r="Q15" s="25"/>
      <c r="R15" s="25"/>
      <c r="S15" s="25"/>
      <c r="T15" s="28"/>
      <c r="U15" s="71"/>
      <c r="V15" s="25"/>
    </row>
    <row r="16" spans="1:22" s="1" customFormat="1" ht="57.75" customHeight="1" thickBot="1" x14ac:dyDescent="0.25">
      <c r="A16" s="25"/>
      <c r="B16" s="324" t="s">
        <v>251</v>
      </c>
      <c r="C16" s="325"/>
      <c r="D16" s="325"/>
      <c r="E16" s="397"/>
      <c r="F16" s="169">
        <f>IFERROR(VLOOKUP(MID(B16,4,3),MMWR_TRAD_AGG_NATIONAL[],2,0),"--")</f>
        <v>358</v>
      </c>
      <c r="G16" s="170">
        <f>IFERROR(VLOOKUP(MID(B16,4,3),MMWR_TRAD_AGG_NATIONAL[],3,0),"--")</f>
        <v>42</v>
      </c>
      <c r="H16" s="171">
        <f t="shared" si="0"/>
        <v>0.11731843575418995</v>
      </c>
      <c r="I16" s="68" t="s">
        <v>310</v>
      </c>
      <c r="J16" s="324" t="s">
        <v>272</v>
      </c>
      <c r="K16" s="397"/>
      <c r="L16" s="169">
        <f>IFERROR(VLOOKUP(MID(J16,4,3),MMWR_TRAD_AGG_NATIONAL[],2,0),"--")</f>
        <v>3451</v>
      </c>
      <c r="M16" s="170">
        <f>IFERROR(VLOOKUP(MID(J16,4,3),MMWR_TRAD_AGG_NATIONAL[],3,0),"--")</f>
        <v>778</v>
      </c>
      <c r="N16" s="171">
        <f t="shared" si="1"/>
        <v>0.22544190089829036</v>
      </c>
      <c r="O16" s="69"/>
      <c r="P16" s="406" t="s">
        <v>950</v>
      </c>
      <c r="Q16" s="407"/>
      <c r="R16" s="407"/>
      <c r="S16" s="408"/>
      <c r="T16" s="28"/>
      <c r="U16" s="71"/>
      <c r="V16" s="25"/>
    </row>
    <row r="17" spans="1:22" s="1" customFormat="1" ht="31.5" customHeight="1" thickBot="1" x14ac:dyDescent="0.25">
      <c r="A17" s="25"/>
      <c r="B17" s="324" t="s">
        <v>252</v>
      </c>
      <c r="C17" s="325"/>
      <c r="D17" s="325"/>
      <c r="E17" s="397"/>
      <c r="F17" s="169">
        <f>IFERROR(VLOOKUP(MID(B17,4,3),MMWR_TRAD_AGG_NATIONAL[],2,0),"--")</f>
        <v>235</v>
      </c>
      <c r="G17" s="170">
        <f>IFERROR(VLOOKUP(MID(B17,4,3),MMWR_TRAD_AGG_NATIONAL[],3,0),"--")</f>
        <v>173</v>
      </c>
      <c r="H17" s="171">
        <f t="shared" si="0"/>
        <v>0.7361702127659574</v>
      </c>
      <c r="I17" s="25"/>
      <c r="J17" s="324" t="s">
        <v>273</v>
      </c>
      <c r="K17" s="397"/>
      <c r="L17" s="169">
        <f>IFERROR(VLOOKUP(MID(J17,4,3),MMWR_TRAD_AGG_NATIONAL[],2,0),"--")</f>
        <v>5164</v>
      </c>
      <c r="M17" s="170">
        <f>IFERROR(VLOOKUP(MID(J17,4,3),MMWR_TRAD_AGG_NATIONAL[],3,0),"--")</f>
        <v>1301</v>
      </c>
      <c r="N17" s="171">
        <f t="shared" si="1"/>
        <v>0.25193648334624325</v>
      </c>
      <c r="O17" s="72"/>
      <c r="P17" s="415" t="s">
        <v>245</v>
      </c>
      <c r="Q17" s="416"/>
      <c r="R17" s="416"/>
      <c r="S17" s="184">
        <f>IFERROR(VLOOKUP("160",MMWR_TRAD_AGG_NATIONAL[],2,0),"--")</f>
        <v>31719</v>
      </c>
      <c r="T17" s="28"/>
      <c r="U17" s="71"/>
      <c r="V17" s="25"/>
    </row>
    <row r="18" spans="1:22" s="1" customFormat="1" ht="32.25" customHeight="1" thickBot="1" x14ac:dyDescent="0.25">
      <c r="A18" s="25"/>
      <c r="B18" s="324" t="s">
        <v>253</v>
      </c>
      <c r="C18" s="325"/>
      <c r="D18" s="325"/>
      <c r="E18" s="397"/>
      <c r="F18" s="169">
        <f>IFERROR(VLOOKUP(MID(B18,4,3),MMWR_TRAD_AGG_NATIONAL[],2,0),"--")</f>
        <v>10</v>
      </c>
      <c r="G18" s="170">
        <f>IFERROR(VLOOKUP(MID(B18,4,3),MMWR_TRAD_AGG_NATIONAL[],3,0),"--")</f>
        <v>5</v>
      </c>
      <c r="H18" s="171">
        <f t="shared" si="0"/>
        <v>0.5</v>
      </c>
      <c r="I18" s="68" t="s">
        <v>310</v>
      </c>
      <c r="J18" s="409" t="s">
        <v>15</v>
      </c>
      <c r="K18" s="410"/>
      <c r="L18" s="166">
        <f>SUM(L19:L21)</f>
        <v>345</v>
      </c>
      <c r="M18" s="166">
        <f>SUM(M19:M21)</f>
        <v>307</v>
      </c>
      <c r="N18" s="159">
        <f t="shared" ref="N18:N26" si="2">IF(M18="--", 0, M18/L18)</f>
        <v>0.88985507246376816</v>
      </c>
      <c r="O18" s="73"/>
      <c r="P18" s="417" t="s">
        <v>246</v>
      </c>
      <c r="Q18" s="418"/>
      <c r="R18" s="418"/>
      <c r="S18" s="185">
        <f>IFERROR(VLOOKUP("165",MMWR_TRAD_AGG_NATIONAL[],2,0),"--")</f>
        <v>10499</v>
      </c>
      <c r="T18" s="28"/>
      <c r="U18" s="71"/>
      <c r="V18" s="25"/>
    </row>
    <row r="19" spans="1:22" s="1" customFormat="1" ht="41.25" customHeight="1" x14ac:dyDescent="0.4">
      <c r="A19" s="25"/>
      <c r="B19" s="324" t="s">
        <v>254</v>
      </c>
      <c r="C19" s="325"/>
      <c r="D19" s="325"/>
      <c r="E19" s="397"/>
      <c r="F19" s="169">
        <f>IFERROR(VLOOKUP(MID(B19,4,3),MMWR_TRAD_AGG_NATIONAL[],2,0),"--")</f>
        <v>1</v>
      </c>
      <c r="G19" s="170">
        <f>IFERROR(VLOOKUP(MID(B19,4,3),MMWR_TRAD_AGG_NATIONAL[],3,0),"--")</f>
        <v>1</v>
      </c>
      <c r="H19" s="171">
        <f t="shared" si="0"/>
        <v>1</v>
      </c>
      <c r="I19" s="68" t="s">
        <v>310</v>
      </c>
      <c r="J19" s="324" t="s">
        <v>274</v>
      </c>
      <c r="K19" s="397"/>
      <c r="L19" s="169">
        <f>IFERROR(VLOOKUP(MID(J19,4,3),MMWR_TRAD_AGG_NATIONAL[],2,0),"--")</f>
        <v>239</v>
      </c>
      <c r="M19" s="170">
        <f>IFERROR(VLOOKUP(MID(J19,4,3),MMWR_TRAD_AGG_NATIONAL[],3,0),"--")</f>
        <v>238</v>
      </c>
      <c r="N19" s="171">
        <f t="shared" si="2"/>
        <v>0.99581589958159</v>
      </c>
      <c r="O19" s="56"/>
      <c r="P19" s="25"/>
      <c r="Q19" s="25"/>
      <c r="R19" s="25"/>
      <c r="S19" s="25"/>
      <c r="T19" s="28"/>
      <c r="U19" s="71"/>
      <c r="V19" s="25"/>
    </row>
    <row r="20" spans="1:22" s="1" customFormat="1" ht="40.5" customHeight="1" x14ac:dyDescent="0.4">
      <c r="A20" s="25"/>
      <c r="B20" s="324" t="s">
        <v>255</v>
      </c>
      <c r="C20" s="325"/>
      <c r="D20" s="325"/>
      <c r="E20" s="397"/>
      <c r="F20" s="169">
        <f>IFERROR(VLOOKUP(MID(B20,4,3),MMWR_TRAD_AGG_NATIONAL[],2,0),"--")</f>
        <v>25</v>
      </c>
      <c r="G20" s="170">
        <f>IFERROR(VLOOKUP(MID(B20,4,3),MMWR_TRAD_AGG_NATIONAL[],3,0),"--")</f>
        <v>0</v>
      </c>
      <c r="H20" s="171">
        <f t="shared" si="0"/>
        <v>0</v>
      </c>
      <c r="I20" s="68" t="s">
        <v>310</v>
      </c>
      <c r="J20" s="324" t="s">
        <v>297</v>
      </c>
      <c r="K20" s="397"/>
      <c r="L20" s="169">
        <f>IFERROR(VLOOKUP(MID(J20,4,3),MMWR_TRAD_AGG_NATIONAL[],2,0),"--")</f>
        <v>70</v>
      </c>
      <c r="M20" s="170">
        <f>IFERROR(VLOOKUP(MID(J20,4,3),MMWR_TRAD_AGG_NATIONAL[],3,0),"--")</f>
        <v>51</v>
      </c>
      <c r="N20" s="171">
        <f t="shared" si="2"/>
        <v>0.72857142857142854</v>
      </c>
      <c r="O20" s="56"/>
      <c r="P20" s="56"/>
      <c r="Q20" s="56"/>
      <c r="R20" s="56"/>
      <c r="S20" s="56"/>
      <c r="T20" s="56"/>
      <c r="U20" s="74"/>
      <c r="V20" s="25"/>
    </row>
    <row r="21" spans="1:22" s="1" customFormat="1" ht="39" customHeight="1" thickBot="1" x14ac:dyDescent="0.45">
      <c r="A21" s="25"/>
      <c r="B21" s="324" t="s">
        <v>256</v>
      </c>
      <c r="C21" s="325"/>
      <c r="D21" s="325"/>
      <c r="E21" s="397"/>
      <c r="F21" s="169">
        <f>IFERROR(VLOOKUP(MID(B21,4,3),MMWR_TRAD_AGG_NATIONAL[],2,0),"--")</f>
        <v>5</v>
      </c>
      <c r="G21" s="170">
        <f>IFERROR(VLOOKUP(MID(B21,4,3),MMWR_TRAD_AGG_NATIONAL[],3,0),"--")</f>
        <v>0</v>
      </c>
      <c r="H21" s="171">
        <f t="shared" si="0"/>
        <v>0</v>
      </c>
      <c r="I21" s="68" t="s">
        <v>310</v>
      </c>
      <c r="J21" s="324" t="s">
        <v>275</v>
      </c>
      <c r="K21" s="397"/>
      <c r="L21" s="169">
        <f>IFERROR(VLOOKUP(MID(J21,4,3),MMWR_TRAD_AGG_NATIONAL[],2,0),"--")</f>
        <v>36</v>
      </c>
      <c r="M21" s="170">
        <f>IFERROR(VLOOKUP(MID(J21,4,3),MMWR_TRAD_AGG_NATIONAL[],3,0),"--")</f>
        <v>18</v>
      </c>
      <c r="N21" s="171">
        <f t="shared" si="2"/>
        <v>0.5</v>
      </c>
      <c r="O21" s="56"/>
      <c r="P21" s="56"/>
      <c r="Q21" s="56"/>
      <c r="R21" s="56"/>
      <c r="S21" s="56"/>
      <c r="T21" s="56"/>
      <c r="U21" s="74"/>
      <c r="V21" s="25"/>
    </row>
    <row r="22" spans="1:22" s="1" customFormat="1" ht="32.25" customHeight="1" thickBot="1" x14ac:dyDescent="0.45">
      <c r="A22" s="25"/>
      <c r="B22" s="409" t="s">
        <v>13</v>
      </c>
      <c r="C22" s="410"/>
      <c r="D22" s="410"/>
      <c r="E22" s="410"/>
      <c r="F22" s="166">
        <f>SUM(F23:F29)</f>
        <v>402921</v>
      </c>
      <c r="G22" s="167">
        <f>SUM(G23:G29)</f>
        <v>270942</v>
      </c>
      <c r="H22" s="168">
        <f t="shared" si="0"/>
        <v>0.67244447422695763</v>
      </c>
      <c r="I22" s="25"/>
      <c r="J22" s="409" t="s">
        <v>224</v>
      </c>
      <c r="K22" s="410"/>
      <c r="L22" s="166">
        <f>SUM(L23:L26)</f>
        <v>1830</v>
      </c>
      <c r="M22" s="166">
        <f>SUM(M23:M26)</f>
        <v>513</v>
      </c>
      <c r="N22" s="159">
        <f t="shared" si="2"/>
        <v>0.28032786885245903</v>
      </c>
      <c r="O22" s="56"/>
      <c r="P22" s="25"/>
      <c r="Q22" s="25"/>
      <c r="R22" s="25"/>
      <c r="S22" s="25"/>
      <c r="T22" s="56"/>
      <c r="U22" s="74"/>
      <c r="V22" s="25"/>
    </row>
    <row r="23" spans="1:22" s="1" customFormat="1" ht="26.25" customHeight="1" x14ac:dyDescent="0.4">
      <c r="A23" s="25"/>
      <c r="B23" s="403" t="s">
        <v>257</v>
      </c>
      <c r="C23" s="404"/>
      <c r="D23" s="404"/>
      <c r="E23" s="405"/>
      <c r="F23" s="169">
        <f>IFERROR(VLOOKUP(MID(B23,4,3),MMWR_TRAD_AGG_NATIONAL[],2,0),"--")</f>
        <v>176261</v>
      </c>
      <c r="G23" s="170">
        <f>IFERROR(VLOOKUP(MID(B23,4,3),MMWR_TRAD_AGG_NATIONAL[],3,0),"--")</f>
        <v>121508</v>
      </c>
      <c r="H23" s="171">
        <f t="shared" si="0"/>
        <v>0.68936406805816375</v>
      </c>
      <c r="I23" s="25"/>
      <c r="J23" s="420" t="s">
        <v>278</v>
      </c>
      <c r="K23" s="421"/>
      <c r="L23" s="172">
        <f>IFERROR(VLOOKUP(MID(J23,4,3),MMWR_TRAD_AGG_NATIONAL[],2,0),"--")</f>
        <v>346</v>
      </c>
      <c r="M23" s="173">
        <f>IFERROR(VLOOKUP(MID(J23,4,3),MMWR_TRAD_AGG_NATIONAL[],3,0),"--")</f>
        <v>111</v>
      </c>
      <c r="N23" s="174">
        <f t="shared" si="2"/>
        <v>0.32080924855491327</v>
      </c>
      <c r="O23" s="56"/>
      <c r="P23" s="25"/>
      <c r="Q23" s="25"/>
      <c r="R23" s="25"/>
      <c r="S23" s="25"/>
      <c r="T23" s="56"/>
      <c r="U23" s="74"/>
      <c r="V23" s="25"/>
    </row>
    <row r="24" spans="1:22" s="1" customFormat="1" ht="39.75" customHeight="1" x14ac:dyDescent="0.4">
      <c r="A24" s="25"/>
      <c r="B24" s="403" t="s">
        <v>258</v>
      </c>
      <c r="C24" s="404"/>
      <c r="D24" s="404"/>
      <c r="E24" s="405"/>
      <c r="F24" s="169">
        <f>IFERROR(VLOOKUP(MID(B24,4,3),MMWR_TRAD_AGG_NATIONAL[],2,0),"--")</f>
        <v>171</v>
      </c>
      <c r="G24" s="170">
        <f>IFERROR(VLOOKUP(MID(B24,4,3),MMWR_TRAD_AGG_NATIONAL[],3,0),"--")</f>
        <v>113</v>
      </c>
      <c r="H24" s="171">
        <f t="shared" si="0"/>
        <v>0.66081871345029242</v>
      </c>
      <c r="I24" s="25"/>
      <c r="J24" s="324" t="s">
        <v>277</v>
      </c>
      <c r="K24" s="397"/>
      <c r="L24" s="169">
        <f>IFERROR(VLOOKUP(MID(J24,4,3),MMWR_TRAD_AGG_NATIONAL[],2,0),"--")</f>
        <v>681</v>
      </c>
      <c r="M24" s="170">
        <f>IFERROR(VLOOKUP(MID(J24,4,3),MMWR_TRAD_AGG_NATIONAL[],3,0),"--")</f>
        <v>19</v>
      </c>
      <c r="N24" s="171">
        <f t="shared" si="2"/>
        <v>2.7900146842878122E-2</v>
      </c>
      <c r="O24" s="56"/>
      <c r="P24" s="25"/>
      <c r="Q24" s="25"/>
      <c r="R24" s="25"/>
      <c r="S24" s="25"/>
      <c r="T24" s="56"/>
      <c r="U24" s="74"/>
      <c r="V24" s="25"/>
    </row>
    <row r="25" spans="1:22" s="1" customFormat="1" ht="37.5" customHeight="1" x14ac:dyDescent="0.4">
      <c r="A25" s="25"/>
      <c r="B25" s="403" t="s">
        <v>259</v>
      </c>
      <c r="C25" s="404"/>
      <c r="D25" s="404"/>
      <c r="E25" s="405"/>
      <c r="F25" s="169">
        <f>IFERROR(VLOOKUP(MID(B25,4,3),MMWR_TRAD_AGG_NATIONAL[],2,0),"--")</f>
        <v>287</v>
      </c>
      <c r="G25" s="170">
        <f>IFERROR(VLOOKUP(MID(B25,4,3),MMWR_TRAD_AGG_NATIONAL[],3,0),"--")</f>
        <v>230</v>
      </c>
      <c r="H25" s="171">
        <f t="shared" si="0"/>
        <v>0.80139372822299648</v>
      </c>
      <c r="I25" s="25"/>
      <c r="J25" s="324" t="s">
        <v>276</v>
      </c>
      <c r="K25" s="397"/>
      <c r="L25" s="169">
        <f>IFERROR(VLOOKUP(MID(J25,4,3),MMWR_TRAD_AGG_NATIONAL[],2,0),"--")</f>
        <v>758</v>
      </c>
      <c r="M25" s="170">
        <f>IFERROR(VLOOKUP(MID(J25,4,3),MMWR_TRAD_AGG_NATIONAL[],3,0),"--")</f>
        <v>352</v>
      </c>
      <c r="N25" s="171">
        <f t="shared" si="2"/>
        <v>0.46437994722955145</v>
      </c>
      <c r="O25" s="56"/>
      <c r="P25" s="56"/>
      <c r="Q25" s="56"/>
      <c r="R25" s="56"/>
      <c r="S25" s="56"/>
      <c r="T25" s="56"/>
      <c r="U25" s="74"/>
      <c r="V25" s="25"/>
    </row>
    <row r="26" spans="1:22" s="1" customFormat="1" ht="37.5" customHeight="1" thickBot="1" x14ac:dyDescent="0.45">
      <c r="A26" s="25"/>
      <c r="B26" s="403" t="s">
        <v>260</v>
      </c>
      <c r="C26" s="404"/>
      <c r="D26" s="404"/>
      <c r="E26" s="405"/>
      <c r="F26" s="169">
        <f>IFERROR(VLOOKUP(MID(B26,4,3),MMWR_TRAD_AGG_NATIONAL[],2,0),"--")</f>
        <v>99473</v>
      </c>
      <c r="G26" s="170">
        <f>IFERROR(VLOOKUP(MID(B26,4,3),MMWR_TRAD_AGG_NATIONAL[],3,0),"--")</f>
        <v>78334</v>
      </c>
      <c r="H26" s="171">
        <f t="shared" si="0"/>
        <v>0.78749007268303961</v>
      </c>
      <c r="I26" s="56"/>
      <c r="J26" s="326" t="s">
        <v>313</v>
      </c>
      <c r="K26" s="399"/>
      <c r="L26" s="175">
        <f>IFERROR(VLOOKUP(MID(J26,4,3),MMWR_TRAD_AGG_NATIONAL[],2,0),"--")</f>
        <v>45</v>
      </c>
      <c r="M26" s="176">
        <f>IFERROR(VLOOKUP(MID(J26,4,3),MMWR_TRAD_AGG_NATIONAL[],3,0),"--")</f>
        <v>31</v>
      </c>
      <c r="N26" s="177">
        <f t="shared" si="2"/>
        <v>0.68888888888888888</v>
      </c>
      <c r="O26" s="56"/>
      <c r="P26" s="56"/>
      <c r="Q26" s="56"/>
      <c r="R26" s="56"/>
      <c r="S26" s="56"/>
      <c r="T26" s="56"/>
      <c r="U26" s="74"/>
      <c r="V26" s="25"/>
    </row>
    <row r="27" spans="1:22" s="1" customFormat="1" ht="26.25" customHeight="1" thickBot="1" x14ac:dyDescent="0.45">
      <c r="A27" s="25"/>
      <c r="B27" s="403" t="s">
        <v>261</v>
      </c>
      <c r="C27" s="404"/>
      <c r="D27" s="404"/>
      <c r="E27" s="405"/>
      <c r="F27" s="169">
        <f>IFERROR(VLOOKUP(MID(B27,4,3),MMWR_TRAD_AGG_NATIONAL[],2,0),"--")</f>
        <v>199</v>
      </c>
      <c r="G27" s="170">
        <f>IFERROR(VLOOKUP(MID(B27,4,3),MMWR_TRAD_AGG_NATIONAL[],3,0),"--")</f>
        <v>39</v>
      </c>
      <c r="H27" s="171">
        <f t="shared" si="0"/>
        <v>0.19597989949748743</v>
      </c>
      <c r="I27" s="56"/>
      <c r="J27" s="56"/>
      <c r="K27" s="56"/>
      <c r="L27" s="56"/>
      <c r="M27" s="56"/>
      <c r="N27" s="56"/>
      <c r="O27" s="56"/>
      <c r="P27" s="56"/>
      <c r="Q27" s="56"/>
      <c r="R27" s="56"/>
      <c r="S27" s="56"/>
      <c r="T27" s="56"/>
      <c r="U27" s="74"/>
      <c r="V27" s="25"/>
    </row>
    <row r="28" spans="1:22" s="1" customFormat="1" ht="32.25" customHeight="1" x14ac:dyDescent="0.4">
      <c r="A28" s="25"/>
      <c r="B28" s="403" t="s">
        <v>262</v>
      </c>
      <c r="C28" s="404"/>
      <c r="D28" s="404"/>
      <c r="E28" s="405"/>
      <c r="F28" s="169">
        <f>IFERROR(VLOOKUP(MID(B28,4,3),MMWR_TRAD_AGG_NATIONAL[],2,0),"--")</f>
        <v>12878</v>
      </c>
      <c r="G28" s="170">
        <f>IFERROR(VLOOKUP(MID(B28,4,3),MMWR_TRAD_AGG_NATIONAL[],3,0),"--")</f>
        <v>2121</v>
      </c>
      <c r="H28" s="171">
        <f t="shared" si="0"/>
        <v>0.16469948749805871</v>
      </c>
      <c r="I28" s="68" t="s">
        <v>310</v>
      </c>
      <c r="J28" s="447" t="s">
        <v>312</v>
      </c>
      <c r="K28" s="448"/>
      <c r="L28" s="448"/>
      <c r="M28" s="448"/>
      <c r="N28" s="449"/>
      <c r="O28" s="419" t="s">
        <v>310</v>
      </c>
      <c r="P28" s="75"/>
      <c r="Q28" s="56"/>
      <c r="R28" s="56"/>
      <c r="S28" s="56"/>
      <c r="T28" s="56"/>
      <c r="U28" s="74"/>
      <c r="V28" s="25"/>
    </row>
    <row r="29" spans="1:22" s="1" customFormat="1" ht="27" customHeight="1" thickBot="1" x14ac:dyDescent="0.45">
      <c r="A29" s="25"/>
      <c r="B29" s="403" t="s">
        <v>263</v>
      </c>
      <c r="C29" s="404"/>
      <c r="D29" s="404"/>
      <c r="E29" s="405"/>
      <c r="F29" s="169">
        <f>IFERROR(VLOOKUP(MID(B29,4,3),MMWR_TRAD_AGG_NATIONAL[],2,0),"--")</f>
        <v>113652</v>
      </c>
      <c r="G29" s="170">
        <f>IFERROR(VLOOKUP(MID(B29,4,3),MMWR_TRAD_AGG_NATIONAL[],3,0),"--")</f>
        <v>68597</v>
      </c>
      <c r="H29" s="171">
        <f t="shared" si="0"/>
        <v>0.60357054869249993</v>
      </c>
      <c r="I29" s="56"/>
      <c r="J29" s="450"/>
      <c r="K29" s="451"/>
      <c r="L29" s="451"/>
      <c r="M29" s="451"/>
      <c r="N29" s="452"/>
      <c r="O29" s="419"/>
      <c r="P29" s="76"/>
      <c r="Q29" s="56"/>
      <c r="R29" s="56"/>
      <c r="S29" s="56"/>
      <c r="T29" s="56"/>
      <c r="U29" s="74"/>
      <c r="V29" s="25"/>
    </row>
    <row r="30" spans="1:22" s="1" customFormat="1" ht="32.25" customHeight="1" thickBot="1" x14ac:dyDescent="0.45">
      <c r="A30" s="25"/>
      <c r="B30" s="409" t="s">
        <v>29</v>
      </c>
      <c r="C30" s="410"/>
      <c r="D30" s="410"/>
      <c r="E30" s="410"/>
      <c r="F30" s="167">
        <f>SUM(F31:F37)</f>
        <v>119514</v>
      </c>
      <c r="G30" s="167">
        <f>SUM(G31:G37)</f>
        <v>94894</v>
      </c>
      <c r="H30" s="159">
        <f t="shared" si="0"/>
        <v>0.79399902940241307</v>
      </c>
      <c r="I30" s="56"/>
      <c r="J30" s="28"/>
      <c r="K30" s="28"/>
      <c r="L30" s="28"/>
      <c r="M30" s="28"/>
      <c r="N30" s="28"/>
      <c r="O30" s="28"/>
      <c r="P30" s="56"/>
      <c r="Q30" s="56"/>
      <c r="R30" s="56"/>
      <c r="S30" s="56"/>
      <c r="T30" s="56"/>
      <c r="U30" s="74"/>
      <c r="V30" s="25"/>
    </row>
    <row r="31" spans="1:22" s="1" customFormat="1" ht="33.75" customHeight="1" x14ac:dyDescent="0.4">
      <c r="A31" s="25"/>
      <c r="B31" s="324" t="s">
        <v>280</v>
      </c>
      <c r="C31" s="325"/>
      <c r="D31" s="325"/>
      <c r="E31" s="397"/>
      <c r="F31" s="169">
        <f>IFERROR(VLOOKUP(MID(B31,4,3),MMWR_TRAD_AGG_NATIONAL[],2,0),"--")</f>
        <v>40</v>
      </c>
      <c r="G31" s="170">
        <f>IFERROR(VLOOKUP(MID(B31,4,3),MMWR_TRAD_AGG_NATIONAL[],3,0),"--")</f>
        <v>39</v>
      </c>
      <c r="H31" s="171">
        <f t="shared" si="0"/>
        <v>0.97499999999999998</v>
      </c>
      <c r="I31" s="56"/>
      <c r="J31" s="56"/>
      <c r="K31" s="56"/>
      <c r="L31" s="56"/>
      <c r="M31" s="56"/>
      <c r="N31" s="56"/>
      <c r="O31" s="56"/>
      <c r="P31" s="56"/>
      <c r="Q31" s="56"/>
      <c r="R31" s="56"/>
      <c r="S31" s="56"/>
      <c r="T31" s="56"/>
      <c r="U31" s="74"/>
      <c r="V31" s="25"/>
    </row>
    <row r="32" spans="1:22" s="1" customFormat="1" ht="32.25" customHeight="1" x14ac:dyDescent="0.4">
      <c r="A32" s="25"/>
      <c r="B32" s="324" t="s">
        <v>281</v>
      </c>
      <c r="C32" s="325"/>
      <c r="D32" s="325"/>
      <c r="E32" s="397"/>
      <c r="F32" s="169">
        <f>IFERROR(VLOOKUP(MID(B32,4,3),MMWR_TRAD_AGG_NATIONAL[],2,0),"--")</f>
        <v>36368</v>
      </c>
      <c r="G32" s="170">
        <f>IFERROR(VLOOKUP(MID(B32,4,3),MMWR_TRAD_AGG_NATIONAL[],3,0),"--")</f>
        <v>25796</v>
      </c>
      <c r="H32" s="171">
        <f t="shared" si="0"/>
        <v>0.70930488341399034</v>
      </c>
      <c r="I32" s="56"/>
      <c r="J32" s="56"/>
      <c r="K32" s="56"/>
      <c r="L32" s="56"/>
      <c r="M32" s="56"/>
      <c r="N32" s="56"/>
      <c r="O32" s="56"/>
      <c r="P32" s="56"/>
      <c r="Q32" s="56"/>
      <c r="R32" s="56"/>
      <c r="S32" s="56"/>
      <c r="T32" s="56"/>
      <c r="U32" s="74"/>
      <c r="V32" s="25"/>
    </row>
    <row r="33" spans="1:22" s="1" customFormat="1" ht="32.25" customHeight="1" x14ac:dyDescent="0.4">
      <c r="A33" s="25"/>
      <c r="B33" s="324" t="s">
        <v>282</v>
      </c>
      <c r="C33" s="325"/>
      <c r="D33" s="325"/>
      <c r="E33" s="397"/>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324" t="s">
        <v>283</v>
      </c>
      <c r="C34" s="325"/>
      <c r="D34" s="325"/>
      <c r="E34" s="397"/>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324" t="s">
        <v>284</v>
      </c>
      <c r="C35" s="325"/>
      <c r="D35" s="325"/>
      <c r="E35" s="397"/>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324" t="s">
        <v>285</v>
      </c>
      <c r="C36" s="325"/>
      <c r="D36" s="325"/>
      <c r="E36" s="397"/>
      <c r="F36" s="169">
        <f>IFERROR(VLOOKUP(MID(B36,4,3),MMWR_TRAD_AGG_NATIONAL[],2,0),"--")</f>
        <v>20548</v>
      </c>
      <c r="G36" s="170">
        <f>IFERROR(VLOOKUP(MID(B36,4,3),MMWR_TRAD_AGG_NATIONAL[],3,0),"--")</f>
        <v>14893</v>
      </c>
      <c r="H36" s="171">
        <f t="shared" si="0"/>
        <v>0.72479073389137627</v>
      </c>
      <c r="I36" s="56"/>
      <c r="J36" s="56"/>
      <c r="K36" s="56"/>
      <c r="L36" s="56"/>
      <c r="M36" s="56"/>
      <c r="N36" s="56"/>
      <c r="O36" s="56"/>
      <c r="P36" s="56"/>
      <c r="Q36" s="56"/>
      <c r="R36" s="56"/>
      <c r="S36" s="56"/>
      <c r="T36" s="56"/>
      <c r="U36" s="74"/>
      <c r="V36" s="25"/>
    </row>
    <row r="37" spans="1:22" s="1" customFormat="1" ht="27" customHeight="1" thickBot="1" x14ac:dyDescent="0.45">
      <c r="A37" s="25"/>
      <c r="B37" s="324" t="s">
        <v>286</v>
      </c>
      <c r="C37" s="325"/>
      <c r="D37" s="325"/>
      <c r="E37" s="397"/>
      <c r="F37" s="169">
        <f>IFERROR(VLOOKUP(MID(B37,4,3)&amp;"G",MMWR_TRAD_AGG_NATIONAL[],2,0),"--")</f>
        <v>62558</v>
      </c>
      <c r="G37" s="170">
        <f>IFERROR(VLOOKUP(MID(B37,4,3)&amp;"G",MMWR_TRAD_AGG_NATIONAL[],3,0),"--")</f>
        <v>54166</v>
      </c>
      <c r="H37" s="171">
        <f t="shared" si="0"/>
        <v>0.86585248889030975</v>
      </c>
      <c r="I37" s="56"/>
      <c r="J37" s="56"/>
      <c r="K37" s="56"/>
      <c r="L37" s="56"/>
      <c r="M37" s="56"/>
      <c r="N37" s="56"/>
      <c r="O37" s="56"/>
      <c r="P37" s="56"/>
      <c r="Q37" s="56"/>
      <c r="R37" s="56"/>
      <c r="S37" s="56"/>
      <c r="T37" s="56"/>
      <c r="U37" s="74"/>
      <c r="V37" s="25"/>
    </row>
    <row r="38" spans="1:22" s="1" customFormat="1" ht="32.25" customHeight="1" thickBot="1" x14ac:dyDescent="0.45">
      <c r="A38" s="25"/>
      <c r="B38" s="409" t="s">
        <v>238</v>
      </c>
      <c r="C38" s="410"/>
      <c r="D38" s="410"/>
      <c r="E38" s="410"/>
      <c r="F38" s="166">
        <f>SUM(F39:F44)</f>
        <v>163893</v>
      </c>
      <c r="G38" s="167">
        <f>SUM(G39:G44)</f>
        <v>107843</v>
      </c>
      <c r="H38" s="168">
        <f t="shared" si="0"/>
        <v>0.65800857876785468</v>
      </c>
      <c r="I38" s="56"/>
      <c r="J38" s="56"/>
      <c r="K38" s="75"/>
      <c r="L38" s="75"/>
      <c r="M38" s="75"/>
      <c r="N38" s="75"/>
      <c r="O38" s="75"/>
      <c r="P38" s="56"/>
      <c r="Q38" s="56"/>
      <c r="R38" s="56"/>
      <c r="S38" s="56"/>
      <c r="T38" s="56"/>
      <c r="U38" s="74"/>
      <c r="V38" s="25"/>
    </row>
    <row r="39" spans="1:22" s="1" customFormat="1" ht="26.25" customHeight="1" x14ac:dyDescent="0.4">
      <c r="A39" s="25"/>
      <c r="B39" s="420" t="s">
        <v>287</v>
      </c>
      <c r="C39" s="439"/>
      <c r="D39" s="439"/>
      <c r="E39" s="421"/>
      <c r="F39" s="172">
        <f>IFERROR(VLOOKUP(MID(B39,4,3),MMWR_TRAD_AGG_NATIONAL[],2,0),"--")</f>
        <v>7500</v>
      </c>
      <c r="G39" s="173">
        <f>IFERROR(VLOOKUP(MID(B39,4,3),MMWR_TRAD_AGG_NATIONAL[],3,0),"--")</f>
        <v>5883</v>
      </c>
      <c r="H39" s="174">
        <f t="shared" si="0"/>
        <v>0.78439999999999999</v>
      </c>
      <c r="I39" s="56"/>
      <c r="J39" s="56"/>
      <c r="K39" s="75"/>
      <c r="L39" s="75"/>
      <c r="M39" s="75"/>
      <c r="N39" s="75"/>
      <c r="O39" s="75"/>
      <c r="P39" s="56"/>
      <c r="Q39" s="56"/>
      <c r="R39" s="56"/>
      <c r="S39" s="56"/>
      <c r="T39" s="56"/>
      <c r="U39" s="74"/>
      <c r="V39" s="25"/>
    </row>
    <row r="40" spans="1:22" s="1" customFormat="1" ht="26.25" customHeight="1" x14ac:dyDescent="0.4">
      <c r="A40" s="25"/>
      <c r="B40" s="324" t="s">
        <v>288</v>
      </c>
      <c r="C40" s="325"/>
      <c r="D40" s="325"/>
      <c r="E40" s="397"/>
      <c r="F40" s="169">
        <f>IFERROR(VLOOKUP(MID(B40,4,3),MMWR_TRAD_AGG_NATIONAL[],2,0),"--")</f>
        <v>68414</v>
      </c>
      <c r="G40" s="170">
        <f>IFERROR(VLOOKUP(MID(B40,4,3),MMWR_TRAD_AGG_NATIONAL[],3,0),"--")</f>
        <v>50998</v>
      </c>
      <c r="H40" s="171">
        <f t="shared" si="0"/>
        <v>0.74543222147513666</v>
      </c>
      <c r="I40" s="56"/>
      <c r="J40" s="56"/>
      <c r="K40" s="56"/>
      <c r="L40" s="56"/>
      <c r="M40" s="56"/>
      <c r="N40" s="56"/>
      <c r="O40" s="56"/>
      <c r="P40" s="56"/>
      <c r="Q40" s="56"/>
      <c r="R40" s="56"/>
      <c r="S40" s="56"/>
      <c r="T40" s="56"/>
      <c r="U40" s="74"/>
      <c r="V40" s="25"/>
    </row>
    <row r="41" spans="1:22" s="1" customFormat="1" ht="26.25" customHeight="1" x14ac:dyDescent="0.4">
      <c r="A41" s="25"/>
      <c r="B41" s="324" t="s">
        <v>289</v>
      </c>
      <c r="C41" s="325"/>
      <c r="D41" s="325"/>
      <c r="E41" s="397"/>
      <c r="F41" s="169">
        <f>IFERROR(VLOOKUP(MID(B41,4,3),MMWR_TRAD_AGG_NATIONAL[],2,0),"--")</f>
        <v>1053</v>
      </c>
      <c r="G41" s="170">
        <f>IFERROR(VLOOKUP(MID(B41,4,3),MMWR_TRAD_AGG_NATIONAL[],3,0),"--")</f>
        <v>298</v>
      </c>
      <c r="H41" s="171">
        <f t="shared" si="0"/>
        <v>0.28300094966761635</v>
      </c>
      <c r="I41" s="56"/>
      <c r="J41" s="56"/>
      <c r="K41" s="56"/>
      <c r="L41" s="56"/>
      <c r="M41" s="56"/>
      <c r="N41" s="56"/>
      <c r="O41" s="56"/>
      <c r="P41" s="56"/>
      <c r="Q41" s="56"/>
      <c r="R41" s="56"/>
      <c r="S41" s="56"/>
      <c r="T41" s="56"/>
      <c r="U41" s="74"/>
      <c r="V41" s="25"/>
    </row>
    <row r="42" spans="1:22" s="1" customFormat="1" ht="36" customHeight="1" x14ac:dyDescent="0.4">
      <c r="A42" s="25"/>
      <c r="B42" s="324" t="s">
        <v>290</v>
      </c>
      <c r="C42" s="325"/>
      <c r="D42" s="325"/>
      <c r="E42" s="397"/>
      <c r="F42" s="169">
        <f>IFERROR(VLOOKUP(MID(B42,4,3),MMWR_TRAD_AGG_NATIONAL[],2,0),"--")</f>
        <v>66892</v>
      </c>
      <c r="G42" s="170">
        <f>IFERROR(VLOOKUP(MID(B42,4,3),MMWR_TRAD_AGG_NATIONAL[],3,0),"--")</f>
        <v>38166</v>
      </c>
      <c r="H42" s="171">
        <f t="shared" si="0"/>
        <v>0.57056150212282486</v>
      </c>
      <c r="I42" s="56"/>
      <c r="J42" s="56"/>
      <c r="K42" s="56"/>
      <c r="L42" s="56"/>
      <c r="M42" s="56"/>
      <c r="N42" s="56"/>
      <c r="O42" s="56"/>
      <c r="P42" s="56"/>
      <c r="Q42" s="56"/>
      <c r="R42" s="56"/>
      <c r="S42" s="56"/>
      <c r="T42" s="56"/>
      <c r="U42" s="74"/>
      <c r="V42" s="25"/>
    </row>
    <row r="43" spans="1:22" s="1" customFormat="1" ht="33" customHeight="1" x14ac:dyDescent="0.4">
      <c r="A43" s="25"/>
      <c r="B43" s="324" t="s">
        <v>291</v>
      </c>
      <c r="C43" s="325"/>
      <c r="D43" s="325"/>
      <c r="E43" s="397"/>
      <c r="F43" s="169">
        <f>IFERROR(VLOOKUP(MID(B43,4,3),MMWR_TRAD_AGG_NATIONAL[],2,0),"--")</f>
        <v>19523</v>
      </c>
      <c r="G43" s="170">
        <f>IFERROR(VLOOKUP(MID(B43,4,3),MMWR_TRAD_AGG_NATIONAL[],3,0),"--")</f>
        <v>12065</v>
      </c>
      <c r="H43" s="171">
        <f t="shared" si="0"/>
        <v>0.61798903856989196</v>
      </c>
      <c r="I43" s="56"/>
      <c r="J43" s="56"/>
      <c r="K43" s="56"/>
      <c r="L43" s="56"/>
      <c r="M43" s="56"/>
      <c r="N43" s="56"/>
      <c r="O43" s="56"/>
      <c r="P43" s="56"/>
      <c r="Q43" s="56"/>
      <c r="R43" s="56"/>
      <c r="S43" s="56"/>
      <c r="T43" s="56"/>
      <c r="U43" s="74"/>
      <c r="V43" s="25"/>
    </row>
    <row r="44" spans="1:22" s="1" customFormat="1" ht="27" customHeight="1" thickBot="1" x14ac:dyDescent="0.45">
      <c r="A44" s="25"/>
      <c r="B44" s="326" t="s">
        <v>292</v>
      </c>
      <c r="C44" s="327"/>
      <c r="D44" s="327"/>
      <c r="E44" s="399"/>
      <c r="F44" s="175">
        <f>IFERROR(VLOOKUP(MID(B44,4,3),MMWR_TRAD_AGG_NATIONAL[],2,0),"--")</f>
        <v>511</v>
      </c>
      <c r="G44" s="176">
        <f>IFERROR(VLOOKUP(MID(B44,4,3),MMWR_TRAD_AGG_NATIONAL[],3,0),"--")</f>
        <v>433</v>
      </c>
      <c r="H44" s="177">
        <f t="shared" si="0"/>
        <v>0.84735812133072408</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20"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APRIL 02, 2016</v>
      </c>
      <c r="D2" s="454"/>
      <c r="E2" s="454"/>
      <c r="F2" s="454"/>
      <c r="G2" s="454"/>
      <c r="H2" s="454"/>
      <c r="I2" s="454"/>
      <c r="J2" s="454"/>
      <c r="K2" s="454"/>
      <c r="L2" s="454"/>
      <c r="M2" s="454"/>
      <c r="N2" s="454"/>
      <c r="O2" s="454"/>
      <c r="P2" s="454"/>
      <c r="Q2" s="454"/>
      <c r="R2" s="454"/>
      <c r="S2" s="455"/>
      <c r="T2" s="25"/>
    </row>
    <row r="3" spans="1:20" x14ac:dyDescent="0.2">
      <c r="A3" s="25"/>
      <c r="B3" s="26"/>
      <c r="C3" s="456" t="s">
        <v>225</v>
      </c>
      <c r="D3" s="457"/>
      <c r="E3" s="458" t="s">
        <v>205</v>
      </c>
      <c r="F3" s="459"/>
      <c r="G3" s="460"/>
      <c r="H3" s="458" t="s">
        <v>7</v>
      </c>
      <c r="I3" s="459"/>
      <c r="J3" s="460"/>
      <c r="K3" s="458" t="s">
        <v>30</v>
      </c>
      <c r="L3" s="459"/>
      <c r="M3" s="460"/>
      <c r="N3" s="458" t="s">
        <v>8</v>
      </c>
      <c r="O3" s="459"/>
      <c r="P3" s="460"/>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489</v>
      </c>
      <c r="T4" s="91"/>
    </row>
    <row r="5" spans="1:20" ht="26.25" x14ac:dyDescent="0.4">
      <c r="A5" s="25"/>
      <c r="B5" s="26"/>
      <c r="C5" s="453" t="s">
        <v>487</v>
      </c>
      <c r="D5" s="454"/>
      <c r="E5" s="454"/>
      <c r="F5" s="454"/>
      <c r="G5" s="454"/>
      <c r="H5" s="454"/>
      <c r="I5" s="454"/>
      <c r="J5" s="454"/>
      <c r="K5" s="454"/>
      <c r="L5" s="454"/>
      <c r="M5" s="454"/>
      <c r="N5" s="454"/>
      <c r="O5" s="454"/>
      <c r="P5" s="454"/>
      <c r="Q5" s="454"/>
      <c r="R5" s="454"/>
      <c r="S5" s="455"/>
      <c r="T5" s="25"/>
    </row>
    <row r="6" spans="1:20" x14ac:dyDescent="0.2">
      <c r="A6" s="92"/>
      <c r="B6" s="93" t="s">
        <v>462</v>
      </c>
      <c r="C6" s="208">
        <f>IFERROR(VLOOKUP($B6,MMWR_TRAD_AGG_DISTRICT_COMP[],C$1,0),"ERROR")</f>
        <v>275990</v>
      </c>
      <c r="D6" s="186">
        <f>IFERROR(VLOOKUP($B6,MMWR_TRAD_AGG_DISTRICT_COMP[],D$1,0),"ERROR")</f>
        <v>387.28005362509998</v>
      </c>
      <c r="E6" s="194">
        <f>IFERROR(VLOOKUP($B6,MMWR_TRAD_AGG_DISTRICT_COMP[],E$1,0),"ERROR")</f>
        <v>315603</v>
      </c>
      <c r="F6" s="188">
        <f>IFERROR(VLOOKUP($B6,MMWR_TRAD_AGG_DISTRICT_COMP[],F$1,0),"ERROR")</f>
        <v>75370</v>
      </c>
      <c r="G6" s="211">
        <f t="shared" ref="G6:G69" si="0">IFERROR(F6/E6,"0%")</f>
        <v>0.23881268555748836</v>
      </c>
      <c r="H6" s="187">
        <f>IFERROR(VLOOKUP($B6,MMWR_TRAD_AGG_DISTRICT_COMP[],H$1,0),"ERROR")</f>
        <v>402921</v>
      </c>
      <c r="I6" s="188">
        <f>IFERROR(VLOOKUP($B6,MMWR_TRAD_AGG_DISTRICT_COMP[],I$1,0),"ERROR")</f>
        <v>270942</v>
      </c>
      <c r="J6" s="211">
        <f t="shared" ref="J6:J69" si="1">IFERROR(I6/H6,"0%")</f>
        <v>0.67244447422695763</v>
      </c>
      <c r="K6" s="187">
        <f>IFERROR(VLOOKUP($B6,MMWR_TRAD_AGG_DISTRICT_COMP[],K$1,0),"ERROR")</f>
        <v>123442</v>
      </c>
      <c r="L6" s="188">
        <f>IFERROR(VLOOKUP($B6,MMWR_TRAD_AGG_DISTRICT_COMP[],L$1,0),"ERROR")</f>
        <v>98628</v>
      </c>
      <c r="M6" s="211">
        <f t="shared" ref="M6:M69" si="2">IFERROR(L6/K6,"0%")</f>
        <v>0.798982518105669</v>
      </c>
      <c r="N6" s="187">
        <f>IFERROR(VLOOKUP($B6,MMWR_TRAD_AGG_DISTRICT_COMP[],N$1,0),"ERROR")</f>
        <v>165404</v>
      </c>
      <c r="O6" s="188">
        <f>IFERROR(VLOOKUP($B6,MMWR_TRAD_AGG_DISTRICT_COMP[],O$1,0),"ERROR")</f>
        <v>108607</v>
      </c>
      <c r="P6" s="211">
        <f t="shared" ref="P6:P69" si="3">IFERROR(O6/N6,"0%")</f>
        <v>0.65661652680709048</v>
      </c>
      <c r="Q6" s="200">
        <f>IFERROR(VLOOKUP($B6,MMWR_TRAD_AGG_DISTRICT_COMP[],Q$1,0),"ERROR")</f>
        <v>20887</v>
      </c>
      <c r="R6" s="200">
        <f>IFERROR(VLOOKUP($B6,MMWR_TRAD_AGG_DISTRICT_COMP[],R$1,0),"ERROR")</f>
        <v>4218</v>
      </c>
      <c r="S6" s="203">
        <f>S7+S25+S38+S49+S62+S70</f>
        <v>321657</v>
      </c>
      <c r="T6" s="25"/>
    </row>
    <row r="7" spans="1:20" x14ac:dyDescent="0.2">
      <c r="A7" s="92"/>
      <c r="B7" s="101" t="s">
        <v>370</v>
      </c>
      <c r="C7" s="212">
        <f>IFERROR(VLOOKUP($B7,MMWR_TRAD_AGG_DISTRICT_COMP[],C$1,0),"ERROR")</f>
        <v>80448</v>
      </c>
      <c r="D7" s="197">
        <f>IFERROR(VLOOKUP($B7,MMWR_TRAD_AGG_DISTRICT_COMP[],D$1,0),"ERROR")</f>
        <v>447.56849144789999</v>
      </c>
      <c r="E7" s="213">
        <f>IFERROR(VLOOKUP($B7,MMWR_TRAD_AGG_DISTRICT_COMP[],E$1,0),"ERROR")</f>
        <v>75993</v>
      </c>
      <c r="F7" s="212">
        <f>IFERROR(VLOOKUP($B7,MMWR_TRAD_AGG_DISTRICT_COMP[],F$1,0),"ERROR")</f>
        <v>18858</v>
      </c>
      <c r="G7" s="214">
        <f t="shared" si="0"/>
        <v>0.2481544352769334</v>
      </c>
      <c r="H7" s="212">
        <f>IFERROR(VLOOKUP($B7,MMWR_TRAD_AGG_DISTRICT_COMP[],H$1,0),"ERROR")</f>
        <v>111513</v>
      </c>
      <c r="I7" s="212">
        <f>IFERROR(VLOOKUP($B7,MMWR_TRAD_AGG_DISTRICT_COMP[],I$1,0),"ERROR")</f>
        <v>80299</v>
      </c>
      <c r="J7" s="214">
        <f t="shared" si="1"/>
        <v>0.72008644732004345</v>
      </c>
      <c r="K7" s="212">
        <f>IFERROR(VLOOKUP($B7,MMWR_TRAD_AGG_DISTRICT_COMP[],K$1,0),"ERROR")</f>
        <v>39731</v>
      </c>
      <c r="L7" s="212">
        <f>IFERROR(VLOOKUP($B7,MMWR_TRAD_AGG_DISTRICT_COMP[],L$1,0),"ERROR")</f>
        <v>32392</v>
      </c>
      <c r="M7" s="214">
        <f t="shared" si="2"/>
        <v>0.81528277667312676</v>
      </c>
      <c r="N7" s="212">
        <f>IFERROR(VLOOKUP($B7,MMWR_TRAD_AGG_DISTRICT_COMP[],N$1,0),"ERROR")</f>
        <v>28135</v>
      </c>
      <c r="O7" s="212">
        <f>IFERROR(VLOOKUP($B7,MMWR_TRAD_AGG_DISTRICT_COMP[],O$1,0),"ERROR")</f>
        <v>20076</v>
      </c>
      <c r="P7" s="214">
        <f t="shared" si="3"/>
        <v>0.71355962324506839</v>
      </c>
      <c r="Q7" s="212">
        <f>IFERROR(VLOOKUP($B7,MMWR_TRAD_AGG_DISTRICT_COMP[],Q$1,0),"ERROR")</f>
        <v>13089</v>
      </c>
      <c r="R7" s="215">
        <f>IFERROR(VLOOKUP($B7,MMWR_TRAD_AGG_DISTRICT_COMP[],R$1,0),"ERROR")</f>
        <v>53</v>
      </c>
      <c r="S7" s="215">
        <f>IFERROR(VLOOKUP($B7,MMWR_APP_RO[],S$1,0),"ERROR")</f>
        <v>56733</v>
      </c>
      <c r="T7" s="25"/>
    </row>
    <row r="8" spans="1:20" x14ac:dyDescent="0.2">
      <c r="A8" s="107"/>
      <c r="B8" s="108" t="s">
        <v>33</v>
      </c>
      <c r="C8" s="209">
        <f>IFERROR(VLOOKUP($B8,MMWR_TRAD_AGG_RO_COMP[],C$1,0),"ERROR")</f>
        <v>8598</v>
      </c>
      <c r="D8" s="198">
        <f>IFERROR(VLOOKUP($B8,MMWR_TRAD_AGG_RO_COMP[],D$1,0),"ERROR")</f>
        <v>767.79413817169996</v>
      </c>
      <c r="E8" s="195">
        <f>IFERROR(VLOOKUP($B8,MMWR_TRAD_AGG_RO_COMP[],E$1,0),"ERROR")</f>
        <v>4286</v>
      </c>
      <c r="F8" s="191">
        <f>IFERROR(VLOOKUP($B8,MMWR_TRAD_AGG_RO_COMP[],F$1,0),"ERROR")</f>
        <v>1152</v>
      </c>
      <c r="G8" s="216">
        <f t="shared" si="0"/>
        <v>0.26878208119458702</v>
      </c>
      <c r="H8" s="190">
        <f>IFERROR(VLOOKUP($B8,MMWR_TRAD_AGG_RO_COMP[],H$1,0),"ERROR")</f>
        <v>10145</v>
      </c>
      <c r="I8" s="191">
        <f>IFERROR(VLOOKUP($B8,MMWR_TRAD_AGG_RO_COMP[],I$1,0),"ERROR")</f>
        <v>8319</v>
      </c>
      <c r="J8" s="216">
        <f t="shared" si="1"/>
        <v>0.82000985707244944</v>
      </c>
      <c r="K8" s="204">
        <f>IFERROR(VLOOKUP($B8,MMWR_TRAD_AGG_RO_COMP[],K$1,0),"ERROR")</f>
        <v>2602</v>
      </c>
      <c r="L8" s="205">
        <f>IFERROR(VLOOKUP($B8,MMWR_TRAD_AGG_RO_COMP[],L$1,0),"ERROR")</f>
        <v>2376</v>
      </c>
      <c r="M8" s="216">
        <f t="shared" si="2"/>
        <v>0.91314373558800921</v>
      </c>
      <c r="N8" s="204">
        <f>IFERROR(VLOOKUP($B8,MMWR_TRAD_AGG_RO_COMP[],N$1,0),"ERROR")</f>
        <v>1433</v>
      </c>
      <c r="O8" s="205">
        <f>IFERROR(VLOOKUP($B8,MMWR_TRAD_AGG_RO_COMP[],O$1,0),"ERROR")</f>
        <v>1096</v>
      </c>
      <c r="P8" s="216">
        <f t="shared" si="3"/>
        <v>0.76482903000697833</v>
      </c>
      <c r="Q8" s="201">
        <f>IFERROR(VLOOKUP($B8,MMWR_TRAD_AGG_RO_COMP[],Q$1,0),"ERROR")</f>
        <v>0</v>
      </c>
      <c r="R8" s="201">
        <f>IFERROR(VLOOKUP($B8,MMWR_TRAD_AGG_RO_COMP[],R$1,0),"ERROR")</f>
        <v>5</v>
      </c>
      <c r="S8" s="201">
        <f>IFERROR(VLOOKUP($B8,MMWR_APP_RO[],S$1,0),"ERROR")</f>
        <v>5590</v>
      </c>
      <c r="T8" s="25"/>
    </row>
    <row r="9" spans="1:20" x14ac:dyDescent="0.2">
      <c r="A9" s="107"/>
      <c r="B9" s="108" t="s">
        <v>35</v>
      </c>
      <c r="C9" s="209">
        <f>IFERROR(VLOOKUP($B9,MMWR_TRAD_AGG_RO_COMP[],C$1,0),"ERROR")</f>
        <v>4146</v>
      </c>
      <c r="D9" s="198">
        <f>IFERROR(VLOOKUP($B9,MMWR_TRAD_AGG_RO_COMP[],D$1,0),"ERROR")</f>
        <v>628.97298601060004</v>
      </c>
      <c r="E9" s="195">
        <f>IFERROR(VLOOKUP($B9,MMWR_TRAD_AGG_RO_COMP[],E$1,0),"ERROR")</f>
        <v>3498</v>
      </c>
      <c r="F9" s="191">
        <f>IFERROR(VLOOKUP($B9,MMWR_TRAD_AGG_RO_COMP[],F$1,0),"ERROR")</f>
        <v>787</v>
      </c>
      <c r="G9" s="216">
        <f t="shared" si="0"/>
        <v>0.2249857061177816</v>
      </c>
      <c r="H9" s="190">
        <f>IFERROR(VLOOKUP($B9,MMWR_TRAD_AGG_RO_COMP[],H$1,0),"ERROR")</f>
        <v>5610</v>
      </c>
      <c r="I9" s="191">
        <f>IFERROR(VLOOKUP($B9,MMWR_TRAD_AGG_RO_COMP[],I$1,0),"ERROR")</f>
        <v>4300</v>
      </c>
      <c r="J9" s="216">
        <f t="shared" si="1"/>
        <v>0.76648841354723707</v>
      </c>
      <c r="K9" s="204">
        <f>IFERROR(VLOOKUP($B9,MMWR_TRAD_AGG_RO_COMP[],K$1,0),"ERROR")</f>
        <v>2739</v>
      </c>
      <c r="L9" s="205">
        <f>IFERROR(VLOOKUP($B9,MMWR_TRAD_AGG_RO_COMP[],L$1,0),"ERROR")</f>
        <v>2142</v>
      </c>
      <c r="M9" s="216">
        <f t="shared" si="2"/>
        <v>0.78203723986856521</v>
      </c>
      <c r="N9" s="204">
        <f>IFERROR(VLOOKUP($B9,MMWR_TRAD_AGG_RO_COMP[],N$1,0),"ERROR")</f>
        <v>649</v>
      </c>
      <c r="O9" s="205">
        <f>IFERROR(VLOOKUP($B9,MMWR_TRAD_AGG_RO_COMP[],O$1,0),"ERROR")</f>
        <v>565</v>
      </c>
      <c r="P9" s="216">
        <f t="shared" si="3"/>
        <v>0.8705701078582434</v>
      </c>
      <c r="Q9" s="201">
        <f>IFERROR(VLOOKUP($B9,MMWR_TRAD_AGG_RO_COMP[],Q$1,0),"ERROR")</f>
        <v>0</v>
      </c>
      <c r="R9" s="201">
        <f>IFERROR(VLOOKUP($B9,MMWR_TRAD_AGG_RO_COMP[],R$1,0),"ERROR")</f>
        <v>1</v>
      </c>
      <c r="S9" s="201">
        <f>IFERROR(VLOOKUP($B9,MMWR_APP_RO[],S$1,0),"ERROR")</f>
        <v>3259</v>
      </c>
      <c r="T9" s="25"/>
    </row>
    <row r="10" spans="1:20" x14ac:dyDescent="0.2">
      <c r="A10" s="107"/>
      <c r="B10" s="108" t="s">
        <v>24</v>
      </c>
      <c r="C10" s="209">
        <f>IFERROR(VLOOKUP($B10,MMWR_TRAD_AGG_RO_COMP[],C$1,0),"ERROR")</f>
        <v>834</v>
      </c>
      <c r="D10" s="198">
        <f>IFERROR(VLOOKUP($B10,MMWR_TRAD_AGG_RO_COMP[],D$1,0),"ERROR")</f>
        <v>156.72062350120001</v>
      </c>
      <c r="E10" s="195">
        <f>IFERROR(VLOOKUP($B10,MMWR_TRAD_AGG_RO_COMP[],E$1,0),"ERROR")</f>
        <v>3981</v>
      </c>
      <c r="F10" s="191">
        <f>IFERROR(VLOOKUP($B10,MMWR_TRAD_AGG_RO_COMP[],F$1,0),"ERROR")</f>
        <v>709</v>
      </c>
      <c r="G10" s="216">
        <f t="shared" si="0"/>
        <v>0.17809595579000251</v>
      </c>
      <c r="H10" s="190">
        <f>IFERROR(VLOOKUP($B10,MMWR_TRAD_AGG_RO_COMP[],H$1,0),"ERROR")</f>
        <v>1946</v>
      </c>
      <c r="I10" s="191">
        <f>IFERROR(VLOOKUP($B10,MMWR_TRAD_AGG_RO_COMP[],I$1,0),"ERROR")</f>
        <v>768</v>
      </c>
      <c r="J10" s="216">
        <f t="shared" si="1"/>
        <v>0.39465570400822197</v>
      </c>
      <c r="K10" s="204">
        <f>IFERROR(VLOOKUP($B10,MMWR_TRAD_AGG_RO_COMP[],K$1,0),"ERROR")</f>
        <v>989</v>
      </c>
      <c r="L10" s="205">
        <f>IFERROR(VLOOKUP($B10,MMWR_TRAD_AGG_RO_COMP[],L$1,0),"ERROR")</f>
        <v>591</v>
      </c>
      <c r="M10" s="216">
        <f t="shared" si="2"/>
        <v>0.59757330637007078</v>
      </c>
      <c r="N10" s="204">
        <f>IFERROR(VLOOKUP($B10,MMWR_TRAD_AGG_RO_COMP[],N$1,0),"ERROR")</f>
        <v>302</v>
      </c>
      <c r="O10" s="205">
        <f>IFERROR(VLOOKUP($B10,MMWR_TRAD_AGG_RO_COMP[],O$1,0),"ERROR")</f>
        <v>132</v>
      </c>
      <c r="P10" s="216">
        <f t="shared" si="3"/>
        <v>0.4370860927152318</v>
      </c>
      <c r="Q10" s="201">
        <f>IFERROR(VLOOKUP($B10,MMWR_TRAD_AGG_RO_COMP[],Q$1,0),"ERROR")</f>
        <v>0</v>
      </c>
      <c r="R10" s="201">
        <f>IFERROR(VLOOKUP($B10,MMWR_TRAD_AGG_RO_COMP[],R$1,0),"ERROR")</f>
        <v>0</v>
      </c>
      <c r="S10" s="201">
        <f>IFERROR(VLOOKUP($B10,MMWR_APP_RO[],S$1,0),"ERROR")</f>
        <v>1730</v>
      </c>
      <c r="T10" s="25"/>
    </row>
    <row r="11" spans="1:20" x14ac:dyDescent="0.2">
      <c r="A11" s="107"/>
      <c r="B11" s="108" t="s">
        <v>44</v>
      </c>
      <c r="C11" s="209">
        <f>IFERROR(VLOOKUP($B11,MMWR_TRAD_AGG_RO_COMP[],C$1,0),"ERROR")</f>
        <v>915</v>
      </c>
      <c r="D11" s="198">
        <f>IFERROR(VLOOKUP($B11,MMWR_TRAD_AGG_RO_COMP[],D$1,0),"ERROR")</f>
        <v>300.0469945355</v>
      </c>
      <c r="E11" s="195">
        <f>IFERROR(VLOOKUP($B11,MMWR_TRAD_AGG_RO_COMP[],E$1,0),"ERROR")</f>
        <v>1673</v>
      </c>
      <c r="F11" s="191">
        <f>IFERROR(VLOOKUP($B11,MMWR_TRAD_AGG_RO_COMP[],F$1,0),"ERROR")</f>
        <v>434</v>
      </c>
      <c r="G11" s="216">
        <f t="shared" si="0"/>
        <v>0.2594142259414226</v>
      </c>
      <c r="H11" s="190">
        <f>IFERROR(VLOOKUP($B11,MMWR_TRAD_AGG_RO_COMP[],H$1,0),"ERROR")</f>
        <v>2478</v>
      </c>
      <c r="I11" s="191">
        <f>IFERROR(VLOOKUP($B11,MMWR_TRAD_AGG_RO_COMP[],I$1,0),"ERROR")</f>
        <v>1635</v>
      </c>
      <c r="J11" s="216">
        <f t="shared" si="1"/>
        <v>0.65980629539951574</v>
      </c>
      <c r="K11" s="204">
        <f>IFERROR(VLOOKUP($B11,MMWR_TRAD_AGG_RO_COMP[],K$1,0),"ERROR")</f>
        <v>430</v>
      </c>
      <c r="L11" s="205">
        <f>IFERROR(VLOOKUP($B11,MMWR_TRAD_AGG_RO_COMP[],L$1,0),"ERROR")</f>
        <v>275</v>
      </c>
      <c r="M11" s="216">
        <f t="shared" si="2"/>
        <v>0.63953488372093026</v>
      </c>
      <c r="N11" s="204">
        <f>IFERROR(VLOOKUP($B11,MMWR_TRAD_AGG_RO_COMP[],N$1,0),"ERROR")</f>
        <v>830</v>
      </c>
      <c r="O11" s="205">
        <f>IFERROR(VLOOKUP($B11,MMWR_TRAD_AGG_RO_COMP[],O$1,0),"ERROR")</f>
        <v>624</v>
      </c>
      <c r="P11" s="216">
        <f t="shared" si="3"/>
        <v>0.75180722891566265</v>
      </c>
      <c r="Q11" s="201">
        <f>IFERROR(VLOOKUP($B11,MMWR_TRAD_AGG_RO_COMP[],Q$1,0),"ERROR")</f>
        <v>0</v>
      </c>
      <c r="R11" s="201">
        <f>IFERROR(VLOOKUP($B11,MMWR_TRAD_AGG_RO_COMP[],R$1,0),"ERROR")</f>
        <v>5</v>
      </c>
      <c r="S11" s="201">
        <f>IFERROR(VLOOKUP($B11,MMWR_APP_RO[],S$1,0),"ERROR")</f>
        <v>1115</v>
      </c>
      <c r="T11" s="25"/>
    </row>
    <row r="12" spans="1:20" x14ac:dyDescent="0.2">
      <c r="A12" s="107"/>
      <c r="B12" s="108" t="s">
        <v>47</v>
      </c>
      <c r="C12" s="209">
        <f>IFERROR(VLOOKUP($B12,MMWR_TRAD_AGG_RO_COMP[],C$1,0),"ERROR")</f>
        <v>1911</v>
      </c>
      <c r="D12" s="198">
        <f>IFERROR(VLOOKUP($B12,MMWR_TRAD_AGG_RO_COMP[],D$1,0),"ERROR")</f>
        <v>243.72998430140001</v>
      </c>
      <c r="E12" s="195">
        <f>IFERROR(VLOOKUP($B12,MMWR_TRAD_AGG_RO_COMP[],E$1,0),"ERROR")</f>
        <v>2306</v>
      </c>
      <c r="F12" s="191">
        <f>IFERROR(VLOOKUP($B12,MMWR_TRAD_AGG_RO_COMP[],F$1,0),"ERROR")</f>
        <v>500</v>
      </c>
      <c r="G12" s="216">
        <f t="shared" si="0"/>
        <v>0.2168256721595837</v>
      </c>
      <c r="H12" s="190">
        <f>IFERROR(VLOOKUP($B12,MMWR_TRAD_AGG_RO_COMP[],H$1,0),"ERROR")</f>
        <v>3140</v>
      </c>
      <c r="I12" s="191">
        <f>IFERROR(VLOOKUP($B12,MMWR_TRAD_AGG_RO_COMP[],I$1,0),"ERROR")</f>
        <v>2080</v>
      </c>
      <c r="J12" s="216">
        <f t="shared" si="1"/>
        <v>0.66242038216560506</v>
      </c>
      <c r="K12" s="204">
        <f>IFERROR(VLOOKUP($B12,MMWR_TRAD_AGG_RO_COMP[],K$1,0),"ERROR")</f>
        <v>488</v>
      </c>
      <c r="L12" s="205">
        <f>IFERROR(VLOOKUP($B12,MMWR_TRAD_AGG_RO_COMP[],L$1,0),"ERROR")</f>
        <v>435</v>
      </c>
      <c r="M12" s="216">
        <f t="shared" si="2"/>
        <v>0.89139344262295084</v>
      </c>
      <c r="N12" s="204">
        <f>IFERROR(VLOOKUP($B12,MMWR_TRAD_AGG_RO_COMP[],N$1,0),"ERROR")</f>
        <v>1254</v>
      </c>
      <c r="O12" s="205">
        <f>IFERROR(VLOOKUP($B12,MMWR_TRAD_AGG_RO_COMP[],O$1,0),"ERROR")</f>
        <v>921</v>
      </c>
      <c r="P12" s="216">
        <f t="shared" si="3"/>
        <v>0.73444976076555024</v>
      </c>
      <c r="Q12" s="201">
        <f>IFERROR(VLOOKUP($B12,MMWR_TRAD_AGG_RO_COMP[],Q$1,0),"ERROR")</f>
        <v>0</v>
      </c>
      <c r="R12" s="201">
        <f>IFERROR(VLOOKUP($B12,MMWR_TRAD_AGG_RO_COMP[],R$1,0),"ERROR")</f>
        <v>9</v>
      </c>
      <c r="S12" s="201">
        <f>IFERROR(VLOOKUP($B12,MMWR_APP_RO[],S$1,0),"ERROR")</f>
        <v>2089</v>
      </c>
      <c r="T12" s="25"/>
    </row>
    <row r="13" spans="1:20" x14ac:dyDescent="0.2">
      <c r="A13" s="107"/>
      <c r="B13" s="108" t="s">
        <v>54</v>
      </c>
      <c r="C13" s="209">
        <f>IFERROR(VLOOKUP($B13,MMWR_TRAD_AGG_RO_COMP[],C$1,0),"ERROR")</f>
        <v>1176</v>
      </c>
      <c r="D13" s="198">
        <f>IFERROR(VLOOKUP($B13,MMWR_TRAD_AGG_RO_COMP[],D$1,0),"ERROR")</f>
        <v>328.7636054422</v>
      </c>
      <c r="E13" s="195">
        <f>IFERROR(VLOOKUP($B13,MMWR_TRAD_AGG_RO_COMP[],E$1,0),"ERROR")</f>
        <v>949</v>
      </c>
      <c r="F13" s="191">
        <f>IFERROR(VLOOKUP($B13,MMWR_TRAD_AGG_RO_COMP[],F$1,0),"ERROR")</f>
        <v>172</v>
      </c>
      <c r="G13" s="216">
        <f t="shared" si="0"/>
        <v>0.18124341412012646</v>
      </c>
      <c r="H13" s="190">
        <f>IFERROR(VLOOKUP($B13,MMWR_TRAD_AGG_RO_COMP[],H$1,0),"ERROR")</f>
        <v>1673</v>
      </c>
      <c r="I13" s="191">
        <f>IFERROR(VLOOKUP($B13,MMWR_TRAD_AGG_RO_COMP[],I$1,0),"ERROR")</f>
        <v>1058</v>
      </c>
      <c r="J13" s="216">
        <f t="shared" si="1"/>
        <v>0.6323968918111178</v>
      </c>
      <c r="K13" s="204">
        <f>IFERROR(VLOOKUP($B13,MMWR_TRAD_AGG_RO_COMP[],K$1,0),"ERROR")</f>
        <v>301</v>
      </c>
      <c r="L13" s="205">
        <f>IFERROR(VLOOKUP($B13,MMWR_TRAD_AGG_RO_COMP[],L$1,0),"ERROR")</f>
        <v>274</v>
      </c>
      <c r="M13" s="216">
        <f t="shared" si="2"/>
        <v>0.9102990033222591</v>
      </c>
      <c r="N13" s="204">
        <f>IFERROR(VLOOKUP($B13,MMWR_TRAD_AGG_RO_COMP[],N$1,0),"ERROR")</f>
        <v>77</v>
      </c>
      <c r="O13" s="205">
        <f>IFERROR(VLOOKUP($B13,MMWR_TRAD_AGG_RO_COMP[],O$1,0),"ERROR")</f>
        <v>41</v>
      </c>
      <c r="P13" s="216">
        <f t="shared" si="3"/>
        <v>0.53246753246753242</v>
      </c>
      <c r="Q13" s="201">
        <f>IFERROR(VLOOKUP($B13,MMWR_TRAD_AGG_RO_COMP[],Q$1,0),"ERROR")</f>
        <v>0</v>
      </c>
      <c r="R13" s="201">
        <f>IFERROR(VLOOKUP($B13,MMWR_TRAD_AGG_RO_COMP[],R$1,0),"ERROR")</f>
        <v>1</v>
      </c>
      <c r="S13" s="201">
        <f>IFERROR(VLOOKUP($B13,MMWR_APP_RO[],S$1,0),"ERROR")</f>
        <v>576</v>
      </c>
      <c r="T13" s="25"/>
    </row>
    <row r="14" spans="1:20" x14ac:dyDescent="0.2">
      <c r="A14" s="107"/>
      <c r="B14" s="108" t="s">
        <v>60</v>
      </c>
      <c r="C14" s="209">
        <f>IFERROR(VLOOKUP($B14,MMWR_TRAD_AGG_RO_COMP[],C$1,0),"ERROR")</f>
        <v>3005</v>
      </c>
      <c r="D14" s="198">
        <f>IFERROR(VLOOKUP($B14,MMWR_TRAD_AGG_RO_COMP[],D$1,0),"ERROR")</f>
        <v>304.72911813640002</v>
      </c>
      <c r="E14" s="195">
        <f>IFERROR(VLOOKUP($B14,MMWR_TRAD_AGG_RO_COMP[],E$1,0),"ERROR")</f>
        <v>4532</v>
      </c>
      <c r="F14" s="191">
        <f>IFERROR(VLOOKUP($B14,MMWR_TRAD_AGG_RO_COMP[],F$1,0),"ERROR")</f>
        <v>1297</v>
      </c>
      <c r="G14" s="216">
        <f t="shared" si="0"/>
        <v>0.28618711385701678</v>
      </c>
      <c r="H14" s="190">
        <f>IFERROR(VLOOKUP($B14,MMWR_TRAD_AGG_RO_COMP[],H$1,0),"ERROR")</f>
        <v>4369</v>
      </c>
      <c r="I14" s="191">
        <f>IFERROR(VLOOKUP($B14,MMWR_TRAD_AGG_RO_COMP[],I$1,0),"ERROR")</f>
        <v>2814</v>
      </c>
      <c r="J14" s="216">
        <f t="shared" si="1"/>
        <v>0.64408331425955601</v>
      </c>
      <c r="K14" s="204">
        <f>IFERROR(VLOOKUP($B14,MMWR_TRAD_AGG_RO_COMP[],K$1,0),"ERROR")</f>
        <v>2987</v>
      </c>
      <c r="L14" s="205">
        <f>IFERROR(VLOOKUP($B14,MMWR_TRAD_AGG_RO_COMP[],L$1,0),"ERROR")</f>
        <v>2534</v>
      </c>
      <c r="M14" s="216">
        <f t="shared" si="2"/>
        <v>0.84834281888182117</v>
      </c>
      <c r="N14" s="204">
        <f>IFERROR(VLOOKUP($B14,MMWR_TRAD_AGG_RO_COMP[],N$1,0),"ERROR")</f>
        <v>3349</v>
      </c>
      <c r="O14" s="205">
        <f>IFERROR(VLOOKUP($B14,MMWR_TRAD_AGG_RO_COMP[],O$1,0),"ERROR")</f>
        <v>257</v>
      </c>
      <c r="P14" s="216">
        <f t="shared" si="3"/>
        <v>7.6739325171693046E-2</v>
      </c>
      <c r="Q14" s="201">
        <f>IFERROR(VLOOKUP($B14,MMWR_TRAD_AGG_RO_COMP[],Q$1,0),"ERROR")</f>
        <v>0</v>
      </c>
      <c r="R14" s="201">
        <f>IFERROR(VLOOKUP($B14,MMWR_TRAD_AGG_RO_COMP[],R$1,0),"ERROR")</f>
        <v>3</v>
      </c>
      <c r="S14" s="201">
        <f>IFERROR(VLOOKUP($B14,MMWR_APP_RO[],S$1,0),"ERROR")</f>
        <v>3072</v>
      </c>
      <c r="T14" s="25"/>
    </row>
    <row r="15" spans="1:20" x14ac:dyDescent="0.2">
      <c r="A15" s="107"/>
      <c r="B15" s="108" t="s">
        <v>61</v>
      </c>
      <c r="C15" s="209">
        <f>IFERROR(VLOOKUP($B15,MMWR_TRAD_AGG_RO_COMP[],C$1,0),"ERROR")</f>
        <v>652</v>
      </c>
      <c r="D15" s="198">
        <f>IFERROR(VLOOKUP($B15,MMWR_TRAD_AGG_RO_COMP[],D$1,0),"ERROR")</f>
        <v>180.7346625767</v>
      </c>
      <c r="E15" s="195">
        <f>IFERROR(VLOOKUP($B15,MMWR_TRAD_AGG_RO_COMP[],E$1,0),"ERROR")</f>
        <v>2697</v>
      </c>
      <c r="F15" s="191">
        <f>IFERROR(VLOOKUP($B15,MMWR_TRAD_AGG_RO_COMP[],F$1,0),"ERROR")</f>
        <v>516</v>
      </c>
      <c r="G15" s="216">
        <f t="shared" si="0"/>
        <v>0.19132369299221358</v>
      </c>
      <c r="H15" s="190">
        <f>IFERROR(VLOOKUP($B15,MMWR_TRAD_AGG_RO_COMP[],H$1,0),"ERROR")</f>
        <v>1271</v>
      </c>
      <c r="I15" s="191">
        <f>IFERROR(VLOOKUP($B15,MMWR_TRAD_AGG_RO_COMP[],I$1,0),"ERROR")</f>
        <v>580</v>
      </c>
      <c r="J15" s="216">
        <f t="shared" si="1"/>
        <v>0.45633359559402048</v>
      </c>
      <c r="K15" s="204">
        <f>IFERROR(VLOOKUP($B15,MMWR_TRAD_AGG_RO_COMP[],K$1,0),"ERROR")</f>
        <v>739</v>
      </c>
      <c r="L15" s="205">
        <f>IFERROR(VLOOKUP($B15,MMWR_TRAD_AGG_RO_COMP[],L$1,0),"ERROR")</f>
        <v>695</v>
      </c>
      <c r="M15" s="216">
        <f t="shared" si="2"/>
        <v>0.94046008119079838</v>
      </c>
      <c r="N15" s="204">
        <f>IFERROR(VLOOKUP($B15,MMWR_TRAD_AGG_RO_COMP[],N$1,0),"ERROR")</f>
        <v>1542</v>
      </c>
      <c r="O15" s="205">
        <f>IFERROR(VLOOKUP($B15,MMWR_TRAD_AGG_RO_COMP[],O$1,0),"ERROR")</f>
        <v>1170</v>
      </c>
      <c r="P15" s="216">
        <f t="shared" si="3"/>
        <v>0.75875486381322954</v>
      </c>
      <c r="Q15" s="201">
        <f>IFERROR(VLOOKUP($B15,MMWR_TRAD_AGG_RO_COMP[],Q$1,0),"ERROR")</f>
        <v>0</v>
      </c>
      <c r="R15" s="201">
        <f>IFERROR(VLOOKUP($B15,MMWR_TRAD_AGG_RO_COMP[],R$1,0),"ERROR")</f>
        <v>0</v>
      </c>
      <c r="S15" s="201">
        <f>IFERROR(VLOOKUP($B15,MMWR_APP_RO[],S$1,0),"ERROR")</f>
        <v>2515</v>
      </c>
      <c r="T15" s="25"/>
    </row>
    <row r="16" spans="1:20" x14ac:dyDescent="0.2">
      <c r="A16" s="107"/>
      <c r="B16" s="108" t="s">
        <v>63</v>
      </c>
      <c r="C16" s="209">
        <f>IFERROR(VLOOKUP($B16,MMWR_TRAD_AGG_RO_COMP[],C$1,0),"ERROR")</f>
        <v>5184</v>
      </c>
      <c r="D16" s="198">
        <f>IFERROR(VLOOKUP($B16,MMWR_TRAD_AGG_RO_COMP[],D$1,0),"ERROR")</f>
        <v>422.02623456790002</v>
      </c>
      <c r="E16" s="195">
        <f>IFERROR(VLOOKUP($B16,MMWR_TRAD_AGG_RO_COMP[],E$1,0),"ERROR")</f>
        <v>12287</v>
      </c>
      <c r="F16" s="191">
        <f>IFERROR(VLOOKUP($B16,MMWR_TRAD_AGG_RO_COMP[],F$1,0),"ERROR")</f>
        <v>3086</v>
      </c>
      <c r="G16" s="216">
        <f t="shared" si="0"/>
        <v>0.25115976235045168</v>
      </c>
      <c r="H16" s="190">
        <f>IFERROR(VLOOKUP($B16,MMWR_TRAD_AGG_RO_COMP[],H$1,0),"ERROR")</f>
        <v>8264</v>
      </c>
      <c r="I16" s="191">
        <f>IFERROR(VLOOKUP($B16,MMWR_TRAD_AGG_RO_COMP[],I$1,0),"ERROR")</f>
        <v>6248</v>
      </c>
      <c r="J16" s="216">
        <f t="shared" si="1"/>
        <v>0.75605033881897388</v>
      </c>
      <c r="K16" s="204">
        <f>IFERROR(VLOOKUP($B16,MMWR_TRAD_AGG_RO_COMP[],K$1,0),"ERROR")</f>
        <v>2244</v>
      </c>
      <c r="L16" s="205">
        <f>IFERROR(VLOOKUP($B16,MMWR_TRAD_AGG_RO_COMP[],L$1,0),"ERROR")</f>
        <v>1469</v>
      </c>
      <c r="M16" s="216">
        <f t="shared" si="2"/>
        <v>0.65463458110516937</v>
      </c>
      <c r="N16" s="204">
        <f>IFERROR(VLOOKUP($B16,MMWR_TRAD_AGG_RO_COMP[],N$1,0),"ERROR")</f>
        <v>7214</v>
      </c>
      <c r="O16" s="205">
        <f>IFERROR(VLOOKUP($B16,MMWR_TRAD_AGG_RO_COMP[],O$1,0),"ERROR")</f>
        <v>6363</v>
      </c>
      <c r="P16" s="216">
        <f t="shared" si="3"/>
        <v>0.88203493207651784</v>
      </c>
      <c r="Q16" s="201">
        <f>IFERROR(VLOOKUP($B16,MMWR_TRAD_AGG_RO_COMP[],Q$1,0),"ERROR")</f>
        <v>13083</v>
      </c>
      <c r="R16" s="201">
        <f>IFERROR(VLOOKUP($B16,MMWR_TRAD_AGG_RO_COMP[],R$1,0),"ERROR")</f>
        <v>0</v>
      </c>
      <c r="S16" s="201">
        <f>IFERROR(VLOOKUP($B16,MMWR_APP_RO[],S$1,0),"ERROR")</f>
        <v>5846</v>
      </c>
      <c r="T16" s="25"/>
    </row>
    <row r="17" spans="1:20" x14ac:dyDescent="0.2">
      <c r="A17" s="107"/>
      <c r="B17" s="108" t="s">
        <v>65</v>
      </c>
      <c r="C17" s="209">
        <f>IFERROR(VLOOKUP($B17,MMWR_TRAD_AGG_RO_COMP[],C$1,0),"ERROR")</f>
        <v>3972</v>
      </c>
      <c r="D17" s="198">
        <f>IFERROR(VLOOKUP($B17,MMWR_TRAD_AGG_RO_COMP[],D$1,0),"ERROR")</f>
        <v>457.37336354479999</v>
      </c>
      <c r="E17" s="195">
        <f>IFERROR(VLOOKUP($B17,MMWR_TRAD_AGG_RO_COMP[],E$1,0),"ERROR")</f>
        <v>5036</v>
      </c>
      <c r="F17" s="191">
        <f>IFERROR(VLOOKUP($B17,MMWR_TRAD_AGG_RO_COMP[],F$1,0),"ERROR")</f>
        <v>1611</v>
      </c>
      <c r="G17" s="216">
        <f t="shared" si="0"/>
        <v>0.31989674344718028</v>
      </c>
      <c r="H17" s="190">
        <f>IFERROR(VLOOKUP($B17,MMWR_TRAD_AGG_RO_COMP[],H$1,0),"ERROR")</f>
        <v>5407</v>
      </c>
      <c r="I17" s="191">
        <f>IFERROR(VLOOKUP($B17,MMWR_TRAD_AGG_RO_COMP[],I$1,0),"ERROR")</f>
        <v>3969</v>
      </c>
      <c r="J17" s="216">
        <f t="shared" si="1"/>
        <v>0.73404845570556687</v>
      </c>
      <c r="K17" s="204">
        <f>IFERROR(VLOOKUP($B17,MMWR_TRAD_AGG_RO_COMP[],K$1,0),"ERROR")</f>
        <v>679</v>
      </c>
      <c r="L17" s="205">
        <f>IFERROR(VLOOKUP($B17,MMWR_TRAD_AGG_RO_COMP[],L$1,0),"ERROR")</f>
        <v>574</v>
      </c>
      <c r="M17" s="216">
        <f t="shared" si="2"/>
        <v>0.84536082474226804</v>
      </c>
      <c r="N17" s="204">
        <f>IFERROR(VLOOKUP($B17,MMWR_TRAD_AGG_RO_COMP[],N$1,0),"ERROR")</f>
        <v>808</v>
      </c>
      <c r="O17" s="205">
        <f>IFERROR(VLOOKUP($B17,MMWR_TRAD_AGG_RO_COMP[],O$1,0),"ERROR")</f>
        <v>528</v>
      </c>
      <c r="P17" s="216">
        <f t="shared" si="3"/>
        <v>0.65346534653465349</v>
      </c>
      <c r="Q17" s="201">
        <f>IFERROR(VLOOKUP($B17,MMWR_TRAD_AGG_RO_COMP[],Q$1,0),"ERROR")</f>
        <v>0</v>
      </c>
      <c r="R17" s="201">
        <f>IFERROR(VLOOKUP($B17,MMWR_TRAD_AGG_RO_COMP[],R$1,0),"ERROR")</f>
        <v>2</v>
      </c>
      <c r="S17" s="201">
        <f>IFERROR(VLOOKUP($B17,MMWR_APP_RO[],S$1,0),"ERROR")</f>
        <v>5164</v>
      </c>
      <c r="T17" s="25"/>
    </row>
    <row r="18" spans="1:20" x14ac:dyDescent="0.2">
      <c r="A18" s="107"/>
      <c r="B18" s="108" t="s">
        <v>67</v>
      </c>
      <c r="C18" s="209">
        <f>IFERROR(VLOOKUP($B18,MMWR_TRAD_AGG_RO_COMP[],C$1,0),"ERROR")</f>
        <v>780</v>
      </c>
      <c r="D18" s="198">
        <f>IFERROR(VLOOKUP($B18,MMWR_TRAD_AGG_RO_COMP[],D$1,0),"ERROR")</f>
        <v>202.3897435897</v>
      </c>
      <c r="E18" s="195">
        <f>IFERROR(VLOOKUP($B18,MMWR_TRAD_AGG_RO_COMP[],E$1,0),"ERROR")</f>
        <v>2017</v>
      </c>
      <c r="F18" s="191">
        <f>IFERROR(VLOOKUP($B18,MMWR_TRAD_AGG_RO_COMP[],F$1,0),"ERROR")</f>
        <v>401</v>
      </c>
      <c r="G18" s="216">
        <f t="shared" si="0"/>
        <v>0.19881011403073873</v>
      </c>
      <c r="H18" s="190">
        <f>IFERROR(VLOOKUP($B18,MMWR_TRAD_AGG_RO_COMP[],H$1,0),"ERROR")</f>
        <v>3208</v>
      </c>
      <c r="I18" s="191">
        <f>IFERROR(VLOOKUP($B18,MMWR_TRAD_AGG_RO_COMP[],I$1,0),"ERROR")</f>
        <v>1328</v>
      </c>
      <c r="J18" s="216">
        <f t="shared" si="1"/>
        <v>0.41396508728179549</v>
      </c>
      <c r="K18" s="204">
        <f>IFERROR(VLOOKUP($B18,MMWR_TRAD_AGG_RO_COMP[],K$1,0),"ERROR")</f>
        <v>2352</v>
      </c>
      <c r="L18" s="205">
        <f>IFERROR(VLOOKUP($B18,MMWR_TRAD_AGG_RO_COMP[],L$1,0),"ERROR")</f>
        <v>2284</v>
      </c>
      <c r="M18" s="216">
        <f t="shared" si="2"/>
        <v>0.97108843537414968</v>
      </c>
      <c r="N18" s="204">
        <f>IFERROR(VLOOKUP($B18,MMWR_TRAD_AGG_RO_COMP[],N$1,0),"ERROR")</f>
        <v>418</v>
      </c>
      <c r="O18" s="205">
        <f>IFERROR(VLOOKUP($B18,MMWR_TRAD_AGG_RO_COMP[],O$1,0),"ERROR")</f>
        <v>227</v>
      </c>
      <c r="P18" s="216">
        <f t="shared" si="3"/>
        <v>0.5430622009569378</v>
      </c>
      <c r="Q18" s="201">
        <f>IFERROR(VLOOKUP($B18,MMWR_TRAD_AGG_RO_COMP[],Q$1,0),"ERROR")</f>
        <v>0</v>
      </c>
      <c r="R18" s="201">
        <f>IFERROR(VLOOKUP($B18,MMWR_TRAD_AGG_RO_COMP[],R$1,0),"ERROR")</f>
        <v>1</v>
      </c>
      <c r="S18" s="201">
        <f>IFERROR(VLOOKUP($B18,MMWR_APP_RO[],S$1,0),"ERROR")</f>
        <v>561</v>
      </c>
      <c r="T18" s="25"/>
    </row>
    <row r="19" spans="1:20" x14ac:dyDescent="0.2">
      <c r="A19" s="107"/>
      <c r="B19" s="108" t="s">
        <v>69</v>
      </c>
      <c r="C19" s="209">
        <f>IFERROR(VLOOKUP($B19,MMWR_TRAD_AGG_RO_COMP[],C$1,0),"ERROR")</f>
        <v>16416</v>
      </c>
      <c r="D19" s="198">
        <f>IFERROR(VLOOKUP($B19,MMWR_TRAD_AGG_RO_COMP[],D$1,0),"ERROR")</f>
        <v>411.04672270959998</v>
      </c>
      <c r="E19" s="195">
        <f>IFERROR(VLOOKUP($B19,MMWR_TRAD_AGG_RO_COMP[],E$1,0),"ERROR")</f>
        <v>10931</v>
      </c>
      <c r="F19" s="191">
        <f>IFERROR(VLOOKUP($B19,MMWR_TRAD_AGG_RO_COMP[],F$1,0),"ERROR")</f>
        <v>2633</v>
      </c>
      <c r="G19" s="216">
        <f t="shared" si="0"/>
        <v>0.24087457689140976</v>
      </c>
      <c r="H19" s="190">
        <f>IFERROR(VLOOKUP($B19,MMWR_TRAD_AGG_RO_COMP[],H$1,0),"ERROR")</f>
        <v>18959</v>
      </c>
      <c r="I19" s="191">
        <f>IFERROR(VLOOKUP($B19,MMWR_TRAD_AGG_RO_COMP[],I$1,0),"ERROR")</f>
        <v>13097</v>
      </c>
      <c r="J19" s="216">
        <f t="shared" si="1"/>
        <v>0.69080647713486998</v>
      </c>
      <c r="K19" s="204">
        <f>IFERROR(VLOOKUP($B19,MMWR_TRAD_AGG_RO_COMP[],K$1,0),"ERROR")</f>
        <v>8787</v>
      </c>
      <c r="L19" s="205">
        <f>IFERROR(VLOOKUP($B19,MMWR_TRAD_AGG_RO_COMP[],L$1,0),"ERROR")</f>
        <v>8032</v>
      </c>
      <c r="M19" s="216">
        <f t="shared" si="2"/>
        <v>0.91407761465801751</v>
      </c>
      <c r="N19" s="204">
        <f>IFERROR(VLOOKUP($B19,MMWR_TRAD_AGG_RO_COMP[],N$1,0),"ERROR")</f>
        <v>4521</v>
      </c>
      <c r="O19" s="205">
        <f>IFERROR(VLOOKUP($B19,MMWR_TRAD_AGG_RO_COMP[],O$1,0),"ERROR")</f>
        <v>3880</v>
      </c>
      <c r="P19" s="216">
        <f t="shared" si="3"/>
        <v>0.8582172085821721</v>
      </c>
      <c r="Q19" s="201">
        <f>IFERROR(VLOOKUP($B19,MMWR_TRAD_AGG_RO_COMP[],Q$1,0),"ERROR")</f>
        <v>5</v>
      </c>
      <c r="R19" s="201">
        <f>IFERROR(VLOOKUP($B19,MMWR_TRAD_AGG_RO_COMP[],R$1,0),"ERROR")</f>
        <v>6</v>
      </c>
      <c r="S19" s="201">
        <f>IFERROR(VLOOKUP($B19,MMWR_APP_RO[],S$1,0),"ERROR")</f>
        <v>15490</v>
      </c>
      <c r="T19" s="25"/>
    </row>
    <row r="20" spans="1:20" x14ac:dyDescent="0.2">
      <c r="A20" s="107"/>
      <c r="B20" s="108" t="s">
        <v>78</v>
      </c>
      <c r="C20" s="209">
        <f>IFERROR(VLOOKUP($B20,MMWR_TRAD_AGG_RO_COMP[],C$1,0),"ERROR")</f>
        <v>1136</v>
      </c>
      <c r="D20" s="198">
        <f>IFERROR(VLOOKUP($B20,MMWR_TRAD_AGG_RO_COMP[],D$1,0),"ERROR")</f>
        <v>273.89348591549998</v>
      </c>
      <c r="E20" s="195">
        <f>IFERROR(VLOOKUP($B20,MMWR_TRAD_AGG_RO_COMP[],E$1,0),"ERROR")</f>
        <v>1367</v>
      </c>
      <c r="F20" s="191">
        <f>IFERROR(VLOOKUP($B20,MMWR_TRAD_AGG_RO_COMP[],F$1,0),"ERROR")</f>
        <v>170</v>
      </c>
      <c r="G20" s="216">
        <f t="shared" si="0"/>
        <v>0.12435991221653256</v>
      </c>
      <c r="H20" s="190">
        <f>IFERROR(VLOOKUP($B20,MMWR_TRAD_AGG_RO_COMP[],H$1,0),"ERROR")</f>
        <v>1882</v>
      </c>
      <c r="I20" s="191">
        <f>IFERROR(VLOOKUP($B20,MMWR_TRAD_AGG_RO_COMP[],I$1,0),"ERROR")</f>
        <v>1027</v>
      </c>
      <c r="J20" s="216">
        <f t="shared" si="1"/>
        <v>0.54569606801275239</v>
      </c>
      <c r="K20" s="204">
        <f>IFERROR(VLOOKUP($B20,MMWR_TRAD_AGG_RO_COMP[],K$1,0),"ERROR")</f>
        <v>967</v>
      </c>
      <c r="L20" s="205">
        <f>IFERROR(VLOOKUP($B20,MMWR_TRAD_AGG_RO_COMP[],L$1,0),"ERROR")</f>
        <v>789</v>
      </c>
      <c r="M20" s="216">
        <f t="shared" si="2"/>
        <v>0.81592554291623576</v>
      </c>
      <c r="N20" s="204">
        <f>IFERROR(VLOOKUP($B20,MMWR_TRAD_AGG_RO_COMP[],N$1,0),"ERROR")</f>
        <v>326</v>
      </c>
      <c r="O20" s="205">
        <f>IFERROR(VLOOKUP($B20,MMWR_TRAD_AGG_RO_COMP[],O$1,0),"ERROR")</f>
        <v>164</v>
      </c>
      <c r="P20" s="216">
        <f t="shared" si="3"/>
        <v>0.50306748466257667</v>
      </c>
      <c r="Q20" s="201">
        <f>IFERROR(VLOOKUP($B20,MMWR_TRAD_AGG_RO_COMP[],Q$1,0),"ERROR")</f>
        <v>1</v>
      </c>
      <c r="R20" s="201">
        <f>IFERROR(VLOOKUP($B20,MMWR_TRAD_AGG_RO_COMP[],R$1,0),"ERROR")</f>
        <v>0</v>
      </c>
      <c r="S20" s="201">
        <f>IFERROR(VLOOKUP($B20,MMWR_APP_RO[],S$1,0),"ERROR")</f>
        <v>432</v>
      </c>
      <c r="T20" s="25"/>
    </row>
    <row r="21" spans="1:20" x14ac:dyDescent="0.2">
      <c r="A21" s="107"/>
      <c r="B21" s="108" t="s">
        <v>431</v>
      </c>
      <c r="C21" s="209">
        <f>IFERROR(VLOOKUP($B21,MMWR_TRAD_AGG_RO_COMP[],C$1,0),"ERROR")</f>
        <v>12537</v>
      </c>
      <c r="D21" s="198">
        <f>IFERROR(VLOOKUP($B21,MMWR_TRAD_AGG_RO_COMP[],D$1,0),"ERROR")</f>
        <v>562.87764217910001</v>
      </c>
      <c r="E21" s="195">
        <f>IFERROR(VLOOKUP($B21,MMWR_TRAD_AGG_RO_COMP[],E$1,0),"ERROR")</f>
        <v>1043</v>
      </c>
      <c r="F21" s="191">
        <f>IFERROR(VLOOKUP($B21,MMWR_TRAD_AGG_RO_COMP[],F$1,0),"ERROR")</f>
        <v>326</v>
      </c>
      <c r="G21" s="216">
        <f t="shared" si="0"/>
        <v>0.31255992329817833</v>
      </c>
      <c r="H21" s="190">
        <f>IFERROR(VLOOKUP($B21,MMWR_TRAD_AGG_RO_COMP[],H$1,0),"ERROR")</f>
        <v>12933</v>
      </c>
      <c r="I21" s="191">
        <f>IFERROR(VLOOKUP($B21,MMWR_TRAD_AGG_RO_COMP[],I$1,0),"ERROR")</f>
        <v>12270</v>
      </c>
      <c r="J21" s="216">
        <f t="shared" si="1"/>
        <v>0.9487357921595917</v>
      </c>
      <c r="K21" s="204">
        <f>IFERROR(VLOOKUP($B21,MMWR_TRAD_AGG_RO_COMP[],K$1,0),"ERROR")</f>
        <v>1102</v>
      </c>
      <c r="L21" s="205">
        <f>IFERROR(VLOOKUP($B21,MMWR_TRAD_AGG_RO_COMP[],L$1,0),"ERROR")</f>
        <v>758</v>
      </c>
      <c r="M21" s="216">
        <f t="shared" si="2"/>
        <v>0.68784029038112526</v>
      </c>
      <c r="N21" s="204">
        <f>IFERROR(VLOOKUP($B21,MMWR_TRAD_AGG_RO_COMP[],N$1,0),"ERROR")</f>
        <v>1309</v>
      </c>
      <c r="O21" s="205">
        <f>IFERROR(VLOOKUP($B21,MMWR_TRAD_AGG_RO_COMP[],O$1,0),"ERROR")</f>
        <v>1233</v>
      </c>
      <c r="P21" s="216">
        <f t="shared" si="3"/>
        <v>0.9419404125286478</v>
      </c>
      <c r="Q21" s="201">
        <f>IFERROR(VLOOKUP($B21,MMWR_TRAD_AGG_RO_COMP[],Q$1,0),"ERROR")</f>
        <v>0</v>
      </c>
      <c r="R21" s="201">
        <f>IFERROR(VLOOKUP($B21,MMWR_TRAD_AGG_RO_COMP[],R$1,0),"ERROR")</f>
        <v>0</v>
      </c>
      <c r="S21" s="201">
        <f>IFERROR(VLOOKUP($B21,MMWR_APP_RO[],S$1,0),"ERROR")</f>
        <v>23</v>
      </c>
      <c r="T21" s="25"/>
    </row>
    <row r="22" spans="1:20" x14ac:dyDescent="0.2">
      <c r="A22" s="107"/>
      <c r="B22" s="108" t="s">
        <v>135</v>
      </c>
      <c r="C22" s="209">
        <f>IFERROR(VLOOKUP($B22,MMWR_TRAD_AGG_RO_COMP[],C$1,0),"ERROR")</f>
        <v>608</v>
      </c>
      <c r="D22" s="198">
        <f>IFERROR(VLOOKUP($B22,MMWR_TRAD_AGG_RO_COMP[],D$1,0),"ERROR")</f>
        <v>367.47203947370002</v>
      </c>
      <c r="E22" s="195">
        <f>IFERROR(VLOOKUP($B22,MMWR_TRAD_AGG_RO_COMP[],E$1,0),"ERROR")</f>
        <v>474</v>
      </c>
      <c r="F22" s="191">
        <f>IFERROR(VLOOKUP($B22,MMWR_TRAD_AGG_RO_COMP[],F$1,0),"ERROR")</f>
        <v>142</v>
      </c>
      <c r="G22" s="216">
        <f t="shared" si="0"/>
        <v>0.29957805907172996</v>
      </c>
      <c r="H22" s="190">
        <f>IFERROR(VLOOKUP($B22,MMWR_TRAD_AGG_RO_COMP[],H$1,0),"ERROR")</f>
        <v>830</v>
      </c>
      <c r="I22" s="191">
        <f>IFERROR(VLOOKUP($B22,MMWR_TRAD_AGG_RO_COMP[],I$1,0),"ERROR")</f>
        <v>526</v>
      </c>
      <c r="J22" s="216">
        <f t="shared" si="1"/>
        <v>0.63373493975903616</v>
      </c>
      <c r="K22" s="204">
        <f>IFERROR(VLOOKUP($B22,MMWR_TRAD_AGG_RO_COMP[],K$1,0),"ERROR")</f>
        <v>169</v>
      </c>
      <c r="L22" s="205">
        <f>IFERROR(VLOOKUP($B22,MMWR_TRAD_AGG_RO_COMP[],L$1,0),"ERROR")</f>
        <v>96</v>
      </c>
      <c r="M22" s="216">
        <f t="shared" si="2"/>
        <v>0.56804733727810652</v>
      </c>
      <c r="N22" s="204">
        <f>IFERROR(VLOOKUP($B22,MMWR_TRAD_AGG_RO_COMP[],N$1,0),"ERROR")</f>
        <v>135</v>
      </c>
      <c r="O22" s="205">
        <f>IFERROR(VLOOKUP($B22,MMWR_TRAD_AGG_RO_COMP[],O$1,0),"ERROR")</f>
        <v>54</v>
      </c>
      <c r="P22" s="216">
        <f t="shared" si="3"/>
        <v>0.4</v>
      </c>
      <c r="Q22" s="201">
        <f>IFERROR(VLOOKUP($B22,MMWR_TRAD_AGG_RO_COMP[],Q$1,0),"ERROR")</f>
        <v>0</v>
      </c>
      <c r="R22" s="201">
        <f>IFERROR(VLOOKUP($B22,MMWR_TRAD_AGG_RO_COMP[],R$1,0),"ERROR")</f>
        <v>2</v>
      </c>
      <c r="S22" s="201">
        <f>IFERROR(VLOOKUP($B22,MMWR_APP_RO[],S$1,0),"ERROR")</f>
        <v>83</v>
      </c>
      <c r="T22" s="25"/>
    </row>
    <row r="23" spans="1:20" x14ac:dyDescent="0.2">
      <c r="A23" s="107"/>
      <c r="B23" s="108" t="s">
        <v>82</v>
      </c>
      <c r="C23" s="209">
        <f>IFERROR(VLOOKUP($B23,MMWR_TRAD_AGG_RO_COMP[],C$1,0),"ERROR")</f>
        <v>621</v>
      </c>
      <c r="D23" s="198">
        <f>IFERROR(VLOOKUP($B23,MMWR_TRAD_AGG_RO_COMP[],D$1,0),"ERROR")</f>
        <v>407.90821256039999</v>
      </c>
      <c r="E23" s="195">
        <f>IFERROR(VLOOKUP($B23,MMWR_TRAD_AGG_RO_COMP[],E$1,0),"ERROR")</f>
        <v>670</v>
      </c>
      <c r="F23" s="191">
        <f>IFERROR(VLOOKUP($B23,MMWR_TRAD_AGG_RO_COMP[],F$1,0),"ERROR")</f>
        <v>162</v>
      </c>
      <c r="G23" s="216">
        <f t="shared" si="0"/>
        <v>0.2417910447761194</v>
      </c>
      <c r="H23" s="190">
        <f>IFERROR(VLOOKUP($B23,MMWR_TRAD_AGG_RO_COMP[],H$1,0),"ERROR")</f>
        <v>687</v>
      </c>
      <c r="I23" s="191">
        <f>IFERROR(VLOOKUP($B23,MMWR_TRAD_AGG_RO_COMP[],I$1,0),"ERROR")</f>
        <v>522</v>
      </c>
      <c r="J23" s="216">
        <f t="shared" si="1"/>
        <v>0.75982532751091703</v>
      </c>
      <c r="K23" s="204">
        <f>IFERROR(VLOOKUP($B23,MMWR_TRAD_AGG_RO_COMP[],K$1,0),"ERROR")</f>
        <v>53</v>
      </c>
      <c r="L23" s="205">
        <f>IFERROR(VLOOKUP($B23,MMWR_TRAD_AGG_RO_COMP[],L$1,0),"ERROR")</f>
        <v>50</v>
      </c>
      <c r="M23" s="216">
        <f t="shared" si="2"/>
        <v>0.94339622641509435</v>
      </c>
      <c r="N23" s="204">
        <f>IFERROR(VLOOKUP($B23,MMWR_TRAD_AGG_RO_COMP[],N$1,0),"ERROR")</f>
        <v>130</v>
      </c>
      <c r="O23" s="205">
        <f>IFERROR(VLOOKUP($B23,MMWR_TRAD_AGG_RO_COMP[],O$1,0),"ERROR")</f>
        <v>71</v>
      </c>
      <c r="P23" s="216">
        <f t="shared" si="3"/>
        <v>0.5461538461538461</v>
      </c>
      <c r="Q23" s="201">
        <f>IFERROR(VLOOKUP($B23,MMWR_TRAD_AGG_RO_COMP[],Q$1,0),"ERROR")</f>
        <v>0</v>
      </c>
      <c r="R23" s="201">
        <f>IFERROR(VLOOKUP($B23,MMWR_TRAD_AGG_RO_COMP[],R$1,0),"ERROR")</f>
        <v>0</v>
      </c>
      <c r="S23" s="201">
        <f>IFERROR(VLOOKUP($B23,MMWR_APP_RO[],S$1,0),"ERROR")</f>
        <v>175</v>
      </c>
      <c r="T23" s="25"/>
    </row>
    <row r="24" spans="1:20" x14ac:dyDescent="0.2">
      <c r="A24" s="92"/>
      <c r="B24" s="116" t="s">
        <v>83</v>
      </c>
      <c r="C24" s="210">
        <f>IFERROR(VLOOKUP($B24,MMWR_TRAD_AGG_RO_COMP[],C$1,0),"ERROR")</f>
        <v>17957</v>
      </c>
      <c r="D24" s="199">
        <f>IFERROR(VLOOKUP($B24,MMWR_TRAD_AGG_RO_COMP[],D$1,0),"ERROR")</f>
        <v>320.25561062539998</v>
      </c>
      <c r="E24" s="196">
        <f>IFERROR(VLOOKUP($B24,MMWR_TRAD_AGG_RO_COMP[],E$1,0),"ERROR")</f>
        <v>18246</v>
      </c>
      <c r="F24" s="193">
        <f>IFERROR(VLOOKUP($B24,MMWR_TRAD_AGG_RO_COMP[],F$1,0),"ERROR")</f>
        <v>4760</v>
      </c>
      <c r="G24" s="217">
        <f t="shared" si="0"/>
        <v>0.26087909678833715</v>
      </c>
      <c r="H24" s="192">
        <f>IFERROR(VLOOKUP($B24,MMWR_TRAD_AGG_RO_COMP[],H$1,0),"ERROR")</f>
        <v>28711</v>
      </c>
      <c r="I24" s="193">
        <f>IFERROR(VLOOKUP($B24,MMWR_TRAD_AGG_RO_COMP[],I$1,0),"ERROR")</f>
        <v>19758</v>
      </c>
      <c r="J24" s="217">
        <f t="shared" si="1"/>
        <v>0.68816829786492983</v>
      </c>
      <c r="K24" s="206">
        <f>IFERROR(VLOOKUP($B24,MMWR_TRAD_AGG_RO_COMP[],K$1,0),"ERROR")</f>
        <v>12103</v>
      </c>
      <c r="L24" s="207">
        <f>IFERROR(VLOOKUP($B24,MMWR_TRAD_AGG_RO_COMP[],L$1,0),"ERROR")</f>
        <v>9018</v>
      </c>
      <c r="M24" s="217">
        <f t="shared" si="2"/>
        <v>0.74510451954060974</v>
      </c>
      <c r="N24" s="206">
        <f>IFERROR(VLOOKUP($B24,MMWR_TRAD_AGG_RO_COMP[],N$1,0),"ERROR")</f>
        <v>3838</v>
      </c>
      <c r="O24" s="207">
        <f>IFERROR(VLOOKUP($B24,MMWR_TRAD_AGG_RO_COMP[],O$1,0),"ERROR")</f>
        <v>2750</v>
      </c>
      <c r="P24" s="217">
        <f t="shared" si="3"/>
        <v>0.7165190203230849</v>
      </c>
      <c r="Q24" s="202">
        <f>IFERROR(VLOOKUP($B24,MMWR_TRAD_AGG_RO_COMP[],Q$1,0),"ERROR")</f>
        <v>0</v>
      </c>
      <c r="R24" s="202">
        <f>IFERROR(VLOOKUP($B24,MMWR_TRAD_AGG_RO_COMP[],R$1,0),"ERROR")</f>
        <v>18</v>
      </c>
      <c r="S24" s="201">
        <f>IFERROR(VLOOKUP($B24,MMWR_APP_RO[],S$1,0),"ERROR")</f>
        <v>9013</v>
      </c>
      <c r="T24" s="25"/>
    </row>
    <row r="25" spans="1:20" x14ac:dyDescent="0.2">
      <c r="A25" s="107"/>
      <c r="B25" s="101" t="s">
        <v>391</v>
      </c>
      <c r="C25" s="212">
        <f>IFERROR(VLOOKUP($B25,MMWR_TRAD_AGG_DISTRICT_COMP[],C$1,0),"ERROR")</f>
        <v>34877</v>
      </c>
      <c r="D25" s="197">
        <f>IFERROR(VLOOKUP($B25,MMWR_TRAD_AGG_DISTRICT_COMP[],D$1,0),"ERROR")</f>
        <v>347.95254752419999</v>
      </c>
      <c r="E25" s="213">
        <f>IFERROR(VLOOKUP($B25,MMWR_TRAD_AGG_DISTRICT_COMP[],E$1,0),"ERROR")</f>
        <v>54064</v>
      </c>
      <c r="F25" s="218">
        <f>IFERROR(VLOOKUP($B25,MMWR_TRAD_AGG_DISTRICT_COMP[],F$1,0),"ERROR")</f>
        <v>11352</v>
      </c>
      <c r="G25" s="214">
        <f t="shared" si="0"/>
        <v>0.20997336490085824</v>
      </c>
      <c r="H25" s="218">
        <f>IFERROR(VLOOKUP($B25,MMWR_TRAD_AGG_DISTRICT_COMP[],H$1,0),"ERROR")</f>
        <v>59323</v>
      </c>
      <c r="I25" s="218">
        <f>IFERROR(VLOOKUP($B25,MMWR_TRAD_AGG_DISTRICT_COMP[],I$1,0),"ERROR")</f>
        <v>33006</v>
      </c>
      <c r="J25" s="214">
        <f t="shared" si="1"/>
        <v>0.5563777961330344</v>
      </c>
      <c r="K25" s="212">
        <f>IFERROR(VLOOKUP($B25,MMWR_TRAD_AGG_DISTRICT_COMP[],K$1,0),"ERROR")</f>
        <v>14406</v>
      </c>
      <c r="L25" s="212">
        <f>IFERROR(VLOOKUP($B25,MMWR_TRAD_AGG_DISTRICT_COMP[],L$1,0),"ERROR")</f>
        <v>10661</v>
      </c>
      <c r="M25" s="214">
        <f t="shared" si="2"/>
        <v>0.74003887269193391</v>
      </c>
      <c r="N25" s="212">
        <f>IFERROR(VLOOKUP($B25,MMWR_TRAD_AGG_DISTRICT_COMP[],N$1,0),"ERROR")</f>
        <v>13674</v>
      </c>
      <c r="O25" s="212">
        <f>IFERROR(VLOOKUP($B25,MMWR_TRAD_AGG_DISTRICT_COMP[],O$1,0),"ERROR")</f>
        <v>9008</v>
      </c>
      <c r="P25" s="214">
        <f t="shared" si="3"/>
        <v>0.65876846570133096</v>
      </c>
      <c r="Q25" s="212">
        <f>IFERROR(VLOOKUP($B25,MMWR_TRAD_AGG_DISTRICT_COMP[],Q$1,0),"ERROR")</f>
        <v>7167</v>
      </c>
      <c r="R25" s="215">
        <f>IFERROR(VLOOKUP($B25,MMWR_TRAD_AGG_DISTRICT_COMP[],R$1,0),"ERROR")</f>
        <v>1027</v>
      </c>
      <c r="S25" s="215">
        <f>IFERROR(VLOOKUP($B25,MMWR_APP_RO[],S$1,0),"ERROR")</f>
        <v>52842</v>
      </c>
      <c r="T25" s="25"/>
    </row>
    <row r="26" spans="1:20" x14ac:dyDescent="0.2">
      <c r="A26" s="107"/>
      <c r="B26" s="108" t="s">
        <v>37</v>
      </c>
      <c r="C26" s="209">
        <f>IFERROR(VLOOKUP($B26,MMWR_TRAD_AGG_RO_COMP[],C$1,0),"ERROR")</f>
        <v>5276</v>
      </c>
      <c r="D26" s="198">
        <f>IFERROR(VLOOKUP($B26,MMWR_TRAD_AGG_RO_COMP[],D$1,0),"ERROR")</f>
        <v>499.63191811979999</v>
      </c>
      <c r="E26" s="195">
        <f>IFERROR(VLOOKUP($B26,MMWR_TRAD_AGG_RO_COMP[],E$1,0),"ERROR")</f>
        <v>5717</v>
      </c>
      <c r="F26" s="191">
        <f>IFERROR(VLOOKUP($B26,MMWR_TRAD_AGG_RO_COMP[],F$1,0),"ERROR")</f>
        <v>1568</v>
      </c>
      <c r="G26" s="216">
        <f t="shared" si="0"/>
        <v>0.27426972188210602</v>
      </c>
      <c r="H26" s="190">
        <f>IFERROR(VLOOKUP($B26,MMWR_TRAD_AGG_RO_COMP[],H$1,0),"ERROR")</f>
        <v>6821</v>
      </c>
      <c r="I26" s="191">
        <f>IFERROR(VLOOKUP($B26,MMWR_TRAD_AGG_RO_COMP[],I$1,0),"ERROR")</f>
        <v>4969</v>
      </c>
      <c r="J26" s="216">
        <f t="shared" si="1"/>
        <v>0.72848555930215508</v>
      </c>
      <c r="K26" s="204">
        <f>IFERROR(VLOOKUP($B26,MMWR_TRAD_AGG_RO_COMP[],K$1,0),"ERROR")</f>
        <v>1804</v>
      </c>
      <c r="L26" s="205">
        <f>IFERROR(VLOOKUP($B26,MMWR_TRAD_AGG_RO_COMP[],L$1,0),"ERROR")</f>
        <v>1676</v>
      </c>
      <c r="M26" s="216">
        <f t="shared" si="2"/>
        <v>0.92904656319290468</v>
      </c>
      <c r="N26" s="204">
        <f>IFERROR(VLOOKUP($B26,MMWR_TRAD_AGG_RO_COMP[],N$1,0),"ERROR")</f>
        <v>1532</v>
      </c>
      <c r="O26" s="205">
        <f>IFERROR(VLOOKUP($B26,MMWR_TRAD_AGG_RO_COMP[],O$1,0),"ERROR")</f>
        <v>731</v>
      </c>
      <c r="P26" s="216">
        <f t="shared" si="3"/>
        <v>0.47715404699738906</v>
      </c>
      <c r="Q26" s="201">
        <f>IFERROR(VLOOKUP($B26,MMWR_TRAD_AGG_RO_COMP[],Q$1,0),"ERROR")</f>
        <v>0</v>
      </c>
      <c r="R26" s="201">
        <f>IFERROR(VLOOKUP($B26,MMWR_TRAD_AGG_RO_COMP[],R$1,0),"ERROR")</f>
        <v>214</v>
      </c>
      <c r="S26" s="201">
        <f>IFERROR(VLOOKUP($B26,MMWR_APP_RO[],S$1,0),"ERROR")</f>
        <v>8318</v>
      </c>
      <c r="T26" s="25"/>
    </row>
    <row r="27" spans="1:20" x14ac:dyDescent="0.2">
      <c r="A27" s="107"/>
      <c r="B27" s="108" t="s">
        <v>38</v>
      </c>
      <c r="C27" s="209">
        <f>IFERROR(VLOOKUP($B27,MMWR_TRAD_AGG_RO_COMP[],C$1,0),"ERROR")</f>
        <v>4526</v>
      </c>
      <c r="D27" s="198">
        <f>IFERROR(VLOOKUP($B27,MMWR_TRAD_AGG_RO_COMP[],D$1,0),"ERROR")</f>
        <v>460.91184268670003</v>
      </c>
      <c r="E27" s="195">
        <f>IFERROR(VLOOKUP($B27,MMWR_TRAD_AGG_RO_COMP[],E$1,0),"ERROR")</f>
        <v>6813</v>
      </c>
      <c r="F27" s="191">
        <f>IFERROR(VLOOKUP($B27,MMWR_TRAD_AGG_RO_COMP[],F$1,0),"ERROR")</f>
        <v>1607</v>
      </c>
      <c r="G27" s="216">
        <f t="shared" si="0"/>
        <v>0.23587259650667841</v>
      </c>
      <c r="H27" s="190">
        <f>IFERROR(VLOOKUP($B27,MMWR_TRAD_AGG_RO_COMP[],H$1,0),"ERROR")</f>
        <v>6707</v>
      </c>
      <c r="I27" s="191">
        <f>IFERROR(VLOOKUP($B27,MMWR_TRAD_AGG_RO_COMP[],I$1,0),"ERROR")</f>
        <v>4390</v>
      </c>
      <c r="J27" s="216">
        <f t="shared" si="1"/>
        <v>0.6545400328015506</v>
      </c>
      <c r="K27" s="204">
        <f>IFERROR(VLOOKUP($B27,MMWR_TRAD_AGG_RO_COMP[],K$1,0),"ERROR")</f>
        <v>1600</v>
      </c>
      <c r="L27" s="205">
        <f>IFERROR(VLOOKUP($B27,MMWR_TRAD_AGG_RO_COMP[],L$1,0),"ERROR")</f>
        <v>1446</v>
      </c>
      <c r="M27" s="216">
        <f t="shared" si="2"/>
        <v>0.90375000000000005</v>
      </c>
      <c r="N27" s="204">
        <f>IFERROR(VLOOKUP($B27,MMWR_TRAD_AGG_RO_COMP[],N$1,0),"ERROR")</f>
        <v>2736</v>
      </c>
      <c r="O27" s="205">
        <f>IFERROR(VLOOKUP($B27,MMWR_TRAD_AGG_RO_COMP[],O$1,0),"ERROR")</f>
        <v>2099</v>
      </c>
      <c r="P27" s="216">
        <f t="shared" si="3"/>
        <v>0.76717836257309946</v>
      </c>
      <c r="Q27" s="201">
        <f>IFERROR(VLOOKUP($B27,MMWR_TRAD_AGG_RO_COMP[],Q$1,0),"ERROR")</f>
        <v>1</v>
      </c>
      <c r="R27" s="201">
        <f>IFERROR(VLOOKUP($B27,MMWR_TRAD_AGG_RO_COMP[],R$1,0),"ERROR")</f>
        <v>325</v>
      </c>
      <c r="S27" s="201">
        <f>IFERROR(VLOOKUP($B27,MMWR_APP_RO[],S$1,0),"ERROR")</f>
        <v>13448</v>
      </c>
      <c r="T27" s="25"/>
    </row>
    <row r="28" spans="1:20" x14ac:dyDescent="0.2">
      <c r="A28" s="107"/>
      <c r="B28" s="108" t="s">
        <v>41</v>
      </c>
      <c r="C28" s="209">
        <f>IFERROR(VLOOKUP($B28,MMWR_TRAD_AGG_RO_COMP[],C$1,0),"ERROR")</f>
        <v>781</v>
      </c>
      <c r="D28" s="198">
        <f>IFERROR(VLOOKUP($B28,MMWR_TRAD_AGG_RO_COMP[],D$1,0),"ERROR")</f>
        <v>109.26248399489999</v>
      </c>
      <c r="E28" s="195">
        <f>IFERROR(VLOOKUP($B28,MMWR_TRAD_AGG_RO_COMP[],E$1,0),"ERROR")</f>
        <v>2558</v>
      </c>
      <c r="F28" s="191">
        <f>IFERROR(VLOOKUP($B28,MMWR_TRAD_AGG_RO_COMP[],F$1,0),"ERROR")</f>
        <v>390</v>
      </c>
      <c r="G28" s="216">
        <f t="shared" si="0"/>
        <v>0.1524628616106333</v>
      </c>
      <c r="H28" s="190">
        <f>IFERROR(VLOOKUP($B28,MMWR_TRAD_AGG_RO_COMP[],H$1,0),"ERROR")</f>
        <v>1127</v>
      </c>
      <c r="I28" s="191">
        <f>IFERROR(VLOOKUP($B28,MMWR_TRAD_AGG_RO_COMP[],I$1,0),"ERROR")</f>
        <v>291</v>
      </c>
      <c r="J28" s="216">
        <f t="shared" si="1"/>
        <v>0.25820763087843834</v>
      </c>
      <c r="K28" s="204">
        <f>IFERROR(VLOOKUP($B28,MMWR_TRAD_AGG_RO_COMP[],K$1,0),"ERROR")</f>
        <v>323</v>
      </c>
      <c r="L28" s="205">
        <f>IFERROR(VLOOKUP($B28,MMWR_TRAD_AGG_RO_COMP[],L$1,0),"ERROR")</f>
        <v>242</v>
      </c>
      <c r="M28" s="216">
        <f t="shared" si="2"/>
        <v>0.74922600619195046</v>
      </c>
      <c r="N28" s="204">
        <f>IFERROR(VLOOKUP($B28,MMWR_TRAD_AGG_RO_COMP[],N$1,0),"ERROR")</f>
        <v>211</v>
      </c>
      <c r="O28" s="205">
        <f>IFERROR(VLOOKUP($B28,MMWR_TRAD_AGG_RO_COMP[],O$1,0),"ERROR")</f>
        <v>105</v>
      </c>
      <c r="P28" s="216">
        <f t="shared" si="3"/>
        <v>0.49763033175355448</v>
      </c>
      <c r="Q28" s="201">
        <f>IFERROR(VLOOKUP($B28,MMWR_TRAD_AGG_RO_COMP[],Q$1,0),"ERROR")</f>
        <v>0</v>
      </c>
      <c r="R28" s="201">
        <f>IFERROR(VLOOKUP($B28,MMWR_TRAD_AGG_RO_COMP[],R$1,0),"ERROR")</f>
        <v>7</v>
      </c>
      <c r="S28" s="201">
        <f>IFERROR(VLOOKUP($B28,MMWR_APP_RO[],S$1,0),"ERROR")</f>
        <v>1266</v>
      </c>
      <c r="T28" s="25"/>
    </row>
    <row r="29" spans="1:20" x14ac:dyDescent="0.2">
      <c r="A29" s="107"/>
      <c r="B29" s="108" t="s">
        <v>42</v>
      </c>
      <c r="C29" s="209">
        <f>IFERROR(VLOOKUP($B29,MMWR_TRAD_AGG_RO_COMP[],C$1,0),"ERROR")</f>
        <v>2883</v>
      </c>
      <c r="D29" s="198">
        <f>IFERROR(VLOOKUP($B29,MMWR_TRAD_AGG_RO_COMP[],D$1,0),"ERROR")</f>
        <v>316.6618106139</v>
      </c>
      <c r="E29" s="195">
        <f>IFERROR(VLOOKUP($B29,MMWR_TRAD_AGG_RO_COMP[],E$1,0),"ERROR")</f>
        <v>7075</v>
      </c>
      <c r="F29" s="191">
        <f>IFERROR(VLOOKUP($B29,MMWR_TRAD_AGG_RO_COMP[],F$1,0),"ERROR")</f>
        <v>1839</v>
      </c>
      <c r="G29" s="216">
        <f t="shared" si="0"/>
        <v>0.25992932862190815</v>
      </c>
      <c r="H29" s="190">
        <f>IFERROR(VLOOKUP($B29,MMWR_TRAD_AGG_RO_COMP[],H$1,0),"ERROR")</f>
        <v>8558</v>
      </c>
      <c r="I29" s="191">
        <f>IFERROR(VLOOKUP($B29,MMWR_TRAD_AGG_RO_COMP[],I$1,0),"ERROR")</f>
        <v>3846</v>
      </c>
      <c r="J29" s="216">
        <f t="shared" si="1"/>
        <v>0.44940406637064734</v>
      </c>
      <c r="K29" s="204">
        <f>IFERROR(VLOOKUP($B29,MMWR_TRAD_AGG_RO_COMP[],K$1,0),"ERROR")</f>
        <v>2014</v>
      </c>
      <c r="L29" s="205">
        <f>IFERROR(VLOOKUP($B29,MMWR_TRAD_AGG_RO_COMP[],L$1,0),"ERROR")</f>
        <v>1626</v>
      </c>
      <c r="M29" s="216">
        <f t="shared" si="2"/>
        <v>0.80734856007944389</v>
      </c>
      <c r="N29" s="204">
        <f>IFERROR(VLOOKUP($B29,MMWR_TRAD_AGG_RO_COMP[],N$1,0),"ERROR")</f>
        <v>1158</v>
      </c>
      <c r="O29" s="205">
        <f>IFERROR(VLOOKUP($B29,MMWR_TRAD_AGG_RO_COMP[],O$1,0),"ERROR")</f>
        <v>492</v>
      </c>
      <c r="P29" s="216">
        <f t="shared" si="3"/>
        <v>0.42487046632124353</v>
      </c>
      <c r="Q29" s="201">
        <f>IFERROR(VLOOKUP($B29,MMWR_TRAD_AGG_RO_COMP[],Q$1,0),"ERROR")</f>
        <v>2</v>
      </c>
      <c r="R29" s="201">
        <f>IFERROR(VLOOKUP($B29,MMWR_TRAD_AGG_RO_COMP[],R$1,0),"ERROR")</f>
        <v>206</v>
      </c>
      <c r="S29" s="201">
        <f>IFERROR(VLOOKUP($B29,MMWR_APP_RO[],S$1,0),"ERROR")</f>
        <v>5322</v>
      </c>
      <c r="T29" s="25"/>
    </row>
    <row r="30" spans="1:20" x14ac:dyDescent="0.2">
      <c r="A30" s="107"/>
      <c r="B30" s="108" t="s">
        <v>43</v>
      </c>
      <c r="C30" s="209">
        <f>IFERROR(VLOOKUP($B30,MMWR_TRAD_AGG_RO_COMP[],C$1,0),"ERROR")</f>
        <v>80</v>
      </c>
      <c r="D30" s="198">
        <f>IFERROR(VLOOKUP($B30,MMWR_TRAD_AGG_RO_COMP[],D$1,0),"ERROR")</f>
        <v>97.4375</v>
      </c>
      <c r="E30" s="195">
        <f>IFERROR(VLOOKUP($B30,MMWR_TRAD_AGG_RO_COMP[],E$1,0),"ERROR")</f>
        <v>790</v>
      </c>
      <c r="F30" s="191">
        <f>IFERROR(VLOOKUP($B30,MMWR_TRAD_AGG_RO_COMP[],F$1,0),"ERROR")</f>
        <v>144</v>
      </c>
      <c r="G30" s="216">
        <f t="shared" si="0"/>
        <v>0.18227848101265823</v>
      </c>
      <c r="H30" s="190">
        <f>IFERROR(VLOOKUP($B30,MMWR_TRAD_AGG_RO_COMP[],H$1,0),"ERROR")</f>
        <v>208</v>
      </c>
      <c r="I30" s="191">
        <f>IFERROR(VLOOKUP($B30,MMWR_TRAD_AGG_RO_COMP[],I$1,0),"ERROR")</f>
        <v>15</v>
      </c>
      <c r="J30" s="216">
        <f t="shared" si="1"/>
        <v>7.2115384615384609E-2</v>
      </c>
      <c r="K30" s="204">
        <f>IFERROR(VLOOKUP($B30,MMWR_TRAD_AGG_RO_COMP[],K$1,0),"ERROR")</f>
        <v>98</v>
      </c>
      <c r="L30" s="205">
        <f>IFERROR(VLOOKUP($B30,MMWR_TRAD_AGG_RO_COMP[],L$1,0),"ERROR")</f>
        <v>38</v>
      </c>
      <c r="M30" s="216">
        <f t="shared" si="2"/>
        <v>0.38775510204081631</v>
      </c>
      <c r="N30" s="204">
        <f>IFERROR(VLOOKUP($B30,MMWR_TRAD_AGG_RO_COMP[],N$1,0),"ERROR")</f>
        <v>78</v>
      </c>
      <c r="O30" s="205">
        <f>IFERROR(VLOOKUP($B30,MMWR_TRAD_AGG_RO_COMP[],O$1,0),"ERROR")</f>
        <v>42</v>
      </c>
      <c r="P30" s="216">
        <f t="shared" si="3"/>
        <v>0.53846153846153844</v>
      </c>
      <c r="Q30" s="201">
        <f>IFERROR(VLOOKUP($B30,MMWR_TRAD_AGG_RO_COMP[],Q$1,0),"ERROR")</f>
        <v>0</v>
      </c>
      <c r="R30" s="201">
        <f>IFERROR(VLOOKUP($B30,MMWR_TRAD_AGG_RO_COMP[],R$1,0),"ERROR")</f>
        <v>1</v>
      </c>
      <c r="S30" s="201">
        <f>IFERROR(VLOOKUP($B30,MMWR_APP_RO[],S$1,0),"ERROR")</f>
        <v>607</v>
      </c>
      <c r="T30" s="25"/>
    </row>
    <row r="31" spans="1:20" x14ac:dyDescent="0.2">
      <c r="A31" s="107"/>
      <c r="B31" s="108" t="s">
        <v>48</v>
      </c>
      <c r="C31" s="209">
        <f>IFERROR(VLOOKUP($B31,MMWR_TRAD_AGG_RO_COMP[],C$1,0),"ERROR")</f>
        <v>6641</v>
      </c>
      <c r="D31" s="198">
        <f>IFERROR(VLOOKUP($B31,MMWR_TRAD_AGG_RO_COMP[],D$1,0),"ERROR")</f>
        <v>562.70817647939998</v>
      </c>
      <c r="E31" s="195">
        <f>IFERROR(VLOOKUP($B31,MMWR_TRAD_AGG_RO_COMP[],E$1,0),"ERROR")</f>
        <v>4449</v>
      </c>
      <c r="F31" s="191">
        <f>IFERROR(VLOOKUP($B31,MMWR_TRAD_AGG_RO_COMP[],F$1,0),"ERROR")</f>
        <v>1025</v>
      </c>
      <c r="G31" s="216">
        <f t="shared" si="0"/>
        <v>0.23038885142728702</v>
      </c>
      <c r="H31" s="190">
        <f>IFERROR(VLOOKUP($B31,MMWR_TRAD_AGG_RO_COMP[],H$1,0),"ERROR")</f>
        <v>9680</v>
      </c>
      <c r="I31" s="191">
        <f>IFERROR(VLOOKUP($B31,MMWR_TRAD_AGG_RO_COMP[],I$1,0),"ERROR")</f>
        <v>7457</v>
      </c>
      <c r="J31" s="216">
        <f t="shared" si="1"/>
        <v>0.77035123966942154</v>
      </c>
      <c r="K31" s="204">
        <f>IFERROR(VLOOKUP($B31,MMWR_TRAD_AGG_RO_COMP[],K$1,0),"ERROR")</f>
        <v>1997</v>
      </c>
      <c r="L31" s="205">
        <f>IFERROR(VLOOKUP($B31,MMWR_TRAD_AGG_RO_COMP[],L$1,0),"ERROR")</f>
        <v>1513</v>
      </c>
      <c r="M31" s="216">
        <f t="shared" si="2"/>
        <v>0.75763645468202301</v>
      </c>
      <c r="N31" s="204">
        <f>IFERROR(VLOOKUP($B31,MMWR_TRAD_AGG_RO_COMP[],N$1,0),"ERROR")</f>
        <v>2118</v>
      </c>
      <c r="O31" s="205">
        <f>IFERROR(VLOOKUP($B31,MMWR_TRAD_AGG_RO_COMP[],O$1,0),"ERROR")</f>
        <v>1487</v>
      </c>
      <c r="P31" s="216">
        <f t="shared" si="3"/>
        <v>0.70207743153918789</v>
      </c>
      <c r="Q31" s="201">
        <f>IFERROR(VLOOKUP($B31,MMWR_TRAD_AGG_RO_COMP[],Q$1,0),"ERROR")</f>
        <v>1</v>
      </c>
      <c r="R31" s="201">
        <f>IFERROR(VLOOKUP($B31,MMWR_TRAD_AGG_RO_COMP[],R$1,0),"ERROR")</f>
        <v>218</v>
      </c>
      <c r="S31" s="201">
        <f>IFERROR(VLOOKUP($B31,MMWR_APP_RO[],S$1,0),"ERROR")</f>
        <v>8306</v>
      </c>
      <c r="T31" s="25"/>
    </row>
    <row r="32" spans="1:20" x14ac:dyDescent="0.2">
      <c r="A32" s="107"/>
      <c r="B32" s="108" t="s">
        <v>50</v>
      </c>
      <c r="C32" s="209">
        <f>IFERROR(VLOOKUP($B32,MMWR_TRAD_AGG_RO_COMP[],C$1,0),"ERROR")</f>
        <v>1649</v>
      </c>
      <c r="D32" s="198">
        <f>IFERROR(VLOOKUP($B32,MMWR_TRAD_AGG_RO_COMP[],D$1,0),"ERROR")</f>
        <v>129.66585809579999</v>
      </c>
      <c r="E32" s="195">
        <f>IFERROR(VLOOKUP($B32,MMWR_TRAD_AGG_RO_COMP[],E$1,0),"ERROR")</f>
        <v>2223</v>
      </c>
      <c r="F32" s="191">
        <f>IFERROR(VLOOKUP($B32,MMWR_TRAD_AGG_RO_COMP[],F$1,0),"ERROR")</f>
        <v>285</v>
      </c>
      <c r="G32" s="216">
        <f t="shared" si="0"/>
        <v>0.12820512820512819</v>
      </c>
      <c r="H32" s="190">
        <f>IFERROR(VLOOKUP($B32,MMWR_TRAD_AGG_RO_COMP[],H$1,0),"ERROR")</f>
        <v>2857</v>
      </c>
      <c r="I32" s="191">
        <f>IFERROR(VLOOKUP($B32,MMWR_TRAD_AGG_RO_COMP[],I$1,0),"ERROR")</f>
        <v>1088</v>
      </c>
      <c r="J32" s="216">
        <f t="shared" si="1"/>
        <v>0.3808190409520476</v>
      </c>
      <c r="K32" s="204">
        <f>IFERROR(VLOOKUP($B32,MMWR_TRAD_AGG_RO_COMP[],K$1,0),"ERROR")</f>
        <v>869</v>
      </c>
      <c r="L32" s="205">
        <f>IFERROR(VLOOKUP($B32,MMWR_TRAD_AGG_RO_COMP[],L$1,0),"ERROR")</f>
        <v>636</v>
      </c>
      <c r="M32" s="216">
        <f t="shared" si="2"/>
        <v>0.73187571921749139</v>
      </c>
      <c r="N32" s="204">
        <f>IFERROR(VLOOKUP($B32,MMWR_TRAD_AGG_RO_COMP[],N$1,0),"ERROR")</f>
        <v>765</v>
      </c>
      <c r="O32" s="205">
        <f>IFERROR(VLOOKUP($B32,MMWR_TRAD_AGG_RO_COMP[],O$1,0),"ERROR")</f>
        <v>278</v>
      </c>
      <c r="P32" s="216">
        <f t="shared" si="3"/>
        <v>0.3633986928104575</v>
      </c>
      <c r="Q32" s="201">
        <f>IFERROR(VLOOKUP($B32,MMWR_TRAD_AGG_RO_COMP[],Q$1,0),"ERROR")</f>
        <v>1</v>
      </c>
      <c r="R32" s="201">
        <f>IFERROR(VLOOKUP($B32,MMWR_TRAD_AGG_RO_COMP[],R$1,0),"ERROR")</f>
        <v>15</v>
      </c>
      <c r="S32" s="201">
        <f>IFERROR(VLOOKUP($B32,MMWR_APP_RO[],S$1,0),"ERROR")</f>
        <v>910</v>
      </c>
      <c r="T32" s="25"/>
    </row>
    <row r="33" spans="1:20" x14ac:dyDescent="0.2">
      <c r="A33" s="107"/>
      <c r="B33" s="108" t="s">
        <v>56</v>
      </c>
      <c r="C33" s="209">
        <f>IFERROR(VLOOKUP($B33,MMWR_TRAD_AGG_RO_COMP[],C$1,0),"ERROR")</f>
        <v>4466</v>
      </c>
      <c r="D33" s="198">
        <f>IFERROR(VLOOKUP($B33,MMWR_TRAD_AGG_RO_COMP[],D$1,0),"ERROR")</f>
        <v>194.61934617110001</v>
      </c>
      <c r="E33" s="195">
        <f>IFERROR(VLOOKUP($B33,MMWR_TRAD_AGG_RO_COMP[],E$1,0),"ERROR")</f>
        <v>6132</v>
      </c>
      <c r="F33" s="191">
        <f>IFERROR(VLOOKUP($B33,MMWR_TRAD_AGG_RO_COMP[],F$1,0),"ERROR")</f>
        <v>1102</v>
      </c>
      <c r="G33" s="216">
        <f t="shared" si="0"/>
        <v>0.17971298108284409</v>
      </c>
      <c r="H33" s="190">
        <f>IFERROR(VLOOKUP($B33,MMWR_TRAD_AGG_RO_COMP[],H$1,0),"ERROR")</f>
        <v>5861</v>
      </c>
      <c r="I33" s="191">
        <f>IFERROR(VLOOKUP($B33,MMWR_TRAD_AGG_RO_COMP[],I$1,0),"ERROR")</f>
        <v>2701</v>
      </c>
      <c r="J33" s="216">
        <f t="shared" si="1"/>
        <v>0.46084285958027638</v>
      </c>
      <c r="K33" s="204">
        <f>IFERROR(VLOOKUP($B33,MMWR_TRAD_AGG_RO_COMP[],K$1,0),"ERROR")</f>
        <v>609</v>
      </c>
      <c r="L33" s="205">
        <f>IFERROR(VLOOKUP($B33,MMWR_TRAD_AGG_RO_COMP[],L$1,0),"ERROR")</f>
        <v>435</v>
      </c>
      <c r="M33" s="216">
        <f t="shared" si="2"/>
        <v>0.7142857142857143</v>
      </c>
      <c r="N33" s="204">
        <f>IFERROR(VLOOKUP($B33,MMWR_TRAD_AGG_RO_COMP[],N$1,0),"ERROR")</f>
        <v>663</v>
      </c>
      <c r="O33" s="205">
        <f>IFERROR(VLOOKUP($B33,MMWR_TRAD_AGG_RO_COMP[],O$1,0),"ERROR")</f>
        <v>336</v>
      </c>
      <c r="P33" s="216">
        <f t="shared" si="3"/>
        <v>0.50678733031674206</v>
      </c>
      <c r="Q33" s="201">
        <f>IFERROR(VLOOKUP($B33,MMWR_TRAD_AGG_RO_COMP[],Q$1,0),"ERROR")</f>
        <v>7118</v>
      </c>
      <c r="R33" s="201">
        <f>IFERROR(VLOOKUP($B33,MMWR_TRAD_AGG_RO_COMP[],R$1,0),"ERROR")</f>
        <v>0</v>
      </c>
      <c r="S33" s="201">
        <f>IFERROR(VLOOKUP($B33,MMWR_APP_RO[],S$1,0),"ERROR")</f>
        <v>3254</v>
      </c>
      <c r="T33" s="25"/>
    </row>
    <row r="34" spans="1:20" x14ac:dyDescent="0.2">
      <c r="A34" s="107"/>
      <c r="B34" s="108" t="s">
        <v>74</v>
      </c>
      <c r="C34" s="209">
        <f>IFERROR(VLOOKUP($B34,MMWR_TRAD_AGG_RO_COMP[],C$1,0),"ERROR")</f>
        <v>192</v>
      </c>
      <c r="D34" s="198">
        <f>IFERROR(VLOOKUP($B34,MMWR_TRAD_AGG_RO_COMP[],D$1,0),"ERROR")</f>
        <v>129.5677083333</v>
      </c>
      <c r="E34" s="195">
        <f>IFERROR(VLOOKUP($B34,MMWR_TRAD_AGG_RO_COMP[],E$1,0),"ERROR")</f>
        <v>924</v>
      </c>
      <c r="F34" s="191">
        <f>IFERROR(VLOOKUP($B34,MMWR_TRAD_AGG_RO_COMP[],F$1,0),"ERROR")</f>
        <v>199</v>
      </c>
      <c r="G34" s="216">
        <f t="shared" si="0"/>
        <v>0.21536796536796537</v>
      </c>
      <c r="H34" s="190">
        <f>IFERROR(VLOOKUP($B34,MMWR_TRAD_AGG_RO_COMP[],H$1,0),"ERROR")</f>
        <v>392</v>
      </c>
      <c r="I34" s="191">
        <f>IFERROR(VLOOKUP($B34,MMWR_TRAD_AGG_RO_COMP[],I$1,0),"ERROR")</f>
        <v>96</v>
      </c>
      <c r="J34" s="216">
        <f t="shared" si="1"/>
        <v>0.24489795918367346</v>
      </c>
      <c r="K34" s="204">
        <f>IFERROR(VLOOKUP($B34,MMWR_TRAD_AGG_RO_COMP[],K$1,0),"ERROR")</f>
        <v>306</v>
      </c>
      <c r="L34" s="205">
        <f>IFERROR(VLOOKUP($B34,MMWR_TRAD_AGG_RO_COMP[],L$1,0),"ERROR")</f>
        <v>121</v>
      </c>
      <c r="M34" s="216">
        <f t="shared" si="2"/>
        <v>0.39542483660130717</v>
      </c>
      <c r="N34" s="204">
        <f>IFERROR(VLOOKUP($B34,MMWR_TRAD_AGG_RO_COMP[],N$1,0),"ERROR")</f>
        <v>38</v>
      </c>
      <c r="O34" s="205">
        <f>IFERROR(VLOOKUP($B34,MMWR_TRAD_AGG_RO_COMP[],O$1,0),"ERROR")</f>
        <v>16</v>
      </c>
      <c r="P34" s="216">
        <f t="shared" si="3"/>
        <v>0.42105263157894735</v>
      </c>
      <c r="Q34" s="201">
        <f>IFERROR(VLOOKUP($B34,MMWR_TRAD_AGG_RO_COMP[],Q$1,0),"ERROR")</f>
        <v>0</v>
      </c>
      <c r="R34" s="201">
        <f>IFERROR(VLOOKUP($B34,MMWR_TRAD_AGG_RO_COMP[],R$1,0),"ERROR")</f>
        <v>0</v>
      </c>
      <c r="S34" s="201">
        <f>IFERROR(VLOOKUP($B34,MMWR_APP_RO[],S$1,0),"ERROR")</f>
        <v>199</v>
      </c>
      <c r="T34" s="25"/>
    </row>
    <row r="35" spans="1:20" x14ac:dyDescent="0.2">
      <c r="A35" s="107"/>
      <c r="B35" s="108" t="s">
        <v>75</v>
      </c>
      <c r="C35" s="209">
        <f>IFERROR(VLOOKUP($B35,MMWR_TRAD_AGG_RO_COMP[],C$1,0),"ERROR")</f>
        <v>3712</v>
      </c>
      <c r="D35" s="198">
        <f>IFERROR(VLOOKUP($B35,MMWR_TRAD_AGG_RO_COMP[],D$1,0),"ERROR")</f>
        <v>209.88496767239999</v>
      </c>
      <c r="E35" s="195">
        <f>IFERROR(VLOOKUP($B35,MMWR_TRAD_AGG_RO_COMP[],E$1,0),"ERROR")</f>
        <v>5662</v>
      </c>
      <c r="F35" s="191">
        <f>IFERROR(VLOOKUP($B35,MMWR_TRAD_AGG_RO_COMP[],F$1,0),"ERROR")</f>
        <v>1239</v>
      </c>
      <c r="G35" s="216">
        <f t="shared" si="0"/>
        <v>0.21882726951607206</v>
      </c>
      <c r="H35" s="190">
        <f>IFERROR(VLOOKUP($B35,MMWR_TRAD_AGG_RO_COMP[],H$1,0),"ERROR")</f>
        <v>5166</v>
      </c>
      <c r="I35" s="191">
        <f>IFERROR(VLOOKUP($B35,MMWR_TRAD_AGG_RO_COMP[],I$1,0),"ERROR")</f>
        <v>2752</v>
      </c>
      <c r="J35" s="216">
        <f t="shared" si="1"/>
        <v>0.53271389856755713</v>
      </c>
      <c r="K35" s="204">
        <f>IFERROR(VLOOKUP($B35,MMWR_TRAD_AGG_RO_COMP[],K$1,0),"ERROR")</f>
        <v>2103</v>
      </c>
      <c r="L35" s="205">
        <f>IFERROR(VLOOKUP($B35,MMWR_TRAD_AGG_RO_COMP[],L$1,0),"ERROR")</f>
        <v>1843</v>
      </c>
      <c r="M35" s="216">
        <f t="shared" si="2"/>
        <v>0.87636709462672369</v>
      </c>
      <c r="N35" s="204">
        <f>IFERROR(VLOOKUP($B35,MMWR_TRAD_AGG_RO_COMP[],N$1,0),"ERROR")</f>
        <v>3074</v>
      </c>
      <c r="O35" s="205">
        <f>IFERROR(VLOOKUP($B35,MMWR_TRAD_AGG_RO_COMP[],O$1,0),"ERROR")</f>
        <v>2776</v>
      </c>
      <c r="P35" s="216">
        <f t="shared" si="3"/>
        <v>0.90305790500975924</v>
      </c>
      <c r="Q35" s="201">
        <f>IFERROR(VLOOKUP($B35,MMWR_TRAD_AGG_RO_COMP[],Q$1,0),"ERROR")</f>
        <v>0</v>
      </c>
      <c r="R35" s="201">
        <f>IFERROR(VLOOKUP($B35,MMWR_TRAD_AGG_RO_COMP[],R$1,0),"ERROR")</f>
        <v>35</v>
      </c>
      <c r="S35" s="201">
        <f>IFERROR(VLOOKUP($B35,MMWR_APP_RO[],S$1,0),"ERROR")</f>
        <v>6295</v>
      </c>
      <c r="T35" s="25"/>
    </row>
    <row r="36" spans="1:20" x14ac:dyDescent="0.2">
      <c r="A36" s="28"/>
      <c r="B36" s="108" t="s">
        <v>76</v>
      </c>
      <c r="C36" s="219">
        <f>IFERROR(VLOOKUP($B36,MMWR_TRAD_AGG_RO_COMP[],C$1,0),"ERROR")</f>
        <v>3070</v>
      </c>
      <c r="D36" s="220">
        <f>IFERROR(VLOOKUP($B36,MMWR_TRAD_AGG_RO_COMP[],D$1,0),"ERROR")</f>
        <v>158.36710097720001</v>
      </c>
      <c r="E36" s="221">
        <f>IFERROR(VLOOKUP($B36,MMWR_TRAD_AGG_RO_COMP[],E$1,0),"ERROR")</f>
        <v>9469</v>
      </c>
      <c r="F36" s="222">
        <f>IFERROR(VLOOKUP($B36,MMWR_TRAD_AGG_RO_COMP[],F$1,0),"ERROR")</f>
        <v>1565</v>
      </c>
      <c r="G36" s="223">
        <f t="shared" si="0"/>
        <v>0.16527616432569436</v>
      </c>
      <c r="H36" s="224">
        <f>IFERROR(VLOOKUP($B36,MMWR_TRAD_AGG_RO_COMP[],H$1,0),"ERROR")</f>
        <v>9711</v>
      </c>
      <c r="I36" s="222">
        <f>IFERROR(VLOOKUP($B36,MMWR_TRAD_AGG_RO_COMP[],I$1,0),"ERROR")</f>
        <v>4274</v>
      </c>
      <c r="J36" s="223">
        <f t="shared" si="1"/>
        <v>0.44011945216764492</v>
      </c>
      <c r="K36" s="225">
        <f>IFERROR(VLOOKUP($B36,MMWR_TRAD_AGG_RO_COMP[],K$1,0),"ERROR")</f>
        <v>1665</v>
      </c>
      <c r="L36" s="226">
        <f>IFERROR(VLOOKUP($B36,MMWR_TRAD_AGG_RO_COMP[],L$1,0),"ERROR")</f>
        <v>573</v>
      </c>
      <c r="M36" s="223">
        <f t="shared" si="2"/>
        <v>0.34414414414414413</v>
      </c>
      <c r="N36" s="225">
        <f>IFERROR(VLOOKUP($B36,MMWR_TRAD_AGG_RO_COMP[],N$1,0),"ERROR")</f>
        <v>1078</v>
      </c>
      <c r="O36" s="226">
        <f>IFERROR(VLOOKUP($B36,MMWR_TRAD_AGG_RO_COMP[],O$1,0),"ERROR")</f>
        <v>549</v>
      </c>
      <c r="P36" s="223">
        <f t="shared" si="3"/>
        <v>0.50927643784786647</v>
      </c>
      <c r="Q36" s="227">
        <f>IFERROR(VLOOKUP($B36,MMWR_TRAD_AGG_RO_COMP[],Q$1,0),"ERROR")</f>
        <v>44</v>
      </c>
      <c r="R36" s="227">
        <f>IFERROR(VLOOKUP($B36,MMWR_TRAD_AGG_RO_COMP[],R$1,0),"ERROR")</f>
        <v>0</v>
      </c>
      <c r="S36" s="201">
        <f>IFERROR(VLOOKUP($B36,MMWR_APP_RO[],S$1,0),"ERROR")</f>
        <v>3710</v>
      </c>
      <c r="T36" s="28"/>
    </row>
    <row r="37" spans="1:20" x14ac:dyDescent="0.2">
      <c r="A37" s="28"/>
      <c r="B37" s="116" t="s">
        <v>81</v>
      </c>
      <c r="C37" s="228">
        <f>IFERROR(VLOOKUP($B37,MMWR_TRAD_AGG_RO_COMP[],C$1,0),"ERROR")</f>
        <v>1601</v>
      </c>
      <c r="D37" s="229">
        <f>IFERROR(VLOOKUP($B37,MMWR_TRAD_AGG_RO_COMP[],D$1,0),"ERROR")</f>
        <v>185.658963148</v>
      </c>
      <c r="E37" s="230">
        <f>IFERROR(VLOOKUP($B37,MMWR_TRAD_AGG_RO_COMP[],E$1,0),"ERROR")</f>
        <v>2252</v>
      </c>
      <c r="F37" s="231">
        <f>IFERROR(VLOOKUP($B37,MMWR_TRAD_AGG_RO_COMP[],F$1,0),"ERROR")</f>
        <v>389</v>
      </c>
      <c r="G37" s="232">
        <f t="shared" si="0"/>
        <v>0.17273534635879217</v>
      </c>
      <c r="H37" s="233">
        <f>IFERROR(VLOOKUP($B37,MMWR_TRAD_AGG_RO_COMP[],H$1,0),"ERROR")</f>
        <v>2235</v>
      </c>
      <c r="I37" s="231">
        <f>IFERROR(VLOOKUP($B37,MMWR_TRAD_AGG_RO_COMP[],I$1,0),"ERROR")</f>
        <v>1127</v>
      </c>
      <c r="J37" s="232">
        <f t="shared" si="1"/>
        <v>0.50425055928411633</v>
      </c>
      <c r="K37" s="234">
        <f>IFERROR(VLOOKUP($B37,MMWR_TRAD_AGG_RO_COMP[],K$1,0),"ERROR")</f>
        <v>1018</v>
      </c>
      <c r="L37" s="235">
        <f>IFERROR(VLOOKUP($B37,MMWR_TRAD_AGG_RO_COMP[],L$1,0),"ERROR")</f>
        <v>512</v>
      </c>
      <c r="M37" s="232">
        <f t="shared" si="2"/>
        <v>0.50294695481335949</v>
      </c>
      <c r="N37" s="234">
        <f>IFERROR(VLOOKUP($B37,MMWR_TRAD_AGG_RO_COMP[],N$1,0),"ERROR")</f>
        <v>223</v>
      </c>
      <c r="O37" s="235">
        <f>IFERROR(VLOOKUP($B37,MMWR_TRAD_AGG_RO_COMP[],O$1,0),"ERROR")</f>
        <v>97</v>
      </c>
      <c r="P37" s="232">
        <f t="shared" si="3"/>
        <v>0.4349775784753363</v>
      </c>
      <c r="Q37" s="236">
        <f>IFERROR(VLOOKUP($B37,MMWR_TRAD_AGG_RO_COMP[],Q$1,0),"ERROR")</f>
        <v>0</v>
      </c>
      <c r="R37" s="236">
        <f>IFERROR(VLOOKUP($B37,MMWR_TRAD_AGG_RO_COMP[],R$1,0),"ERROR")</f>
        <v>6</v>
      </c>
      <c r="S37" s="201">
        <f>IFERROR(VLOOKUP($B37,MMWR_APP_RO[],S$1,0),"ERROR")</f>
        <v>1207</v>
      </c>
      <c r="T37" s="28"/>
    </row>
    <row r="38" spans="1:20" x14ac:dyDescent="0.2">
      <c r="A38" s="28"/>
      <c r="B38" s="101" t="s">
        <v>386</v>
      </c>
      <c r="C38" s="212">
        <f>IFERROR(VLOOKUP($B38,MMWR_TRAD_AGG_DISTRICT_COMP[],C$1,0),"ERROR")</f>
        <v>47948</v>
      </c>
      <c r="D38" s="197">
        <f>IFERROR(VLOOKUP($B38,MMWR_TRAD_AGG_DISTRICT_COMP[],D$1,0),"ERROR")</f>
        <v>361.58842913159998</v>
      </c>
      <c r="E38" s="213">
        <f>IFERROR(VLOOKUP($B38,MMWR_TRAD_AGG_DISTRICT_COMP[],E$1,0),"ERROR")</f>
        <v>62226</v>
      </c>
      <c r="F38" s="218">
        <f>IFERROR(VLOOKUP($B38,MMWR_TRAD_AGG_DISTRICT_COMP[],F$1,0),"ERROR")</f>
        <v>15269</v>
      </c>
      <c r="G38" s="214">
        <f t="shared" si="0"/>
        <v>0.2453797448012085</v>
      </c>
      <c r="H38" s="218">
        <f>IFERROR(VLOOKUP($B38,MMWR_TRAD_AGG_DISTRICT_COMP[],H$1,0),"ERROR")</f>
        <v>72614</v>
      </c>
      <c r="I38" s="218">
        <f>IFERROR(VLOOKUP($B38,MMWR_TRAD_AGG_DISTRICT_COMP[],I$1,0),"ERROR")</f>
        <v>47686</v>
      </c>
      <c r="J38" s="214">
        <f t="shared" si="1"/>
        <v>0.65670531853361613</v>
      </c>
      <c r="K38" s="212">
        <f>IFERROR(VLOOKUP($B38,MMWR_TRAD_AGG_DISTRICT_COMP[],K$1,0),"ERROR")</f>
        <v>19185</v>
      </c>
      <c r="L38" s="212">
        <f>IFERROR(VLOOKUP($B38,MMWR_TRAD_AGG_DISTRICT_COMP[],L$1,0),"ERROR")</f>
        <v>14290</v>
      </c>
      <c r="M38" s="214">
        <f t="shared" si="2"/>
        <v>0.74485274954391456</v>
      </c>
      <c r="N38" s="212">
        <f>IFERROR(VLOOKUP($B38,MMWR_TRAD_AGG_DISTRICT_COMP[],N$1,0),"ERROR")</f>
        <v>16828</v>
      </c>
      <c r="O38" s="212">
        <f>IFERROR(VLOOKUP($B38,MMWR_TRAD_AGG_DISTRICT_COMP[],O$1,0),"ERROR")</f>
        <v>9648</v>
      </c>
      <c r="P38" s="214">
        <f t="shared" si="3"/>
        <v>0.57333016401236037</v>
      </c>
      <c r="Q38" s="212">
        <f>IFERROR(VLOOKUP($B38,MMWR_TRAD_AGG_DISTRICT_COMP[],Q$1,0),"ERROR")</f>
        <v>50</v>
      </c>
      <c r="R38" s="215">
        <f>IFERROR(VLOOKUP($B38,MMWR_TRAD_AGG_DISTRICT_COMP[],R$1,0),"ERROR")</f>
        <v>1139</v>
      </c>
      <c r="S38" s="215">
        <f>IFERROR(VLOOKUP($B38,MMWR_APP_RO[],S$1,0),"ERROR")</f>
        <v>68460</v>
      </c>
      <c r="T38" s="28"/>
    </row>
    <row r="39" spans="1:20" x14ac:dyDescent="0.2">
      <c r="A39" s="28"/>
      <c r="B39" s="108" t="s">
        <v>36</v>
      </c>
      <c r="C39" s="219">
        <f>IFERROR(VLOOKUP($B39,MMWR_TRAD_AGG_RO_COMP[],C$1,0),"ERROR")</f>
        <v>300</v>
      </c>
      <c r="D39" s="220">
        <f>IFERROR(VLOOKUP($B39,MMWR_TRAD_AGG_RO_COMP[],D$1,0),"ERROR")</f>
        <v>257.4033333333</v>
      </c>
      <c r="E39" s="221">
        <f>IFERROR(VLOOKUP($B39,MMWR_TRAD_AGG_RO_COMP[],E$1,0),"ERROR")</f>
        <v>752</v>
      </c>
      <c r="F39" s="222">
        <f>IFERROR(VLOOKUP($B39,MMWR_TRAD_AGG_RO_COMP[],F$1,0),"ERROR")</f>
        <v>104</v>
      </c>
      <c r="G39" s="223">
        <f t="shared" si="0"/>
        <v>0.13829787234042554</v>
      </c>
      <c r="H39" s="224">
        <f>IFERROR(VLOOKUP($B39,MMWR_TRAD_AGG_RO_COMP[],H$1,0),"ERROR")</f>
        <v>506</v>
      </c>
      <c r="I39" s="222">
        <f>IFERROR(VLOOKUP($B39,MMWR_TRAD_AGG_RO_COMP[],I$1,0),"ERROR")</f>
        <v>282</v>
      </c>
      <c r="J39" s="223">
        <f t="shared" si="1"/>
        <v>0.55731225296442688</v>
      </c>
      <c r="K39" s="225">
        <f>IFERROR(VLOOKUP($B39,MMWR_TRAD_AGG_RO_COMP[],K$1,0),"ERROR")</f>
        <v>163</v>
      </c>
      <c r="L39" s="226">
        <f>IFERROR(VLOOKUP($B39,MMWR_TRAD_AGG_RO_COMP[],L$1,0),"ERROR")</f>
        <v>106</v>
      </c>
      <c r="M39" s="223">
        <f t="shared" si="2"/>
        <v>0.65030674846625769</v>
      </c>
      <c r="N39" s="225">
        <f>IFERROR(VLOOKUP($B39,MMWR_TRAD_AGG_RO_COMP[],N$1,0),"ERROR")</f>
        <v>109</v>
      </c>
      <c r="O39" s="226">
        <f>IFERROR(VLOOKUP($B39,MMWR_TRAD_AGG_RO_COMP[],O$1,0),"ERROR")</f>
        <v>42</v>
      </c>
      <c r="P39" s="223">
        <f t="shared" si="3"/>
        <v>0.38532110091743121</v>
      </c>
      <c r="Q39" s="227">
        <f>IFERROR(VLOOKUP($B39,MMWR_TRAD_AGG_RO_COMP[],Q$1,0),"ERROR")</f>
        <v>2</v>
      </c>
      <c r="R39" s="227">
        <f>IFERROR(VLOOKUP($B39,MMWR_TRAD_AGG_RO_COMP[],R$1,0),"ERROR")</f>
        <v>5</v>
      </c>
      <c r="S39" s="201">
        <f>IFERROR(VLOOKUP($B39,MMWR_APP_RO[],S$1,0),"ERROR")</f>
        <v>205</v>
      </c>
      <c r="T39" s="28"/>
    </row>
    <row r="40" spans="1:20" x14ac:dyDescent="0.2">
      <c r="A40" s="28"/>
      <c r="B40" s="108" t="s">
        <v>40</v>
      </c>
      <c r="C40" s="219">
        <f>IFERROR(VLOOKUP($B40,MMWR_TRAD_AGG_RO_COMP[],C$1,0),"ERROR")</f>
        <v>6894</v>
      </c>
      <c r="D40" s="220">
        <f>IFERROR(VLOOKUP($B40,MMWR_TRAD_AGG_RO_COMP[],D$1,0),"ERROR")</f>
        <v>473.66304032490001</v>
      </c>
      <c r="E40" s="221">
        <f>IFERROR(VLOOKUP($B40,MMWR_TRAD_AGG_RO_COMP[],E$1,0),"ERROR")</f>
        <v>7802</v>
      </c>
      <c r="F40" s="222">
        <f>IFERROR(VLOOKUP($B40,MMWR_TRAD_AGG_RO_COMP[],F$1,0),"ERROR")</f>
        <v>2837</v>
      </c>
      <c r="G40" s="223">
        <f t="shared" si="0"/>
        <v>0.36362471161240706</v>
      </c>
      <c r="H40" s="224">
        <f>IFERROR(VLOOKUP($B40,MMWR_TRAD_AGG_RO_COMP[],H$1,0),"ERROR")</f>
        <v>9087</v>
      </c>
      <c r="I40" s="222">
        <f>IFERROR(VLOOKUP($B40,MMWR_TRAD_AGG_RO_COMP[],I$1,0),"ERROR")</f>
        <v>6514</v>
      </c>
      <c r="J40" s="223">
        <f t="shared" si="1"/>
        <v>0.71684824474524045</v>
      </c>
      <c r="K40" s="225">
        <f>IFERROR(VLOOKUP($B40,MMWR_TRAD_AGG_RO_COMP[],K$1,0),"ERROR")</f>
        <v>3235</v>
      </c>
      <c r="L40" s="226">
        <f>IFERROR(VLOOKUP($B40,MMWR_TRAD_AGG_RO_COMP[],L$1,0),"ERROR")</f>
        <v>2636</v>
      </c>
      <c r="M40" s="223">
        <f t="shared" si="2"/>
        <v>0.81483771251931991</v>
      </c>
      <c r="N40" s="225">
        <f>IFERROR(VLOOKUP($B40,MMWR_TRAD_AGG_RO_COMP[],N$1,0),"ERROR")</f>
        <v>764</v>
      </c>
      <c r="O40" s="226">
        <f>IFERROR(VLOOKUP($B40,MMWR_TRAD_AGG_RO_COMP[],O$1,0),"ERROR")</f>
        <v>462</v>
      </c>
      <c r="P40" s="223">
        <f t="shared" si="3"/>
        <v>0.60471204188481675</v>
      </c>
      <c r="Q40" s="227">
        <f>IFERROR(VLOOKUP($B40,MMWR_TRAD_AGG_RO_COMP[],Q$1,0),"ERROR")</f>
        <v>0</v>
      </c>
      <c r="R40" s="227">
        <f>IFERROR(VLOOKUP($B40,MMWR_TRAD_AGG_RO_COMP[],R$1,0),"ERROR")</f>
        <v>55</v>
      </c>
      <c r="S40" s="201">
        <f>IFERROR(VLOOKUP($B40,MMWR_APP_RO[],S$1,0),"ERROR")</f>
        <v>6440</v>
      </c>
      <c r="T40" s="28"/>
    </row>
    <row r="41" spans="1:20" x14ac:dyDescent="0.2">
      <c r="A41" s="28"/>
      <c r="B41" s="108" t="s">
        <v>181</v>
      </c>
      <c r="C41" s="219">
        <f>IFERROR(VLOOKUP($B41,MMWR_TRAD_AGG_RO_COMP[],C$1,0),"ERROR")</f>
        <v>339</v>
      </c>
      <c r="D41" s="220">
        <f>IFERROR(VLOOKUP($B41,MMWR_TRAD_AGG_RO_COMP[],D$1,0),"ERROR")</f>
        <v>145.74041297939999</v>
      </c>
      <c r="E41" s="221">
        <f>IFERROR(VLOOKUP($B41,MMWR_TRAD_AGG_RO_COMP[],E$1,0),"ERROR")</f>
        <v>703</v>
      </c>
      <c r="F41" s="222">
        <f>IFERROR(VLOOKUP($B41,MMWR_TRAD_AGG_RO_COMP[],F$1,0),"ERROR")</f>
        <v>55</v>
      </c>
      <c r="G41" s="223">
        <f t="shared" si="0"/>
        <v>7.8236130867709822E-2</v>
      </c>
      <c r="H41" s="224">
        <f>IFERROR(VLOOKUP($B41,MMWR_TRAD_AGG_RO_COMP[],H$1,0),"ERROR")</f>
        <v>520</v>
      </c>
      <c r="I41" s="222">
        <f>IFERROR(VLOOKUP($B41,MMWR_TRAD_AGG_RO_COMP[],I$1,0),"ERROR")</f>
        <v>147</v>
      </c>
      <c r="J41" s="223">
        <f t="shared" si="1"/>
        <v>0.28269230769230769</v>
      </c>
      <c r="K41" s="225">
        <f>IFERROR(VLOOKUP($B41,MMWR_TRAD_AGG_RO_COMP[],K$1,0),"ERROR")</f>
        <v>451</v>
      </c>
      <c r="L41" s="226">
        <f>IFERROR(VLOOKUP($B41,MMWR_TRAD_AGG_RO_COMP[],L$1,0),"ERROR")</f>
        <v>257</v>
      </c>
      <c r="M41" s="223">
        <f t="shared" si="2"/>
        <v>0.56984478935698446</v>
      </c>
      <c r="N41" s="225">
        <f>IFERROR(VLOOKUP($B41,MMWR_TRAD_AGG_RO_COMP[],N$1,0),"ERROR")</f>
        <v>191</v>
      </c>
      <c r="O41" s="226">
        <f>IFERROR(VLOOKUP($B41,MMWR_TRAD_AGG_RO_COMP[],O$1,0),"ERROR")</f>
        <v>73</v>
      </c>
      <c r="P41" s="223">
        <f t="shared" si="3"/>
        <v>0.38219895287958117</v>
      </c>
      <c r="Q41" s="227">
        <f>IFERROR(VLOOKUP($B41,MMWR_TRAD_AGG_RO_COMP[],Q$1,0),"ERROR")</f>
        <v>0</v>
      </c>
      <c r="R41" s="227">
        <f>IFERROR(VLOOKUP($B41,MMWR_TRAD_AGG_RO_COMP[],R$1,0),"ERROR")</f>
        <v>4</v>
      </c>
      <c r="S41" s="201">
        <f>IFERROR(VLOOKUP($B41,MMWR_APP_RO[],S$1,0),"ERROR")</f>
        <v>316</v>
      </c>
      <c r="T41" s="28"/>
    </row>
    <row r="42" spans="1:20" x14ac:dyDescent="0.2">
      <c r="A42" s="28"/>
      <c r="B42" s="108" t="s">
        <v>46</v>
      </c>
      <c r="C42" s="219">
        <f>IFERROR(VLOOKUP($B42,MMWR_TRAD_AGG_RO_COMP[],C$1,0),"ERROR")</f>
        <v>12884</v>
      </c>
      <c r="D42" s="220">
        <f>IFERROR(VLOOKUP($B42,MMWR_TRAD_AGG_RO_COMP[],D$1,0),"ERROR")</f>
        <v>353.75574355790002</v>
      </c>
      <c r="E42" s="221">
        <f>IFERROR(VLOOKUP($B42,MMWR_TRAD_AGG_RO_COMP[],E$1,0),"ERROR")</f>
        <v>16229</v>
      </c>
      <c r="F42" s="222">
        <f>IFERROR(VLOOKUP($B42,MMWR_TRAD_AGG_RO_COMP[],F$1,0),"ERROR")</f>
        <v>4137</v>
      </c>
      <c r="G42" s="223">
        <f t="shared" si="0"/>
        <v>0.25491404276295521</v>
      </c>
      <c r="H42" s="224">
        <f>IFERROR(VLOOKUP($B42,MMWR_TRAD_AGG_RO_COMP[],H$1,0),"ERROR")</f>
        <v>17119</v>
      </c>
      <c r="I42" s="222">
        <f>IFERROR(VLOOKUP($B42,MMWR_TRAD_AGG_RO_COMP[],I$1,0),"ERROR")</f>
        <v>11893</v>
      </c>
      <c r="J42" s="223">
        <f t="shared" si="1"/>
        <v>0.69472515917985866</v>
      </c>
      <c r="K42" s="225">
        <f>IFERROR(VLOOKUP($B42,MMWR_TRAD_AGG_RO_COMP[],K$1,0),"ERROR")</f>
        <v>3070</v>
      </c>
      <c r="L42" s="226">
        <f>IFERROR(VLOOKUP($B42,MMWR_TRAD_AGG_RO_COMP[],L$1,0),"ERROR")</f>
        <v>2499</v>
      </c>
      <c r="M42" s="223">
        <f t="shared" si="2"/>
        <v>0.81400651465798046</v>
      </c>
      <c r="N42" s="225">
        <f>IFERROR(VLOOKUP($B42,MMWR_TRAD_AGG_RO_COMP[],N$1,0),"ERROR")</f>
        <v>3449</v>
      </c>
      <c r="O42" s="226">
        <f>IFERROR(VLOOKUP($B42,MMWR_TRAD_AGG_RO_COMP[],O$1,0),"ERROR")</f>
        <v>2595</v>
      </c>
      <c r="P42" s="223">
        <f t="shared" si="3"/>
        <v>0.75239199768048715</v>
      </c>
      <c r="Q42" s="227">
        <f>IFERROR(VLOOKUP($B42,MMWR_TRAD_AGG_RO_COMP[],Q$1,0),"ERROR")</f>
        <v>1</v>
      </c>
      <c r="R42" s="227">
        <f>IFERROR(VLOOKUP($B42,MMWR_TRAD_AGG_RO_COMP[],R$1,0),"ERROR")</f>
        <v>234</v>
      </c>
      <c r="S42" s="201">
        <f>IFERROR(VLOOKUP($B42,MMWR_APP_RO[],S$1,0),"ERROR")</f>
        <v>20571</v>
      </c>
      <c r="T42" s="28"/>
    </row>
    <row r="43" spans="1:20" x14ac:dyDescent="0.2">
      <c r="A43" s="28"/>
      <c r="B43" s="108" t="s">
        <v>49</v>
      </c>
      <c r="C43" s="219">
        <f>IFERROR(VLOOKUP($B43,MMWR_TRAD_AGG_RO_COMP[],C$1,0),"ERROR")</f>
        <v>3663</v>
      </c>
      <c r="D43" s="220">
        <f>IFERROR(VLOOKUP($B43,MMWR_TRAD_AGG_RO_COMP[],D$1,0),"ERROR")</f>
        <v>406.42424242419997</v>
      </c>
      <c r="E43" s="221">
        <f>IFERROR(VLOOKUP($B43,MMWR_TRAD_AGG_RO_COMP[],E$1,0),"ERROR")</f>
        <v>4346</v>
      </c>
      <c r="F43" s="222">
        <f>IFERROR(VLOOKUP($B43,MMWR_TRAD_AGG_RO_COMP[],F$1,0),"ERROR")</f>
        <v>1480</v>
      </c>
      <c r="G43" s="223">
        <f t="shared" si="0"/>
        <v>0.34054302807179015</v>
      </c>
      <c r="H43" s="224">
        <f>IFERROR(VLOOKUP($B43,MMWR_TRAD_AGG_RO_COMP[],H$1,0),"ERROR")</f>
        <v>5806</v>
      </c>
      <c r="I43" s="222">
        <f>IFERROR(VLOOKUP($B43,MMWR_TRAD_AGG_RO_COMP[],I$1,0),"ERROR")</f>
        <v>4496</v>
      </c>
      <c r="J43" s="223">
        <f t="shared" si="1"/>
        <v>0.77437133999311059</v>
      </c>
      <c r="K43" s="225">
        <f>IFERROR(VLOOKUP($B43,MMWR_TRAD_AGG_RO_COMP[],K$1,0),"ERROR")</f>
        <v>2191</v>
      </c>
      <c r="L43" s="226">
        <f>IFERROR(VLOOKUP($B43,MMWR_TRAD_AGG_RO_COMP[],L$1,0),"ERROR")</f>
        <v>1850</v>
      </c>
      <c r="M43" s="223">
        <f t="shared" si="2"/>
        <v>0.8443633044272022</v>
      </c>
      <c r="N43" s="225">
        <f>IFERROR(VLOOKUP($B43,MMWR_TRAD_AGG_RO_COMP[],N$1,0),"ERROR")</f>
        <v>2075</v>
      </c>
      <c r="O43" s="226">
        <f>IFERROR(VLOOKUP($B43,MMWR_TRAD_AGG_RO_COMP[],O$1,0),"ERROR")</f>
        <v>1725</v>
      </c>
      <c r="P43" s="223">
        <f t="shared" si="3"/>
        <v>0.83132530120481929</v>
      </c>
      <c r="Q43" s="227">
        <f>IFERROR(VLOOKUP($B43,MMWR_TRAD_AGG_RO_COMP[],Q$1,0),"ERROR")</f>
        <v>41</v>
      </c>
      <c r="R43" s="227">
        <f>IFERROR(VLOOKUP($B43,MMWR_TRAD_AGG_RO_COMP[],R$1,0),"ERROR")</f>
        <v>220</v>
      </c>
      <c r="S43" s="201">
        <f>IFERROR(VLOOKUP($B43,MMWR_APP_RO[],S$1,0),"ERROR")</f>
        <v>4662</v>
      </c>
      <c r="T43" s="28"/>
    </row>
    <row r="44" spans="1:20" x14ac:dyDescent="0.2">
      <c r="A44" s="28"/>
      <c r="B44" s="108" t="s">
        <v>51</v>
      </c>
      <c r="C44" s="219">
        <f>IFERROR(VLOOKUP($B44,MMWR_TRAD_AGG_RO_COMP[],C$1,0),"ERROR")</f>
        <v>3496</v>
      </c>
      <c r="D44" s="220">
        <f>IFERROR(VLOOKUP($B44,MMWR_TRAD_AGG_RO_COMP[],D$1,0),"ERROR")</f>
        <v>343.6407322654</v>
      </c>
      <c r="E44" s="221">
        <f>IFERROR(VLOOKUP($B44,MMWR_TRAD_AGG_RO_COMP[],E$1,0),"ERROR")</f>
        <v>3042</v>
      </c>
      <c r="F44" s="222">
        <f>IFERROR(VLOOKUP($B44,MMWR_TRAD_AGG_RO_COMP[],F$1,0),"ERROR")</f>
        <v>550</v>
      </c>
      <c r="G44" s="223">
        <f t="shared" si="0"/>
        <v>0.18080210387902695</v>
      </c>
      <c r="H44" s="224">
        <f>IFERROR(VLOOKUP($B44,MMWR_TRAD_AGG_RO_COMP[],H$1,0),"ERROR")</f>
        <v>6820</v>
      </c>
      <c r="I44" s="222">
        <f>IFERROR(VLOOKUP($B44,MMWR_TRAD_AGG_RO_COMP[],I$1,0),"ERROR")</f>
        <v>4228</v>
      </c>
      <c r="J44" s="223">
        <f t="shared" si="1"/>
        <v>0.61994134897360709</v>
      </c>
      <c r="K44" s="225">
        <f>IFERROR(VLOOKUP($B44,MMWR_TRAD_AGG_RO_COMP[],K$1,0),"ERROR")</f>
        <v>3587</v>
      </c>
      <c r="L44" s="226">
        <f>IFERROR(VLOOKUP($B44,MMWR_TRAD_AGG_RO_COMP[],L$1,0),"ERROR")</f>
        <v>3141</v>
      </c>
      <c r="M44" s="223">
        <f t="shared" si="2"/>
        <v>0.87566211318650689</v>
      </c>
      <c r="N44" s="225">
        <f>IFERROR(VLOOKUP($B44,MMWR_TRAD_AGG_RO_COMP[],N$1,0),"ERROR")</f>
        <v>1557</v>
      </c>
      <c r="O44" s="226">
        <f>IFERROR(VLOOKUP($B44,MMWR_TRAD_AGG_RO_COMP[],O$1,0),"ERROR")</f>
        <v>852</v>
      </c>
      <c r="P44" s="223">
        <f t="shared" si="3"/>
        <v>0.54720616570327552</v>
      </c>
      <c r="Q44" s="227">
        <f>IFERROR(VLOOKUP($B44,MMWR_TRAD_AGG_RO_COMP[],Q$1,0),"ERROR")</f>
        <v>1</v>
      </c>
      <c r="R44" s="227">
        <f>IFERROR(VLOOKUP($B44,MMWR_TRAD_AGG_RO_COMP[],R$1,0),"ERROR")</f>
        <v>91</v>
      </c>
      <c r="S44" s="201">
        <f>IFERROR(VLOOKUP($B44,MMWR_APP_RO[],S$1,0),"ERROR")</f>
        <v>5319</v>
      </c>
      <c r="T44" s="28"/>
    </row>
    <row r="45" spans="1:20" x14ac:dyDescent="0.2">
      <c r="A45" s="28"/>
      <c r="B45" s="108" t="s">
        <v>27</v>
      </c>
      <c r="C45" s="219">
        <f>IFERROR(VLOOKUP($B45,MMWR_TRAD_AGG_RO_COMP[],C$1,0),"ERROR")</f>
        <v>1200</v>
      </c>
      <c r="D45" s="220">
        <f>IFERROR(VLOOKUP($B45,MMWR_TRAD_AGG_RO_COMP[],D$1,0),"ERROR")</f>
        <v>83.232500000000002</v>
      </c>
      <c r="E45" s="221">
        <f>IFERROR(VLOOKUP($B45,MMWR_TRAD_AGG_RO_COMP[],E$1,0),"ERROR")</f>
        <v>5288</v>
      </c>
      <c r="F45" s="222">
        <f>IFERROR(VLOOKUP($B45,MMWR_TRAD_AGG_RO_COMP[],F$1,0),"ERROR")</f>
        <v>830</v>
      </c>
      <c r="G45" s="223">
        <f t="shared" si="0"/>
        <v>0.15695915279878972</v>
      </c>
      <c r="H45" s="224">
        <f>IFERROR(VLOOKUP($B45,MMWR_TRAD_AGG_RO_COMP[],H$1,0),"ERROR")</f>
        <v>5568</v>
      </c>
      <c r="I45" s="222">
        <f>IFERROR(VLOOKUP($B45,MMWR_TRAD_AGG_RO_COMP[],I$1,0),"ERROR")</f>
        <v>2426</v>
      </c>
      <c r="J45" s="223">
        <f t="shared" si="1"/>
        <v>0.43570402298850575</v>
      </c>
      <c r="K45" s="225">
        <f>IFERROR(VLOOKUP($B45,MMWR_TRAD_AGG_RO_COMP[],K$1,0),"ERROR")</f>
        <v>1089</v>
      </c>
      <c r="L45" s="226">
        <f>IFERROR(VLOOKUP($B45,MMWR_TRAD_AGG_RO_COMP[],L$1,0),"ERROR")</f>
        <v>390</v>
      </c>
      <c r="M45" s="223">
        <f t="shared" si="2"/>
        <v>0.35812672176308541</v>
      </c>
      <c r="N45" s="225">
        <f>IFERROR(VLOOKUP($B45,MMWR_TRAD_AGG_RO_COMP[],N$1,0),"ERROR")</f>
        <v>1420</v>
      </c>
      <c r="O45" s="226">
        <f>IFERROR(VLOOKUP($B45,MMWR_TRAD_AGG_RO_COMP[],O$1,0),"ERROR")</f>
        <v>756</v>
      </c>
      <c r="P45" s="223">
        <f t="shared" si="3"/>
        <v>0.53239436619718306</v>
      </c>
      <c r="Q45" s="227">
        <f>IFERROR(VLOOKUP($B45,MMWR_TRAD_AGG_RO_COMP[],Q$1,0),"ERROR")</f>
        <v>0</v>
      </c>
      <c r="R45" s="227">
        <f>IFERROR(VLOOKUP($B45,MMWR_TRAD_AGG_RO_COMP[],R$1,0),"ERROR")</f>
        <v>64</v>
      </c>
      <c r="S45" s="201">
        <f>IFERROR(VLOOKUP($B45,MMWR_APP_RO[],S$1,0),"ERROR")</f>
        <v>4218</v>
      </c>
      <c r="T45" s="28"/>
    </row>
    <row r="46" spans="1:20" x14ac:dyDescent="0.2">
      <c r="A46" s="28"/>
      <c r="B46" s="108" t="s">
        <v>59</v>
      </c>
      <c r="C46" s="219">
        <f>IFERROR(VLOOKUP($B46,MMWR_TRAD_AGG_RO_COMP[],C$1,0),"ERROR")</f>
        <v>4195</v>
      </c>
      <c r="D46" s="220">
        <f>IFERROR(VLOOKUP($B46,MMWR_TRAD_AGG_RO_COMP[],D$1,0),"ERROR")</f>
        <v>439.81573301549997</v>
      </c>
      <c r="E46" s="221">
        <f>IFERROR(VLOOKUP($B46,MMWR_TRAD_AGG_RO_COMP[],E$1,0),"ERROR")</f>
        <v>5331</v>
      </c>
      <c r="F46" s="222">
        <f>IFERROR(VLOOKUP($B46,MMWR_TRAD_AGG_RO_COMP[],F$1,0),"ERROR")</f>
        <v>1391</v>
      </c>
      <c r="G46" s="223">
        <f t="shared" si="0"/>
        <v>0.26092665541174265</v>
      </c>
      <c r="H46" s="224">
        <f>IFERROR(VLOOKUP($B46,MMWR_TRAD_AGG_RO_COMP[],H$1,0),"ERROR")</f>
        <v>5554</v>
      </c>
      <c r="I46" s="222">
        <f>IFERROR(VLOOKUP($B46,MMWR_TRAD_AGG_RO_COMP[],I$1,0),"ERROR")</f>
        <v>3768</v>
      </c>
      <c r="J46" s="223">
        <f t="shared" si="1"/>
        <v>0.6784299603889089</v>
      </c>
      <c r="K46" s="225">
        <f>IFERROR(VLOOKUP($B46,MMWR_TRAD_AGG_RO_COMP[],K$1,0),"ERROR")</f>
        <v>966</v>
      </c>
      <c r="L46" s="226">
        <f>IFERROR(VLOOKUP($B46,MMWR_TRAD_AGG_RO_COMP[],L$1,0),"ERROR")</f>
        <v>681</v>
      </c>
      <c r="M46" s="223">
        <f t="shared" si="2"/>
        <v>0.70496894409937894</v>
      </c>
      <c r="N46" s="225">
        <f>IFERROR(VLOOKUP($B46,MMWR_TRAD_AGG_RO_COMP[],N$1,0),"ERROR")</f>
        <v>1485</v>
      </c>
      <c r="O46" s="226">
        <f>IFERROR(VLOOKUP($B46,MMWR_TRAD_AGG_RO_COMP[],O$1,0),"ERROR")</f>
        <v>996</v>
      </c>
      <c r="P46" s="223">
        <f t="shared" si="3"/>
        <v>0.6707070707070707</v>
      </c>
      <c r="Q46" s="227">
        <f>IFERROR(VLOOKUP($B46,MMWR_TRAD_AGG_RO_COMP[],Q$1,0),"ERROR")</f>
        <v>2</v>
      </c>
      <c r="R46" s="227">
        <f>IFERROR(VLOOKUP($B46,MMWR_TRAD_AGG_RO_COMP[],R$1,0),"ERROR")</f>
        <v>265</v>
      </c>
      <c r="S46" s="201">
        <f>IFERROR(VLOOKUP($B46,MMWR_APP_RO[],S$1,0),"ERROR")</f>
        <v>5864</v>
      </c>
      <c r="T46" s="28"/>
    </row>
    <row r="47" spans="1:20" x14ac:dyDescent="0.2">
      <c r="A47" s="28"/>
      <c r="B47" s="108" t="s">
        <v>70</v>
      </c>
      <c r="C47" s="219">
        <f>IFERROR(VLOOKUP($B47,MMWR_TRAD_AGG_RO_COMP[],C$1,0),"ERROR")</f>
        <v>4206</v>
      </c>
      <c r="D47" s="220">
        <f>IFERROR(VLOOKUP($B47,MMWR_TRAD_AGG_RO_COMP[],D$1,0),"ERROR")</f>
        <v>267.87018544940003</v>
      </c>
      <c r="E47" s="221">
        <f>IFERROR(VLOOKUP($B47,MMWR_TRAD_AGG_RO_COMP[],E$1,0),"ERROR")</f>
        <v>2120</v>
      </c>
      <c r="F47" s="222">
        <f>IFERROR(VLOOKUP($B47,MMWR_TRAD_AGG_RO_COMP[],F$1,0),"ERROR")</f>
        <v>623</v>
      </c>
      <c r="G47" s="223">
        <f t="shared" si="0"/>
        <v>0.2938679245283019</v>
      </c>
      <c r="H47" s="224">
        <f>IFERROR(VLOOKUP($B47,MMWR_TRAD_AGG_RO_COMP[],H$1,0),"ERROR")</f>
        <v>8582</v>
      </c>
      <c r="I47" s="222">
        <f>IFERROR(VLOOKUP($B47,MMWR_TRAD_AGG_RO_COMP[],I$1,0),"ERROR")</f>
        <v>5708</v>
      </c>
      <c r="J47" s="223">
        <f t="shared" si="1"/>
        <v>0.66511302726637145</v>
      </c>
      <c r="K47" s="225">
        <f>IFERROR(VLOOKUP($B47,MMWR_TRAD_AGG_RO_COMP[],K$1,0),"ERROR")</f>
        <v>995</v>
      </c>
      <c r="L47" s="226">
        <f>IFERROR(VLOOKUP($B47,MMWR_TRAD_AGG_RO_COMP[],L$1,0),"ERROR")</f>
        <v>602</v>
      </c>
      <c r="M47" s="223">
        <f t="shared" si="2"/>
        <v>0.6050251256281407</v>
      </c>
      <c r="N47" s="225">
        <f>IFERROR(VLOOKUP($B47,MMWR_TRAD_AGG_RO_COMP[],N$1,0),"ERROR")</f>
        <v>251</v>
      </c>
      <c r="O47" s="226">
        <f>IFERROR(VLOOKUP($B47,MMWR_TRAD_AGG_RO_COMP[],O$1,0),"ERROR")</f>
        <v>117</v>
      </c>
      <c r="P47" s="223">
        <f t="shared" si="3"/>
        <v>0.46613545816733065</v>
      </c>
      <c r="Q47" s="227">
        <f>IFERROR(VLOOKUP($B47,MMWR_TRAD_AGG_RO_COMP[],Q$1,0),"ERROR")</f>
        <v>0</v>
      </c>
      <c r="R47" s="227">
        <f>IFERROR(VLOOKUP($B47,MMWR_TRAD_AGG_RO_COMP[],R$1,0),"ERROR")</f>
        <v>2</v>
      </c>
      <c r="S47" s="201">
        <f>IFERROR(VLOOKUP($B47,MMWR_APP_RO[],S$1,0),"ERROR")</f>
        <v>1055</v>
      </c>
      <c r="T47" s="28"/>
    </row>
    <row r="48" spans="1:20" x14ac:dyDescent="0.2">
      <c r="A48" s="28"/>
      <c r="B48" s="116" t="s">
        <v>79</v>
      </c>
      <c r="C48" s="228">
        <f>IFERROR(VLOOKUP($B48,MMWR_TRAD_AGG_RO_COMP[],C$1,0),"ERROR")</f>
        <v>10771</v>
      </c>
      <c r="D48" s="229">
        <f>IFERROR(VLOOKUP($B48,MMWR_TRAD_AGG_RO_COMP[],D$1,0),"ERROR")</f>
        <v>336.63773094419997</v>
      </c>
      <c r="E48" s="230">
        <f>IFERROR(VLOOKUP($B48,MMWR_TRAD_AGG_RO_COMP[],E$1,0),"ERROR")</f>
        <v>16613</v>
      </c>
      <c r="F48" s="231">
        <f>IFERROR(VLOOKUP($B48,MMWR_TRAD_AGG_RO_COMP[],F$1,0),"ERROR")</f>
        <v>3262</v>
      </c>
      <c r="G48" s="232">
        <f t="shared" si="0"/>
        <v>0.19635225425871305</v>
      </c>
      <c r="H48" s="233">
        <f>IFERROR(VLOOKUP($B48,MMWR_TRAD_AGG_RO_COMP[],H$1,0),"ERROR")</f>
        <v>13052</v>
      </c>
      <c r="I48" s="231">
        <f>IFERROR(VLOOKUP($B48,MMWR_TRAD_AGG_RO_COMP[],I$1,0),"ERROR")</f>
        <v>8224</v>
      </c>
      <c r="J48" s="232">
        <f t="shared" si="1"/>
        <v>0.63009500459699663</v>
      </c>
      <c r="K48" s="234">
        <f>IFERROR(VLOOKUP($B48,MMWR_TRAD_AGG_RO_COMP[],K$1,0),"ERROR")</f>
        <v>3438</v>
      </c>
      <c r="L48" s="235">
        <f>IFERROR(VLOOKUP($B48,MMWR_TRAD_AGG_RO_COMP[],L$1,0),"ERROR")</f>
        <v>2128</v>
      </c>
      <c r="M48" s="232">
        <f t="shared" si="2"/>
        <v>0.61896451425247234</v>
      </c>
      <c r="N48" s="234">
        <f>IFERROR(VLOOKUP($B48,MMWR_TRAD_AGG_RO_COMP[],N$1,0),"ERROR")</f>
        <v>5527</v>
      </c>
      <c r="O48" s="235">
        <f>IFERROR(VLOOKUP($B48,MMWR_TRAD_AGG_RO_COMP[],O$1,0),"ERROR")</f>
        <v>2030</v>
      </c>
      <c r="P48" s="232">
        <f t="shared" si="3"/>
        <v>0.36728785959833543</v>
      </c>
      <c r="Q48" s="236">
        <f>IFERROR(VLOOKUP($B48,MMWR_TRAD_AGG_RO_COMP[],Q$1,0),"ERROR")</f>
        <v>3</v>
      </c>
      <c r="R48" s="236">
        <f>IFERROR(VLOOKUP($B48,MMWR_TRAD_AGG_RO_COMP[],R$1,0),"ERROR")</f>
        <v>199</v>
      </c>
      <c r="S48" s="201">
        <f>IFERROR(VLOOKUP($B48,MMWR_APP_RO[],S$1,0),"ERROR")</f>
        <v>19810</v>
      </c>
      <c r="T48" s="28"/>
    </row>
    <row r="49" spans="1:20" x14ac:dyDescent="0.2">
      <c r="A49" s="28"/>
      <c r="B49" s="101" t="s">
        <v>405</v>
      </c>
      <c r="C49" s="212">
        <f>IFERROR(VLOOKUP($B49,MMWR_TRAD_AGG_DISTRICT_COMP[],C$1,0),"ERROR")</f>
        <v>52657</v>
      </c>
      <c r="D49" s="197">
        <f>IFERROR(VLOOKUP($B49,MMWR_TRAD_AGG_DISTRICT_COMP[],D$1,0),"ERROR")</f>
        <v>386.64967620639999</v>
      </c>
      <c r="E49" s="213">
        <f>IFERROR(VLOOKUP($B49,MMWR_TRAD_AGG_DISTRICT_COMP[],E$1,0),"ERROR")</f>
        <v>57381</v>
      </c>
      <c r="F49" s="218">
        <f>IFERROR(VLOOKUP($B49,MMWR_TRAD_AGG_DISTRICT_COMP[],F$1,0),"ERROR")</f>
        <v>13069</v>
      </c>
      <c r="G49" s="214">
        <f t="shared" si="0"/>
        <v>0.22775831721301476</v>
      </c>
      <c r="H49" s="218">
        <f>IFERROR(VLOOKUP($B49,MMWR_TRAD_AGG_DISTRICT_COMP[],H$1,0),"ERROR")</f>
        <v>77499</v>
      </c>
      <c r="I49" s="218">
        <f>IFERROR(VLOOKUP($B49,MMWR_TRAD_AGG_DISTRICT_COMP[],I$1,0),"ERROR")</f>
        <v>54046</v>
      </c>
      <c r="J49" s="214">
        <f t="shared" si="1"/>
        <v>0.69737674034503672</v>
      </c>
      <c r="K49" s="212">
        <f>IFERROR(VLOOKUP($B49,MMWR_TRAD_AGG_DISTRICT_COMP[],K$1,0),"ERROR")</f>
        <v>23743</v>
      </c>
      <c r="L49" s="212">
        <f>IFERROR(VLOOKUP($B49,MMWR_TRAD_AGG_DISTRICT_COMP[],L$1,0),"ERROR")</f>
        <v>18999</v>
      </c>
      <c r="M49" s="214">
        <f t="shared" si="2"/>
        <v>0.80019374131322918</v>
      </c>
      <c r="N49" s="212">
        <f>IFERROR(VLOOKUP($B49,MMWR_TRAD_AGG_DISTRICT_COMP[],N$1,0),"ERROR")</f>
        <v>20058</v>
      </c>
      <c r="O49" s="212">
        <f>IFERROR(VLOOKUP($B49,MMWR_TRAD_AGG_DISTRICT_COMP[],O$1,0),"ERROR")</f>
        <v>14402</v>
      </c>
      <c r="P49" s="214">
        <f t="shared" si="3"/>
        <v>0.71801774852926514</v>
      </c>
      <c r="Q49" s="212">
        <f>IFERROR(VLOOKUP($B49,MMWR_TRAD_AGG_DISTRICT_COMP[],Q$1,0),"ERROR")</f>
        <v>425</v>
      </c>
      <c r="R49" s="215">
        <f>IFERROR(VLOOKUP($B49,MMWR_TRAD_AGG_DISTRICT_COMP[],R$1,0),"ERROR")</f>
        <v>737</v>
      </c>
      <c r="S49" s="215">
        <f>IFERROR(VLOOKUP($B49,MMWR_APP_RO[],S$1,0),"ERROR")</f>
        <v>43260</v>
      </c>
      <c r="T49" s="28"/>
    </row>
    <row r="50" spans="1:20" x14ac:dyDescent="0.2">
      <c r="A50" s="28"/>
      <c r="B50" s="108" t="s">
        <v>31</v>
      </c>
      <c r="C50" s="219">
        <f>IFERROR(VLOOKUP($B50,MMWR_TRAD_AGG_RO_COMP[],C$1,0),"ERROR")</f>
        <v>826</v>
      </c>
      <c r="D50" s="220">
        <f>IFERROR(VLOOKUP($B50,MMWR_TRAD_AGG_RO_COMP[],D$1,0),"ERROR")</f>
        <v>137.15859564159999</v>
      </c>
      <c r="E50" s="221">
        <f>IFERROR(VLOOKUP($B50,MMWR_TRAD_AGG_RO_COMP[],E$1,0),"ERROR")</f>
        <v>2620</v>
      </c>
      <c r="F50" s="222">
        <f>IFERROR(VLOOKUP($B50,MMWR_TRAD_AGG_RO_COMP[],F$1,0),"ERROR")</f>
        <v>646</v>
      </c>
      <c r="G50" s="223">
        <f t="shared" si="0"/>
        <v>0.24656488549618322</v>
      </c>
      <c r="H50" s="224">
        <f>IFERROR(VLOOKUP($B50,MMWR_TRAD_AGG_RO_COMP[],H$1,0),"ERROR")</f>
        <v>1238</v>
      </c>
      <c r="I50" s="222">
        <f>IFERROR(VLOOKUP($B50,MMWR_TRAD_AGG_RO_COMP[],I$1,0),"ERROR")</f>
        <v>364</v>
      </c>
      <c r="J50" s="223">
        <f t="shared" si="1"/>
        <v>0.2940226171243942</v>
      </c>
      <c r="K50" s="225">
        <f>IFERROR(VLOOKUP($B50,MMWR_TRAD_AGG_RO_COMP[],K$1,0),"ERROR")</f>
        <v>282</v>
      </c>
      <c r="L50" s="226">
        <f>IFERROR(VLOOKUP($B50,MMWR_TRAD_AGG_RO_COMP[],L$1,0),"ERROR")</f>
        <v>160</v>
      </c>
      <c r="M50" s="223">
        <f t="shared" si="2"/>
        <v>0.56737588652482274</v>
      </c>
      <c r="N50" s="225">
        <f>IFERROR(VLOOKUP($B50,MMWR_TRAD_AGG_RO_COMP[],N$1,0),"ERROR")</f>
        <v>436</v>
      </c>
      <c r="O50" s="226">
        <f>IFERROR(VLOOKUP($B50,MMWR_TRAD_AGG_RO_COMP[],O$1,0),"ERROR")</f>
        <v>278</v>
      </c>
      <c r="P50" s="223">
        <f t="shared" si="3"/>
        <v>0.63761467889908252</v>
      </c>
      <c r="Q50" s="227">
        <f>IFERROR(VLOOKUP($B50,MMWR_TRAD_AGG_RO_COMP[],Q$1,0),"ERROR")</f>
        <v>0</v>
      </c>
      <c r="R50" s="227">
        <f>IFERROR(VLOOKUP($B50,MMWR_TRAD_AGG_RO_COMP[],R$1,0),"ERROR")</f>
        <v>8</v>
      </c>
      <c r="S50" s="201">
        <f>IFERROR(VLOOKUP($B50,MMWR_APP_RO[],S$1,0),"ERROR")</f>
        <v>1693</v>
      </c>
      <c r="T50" s="28"/>
    </row>
    <row r="51" spans="1:20" x14ac:dyDescent="0.2">
      <c r="A51" s="28"/>
      <c r="B51" s="108" t="s">
        <v>32</v>
      </c>
      <c r="C51" s="219">
        <f>IFERROR(VLOOKUP($B51,MMWR_TRAD_AGG_RO_COMP[],C$1,0),"ERROR")</f>
        <v>2067</v>
      </c>
      <c r="D51" s="220">
        <f>IFERROR(VLOOKUP($B51,MMWR_TRAD_AGG_RO_COMP[],D$1,0),"ERROR")</f>
        <v>475.22835026609999</v>
      </c>
      <c r="E51" s="221">
        <f>IFERROR(VLOOKUP($B51,MMWR_TRAD_AGG_RO_COMP[],E$1,0),"ERROR")</f>
        <v>1121</v>
      </c>
      <c r="F51" s="222">
        <f>IFERROR(VLOOKUP($B51,MMWR_TRAD_AGG_RO_COMP[],F$1,0),"ERROR")</f>
        <v>330</v>
      </c>
      <c r="G51" s="223">
        <f t="shared" si="0"/>
        <v>0.2943800178412132</v>
      </c>
      <c r="H51" s="224">
        <f>IFERROR(VLOOKUP($B51,MMWR_TRAD_AGG_RO_COMP[],H$1,0),"ERROR")</f>
        <v>2764</v>
      </c>
      <c r="I51" s="222">
        <f>IFERROR(VLOOKUP($B51,MMWR_TRAD_AGG_RO_COMP[],I$1,0),"ERROR")</f>
        <v>2171</v>
      </c>
      <c r="J51" s="223">
        <f t="shared" si="1"/>
        <v>0.7854558610709117</v>
      </c>
      <c r="K51" s="225">
        <f>IFERROR(VLOOKUP($B51,MMWR_TRAD_AGG_RO_COMP[],K$1,0),"ERROR")</f>
        <v>2087</v>
      </c>
      <c r="L51" s="226">
        <f>IFERROR(VLOOKUP($B51,MMWR_TRAD_AGG_RO_COMP[],L$1,0),"ERROR")</f>
        <v>1772</v>
      </c>
      <c r="M51" s="223">
        <f t="shared" si="2"/>
        <v>0.84906564446574029</v>
      </c>
      <c r="N51" s="225">
        <f>IFERROR(VLOOKUP($B51,MMWR_TRAD_AGG_RO_COMP[],N$1,0),"ERROR")</f>
        <v>565</v>
      </c>
      <c r="O51" s="226">
        <f>IFERROR(VLOOKUP($B51,MMWR_TRAD_AGG_RO_COMP[],O$1,0),"ERROR")</f>
        <v>284</v>
      </c>
      <c r="P51" s="223">
        <f t="shared" si="3"/>
        <v>0.50265486725663722</v>
      </c>
      <c r="Q51" s="227">
        <f>IFERROR(VLOOKUP($B51,MMWR_TRAD_AGG_RO_COMP[],Q$1,0),"ERROR")</f>
        <v>0</v>
      </c>
      <c r="R51" s="227">
        <f>IFERROR(VLOOKUP($B51,MMWR_TRAD_AGG_RO_COMP[],R$1,0),"ERROR")</f>
        <v>4</v>
      </c>
      <c r="S51" s="201">
        <f>IFERROR(VLOOKUP($B51,MMWR_APP_RO[],S$1,0),"ERROR")</f>
        <v>209</v>
      </c>
      <c r="T51" s="28"/>
    </row>
    <row r="52" spans="1:20" x14ac:dyDescent="0.2">
      <c r="A52" s="28"/>
      <c r="B52" s="108" t="s">
        <v>34</v>
      </c>
      <c r="C52" s="219">
        <f>IFERROR(VLOOKUP($B52,MMWR_TRAD_AGG_RO_COMP[],C$1,0),"ERROR")</f>
        <v>218</v>
      </c>
      <c r="D52" s="220">
        <f>IFERROR(VLOOKUP($B52,MMWR_TRAD_AGG_RO_COMP[],D$1,0),"ERROR")</f>
        <v>51.931192660599997</v>
      </c>
      <c r="E52" s="221">
        <f>IFERROR(VLOOKUP($B52,MMWR_TRAD_AGG_RO_COMP[],E$1,0),"ERROR")</f>
        <v>1382</v>
      </c>
      <c r="F52" s="222">
        <f>IFERROR(VLOOKUP($B52,MMWR_TRAD_AGG_RO_COMP[],F$1,0),"ERROR")</f>
        <v>308</v>
      </c>
      <c r="G52" s="223">
        <f t="shared" si="0"/>
        <v>0.22286541244573083</v>
      </c>
      <c r="H52" s="224">
        <f>IFERROR(VLOOKUP($B52,MMWR_TRAD_AGG_RO_COMP[],H$1,0),"ERROR")</f>
        <v>381</v>
      </c>
      <c r="I52" s="222">
        <f>IFERROR(VLOOKUP($B52,MMWR_TRAD_AGG_RO_COMP[],I$1,0),"ERROR")</f>
        <v>37</v>
      </c>
      <c r="J52" s="223">
        <f t="shared" si="1"/>
        <v>9.711286089238845E-2</v>
      </c>
      <c r="K52" s="225">
        <f>IFERROR(VLOOKUP($B52,MMWR_TRAD_AGG_RO_COMP[],K$1,0),"ERROR")</f>
        <v>207</v>
      </c>
      <c r="L52" s="226">
        <f>IFERROR(VLOOKUP($B52,MMWR_TRAD_AGG_RO_COMP[],L$1,0),"ERROR")</f>
        <v>164</v>
      </c>
      <c r="M52" s="223">
        <f t="shared" si="2"/>
        <v>0.79227053140096615</v>
      </c>
      <c r="N52" s="225">
        <f>IFERROR(VLOOKUP($B52,MMWR_TRAD_AGG_RO_COMP[],N$1,0),"ERROR")</f>
        <v>179</v>
      </c>
      <c r="O52" s="226">
        <f>IFERROR(VLOOKUP($B52,MMWR_TRAD_AGG_RO_COMP[],O$1,0),"ERROR")</f>
        <v>64</v>
      </c>
      <c r="P52" s="223">
        <f t="shared" si="3"/>
        <v>0.35754189944134079</v>
      </c>
      <c r="Q52" s="227">
        <f>IFERROR(VLOOKUP($B52,MMWR_TRAD_AGG_RO_COMP[],Q$1,0),"ERROR")</f>
        <v>0</v>
      </c>
      <c r="R52" s="227">
        <f>IFERROR(VLOOKUP($B52,MMWR_TRAD_AGG_RO_COMP[],R$1,0),"ERROR")</f>
        <v>2</v>
      </c>
      <c r="S52" s="201">
        <f>IFERROR(VLOOKUP($B52,MMWR_APP_RO[],S$1,0),"ERROR")</f>
        <v>917</v>
      </c>
      <c r="T52" s="28"/>
    </row>
    <row r="53" spans="1:20" x14ac:dyDescent="0.2">
      <c r="A53" s="28"/>
      <c r="B53" s="108" t="s">
        <v>45</v>
      </c>
      <c r="C53" s="219">
        <f>IFERROR(VLOOKUP($B53,MMWR_TRAD_AGG_RO_COMP[],C$1,0),"ERROR")</f>
        <v>1518</v>
      </c>
      <c r="D53" s="220">
        <f>IFERROR(VLOOKUP($B53,MMWR_TRAD_AGG_RO_COMP[],D$1,0),"ERROR")</f>
        <v>255.16469038209999</v>
      </c>
      <c r="E53" s="221">
        <f>IFERROR(VLOOKUP($B53,MMWR_TRAD_AGG_RO_COMP[],E$1,0),"ERROR")</f>
        <v>1932</v>
      </c>
      <c r="F53" s="222">
        <f>IFERROR(VLOOKUP($B53,MMWR_TRAD_AGG_RO_COMP[],F$1,0),"ERROR")</f>
        <v>343</v>
      </c>
      <c r="G53" s="223">
        <f t="shared" si="0"/>
        <v>0.17753623188405798</v>
      </c>
      <c r="H53" s="224">
        <f>IFERROR(VLOOKUP($B53,MMWR_TRAD_AGG_RO_COMP[],H$1,0),"ERROR")</f>
        <v>1892</v>
      </c>
      <c r="I53" s="222">
        <f>IFERROR(VLOOKUP($B53,MMWR_TRAD_AGG_RO_COMP[],I$1,0),"ERROR")</f>
        <v>1191</v>
      </c>
      <c r="J53" s="223">
        <f t="shared" si="1"/>
        <v>0.62949260042283295</v>
      </c>
      <c r="K53" s="225">
        <f>IFERROR(VLOOKUP($B53,MMWR_TRAD_AGG_RO_COMP[],K$1,0),"ERROR")</f>
        <v>1025</v>
      </c>
      <c r="L53" s="226">
        <f>IFERROR(VLOOKUP($B53,MMWR_TRAD_AGG_RO_COMP[],L$1,0),"ERROR")</f>
        <v>621</v>
      </c>
      <c r="M53" s="223">
        <f t="shared" si="2"/>
        <v>0.60585365853658535</v>
      </c>
      <c r="N53" s="225">
        <f>IFERROR(VLOOKUP($B53,MMWR_TRAD_AGG_RO_COMP[],N$1,0),"ERROR")</f>
        <v>247</v>
      </c>
      <c r="O53" s="226">
        <f>IFERROR(VLOOKUP($B53,MMWR_TRAD_AGG_RO_COMP[],O$1,0),"ERROR")</f>
        <v>110</v>
      </c>
      <c r="P53" s="223">
        <f t="shared" si="3"/>
        <v>0.44534412955465585</v>
      </c>
      <c r="Q53" s="227">
        <f>IFERROR(VLOOKUP($B53,MMWR_TRAD_AGG_RO_COMP[],Q$1,0),"ERROR")</f>
        <v>0</v>
      </c>
      <c r="R53" s="227">
        <f>IFERROR(VLOOKUP($B53,MMWR_TRAD_AGG_RO_COMP[],R$1,0),"ERROR")</f>
        <v>1</v>
      </c>
      <c r="S53" s="201">
        <f>IFERROR(VLOOKUP($B53,MMWR_APP_RO[],S$1,0),"ERROR")</f>
        <v>1514</v>
      </c>
      <c r="T53" s="28"/>
    </row>
    <row r="54" spans="1:20" x14ac:dyDescent="0.2">
      <c r="A54" s="28"/>
      <c r="B54" s="108" t="s">
        <v>52</v>
      </c>
      <c r="C54" s="219">
        <f>IFERROR(VLOOKUP($B54,MMWR_TRAD_AGG_RO_COMP[],C$1,0),"ERROR")</f>
        <v>7442</v>
      </c>
      <c r="D54" s="220">
        <f>IFERROR(VLOOKUP($B54,MMWR_TRAD_AGG_RO_COMP[],D$1,0),"ERROR")</f>
        <v>398.00094060740003</v>
      </c>
      <c r="E54" s="221">
        <f>IFERROR(VLOOKUP($B54,MMWR_TRAD_AGG_RO_COMP[],E$1,0),"ERROR")</f>
        <v>9364</v>
      </c>
      <c r="F54" s="222">
        <f>IFERROR(VLOOKUP($B54,MMWR_TRAD_AGG_RO_COMP[],F$1,0),"ERROR")</f>
        <v>2033</v>
      </c>
      <c r="G54" s="223">
        <f t="shared" si="0"/>
        <v>0.21710807347287484</v>
      </c>
      <c r="H54" s="224">
        <f>IFERROR(VLOOKUP($B54,MMWR_TRAD_AGG_RO_COMP[],H$1,0),"ERROR")</f>
        <v>8894</v>
      </c>
      <c r="I54" s="222">
        <f>IFERROR(VLOOKUP($B54,MMWR_TRAD_AGG_RO_COMP[],I$1,0),"ERROR")</f>
        <v>6789</v>
      </c>
      <c r="J54" s="223">
        <f t="shared" si="1"/>
        <v>0.76332358893636154</v>
      </c>
      <c r="K54" s="225">
        <f>IFERROR(VLOOKUP($B54,MMWR_TRAD_AGG_RO_COMP[],K$1,0),"ERROR")</f>
        <v>1035</v>
      </c>
      <c r="L54" s="226">
        <f>IFERROR(VLOOKUP($B54,MMWR_TRAD_AGG_RO_COMP[],L$1,0),"ERROR")</f>
        <v>895</v>
      </c>
      <c r="M54" s="223">
        <f t="shared" si="2"/>
        <v>0.86473429951690817</v>
      </c>
      <c r="N54" s="225">
        <f>IFERROR(VLOOKUP($B54,MMWR_TRAD_AGG_RO_COMP[],N$1,0),"ERROR")</f>
        <v>4056</v>
      </c>
      <c r="O54" s="226">
        <f>IFERROR(VLOOKUP($B54,MMWR_TRAD_AGG_RO_COMP[],O$1,0),"ERROR")</f>
        <v>3321</v>
      </c>
      <c r="P54" s="223">
        <f t="shared" si="3"/>
        <v>0.81878698224852076</v>
      </c>
      <c r="Q54" s="227">
        <f>IFERROR(VLOOKUP($B54,MMWR_TRAD_AGG_RO_COMP[],Q$1,0),"ERROR")</f>
        <v>4</v>
      </c>
      <c r="R54" s="227">
        <f>IFERROR(VLOOKUP($B54,MMWR_TRAD_AGG_RO_COMP[],R$1,0),"ERROR")</f>
        <v>32</v>
      </c>
      <c r="S54" s="201">
        <f>IFERROR(VLOOKUP($B54,MMWR_APP_RO[],S$1,0),"ERROR")</f>
        <v>4932</v>
      </c>
      <c r="T54" s="28"/>
    </row>
    <row r="55" spans="1:20" x14ac:dyDescent="0.2">
      <c r="A55" s="28"/>
      <c r="B55" s="108" t="s">
        <v>55</v>
      </c>
      <c r="C55" s="219">
        <f>IFERROR(VLOOKUP($B55,MMWR_TRAD_AGG_RO_COMP[],C$1,0),"ERROR")</f>
        <v>734</v>
      </c>
      <c r="D55" s="220">
        <f>IFERROR(VLOOKUP($B55,MMWR_TRAD_AGG_RO_COMP[],D$1,0),"ERROR")</f>
        <v>184.64577656680001</v>
      </c>
      <c r="E55" s="221">
        <f>IFERROR(VLOOKUP($B55,MMWR_TRAD_AGG_RO_COMP[],E$1,0),"ERROR")</f>
        <v>904</v>
      </c>
      <c r="F55" s="222">
        <f>IFERROR(VLOOKUP($B55,MMWR_TRAD_AGG_RO_COMP[],F$1,0),"ERROR")</f>
        <v>228</v>
      </c>
      <c r="G55" s="223">
        <f t="shared" si="0"/>
        <v>0.25221238938053098</v>
      </c>
      <c r="H55" s="224">
        <f>IFERROR(VLOOKUP($B55,MMWR_TRAD_AGG_RO_COMP[],H$1,0),"ERROR")</f>
        <v>855</v>
      </c>
      <c r="I55" s="222">
        <f>IFERROR(VLOOKUP($B55,MMWR_TRAD_AGG_RO_COMP[],I$1,0),"ERROR")</f>
        <v>453</v>
      </c>
      <c r="J55" s="223">
        <f t="shared" si="1"/>
        <v>0.52982456140350875</v>
      </c>
      <c r="K55" s="225">
        <f>IFERROR(VLOOKUP($B55,MMWR_TRAD_AGG_RO_COMP[],K$1,0),"ERROR")</f>
        <v>254</v>
      </c>
      <c r="L55" s="226">
        <f>IFERROR(VLOOKUP($B55,MMWR_TRAD_AGG_RO_COMP[],L$1,0),"ERROR")</f>
        <v>235</v>
      </c>
      <c r="M55" s="223">
        <f t="shared" si="2"/>
        <v>0.92519685039370081</v>
      </c>
      <c r="N55" s="225">
        <f>IFERROR(VLOOKUP($B55,MMWR_TRAD_AGG_RO_COMP[],N$1,0),"ERROR")</f>
        <v>663</v>
      </c>
      <c r="O55" s="226">
        <f>IFERROR(VLOOKUP($B55,MMWR_TRAD_AGG_RO_COMP[],O$1,0),"ERROR")</f>
        <v>392</v>
      </c>
      <c r="P55" s="223">
        <f t="shared" si="3"/>
        <v>0.59125188536953244</v>
      </c>
      <c r="Q55" s="227">
        <f>IFERROR(VLOOKUP($B55,MMWR_TRAD_AGG_RO_COMP[],Q$1,0),"ERROR")</f>
        <v>418</v>
      </c>
      <c r="R55" s="227">
        <f>IFERROR(VLOOKUP($B55,MMWR_TRAD_AGG_RO_COMP[],R$1,0),"ERROR")</f>
        <v>165</v>
      </c>
      <c r="S55" s="201">
        <f>IFERROR(VLOOKUP($B55,MMWR_APP_RO[],S$1,0),"ERROR")</f>
        <v>911</v>
      </c>
      <c r="T55" s="28"/>
    </row>
    <row r="56" spans="1:20" x14ac:dyDescent="0.2">
      <c r="A56" s="28"/>
      <c r="B56" s="108" t="s">
        <v>62</v>
      </c>
      <c r="C56" s="219">
        <f>IFERROR(VLOOKUP($B56,MMWR_TRAD_AGG_RO_COMP[],C$1,0),"ERROR")</f>
        <v>10667</v>
      </c>
      <c r="D56" s="220">
        <f>IFERROR(VLOOKUP($B56,MMWR_TRAD_AGG_RO_COMP[],D$1,0),"ERROR")</f>
        <v>433.52460860600002</v>
      </c>
      <c r="E56" s="221">
        <f>IFERROR(VLOOKUP($B56,MMWR_TRAD_AGG_RO_COMP[],E$1,0),"ERROR")</f>
        <v>10194</v>
      </c>
      <c r="F56" s="222">
        <f>IFERROR(VLOOKUP($B56,MMWR_TRAD_AGG_RO_COMP[],F$1,0),"ERROR")</f>
        <v>3058</v>
      </c>
      <c r="G56" s="223">
        <f t="shared" si="0"/>
        <v>0.29998038061604865</v>
      </c>
      <c r="H56" s="224">
        <f>IFERROR(VLOOKUP($B56,MMWR_TRAD_AGG_RO_COMP[],H$1,0),"ERROR")</f>
        <v>14188</v>
      </c>
      <c r="I56" s="222">
        <f>IFERROR(VLOOKUP($B56,MMWR_TRAD_AGG_RO_COMP[],I$1,0),"ERROR")</f>
        <v>10839</v>
      </c>
      <c r="J56" s="223">
        <f t="shared" si="1"/>
        <v>0.76395545531435016</v>
      </c>
      <c r="K56" s="225">
        <f>IFERROR(VLOOKUP($B56,MMWR_TRAD_AGG_RO_COMP[],K$1,0),"ERROR")</f>
        <v>4099</v>
      </c>
      <c r="L56" s="226">
        <f>IFERROR(VLOOKUP($B56,MMWR_TRAD_AGG_RO_COMP[],L$1,0),"ERROR")</f>
        <v>3660</v>
      </c>
      <c r="M56" s="223">
        <f t="shared" si="2"/>
        <v>0.89290070748963157</v>
      </c>
      <c r="N56" s="225">
        <f>IFERROR(VLOOKUP($B56,MMWR_TRAD_AGG_RO_COMP[],N$1,0),"ERROR")</f>
        <v>2460</v>
      </c>
      <c r="O56" s="226">
        <f>IFERROR(VLOOKUP($B56,MMWR_TRAD_AGG_RO_COMP[],O$1,0),"ERROR")</f>
        <v>1927</v>
      </c>
      <c r="P56" s="223">
        <f t="shared" si="3"/>
        <v>0.78333333333333333</v>
      </c>
      <c r="Q56" s="227">
        <f>IFERROR(VLOOKUP($B56,MMWR_TRAD_AGG_RO_COMP[],Q$1,0),"ERROR")</f>
        <v>0</v>
      </c>
      <c r="R56" s="227">
        <f>IFERROR(VLOOKUP($B56,MMWR_TRAD_AGG_RO_COMP[],R$1,0),"ERROR")</f>
        <v>38</v>
      </c>
      <c r="S56" s="201">
        <f>IFERROR(VLOOKUP($B56,MMWR_APP_RO[],S$1,0),"ERROR")</f>
        <v>8421</v>
      </c>
      <c r="T56" s="28"/>
    </row>
    <row r="57" spans="1:20" x14ac:dyDescent="0.2">
      <c r="A57" s="28"/>
      <c r="B57" s="108" t="s">
        <v>64</v>
      </c>
      <c r="C57" s="219">
        <f>IFERROR(VLOOKUP($B57,MMWR_TRAD_AGG_RO_COMP[],C$1,0),"ERROR")</f>
        <v>3522</v>
      </c>
      <c r="D57" s="220">
        <f>IFERROR(VLOOKUP($B57,MMWR_TRAD_AGG_RO_COMP[],D$1,0),"ERROR")</f>
        <v>239.97643384439999</v>
      </c>
      <c r="E57" s="221">
        <f>IFERROR(VLOOKUP($B57,MMWR_TRAD_AGG_RO_COMP[],E$1,0),"ERROR")</f>
        <v>3654</v>
      </c>
      <c r="F57" s="222">
        <f>IFERROR(VLOOKUP($B57,MMWR_TRAD_AGG_RO_COMP[],F$1,0),"ERROR")</f>
        <v>767</v>
      </c>
      <c r="G57" s="223">
        <f t="shared" si="0"/>
        <v>0.20990695128626163</v>
      </c>
      <c r="H57" s="224">
        <f>IFERROR(VLOOKUP($B57,MMWR_TRAD_AGG_RO_COMP[],H$1,0),"ERROR")</f>
        <v>4287</v>
      </c>
      <c r="I57" s="222">
        <f>IFERROR(VLOOKUP($B57,MMWR_TRAD_AGG_RO_COMP[],I$1,0),"ERROR")</f>
        <v>2443</v>
      </c>
      <c r="J57" s="223">
        <f t="shared" si="1"/>
        <v>0.56986237462094702</v>
      </c>
      <c r="K57" s="225">
        <f>IFERROR(VLOOKUP($B57,MMWR_TRAD_AGG_RO_COMP[],K$1,0),"ERROR")</f>
        <v>928</v>
      </c>
      <c r="L57" s="226">
        <f>IFERROR(VLOOKUP($B57,MMWR_TRAD_AGG_RO_COMP[],L$1,0),"ERROR")</f>
        <v>803</v>
      </c>
      <c r="M57" s="223">
        <f t="shared" si="2"/>
        <v>0.86530172413793105</v>
      </c>
      <c r="N57" s="225">
        <f>IFERROR(VLOOKUP($B57,MMWR_TRAD_AGG_RO_COMP[],N$1,0),"ERROR")</f>
        <v>1210</v>
      </c>
      <c r="O57" s="226">
        <f>IFERROR(VLOOKUP($B57,MMWR_TRAD_AGG_RO_COMP[],O$1,0),"ERROR")</f>
        <v>668</v>
      </c>
      <c r="P57" s="223">
        <f t="shared" si="3"/>
        <v>0.55206611570247932</v>
      </c>
      <c r="Q57" s="227">
        <f>IFERROR(VLOOKUP($B57,MMWR_TRAD_AGG_RO_COMP[],Q$1,0),"ERROR")</f>
        <v>0</v>
      </c>
      <c r="R57" s="227">
        <f>IFERROR(VLOOKUP($B57,MMWR_TRAD_AGG_RO_COMP[],R$1,0),"ERROR")</f>
        <v>69</v>
      </c>
      <c r="S57" s="201">
        <f>IFERROR(VLOOKUP($B57,MMWR_APP_RO[],S$1,0),"ERROR")</f>
        <v>7121</v>
      </c>
      <c r="T57" s="28"/>
    </row>
    <row r="58" spans="1:20" x14ac:dyDescent="0.2">
      <c r="A58" s="28"/>
      <c r="B58" s="108" t="s">
        <v>66</v>
      </c>
      <c r="C58" s="219">
        <f>IFERROR(VLOOKUP($B58,MMWR_TRAD_AGG_RO_COMP[],C$1,0),"ERROR")</f>
        <v>6153</v>
      </c>
      <c r="D58" s="220">
        <f>IFERROR(VLOOKUP($B58,MMWR_TRAD_AGG_RO_COMP[],D$1,0),"ERROR")</f>
        <v>468.79879733460001</v>
      </c>
      <c r="E58" s="221">
        <f>IFERROR(VLOOKUP($B58,MMWR_TRAD_AGG_RO_COMP[],E$1,0),"ERROR")</f>
        <v>4584</v>
      </c>
      <c r="F58" s="222">
        <f>IFERROR(VLOOKUP($B58,MMWR_TRAD_AGG_RO_COMP[],F$1,0),"ERROR")</f>
        <v>1070</v>
      </c>
      <c r="G58" s="223">
        <f t="shared" si="0"/>
        <v>0.23342059336823734</v>
      </c>
      <c r="H58" s="224">
        <f>IFERROR(VLOOKUP($B58,MMWR_TRAD_AGG_RO_COMP[],H$1,0),"ERROR")</f>
        <v>7551</v>
      </c>
      <c r="I58" s="222">
        <f>IFERROR(VLOOKUP($B58,MMWR_TRAD_AGG_RO_COMP[],I$1,0),"ERROR")</f>
        <v>5783</v>
      </c>
      <c r="J58" s="223">
        <f t="shared" si="1"/>
        <v>0.76585882664547744</v>
      </c>
      <c r="K58" s="225">
        <f>IFERROR(VLOOKUP($B58,MMWR_TRAD_AGG_RO_COMP[],K$1,0),"ERROR")</f>
        <v>2937</v>
      </c>
      <c r="L58" s="226">
        <f>IFERROR(VLOOKUP($B58,MMWR_TRAD_AGG_RO_COMP[],L$1,0),"ERROR")</f>
        <v>2761</v>
      </c>
      <c r="M58" s="223">
        <f t="shared" si="2"/>
        <v>0.94007490636704116</v>
      </c>
      <c r="N58" s="225">
        <f>IFERROR(VLOOKUP($B58,MMWR_TRAD_AGG_RO_COMP[],N$1,0),"ERROR")</f>
        <v>2212</v>
      </c>
      <c r="O58" s="226">
        <f>IFERROR(VLOOKUP($B58,MMWR_TRAD_AGG_RO_COMP[],O$1,0),"ERROR")</f>
        <v>1317</v>
      </c>
      <c r="P58" s="223">
        <f t="shared" si="3"/>
        <v>0.59538878842676313</v>
      </c>
      <c r="Q58" s="227">
        <f>IFERROR(VLOOKUP($B58,MMWR_TRAD_AGG_RO_COMP[],Q$1,0),"ERROR")</f>
        <v>1</v>
      </c>
      <c r="R58" s="227">
        <f>IFERROR(VLOOKUP($B58,MMWR_TRAD_AGG_RO_COMP[],R$1,0),"ERROR")</f>
        <v>87</v>
      </c>
      <c r="S58" s="201">
        <f>IFERROR(VLOOKUP($B58,MMWR_APP_RO[],S$1,0),"ERROR")</f>
        <v>5276</v>
      </c>
      <c r="T58" s="28"/>
    </row>
    <row r="59" spans="1:20" x14ac:dyDescent="0.2">
      <c r="A59" s="28"/>
      <c r="B59" s="108" t="s">
        <v>68</v>
      </c>
      <c r="C59" s="219">
        <f>IFERROR(VLOOKUP($B59,MMWR_TRAD_AGG_RO_COMP[],C$1,0),"ERROR")</f>
        <v>2885</v>
      </c>
      <c r="D59" s="220">
        <f>IFERROR(VLOOKUP($B59,MMWR_TRAD_AGG_RO_COMP[],D$1,0),"ERROR")</f>
        <v>406.08838821490002</v>
      </c>
      <c r="E59" s="221">
        <f>IFERROR(VLOOKUP($B59,MMWR_TRAD_AGG_RO_COMP[],E$1,0),"ERROR")</f>
        <v>3586</v>
      </c>
      <c r="F59" s="222">
        <f>IFERROR(VLOOKUP($B59,MMWR_TRAD_AGG_RO_COMP[],F$1,0),"ERROR")</f>
        <v>894</v>
      </c>
      <c r="G59" s="223">
        <f t="shared" si="0"/>
        <v>0.24930284439486894</v>
      </c>
      <c r="H59" s="224">
        <f>IFERROR(VLOOKUP($B59,MMWR_TRAD_AGG_RO_COMP[],H$1,0),"ERROR")</f>
        <v>3515</v>
      </c>
      <c r="I59" s="222">
        <f>IFERROR(VLOOKUP($B59,MMWR_TRAD_AGG_RO_COMP[],I$1,0),"ERROR")</f>
        <v>2435</v>
      </c>
      <c r="J59" s="223">
        <f t="shared" si="1"/>
        <v>0.69274537695590332</v>
      </c>
      <c r="K59" s="225">
        <f>IFERROR(VLOOKUP($B59,MMWR_TRAD_AGG_RO_COMP[],K$1,0),"ERROR")</f>
        <v>600</v>
      </c>
      <c r="L59" s="226">
        <f>IFERROR(VLOOKUP($B59,MMWR_TRAD_AGG_RO_COMP[],L$1,0),"ERROR")</f>
        <v>475</v>
      </c>
      <c r="M59" s="223">
        <f t="shared" si="2"/>
        <v>0.79166666666666663</v>
      </c>
      <c r="N59" s="225">
        <f>IFERROR(VLOOKUP($B59,MMWR_TRAD_AGG_RO_COMP[],N$1,0),"ERROR")</f>
        <v>1202</v>
      </c>
      <c r="O59" s="226">
        <f>IFERROR(VLOOKUP($B59,MMWR_TRAD_AGG_RO_COMP[],O$1,0),"ERROR")</f>
        <v>905</v>
      </c>
      <c r="P59" s="223">
        <f t="shared" si="3"/>
        <v>0.75291181364392679</v>
      </c>
      <c r="Q59" s="227">
        <f>IFERROR(VLOOKUP($B59,MMWR_TRAD_AGG_RO_COMP[],Q$1,0),"ERROR")</f>
        <v>0</v>
      </c>
      <c r="R59" s="227">
        <f>IFERROR(VLOOKUP($B59,MMWR_TRAD_AGG_RO_COMP[],R$1,0),"ERROR")</f>
        <v>120</v>
      </c>
      <c r="S59" s="201">
        <f>IFERROR(VLOOKUP($B59,MMWR_APP_RO[],S$1,0),"ERROR")</f>
        <v>3105</v>
      </c>
      <c r="T59" s="28"/>
    </row>
    <row r="60" spans="1:20" x14ac:dyDescent="0.2">
      <c r="A60" s="28"/>
      <c r="B60" s="108" t="s">
        <v>71</v>
      </c>
      <c r="C60" s="219">
        <f>IFERROR(VLOOKUP($B60,MMWR_TRAD_AGG_RO_COMP[],C$1,0),"ERROR")</f>
        <v>6168</v>
      </c>
      <c r="D60" s="220">
        <f>IFERROR(VLOOKUP($B60,MMWR_TRAD_AGG_RO_COMP[],D$1,0),"ERROR")</f>
        <v>342.01864461740001</v>
      </c>
      <c r="E60" s="221">
        <f>IFERROR(VLOOKUP($B60,MMWR_TRAD_AGG_RO_COMP[],E$1,0),"ERROR")</f>
        <v>10734</v>
      </c>
      <c r="F60" s="222">
        <f>IFERROR(VLOOKUP($B60,MMWR_TRAD_AGG_RO_COMP[],F$1,0),"ERROR")</f>
        <v>2232</v>
      </c>
      <c r="G60" s="223">
        <f t="shared" si="0"/>
        <v>0.20793739519284515</v>
      </c>
      <c r="H60" s="224">
        <f>IFERROR(VLOOKUP($B60,MMWR_TRAD_AGG_RO_COMP[],H$1,0),"ERROR")</f>
        <v>16586</v>
      </c>
      <c r="I60" s="222">
        <f>IFERROR(VLOOKUP($B60,MMWR_TRAD_AGG_RO_COMP[],I$1,0),"ERROR")</f>
        <v>10505</v>
      </c>
      <c r="J60" s="223">
        <f t="shared" si="1"/>
        <v>0.63336548896659839</v>
      </c>
      <c r="K60" s="225">
        <f>IFERROR(VLOOKUP($B60,MMWR_TRAD_AGG_RO_COMP[],K$1,0),"ERROR")</f>
        <v>5642</v>
      </c>
      <c r="L60" s="226">
        <f>IFERROR(VLOOKUP($B60,MMWR_TRAD_AGG_RO_COMP[],L$1,0),"ERROR")</f>
        <v>3893</v>
      </c>
      <c r="M60" s="223">
        <f t="shared" si="2"/>
        <v>0.69000354484225457</v>
      </c>
      <c r="N60" s="225">
        <f>IFERROR(VLOOKUP($B60,MMWR_TRAD_AGG_RO_COMP[],N$1,0),"ERROR")</f>
        <v>2468</v>
      </c>
      <c r="O60" s="226">
        <f>IFERROR(VLOOKUP($B60,MMWR_TRAD_AGG_RO_COMP[],O$1,0),"ERROR")</f>
        <v>1559</v>
      </c>
      <c r="P60" s="223">
        <f t="shared" si="3"/>
        <v>0.63168557536466774</v>
      </c>
      <c r="Q60" s="227">
        <f>IFERROR(VLOOKUP($B60,MMWR_TRAD_AGG_RO_COMP[],Q$1,0),"ERROR")</f>
        <v>0</v>
      </c>
      <c r="R60" s="227">
        <f>IFERROR(VLOOKUP($B60,MMWR_TRAD_AGG_RO_COMP[],R$1,0),"ERROR")</f>
        <v>60</v>
      </c>
      <c r="S60" s="201">
        <f>IFERROR(VLOOKUP($B60,MMWR_APP_RO[],S$1,0),"ERROR")</f>
        <v>4149</v>
      </c>
      <c r="T60" s="28"/>
    </row>
    <row r="61" spans="1:20" x14ac:dyDescent="0.2">
      <c r="A61" s="28"/>
      <c r="B61" s="116" t="s">
        <v>73</v>
      </c>
      <c r="C61" s="228">
        <f>IFERROR(VLOOKUP($B61,MMWR_TRAD_AGG_RO_COMP[],C$1,0),"ERROR")</f>
        <v>10457</v>
      </c>
      <c r="D61" s="229">
        <f>IFERROR(VLOOKUP($B61,MMWR_TRAD_AGG_RO_COMP[],D$1,0),"ERROR")</f>
        <v>395.2231997705</v>
      </c>
      <c r="E61" s="230">
        <f>IFERROR(VLOOKUP($B61,MMWR_TRAD_AGG_RO_COMP[],E$1,0),"ERROR")</f>
        <v>7306</v>
      </c>
      <c r="F61" s="231">
        <f>IFERROR(VLOOKUP($B61,MMWR_TRAD_AGG_RO_COMP[],F$1,0),"ERROR")</f>
        <v>1160</v>
      </c>
      <c r="G61" s="232">
        <f t="shared" si="0"/>
        <v>0.1587736107309061</v>
      </c>
      <c r="H61" s="233">
        <f>IFERROR(VLOOKUP($B61,MMWR_TRAD_AGG_RO_COMP[],H$1,0),"ERROR")</f>
        <v>15348</v>
      </c>
      <c r="I61" s="231">
        <f>IFERROR(VLOOKUP($B61,MMWR_TRAD_AGG_RO_COMP[],I$1,0),"ERROR")</f>
        <v>11036</v>
      </c>
      <c r="J61" s="232">
        <f t="shared" si="1"/>
        <v>0.71905134219442268</v>
      </c>
      <c r="K61" s="234">
        <f>IFERROR(VLOOKUP($B61,MMWR_TRAD_AGG_RO_COMP[],K$1,0),"ERROR")</f>
        <v>4647</v>
      </c>
      <c r="L61" s="235">
        <f>IFERROR(VLOOKUP($B61,MMWR_TRAD_AGG_RO_COMP[],L$1,0),"ERROR")</f>
        <v>3560</v>
      </c>
      <c r="M61" s="232">
        <f t="shared" si="2"/>
        <v>0.76608564665375511</v>
      </c>
      <c r="N61" s="234">
        <f>IFERROR(VLOOKUP($B61,MMWR_TRAD_AGG_RO_COMP[],N$1,0),"ERROR")</f>
        <v>4360</v>
      </c>
      <c r="O61" s="235">
        <f>IFERROR(VLOOKUP($B61,MMWR_TRAD_AGG_RO_COMP[],O$1,0),"ERROR")</f>
        <v>3577</v>
      </c>
      <c r="P61" s="232">
        <f t="shared" si="3"/>
        <v>0.82041284403669723</v>
      </c>
      <c r="Q61" s="236">
        <f>IFERROR(VLOOKUP($B61,MMWR_TRAD_AGG_RO_COMP[],Q$1,0),"ERROR")</f>
        <v>2</v>
      </c>
      <c r="R61" s="236">
        <f>IFERROR(VLOOKUP($B61,MMWR_TRAD_AGG_RO_COMP[],R$1,0),"ERROR")</f>
        <v>151</v>
      </c>
      <c r="S61" s="201">
        <f>IFERROR(VLOOKUP($B61,MMWR_APP_RO[],S$1,0),"ERROR")</f>
        <v>5012</v>
      </c>
      <c r="T61" s="28"/>
    </row>
    <row r="62" spans="1:20" x14ac:dyDescent="0.2">
      <c r="A62" s="28"/>
      <c r="B62" s="101" t="s">
        <v>381</v>
      </c>
      <c r="C62" s="212">
        <f>IFERROR(VLOOKUP($B62,MMWR_TRAD_AGG_DISTRICT_COMP[],C$1,0),"ERROR")</f>
        <v>59868</v>
      </c>
      <c r="D62" s="197">
        <f>IFERROR(VLOOKUP($B62,MMWR_TRAD_AGG_DISTRICT_COMP[],D$1,0),"ERROR")</f>
        <v>349.8360559898</v>
      </c>
      <c r="E62" s="213">
        <f>IFERROR(VLOOKUP($B62,MMWR_TRAD_AGG_DISTRICT_COMP[],E$1,0),"ERROR")</f>
        <v>65566</v>
      </c>
      <c r="F62" s="218">
        <f>IFERROR(VLOOKUP($B62,MMWR_TRAD_AGG_DISTRICT_COMP[],F$1,0),"ERROR")</f>
        <v>16818</v>
      </c>
      <c r="G62" s="214">
        <f t="shared" si="0"/>
        <v>0.2565048958301559</v>
      </c>
      <c r="H62" s="218">
        <f>IFERROR(VLOOKUP($B62,MMWR_TRAD_AGG_DISTRICT_COMP[],H$1,0),"ERROR")</f>
        <v>81749</v>
      </c>
      <c r="I62" s="218">
        <f>IFERROR(VLOOKUP($B62,MMWR_TRAD_AGG_DISTRICT_COMP[],I$1,0),"ERROR")</f>
        <v>55735</v>
      </c>
      <c r="J62" s="214">
        <f t="shared" si="1"/>
        <v>0.68178204014728006</v>
      </c>
      <c r="K62" s="212">
        <f>IFERROR(VLOOKUP($B62,MMWR_TRAD_AGG_DISTRICT_COMP[],K$1,0),"ERROR")</f>
        <v>26345</v>
      </c>
      <c r="L62" s="212">
        <f>IFERROR(VLOOKUP($B62,MMWR_TRAD_AGG_DISTRICT_COMP[],L$1,0),"ERROR")</f>
        <v>22267</v>
      </c>
      <c r="M62" s="214">
        <f t="shared" si="2"/>
        <v>0.84520781932055422</v>
      </c>
      <c r="N62" s="212">
        <f>IFERROR(VLOOKUP($B62,MMWR_TRAD_AGG_DISTRICT_COMP[],N$1,0),"ERROR")</f>
        <v>30270</v>
      </c>
      <c r="O62" s="212">
        <f>IFERROR(VLOOKUP($B62,MMWR_TRAD_AGG_DISTRICT_COMP[],O$1,0),"ERROR")</f>
        <v>22141</v>
      </c>
      <c r="P62" s="214">
        <f t="shared" si="3"/>
        <v>0.73145028080607866</v>
      </c>
      <c r="Q62" s="212">
        <f>IFERROR(VLOOKUP($B62,MMWR_TRAD_AGG_DISTRICT_COMP[],Q$1,0),"ERROR")</f>
        <v>156</v>
      </c>
      <c r="R62" s="215">
        <f>IFERROR(VLOOKUP($B62,MMWR_TRAD_AGG_DISTRICT_COMP[],R$1,0),"ERROR")</f>
        <v>1261</v>
      </c>
      <c r="S62" s="215">
        <f>IFERROR(VLOOKUP($B62,MMWR_APP_RO[],S$1,0),"ERROR")</f>
        <v>89755</v>
      </c>
      <c r="T62" s="28"/>
    </row>
    <row r="63" spans="1:20" x14ac:dyDescent="0.2">
      <c r="A63" s="28"/>
      <c r="B63" s="108" t="s">
        <v>25</v>
      </c>
      <c r="C63" s="219">
        <f>IFERROR(VLOOKUP($B63,MMWR_TRAD_AGG_RO_COMP[],C$1,0),"ERROR")</f>
        <v>12234</v>
      </c>
      <c r="D63" s="220">
        <f>IFERROR(VLOOKUP($B63,MMWR_TRAD_AGG_RO_COMP[],D$1,0),"ERROR")</f>
        <v>352.35687428480003</v>
      </c>
      <c r="E63" s="221">
        <f>IFERROR(VLOOKUP($B63,MMWR_TRAD_AGG_RO_COMP[],E$1,0),"ERROR")</f>
        <v>15811</v>
      </c>
      <c r="F63" s="222">
        <f>IFERROR(VLOOKUP($B63,MMWR_TRAD_AGG_RO_COMP[],F$1,0),"ERROR")</f>
        <v>4460</v>
      </c>
      <c r="G63" s="223">
        <f t="shared" si="0"/>
        <v>0.28208209474416546</v>
      </c>
      <c r="H63" s="224">
        <f>IFERROR(VLOOKUP($B63,MMWR_TRAD_AGG_RO_COMP[],H$1,0),"ERROR")</f>
        <v>17897</v>
      </c>
      <c r="I63" s="222">
        <f>IFERROR(VLOOKUP($B63,MMWR_TRAD_AGG_RO_COMP[],I$1,0),"ERROR")</f>
        <v>12694</v>
      </c>
      <c r="J63" s="223">
        <f t="shared" si="1"/>
        <v>0.7092808850645359</v>
      </c>
      <c r="K63" s="225">
        <f>IFERROR(VLOOKUP($B63,MMWR_TRAD_AGG_RO_COMP[],K$1,0),"ERROR")</f>
        <v>7468</v>
      </c>
      <c r="L63" s="226">
        <f>IFERROR(VLOOKUP($B63,MMWR_TRAD_AGG_RO_COMP[],L$1,0),"ERROR")</f>
        <v>6002</v>
      </c>
      <c r="M63" s="223">
        <f t="shared" si="2"/>
        <v>0.80369576861274772</v>
      </c>
      <c r="N63" s="225">
        <f>IFERROR(VLOOKUP($B63,MMWR_TRAD_AGG_RO_COMP[],N$1,0),"ERROR")</f>
        <v>10003</v>
      </c>
      <c r="O63" s="226">
        <f>IFERROR(VLOOKUP($B63,MMWR_TRAD_AGG_RO_COMP[],O$1,0),"ERROR")</f>
        <v>9165</v>
      </c>
      <c r="P63" s="223">
        <f t="shared" si="3"/>
        <v>0.91622513246026194</v>
      </c>
      <c r="Q63" s="227">
        <f>IFERROR(VLOOKUP($B63,MMWR_TRAD_AGG_RO_COMP[],Q$1,0),"ERROR")</f>
        <v>68</v>
      </c>
      <c r="R63" s="227">
        <f>IFERROR(VLOOKUP($B63,MMWR_TRAD_AGG_RO_COMP[],R$1,0),"ERROR")</f>
        <v>12</v>
      </c>
      <c r="S63" s="201">
        <f>IFERROR(VLOOKUP($B63,MMWR_APP_RO[],S$1,0),"ERROR")</f>
        <v>18787</v>
      </c>
      <c r="T63" s="28"/>
    </row>
    <row r="64" spans="1:20" x14ac:dyDescent="0.2">
      <c r="A64" s="28"/>
      <c r="B64" s="108" t="s">
        <v>39</v>
      </c>
      <c r="C64" s="219">
        <f>IFERROR(VLOOKUP($B64,MMWR_TRAD_AGG_RO_COMP[],C$1,0),"ERROR")</f>
        <v>8372</v>
      </c>
      <c r="D64" s="220">
        <f>IFERROR(VLOOKUP($B64,MMWR_TRAD_AGG_RO_COMP[],D$1,0),"ERROR")</f>
        <v>295.21309125660002</v>
      </c>
      <c r="E64" s="221">
        <f>IFERROR(VLOOKUP($B64,MMWR_TRAD_AGG_RO_COMP[],E$1,0),"ERROR")</f>
        <v>8350</v>
      </c>
      <c r="F64" s="222">
        <f>IFERROR(VLOOKUP($B64,MMWR_TRAD_AGG_RO_COMP[],F$1,0),"ERROR")</f>
        <v>2279</v>
      </c>
      <c r="G64" s="223">
        <f t="shared" si="0"/>
        <v>0.27293413173652692</v>
      </c>
      <c r="H64" s="224">
        <f>IFERROR(VLOOKUP($B64,MMWR_TRAD_AGG_RO_COMP[],H$1,0),"ERROR")</f>
        <v>13316</v>
      </c>
      <c r="I64" s="222">
        <f>IFERROR(VLOOKUP($B64,MMWR_TRAD_AGG_RO_COMP[],I$1,0),"ERROR")</f>
        <v>9111</v>
      </c>
      <c r="J64" s="223">
        <f t="shared" si="1"/>
        <v>0.68421447882246922</v>
      </c>
      <c r="K64" s="225">
        <f>IFERROR(VLOOKUP($B64,MMWR_TRAD_AGG_RO_COMP[],K$1,0),"ERROR")</f>
        <v>2814</v>
      </c>
      <c r="L64" s="226">
        <f>IFERROR(VLOOKUP($B64,MMWR_TRAD_AGG_RO_COMP[],L$1,0),"ERROR")</f>
        <v>2323</v>
      </c>
      <c r="M64" s="223">
        <f t="shared" si="2"/>
        <v>0.82551528073916136</v>
      </c>
      <c r="N64" s="225">
        <f>IFERROR(VLOOKUP($B64,MMWR_TRAD_AGG_RO_COMP[],N$1,0),"ERROR")</f>
        <v>1484</v>
      </c>
      <c r="O64" s="226">
        <f>IFERROR(VLOOKUP($B64,MMWR_TRAD_AGG_RO_COMP[],O$1,0),"ERROR")</f>
        <v>642</v>
      </c>
      <c r="P64" s="223">
        <f t="shared" si="3"/>
        <v>0.43261455525606468</v>
      </c>
      <c r="Q64" s="227">
        <f>IFERROR(VLOOKUP($B64,MMWR_TRAD_AGG_RO_COMP[],Q$1,0),"ERROR")</f>
        <v>1</v>
      </c>
      <c r="R64" s="227">
        <f>IFERROR(VLOOKUP($B64,MMWR_TRAD_AGG_RO_COMP[],R$1,0),"ERROR")</f>
        <v>53</v>
      </c>
      <c r="S64" s="201">
        <f>IFERROR(VLOOKUP($B64,MMWR_APP_RO[],S$1,0),"ERROR")</f>
        <v>13140</v>
      </c>
      <c r="T64" s="28"/>
    </row>
    <row r="65" spans="1:20" x14ac:dyDescent="0.2">
      <c r="A65" s="28"/>
      <c r="B65" s="108" t="s">
        <v>53</v>
      </c>
      <c r="C65" s="219">
        <f>IFERROR(VLOOKUP($B65,MMWR_TRAD_AGG_RO_COMP[],C$1,0),"ERROR")</f>
        <v>7665</v>
      </c>
      <c r="D65" s="220">
        <f>IFERROR(VLOOKUP($B65,MMWR_TRAD_AGG_RO_COMP[],D$1,0),"ERROR")</f>
        <v>489.7222439661</v>
      </c>
      <c r="E65" s="221">
        <f>IFERROR(VLOOKUP($B65,MMWR_TRAD_AGG_RO_COMP[],E$1,0),"ERROR")</f>
        <v>3456</v>
      </c>
      <c r="F65" s="222">
        <f>IFERROR(VLOOKUP($B65,MMWR_TRAD_AGG_RO_COMP[],F$1,0),"ERROR")</f>
        <v>944</v>
      </c>
      <c r="G65" s="223">
        <f t="shared" si="0"/>
        <v>0.27314814814814814</v>
      </c>
      <c r="H65" s="224">
        <f>IFERROR(VLOOKUP($B65,MMWR_TRAD_AGG_RO_COMP[],H$1,0),"ERROR")</f>
        <v>10871</v>
      </c>
      <c r="I65" s="222">
        <f>IFERROR(VLOOKUP($B65,MMWR_TRAD_AGG_RO_COMP[],I$1,0),"ERROR")</f>
        <v>7838</v>
      </c>
      <c r="J65" s="223">
        <f t="shared" si="1"/>
        <v>0.7210008278907184</v>
      </c>
      <c r="K65" s="225">
        <f>IFERROR(VLOOKUP($B65,MMWR_TRAD_AGG_RO_COMP[],K$1,0),"ERROR")</f>
        <v>3209</v>
      </c>
      <c r="L65" s="226">
        <f>IFERROR(VLOOKUP($B65,MMWR_TRAD_AGG_RO_COMP[],L$1,0),"ERROR")</f>
        <v>3008</v>
      </c>
      <c r="M65" s="223">
        <f t="shared" si="2"/>
        <v>0.93736366469305077</v>
      </c>
      <c r="N65" s="225">
        <f>IFERROR(VLOOKUP($B65,MMWR_TRAD_AGG_RO_COMP[],N$1,0),"ERROR")</f>
        <v>1737</v>
      </c>
      <c r="O65" s="226">
        <f>IFERROR(VLOOKUP($B65,MMWR_TRAD_AGG_RO_COMP[],O$1,0),"ERROR")</f>
        <v>772</v>
      </c>
      <c r="P65" s="223">
        <f t="shared" si="3"/>
        <v>0.44444444444444442</v>
      </c>
      <c r="Q65" s="227">
        <f>IFERROR(VLOOKUP($B65,MMWR_TRAD_AGG_RO_COMP[],Q$1,0),"ERROR")</f>
        <v>81</v>
      </c>
      <c r="R65" s="227">
        <f>IFERROR(VLOOKUP($B65,MMWR_TRAD_AGG_RO_COMP[],R$1,0),"ERROR")</f>
        <v>286</v>
      </c>
      <c r="S65" s="201">
        <f>IFERROR(VLOOKUP($B65,MMWR_APP_RO[],S$1,0),"ERROR")</f>
        <v>4826</v>
      </c>
      <c r="T65" s="28"/>
    </row>
    <row r="66" spans="1:20" x14ac:dyDescent="0.2">
      <c r="A66" s="28"/>
      <c r="B66" s="108" t="s">
        <v>57</v>
      </c>
      <c r="C66" s="219">
        <f>IFERROR(VLOOKUP($B66,MMWR_TRAD_AGG_RO_COMP[],C$1,0),"ERROR")</f>
        <v>11073</v>
      </c>
      <c r="D66" s="220">
        <f>IFERROR(VLOOKUP($B66,MMWR_TRAD_AGG_RO_COMP[],D$1,0),"ERROR")</f>
        <v>383.44071164090002</v>
      </c>
      <c r="E66" s="221">
        <f>IFERROR(VLOOKUP($B66,MMWR_TRAD_AGG_RO_COMP[],E$1,0),"ERROR")</f>
        <v>6831</v>
      </c>
      <c r="F66" s="222">
        <f>IFERROR(VLOOKUP($B66,MMWR_TRAD_AGG_RO_COMP[],F$1,0),"ERROR")</f>
        <v>1457</v>
      </c>
      <c r="G66" s="223">
        <f t="shared" si="0"/>
        <v>0.21329234372712633</v>
      </c>
      <c r="H66" s="224">
        <f>IFERROR(VLOOKUP($B66,MMWR_TRAD_AGG_RO_COMP[],H$1,0),"ERROR")</f>
        <v>12319</v>
      </c>
      <c r="I66" s="222">
        <f>IFERROR(VLOOKUP($B66,MMWR_TRAD_AGG_RO_COMP[],I$1,0),"ERROR")</f>
        <v>9219</v>
      </c>
      <c r="J66" s="223">
        <f t="shared" si="1"/>
        <v>0.74835619774332329</v>
      </c>
      <c r="K66" s="225">
        <f>IFERROR(VLOOKUP($B66,MMWR_TRAD_AGG_RO_COMP[],K$1,0),"ERROR")</f>
        <v>4537</v>
      </c>
      <c r="L66" s="226">
        <f>IFERROR(VLOOKUP($B66,MMWR_TRAD_AGG_RO_COMP[],L$1,0),"ERROR")</f>
        <v>4194</v>
      </c>
      <c r="M66" s="223">
        <f t="shared" si="2"/>
        <v>0.92439938285210488</v>
      </c>
      <c r="N66" s="225">
        <f>IFERROR(VLOOKUP($B66,MMWR_TRAD_AGG_RO_COMP[],N$1,0),"ERROR")</f>
        <v>1824</v>
      </c>
      <c r="O66" s="226">
        <f>IFERROR(VLOOKUP($B66,MMWR_TRAD_AGG_RO_COMP[],O$1,0),"ERROR")</f>
        <v>1124</v>
      </c>
      <c r="P66" s="223">
        <f t="shared" si="3"/>
        <v>0.61622807017543857</v>
      </c>
      <c r="Q66" s="227">
        <f>IFERROR(VLOOKUP($B66,MMWR_TRAD_AGG_RO_COMP[],Q$1,0),"ERROR")</f>
        <v>0</v>
      </c>
      <c r="R66" s="227">
        <f>IFERROR(VLOOKUP($B66,MMWR_TRAD_AGG_RO_COMP[],R$1,0),"ERROR")</f>
        <v>383</v>
      </c>
      <c r="S66" s="201">
        <f>IFERROR(VLOOKUP($B66,MMWR_APP_RO[],S$1,0),"ERROR")</f>
        <v>10070</v>
      </c>
      <c r="T66" s="28"/>
    </row>
    <row r="67" spans="1:20" x14ac:dyDescent="0.2">
      <c r="A67" s="28"/>
      <c r="B67" s="108" t="s">
        <v>58</v>
      </c>
      <c r="C67" s="219">
        <f>IFERROR(VLOOKUP($B67,MMWR_TRAD_AGG_RO_COMP[],C$1,0),"ERROR")</f>
        <v>3508</v>
      </c>
      <c r="D67" s="220">
        <f>IFERROR(VLOOKUP($B67,MMWR_TRAD_AGG_RO_COMP[],D$1,0),"ERROR")</f>
        <v>226.12457240590001</v>
      </c>
      <c r="E67" s="221">
        <f>IFERROR(VLOOKUP($B67,MMWR_TRAD_AGG_RO_COMP[],E$1,0),"ERROR")</f>
        <v>8397</v>
      </c>
      <c r="F67" s="222">
        <f>IFERROR(VLOOKUP($B67,MMWR_TRAD_AGG_RO_COMP[],F$1,0),"ERROR")</f>
        <v>1845</v>
      </c>
      <c r="G67" s="223">
        <f t="shared" si="0"/>
        <v>0.21972132904608788</v>
      </c>
      <c r="H67" s="224">
        <f>IFERROR(VLOOKUP($B67,MMWR_TRAD_AGG_RO_COMP[],H$1,0),"ERROR")</f>
        <v>5953</v>
      </c>
      <c r="I67" s="222">
        <f>IFERROR(VLOOKUP($B67,MMWR_TRAD_AGG_RO_COMP[],I$1,0),"ERROR")</f>
        <v>2856</v>
      </c>
      <c r="J67" s="223">
        <f t="shared" si="1"/>
        <v>0.47975810515706369</v>
      </c>
      <c r="K67" s="225">
        <f>IFERROR(VLOOKUP($B67,MMWR_TRAD_AGG_RO_COMP[],K$1,0),"ERROR")</f>
        <v>2841</v>
      </c>
      <c r="L67" s="226">
        <f>IFERROR(VLOOKUP($B67,MMWR_TRAD_AGG_RO_COMP[],L$1,0),"ERROR")</f>
        <v>2280</v>
      </c>
      <c r="M67" s="223">
        <f t="shared" si="2"/>
        <v>0.80253431890179516</v>
      </c>
      <c r="N67" s="225">
        <f>IFERROR(VLOOKUP($B67,MMWR_TRAD_AGG_RO_COMP[],N$1,0),"ERROR")</f>
        <v>1522</v>
      </c>
      <c r="O67" s="226">
        <f>IFERROR(VLOOKUP($B67,MMWR_TRAD_AGG_RO_COMP[],O$1,0),"ERROR")</f>
        <v>1053</v>
      </c>
      <c r="P67" s="223">
        <f t="shared" si="3"/>
        <v>0.69185282522996061</v>
      </c>
      <c r="Q67" s="227">
        <f>IFERROR(VLOOKUP($B67,MMWR_TRAD_AGG_RO_COMP[],Q$1,0),"ERROR")</f>
        <v>1</v>
      </c>
      <c r="R67" s="227">
        <f>IFERROR(VLOOKUP($B67,MMWR_TRAD_AGG_RO_COMP[],R$1,0),"ERROR")</f>
        <v>268</v>
      </c>
      <c r="S67" s="201">
        <f>IFERROR(VLOOKUP($B67,MMWR_APP_RO[],S$1,0),"ERROR")</f>
        <v>6583</v>
      </c>
      <c r="T67" s="28"/>
    </row>
    <row r="68" spans="1:20" x14ac:dyDescent="0.2">
      <c r="A68" s="28"/>
      <c r="B68" s="108" t="s">
        <v>72</v>
      </c>
      <c r="C68" s="219">
        <f>IFERROR(VLOOKUP($B68,MMWR_TRAD_AGG_RO_COMP[],C$1,0),"ERROR")</f>
        <v>1248</v>
      </c>
      <c r="D68" s="220">
        <f>IFERROR(VLOOKUP($B68,MMWR_TRAD_AGG_RO_COMP[],D$1,0),"ERROR")</f>
        <v>311.79086538460001</v>
      </c>
      <c r="E68" s="221">
        <f>IFERROR(VLOOKUP($B68,MMWR_TRAD_AGG_RO_COMP[],E$1,0),"ERROR")</f>
        <v>2445</v>
      </c>
      <c r="F68" s="222">
        <f>IFERROR(VLOOKUP($B68,MMWR_TRAD_AGG_RO_COMP[],F$1,0),"ERROR")</f>
        <v>811</v>
      </c>
      <c r="G68" s="223">
        <f t="shared" si="0"/>
        <v>0.33169734151329244</v>
      </c>
      <c r="H68" s="224">
        <f>IFERROR(VLOOKUP($B68,MMWR_TRAD_AGG_RO_COMP[],H$1,0),"ERROR")</f>
        <v>2207</v>
      </c>
      <c r="I68" s="222">
        <f>IFERROR(VLOOKUP($B68,MMWR_TRAD_AGG_RO_COMP[],I$1,0),"ERROR")</f>
        <v>1521</v>
      </c>
      <c r="J68" s="223">
        <f t="shared" si="1"/>
        <v>0.68917082011780695</v>
      </c>
      <c r="K68" s="225">
        <f>IFERROR(VLOOKUP($B68,MMWR_TRAD_AGG_RO_COMP[],K$1,0),"ERROR")</f>
        <v>848</v>
      </c>
      <c r="L68" s="226">
        <f>IFERROR(VLOOKUP($B68,MMWR_TRAD_AGG_RO_COMP[],L$1,0),"ERROR")</f>
        <v>788</v>
      </c>
      <c r="M68" s="223">
        <f t="shared" si="2"/>
        <v>0.92924528301886788</v>
      </c>
      <c r="N68" s="225">
        <f>IFERROR(VLOOKUP($B68,MMWR_TRAD_AGG_RO_COMP[],N$1,0),"ERROR")</f>
        <v>1139</v>
      </c>
      <c r="O68" s="226">
        <f>IFERROR(VLOOKUP($B68,MMWR_TRAD_AGG_RO_COMP[],O$1,0),"ERROR")</f>
        <v>856</v>
      </c>
      <c r="P68" s="223">
        <f t="shared" si="3"/>
        <v>0.75153643546971027</v>
      </c>
      <c r="Q68" s="227">
        <f>IFERROR(VLOOKUP($B68,MMWR_TRAD_AGG_RO_COMP[],Q$1,0),"ERROR")</f>
        <v>0</v>
      </c>
      <c r="R68" s="227">
        <f>IFERROR(VLOOKUP($B68,MMWR_TRAD_AGG_RO_COMP[],R$1,0),"ERROR")</f>
        <v>1</v>
      </c>
      <c r="S68" s="201">
        <f>IFERROR(VLOOKUP($B68,MMWR_APP_RO[],S$1,0),"ERROR")</f>
        <v>5494</v>
      </c>
      <c r="T68" s="28"/>
    </row>
    <row r="69" spans="1:20" x14ac:dyDescent="0.2">
      <c r="A69" s="28"/>
      <c r="B69" s="116" t="s">
        <v>77</v>
      </c>
      <c r="C69" s="228">
        <f>IFERROR(VLOOKUP($B69,MMWR_TRAD_AGG_RO_COMP[],C$1,0),"ERROR")</f>
        <v>15768</v>
      </c>
      <c r="D69" s="229">
        <f>IFERROR(VLOOKUP($B69,MMWR_TRAD_AGG_RO_COMP[],D$1,0),"ERROR")</f>
        <v>315.81728817859999</v>
      </c>
      <c r="E69" s="230">
        <f>IFERROR(VLOOKUP($B69,MMWR_TRAD_AGG_RO_COMP[],E$1,0),"ERROR")</f>
        <v>20276</v>
      </c>
      <c r="F69" s="231">
        <f>IFERROR(VLOOKUP($B69,MMWR_TRAD_AGG_RO_COMP[],F$1,0),"ERROR")</f>
        <v>5022</v>
      </c>
      <c r="G69" s="232">
        <f t="shared" si="0"/>
        <v>0.24768198855790097</v>
      </c>
      <c r="H69" s="233">
        <f>IFERROR(VLOOKUP($B69,MMWR_TRAD_AGG_RO_COMP[],H$1,0),"ERROR")</f>
        <v>19186</v>
      </c>
      <c r="I69" s="231">
        <f>IFERROR(VLOOKUP($B69,MMWR_TRAD_AGG_RO_COMP[],I$1,0),"ERROR")</f>
        <v>12496</v>
      </c>
      <c r="J69" s="232">
        <f t="shared" si="1"/>
        <v>0.65130824559574685</v>
      </c>
      <c r="K69" s="234">
        <f>IFERROR(VLOOKUP($B69,MMWR_TRAD_AGG_RO_COMP[],K$1,0),"ERROR")</f>
        <v>4628</v>
      </c>
      <c r="L69" s="235">
        <f>IFERROR(VLOOKUP($B69,MMWR_TRAD_AGG_RO_COMP[],L$1,0),"ERROR")</f>
        <v>3672</v>
      </c>
      <c r="M69" s="232">
        <f t="shared" si="2"/>
        <v>0.79343128781331029</v>
      </c>
      <c r="N69" s="234">
        <f>IFERROR(VLOOKUP($B69,MMWR_TRAD_AGG_RO_COMP[],N$1,0),"ERROR")</f>
        <v>12561</v>
      </c>
      <c r="O69" s="235">
        <f>IFERROR(VLOOKUP($B69,MMWR_TRAD_AGG_RO_COMP[],O$1,0),"ERROR")</f>
        <v>8529</v>
      </c>
      <c r="P69" s="232">
        <f t="shared" si="3"/>
        <v>0.67900644853116787</v>
      </c>
      <c r="Q69" s="236">
        <f>IFERROR(VLOOKUP($B69,MMWR_TRAD_AGG_RO_COMP[],Q$1,0),"ERROR")</f>
        <v>5</v>
      </c>
      <c r="R69" s="236">
        <f>IFERROR(VLOOKUP($B69,MMWR_TRAD_AGG_RO_COMP[],R$1,0),"ERROR")</f>
        <v>258</v>
      </c>
      <c r="S69" s="201">
        <f>IFERROR(VLOOKUP($B69,MMWR_APP_RO[],S$1,0),"ERROR")</f>
        <v>30855</v>
      </c>
      <c r="T69" s="28"/>
    </row>
    <row r="70" spans="1:20" x14ac:dyDescent="0.2">
      <c r="A70" s="28"/>
      <c r="B70" s="101" t="s">
        <v>8</v>
      </c>
      <c r="C70" s="212">
        <f>IFERROR(VLOOKUP($B70,MMWR_TRAD_AGG_RO_COMP[],C$1,0),"ERROR")</f>
        <v>192</v>
      </c>
      <c r="D70" s="197">
        <f>IFERROR(VLOOKUP($B70,MMWR_TRAD_AGG_RO_COMP[],D$1,0),"ERROR")</f>
        <v>534.64583333329995</v>
      </c>
      <c r="E70" s="213">
        <f>IFERROR(VLOOKUP($B70,MMWR_TRAD_AGG_RO_COMP[],E$1,0),"ERROR")</f>
        <v>373</v>
      </c>
      <c r="F70" s="218">
        <f>IFERROR(VLOOKUP($B70,MMWR_TRAD_AGG_RO_COMP[],F$1,0),"ERROR")</f>
        <v>4</v>
      </c>
      <c r="G70" s="214">
        <f>IFERROR(F70/E70,"0%")</f>
        <v>1.0723860589812333E-2</v>
      </c>
      <c r="H70" s="218">
        <f>IFERROR(VLOOKUP($B70,MMWR_TRAD_AGG_RO_COMP[],H$1,0),"ERROR")</f>
        <v>223</v>
      </c>
      <c r="I70" s="218">
        <f>IFERROR(VLOOKUP($B70,MMWR_TRAD_AGG_RO_COMP[],I$1,0),"ERROR")</f>
        <v>170</v>
      </c>
      <c r="J70" s="214">
        <f>IFERROR(I70/H70,"0%")</f>
        <v>0.7623318385650224</v>
      </c>
      <c r="K70" s="212">
        <f>IFERROR(VLOOKUP($B70,MMWR_TRAD_AGG_RO_COMP[],K$1,0),"ERROR")</f>
        <v>32</v>
      </c>
      <c r="L70" s="212">
        <f>IFERROR(VLOOKUP($B70,MMWR_TRAD_AGG_RO_COMP[],L$1,0),"ERROR")</f>
        <v>19</v>
      </c>
      <c r="M70" s="214">
        <f>IFERROR(L70/K70,"0%")</f>
        <v>0.59375</v>
      </c>
      <c r="N70" s="212">
        <f>IFERROR(VLOOKUP($B70,MMWR_TRAD_AGG_RO_COMP[],N$1,0),"ERROR")</f>
        <v>56439</v>
      </c>
      <c r="O70" s="212">
        <f>IFERROR(VLOOKUP($B70,MMWR_TRAD_AGG_RO_COMP[],O$1,0),"ERROR")</f>
        <v>33332</v>
      </c>
      <c r="P70" s="214">
        <f>IFERROR(O70/N70,"0%")</f>
        <v>0.59058452488527435</v>
      </c>
      <c r="Q70" s="212">
        <f>IFERROR(VLOOKUP($B70,MMWR_TRAD_AGG_RO_COMP[],Q$1,0),"ERROR")</f>
        <v>0</v>
      </c>
      <c r="R70" s="215">
        <f>IFERROR(VLOOKUP($B70,MMWR_TRAD_AGG_RO_COMP[],R$1,0),"ERROR")</f>
        <v>1</v>
      </c>
      <c r="S70" s="215">
        <f>IFERROR(VLOOKUP($B70,MMWR_APP_RO[],S$1,0),"ERROR")</f>
        <v>10607</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488</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225</v>
      </c>
      <c r="D73" s="457"/>
      <c r="E73" s="458" t="s">
        <v>205</v>
      </c>
      <c r="F73" s="459"/>
      <c r="G73" s="460"/>
      <c r="H73" s="458" t="s">
        <v>7</v>
      </c>
      <c r="I73" s="459"/>
      <c r="J73" s="460"/>
      <c r="K73" s="458" t="s">
        <v>30</v>
      </c>
      <c r="L73" s="459"/>
      <c r="M73" s="460"/>
      <c r="N73" s="458" t="s">
        <v>8</v>
      </c>
      <c r="O73" s="459"/>
      <c r="P73" s="460"/>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489</v>
      </c>
      <c r="T74" s="28"/>
    </row>
    <row r="75" spans="1:20" x14ac:dyDescent="0.2">
      <c r="A75" s="25"/>
      <c r="B75" s="101" t="s">
        <v>463</v>
      </c>
      <c r="C75" s="237">
        <f>IFERROR(VLOOKUP($B75,MMWR_TRAD_AGG_RO_PEN[],C$1,0),"ERROR")</f>
        <v>26581</v>
      </c>
      <c r="D75" s="238">
        <f>IFERROR(VLOOKUP($B75,MMWR_TRAD_AGG_RO_PEN[],D$1,0),"ERROR")</f>
        <v>76.917685564899998</v>
      </c>
      <c r="E75" s="237">
        <f>IFERROR(VLOOKUP($B75,MMWR_TRAD_AGG_RO_PEN[],E$1,0),"ERROR")</f>
        <v>31214</v>
      </c>
      <c r="F75" s="237">
        <f>IFERROR(VLOOKUP($B75,MMWR_TRAD_AGG_RO_PEN[],F$1,0),"ERROR")</f>
        <v>5416</v>
      </c>
      <c r="G75" s="239">
        <f>IFERROR(F75/E75,"0%")</f>
        <v>0.17351188569231754</v>
      </c>
      <c r="H75" s="237">
        <f>IFERROR(VLOOKUP($B75,MMWR_TRAD_AGG_RO_PEN[],H$1,0),"ERROR")</f>
        <v>33843</v>
      </c>
      <c r="I75" s="237">
        <f>IFERROR(VLOOKUP($B75,MMWR_TRAD_AGG_RO_PEN[],I$1,0),"ERROR")</f>
        <v>5999</v>
      </c>
      <c r="J75" s="239">
        <f>IFERROR(I75/H75,"0%")</f>
        <v>0.17725969919924356</v>
      </c>
      <c r="K75" s="237">
        <f>IFERROR(VLOOKUP($B75,MMWR_TRAD_AGG_RO_PEN[],K$1,0),"ERROR")</f>
        <v>345</v>
      </c>
      <c r="L75" s="237">
        <f>IFERROR(VLOOKUP($B75,MMWR_TRAD_AGG_RO_PEN[],L$1,0),"ERROR")</f>
        <v>307</v>
      </c>
      <c r="M75" s="239">
        <f>IFERROR(L75/K75,"0%")</f>
        <v>0.88985507246376816</v>
      </c>
      <c r="N75" s="237">
        <f>IFERROR(VLOOKUP($B75,MMWR_TRAD_AGG_RO_PEN[],N$1,0),"ERROR")</f>
        <v>1830</v>
      </c>
      <c r="O75" s="237">
        <f>IFERROR(VLOOKUP($B75,MMWR_TRAD_AGG_RO_PEN[],O$1,0),"ERROR")</f>
        <v>513</v>
      </c>
      <c r="P75" s="239">
        <f>IFERROR(O75/N75,"0%")</f>
        <v>0.28032786885245903</v>
      </c>
      <c r="Q75" s="237">
        <f>IFERROR(VLOOKUP($B75,MMWR_TRAD_AGG_RO_PEN[],Q$1,0),"ERROR")</f>
        <v>10832</v>
      </c>
      <c r="R75" s="240">
        <f>IFERROR(VLOOKUP($B75,MMWR_TRAD_AGG_RO_PEN[],R$1,0),"ERROR")</f>
        <v>6281</v>
      </c>
      <c r="S75" s="240">
        <f>IFERROR(VLOOKUP($B75,MMWR_APP_RO[],S$1,0),"ERROR")</f>
        <v>6611</v>
      </c>
      <c r="T75" s="28"/>
    </row>
    <row r="76" spans="1:20" x14ac:dyDescent="0.2">
      <c r="A76" s="107"/>
      <c r="B76" s="122" t="s">
        <v>210</v>
      </c>
      <c r="C76" s="241">
        <f>IFERROR(VLOOKUP($B76,MMWR_TRAD_AGG_RO_PEN[],C$1,0),"ERROR")</f>
        <v>14526</v>
      </c>
      <c r="D76" s="242">
        <f>IFERROR(VLOOKUP($B76,MMWR_TRAD_AGG_RO_PEN[],D$1,0),"ERROR")</f>
        <v>94.329684703300003</v>
      </c>
      <c r="E76" s="241">
        <f>IFERROR(VLOOKUP($B76,MMWR_TRAD_AGG_RO_PEN[],E$1,0),"ERROR")</f>
        <v>17797</v>
      </c>
      <c r="F76" s="241">
        <f>IFERROR(VLOOKUP($B76,MMWR_TRAD_AGG_RO_PEN[],F$1,0),"ERROR")</f>
        <v>4165</v>
      </c>
      <c r="G76" s="223">
        <f>IFERROR(F76/E76,"0%")</f>
        <v>0.23402820700117996</v>
      </c>
      <c r="H76" s="241">
        <f>IFERROR(VLOOKUP($B76,MMWR_TRAD_AGG_RO_PEN[],H$1,0),"ERROR")</f>
        <v>18398</v>
      </c>
      <c r="I76" s="241">
        <f>IFERROR(VLOOKUP($B76,MMWR_TRAD_AGG_RO_PEN[],I$1,0),"ERROR")</f>
        <v>5064</v>
      </c>
      <c r="J76" s="223">
        <f>IFERROR(I76/H76,"0%")</f>
        <v>0.27524730949016196</v>
      </c>
      <c r="K76" s="241">
        <f>IFERROR(VLOOKUP($B76,MMWR_TRAD_AGG_RO_PEN[],K$1,0),"ERROR")</f>
        <v>61</v>
      </c>
      <c r="L76" s="241">
        <f>IFERROR(VLOOKUP($B76,MMWR_TRAD_AGG_RO_PEN[],L$1,0),"ERROR")</f>
        <v>60</v>
      </c>
      <c r="M76" s="223">
        <f>IFERROR(L76/K76,"0%")</f>
        <v>0.98360655737704916</v>
      </c>
      <c r="N76" s="241">
        <f>IFERROR(VLOOKUP($B76,MMWR_TRAD_AGG_RO_PEN[],N$1,0),"ERROR")</f>
        <v>1003</v>
      </c>
      <c r="O76" s="241">
        <f>IFERROR(VLOOKUP($B76,MMWR_TRAD_AGG_RO_PEN[],O$1,0),"ERROR")</f>
        <v>243</v>
      </c>
      <c r="P76" s="223">
        <f>IFERROR(O76/N76,"0%")</f>
        <v>0.24227318045862412</v>
      </c>
      <c r="Q76" s="241">
        <f>IFERROR(VLOOKUP($B76,MMWR_TRAD_AGG_RO_PEN[],Q$1,0),"ERROR")</f>
        <v>1796</v>
      </c>
      <c r="R76" s="241">
        <f>IFERROR(VLOOKUP($B76,MMWR_TRAD_AGG_RO_PEN[],R$1,0),"ERROR")</f>
        <v>4253</v>
      </c>
      <c r="S76" s="243">
        <f>IFERROR(VLOOKUP($B76,MMWR_APP_RO[],S$1,0),"ERROR")</f>
        <v>2487</v>
      </c>
      <c r="T76" s="28"/>
    </row>
    <row r="77" spans="1:20" x14ac:dyDescent="0.2">
      <c r="A77" s="107"/>
      <c r="B77" s="122" t="s">
        <v>209</v>
      </c>
      <c r="C77" s="241">
        <f>IFERROR(VLOOKUP($B77,MMWR_TRAD_AGG_RO_PEN[],C$1,0),"ERROR")</f>
        <v>6818</v>
      </c>
      <c r="D77" s="242">
        <f>IFERROR(VLOOKUP($B77,MMWR_TRAD_AGG_RO_PEN[],D$1,0),"ERROR")</f>
        <v>60.590495746599998</v>
      </c>
      <c r="E77" s="241">
        <f>IFERROR(VLOOKUP($B77,MMWR_TRAD_AGG_RO_PEN[],E$1,0),"ERROR")</f>
        <v>6695</v>
      </c>
      <c r="F77" s="241">
        <f>IFERROR(VLOOKUP($B77,MMWR_TRAD_AGG_RO_PEN[],F$1,0),"ERROR")</f>
        <v>871</v>
      </c>
      <c r="G77" s="223">
        <f>IFERROR(F77/E77,"0%")</f>
        <v>0.13009708737864079</v>
      </c>
      <c r="H77" s="241">
        <f>IFERROR(VLOOKUP($B77,MMWR_TRAD_AGG_RO_PEN[],H$1,0),"ERROR")</f>
        <v>8336</v>
      </c>
      <c r="I77" s="241">
        <f>IFERROR(VLOOKUP($B77,MMWR_TRAD_AGG_RO_PEN[],I$1,0),"ERROR")</f>
        <v>450</v>
      </c>
      <c r="J77" s="223">
        <f>IFERROR(I77/H77,"0%")</f>
        <v>5.3982725527831094E-2</v>
      </c>
      <c r="K77" s="241">
        <f>IFERROR(VLOOKUP($B77,MMWR_TRAD_AGG_RO_PEN[],K$1,0),"ERROR")</f>
        <v>4</v>
      </c>
      <c r="L77" s="241">
        <f>IFERROR(VLOOKUP($B77,MMWR_TRAD_AGG_RO_PEN[],L$1,0),"ERROR")</f>
        <v>3</v>
      </c>
      <c r="M77" s="223">
        <f>IFERROR(L77/K77,"0%")</f>
        <v>0.75</v>
      </c>
      <c r="N77" s="241">
        <f>IFERROR(VLOOKUP($B77,MMWR_TRAD_AGG_RO_PEN[],N$1,0),"ERROR")</f>
        <v>475</v>
      </c>
      <c r="O77" s="241">
        <f>IFERROR(VLOOKUP($B77,MMWR_TRAD_AGG_RO_PEN[],O$1,0),"ERROR")</f>
        <v>101</v>
      </c>
      <c r="P77" s="223">
        <f>IFERROR(O77/N77,"0%")</f>
        <v>0.21263157894736842</v>
      </c>
      <c r="Q77" s="241">
        <f>IFERROR(VLOOKUP($B77,MMWR_TRAD_AGG_RO_PEN[],Q$1,0),"ERROR")</f>
        <v>1011</v>
      </c>
      <c r="R77" s="241">
        <f>IFERROR(VLOOKUP($B77,MMWR_TRAD_AGG_RO_PEN[],R$1,0),"ERROR")</f>
        <v>788</v>
      </c>
      <c r="S77" s="243">
        <f>IFERROR(VLOOKUP($B77,MMWR_APP_RO[],S$1,0),"ERROR")</f>
        <v>2615</v>
      </c>
      <c r="T77" s="28"/>
    </row>
    <row r="78" spans="1:20" x14ac:dyDescent="0.2">
      <c r="A78" s="107"/>
      <c r="B78" s="122" t="s">
        <v>212</v>
      </c>
      <c r="C78" s="241">
        <f>IFERROR(VLOOKUP($B78,MMWR_TRAD_AGG_RO_PEN[],C$1,0),"ERROR")</f>
        <v>5237</v>
      </c>
      <c r="D78" s="242">
        <f>IFERROR(VLOOKUP($B78,MMWR_TRAD_AGG_RO_PEN[],D$1,0),"ERROR")</f>
        <v>49.877792629399998</v>
      </c>
      <c r="E78" s="241">
        <f>IFERROR(VLOOKUP($B78,MMWR_TRAD_AGG_RO_PEN[],E$1,0),"ERROR")</f>
        <v>6405</v>
      </c>
      <c r="F78" s="241">
        <f>IFERROR(VLOOKUP($B78,MMWR_TRAD_AGG_RO_PEN[],F$1,0),"ERROR")</f>
        <v>240</v>
      </c>
      <c r="G78" s="223">
        <f>IFERROR(F78/E78,"0%")</f>
        <v>3.7470725995316159E-2</v>
      </c>
      <c r="H78" s="241">
        <f>IFERROR(VLOOKUP($B78,MMWR_TRAD_AGG_RO_PEN[],H$1,0),"ERROR")</f>
        <v>6531</v>
      </c>
      <c r="I78" s="241">
        <f>IFERROR(VLOOKUP($B78,MMWR_TRAD_AGG_RO_PEN[],I$1,0),"ERROR")</f>
        <v>84</v>
      </c>
      <c r="J78" s="223">
        <f>IFERROR(I78/H78,"0%")</f>
        <v>1.2861736334405145E-2</v>
      </c>
      <c r="K78" s="241">
        <f>IFERROR(VLOOKUP($B78,MMWR_TRAD_AGG_RO_PEN[],K$1,0),"ERROR")</f>
        <v>57</v>
      </c>
      <c r="L78" s="241">
        <f>IFERROR(VLOOKUP($B78,MMWR_TRAD_AGG_RO_PEN[],L$1,0),"ERROR")</f>
        <v>22</v>
      </c>
      <c r="M78" s="223">
        <f>IFERROR(L78/K78,"0%")</f>
        <v>0.38596491228070173</v>
      </c>
      <c r="N78" s="241">
        <f>IFERROR(VLOOKUP($B78,MMWR_TRAD_AGG_RO_PEN[],N$1,0),"ERROR")</f>
        <v>180</v>
      </c>
      <c r="O78" s="241">
        <f>IFERROR(VLOOKUP($B78,MMWR_TRAD_AGG_RO_PEN[],O$1,0),"ERROR")</f>
        <v>52</v>
      </c>
      <c r="P78" s="223">
        <f>IFERROR(O78/N78,"0%")</f>
        <v>0.28888888888888886</v>
      </c>
      <c r="Q78" s="241">
        <f>IFERROR(VLOOKUP($B78,MMWR_TRAD_AGG_RO_PEN[],Q$1,0),"ERROR")</f>
        <v>8021</v>
      </c>
      <c r="R78" s="241">
        <f>IFERROR(VLOOKUP($B78,MMWR_TRAD_AGG_RO_PEN[],R$1,0),"ERROR")</f>
        <v>1240</v>
      </c>
      <c r="S78" s="243">
        <f>IFERROR(VLOOKUP($B78,MMWR_APP_RO[],S$1,0),"ERROR")</f>
        <v>1509</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317</v>
      </c>
      <c r="F79" s="218">
        <f>IFERROR(VLOOKUP($B79,MMWR_TRAD_AGG_RO_PEN[],F$1,0),"ERROR")</f>
        <v>140</v>
      </c>
      <c r="G79" s="214">
        <f>IFERROR(F79/E79,"0%")</f>
        <v>0.44164037854889587</v>
      </c>
      <c r="H79" s="218">
        <f>IFERROR(VLOOKUP($B79,MMWR_TRAD_AGG_RO_PEN[],H$1,0),"ERROR")</f>
        <v>578</v>
      </c>
      <c r="I79" s="218">
        <f>IFERROR(VLOOKUP($B79,MMWR_TRAD_AGG_RO_PEN[],I$1,0),"ERROR")</f>
        <v>401</v>
      </c>
      <c r="J79" s="214">
        <f>IFERROR(I79/H79,"0%")</f>
        <v>0.69377162629757783</v>
      </c>
      <c r="K79" s="218">
        <f>IFERROR(VLOOKUP($B79,MMWR_TRAD_AGG_RO_PEN[],K$1,0),"ERROR")</f>
        <v>223</v>
      </c>
      <c r="L79" s="218">
        <f>IFERROR(VLOOKUP($B79,MMWR_TRAD_AGG_RO_PEN[],L$1,0),"ERROR")</f>
        <v>222</v>
      </c>
      <c r="M79" s="214">
        <f>IFERROR(L79/K79,"0%")</f>
        <v>0.99551569506726456</v>
      </c>
      <c r="N79" s="218">
        <f>IFERROR(VLOOKUP($B79,MMWR_TRAD_AGG_RO_PEN[],N$1,0),"ERROR")</f>
        <v>172</v>
      </c>
      <c r="O79" s="218">
        <f>IFERROR(VLOOKUP($B79,MMWR_TRAD_AGG_RO_PEN[],O$1,0),"ERROR")</f>
        <v>117</v>
      </c>
      <c r="P79" s="214">
        <f>IFERROR(O79/N79,"0%")</f>
        <v>0.68023255813953487</v>
      </c>
      <c r="Q79" s="218">
        <f>IFERROR(VLOOKUP($B79,MMWR_TRAD_AGG_RO_PEN[],Q$1,0),"ERROR")</f>
        <v>4</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APRIL 02, 2016</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225</v>
      </c>
      <c r="D3" s="461"/>
      <c r="E3" s="458" t="s">
        <v>205</v>
      </c>
      <c r="F3" s="459"/>
      <c r="G3" s="460"/>
      <c r="H3" s="458" t="s">
        <v>7</v>
      </c>
      <c r="I3" s="459"/>
      <c r="J3" s="460"/>
      <c r="K3" s="458" t="s">
        <v>30</v>
      </c>
      <c r="L3" s="459"/>
      <c r="M3" s="460"/>
      <c r="N3" s="458" t="s">
        <v>8</v>
      </c>
      <c r="O3" s="459"/>
      <c r="P3" s="460"/>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489</v>
      </c>
      <c r="T4" s="28"/>
    </row>
    <row r="5" spans="1:20" s="123" customFormat="1" ht="26.25" x14ac:dyDescent="0.4">
      <c r="A5" s="25"/>
      <c r="B5" s="124"/>
      <c r="C5" s="453" t="s">
        <v>487</v>
      </c>
      <c r="D5" s="454"/>
      <c r="E5" s="454"/>
      <c r="F5" s="454"/>
      <c r="G5" s="454"/>
      <c r="H5" s="454"/>
      <c r="I5" s="454"/>
      <c r="J5" s="454"/>
      <c r="K5" s="454"/>
      <c r="L5" s="454"/>
      <c r="M5" s="454"/>
      <c r="N5" s="454"/>
      <c r="O5" s="454"/>
      <c r="P5" s="454"/>
      <c r="Q5" s="454"/>
      <c r="R5" s="454"/>
      <c r="S5" s="455"/>
      <c r="T5" s="28"/>
    </row>
    <row r="6" spans="1:20" s="123" customFormat="1" x14ac:dyDescent="0.2">
      <c r="A6" s="92"/>
      <c r="B6" s="125" t="s">
        <v>462</v>
      </c>
      <c r="C6" s="94">
        <f>IFERROR(VLOOKUP($B6,MMWR_TRAD_AGG_ST_DISTRICT_COMP[],C$1,0),"ERROR")</f>
        <v>275990</v>
      </c>
      <c r="D6" s="95">
        <f>IFERROR(VLOOKUP($B6,MMWR_TRAD_AGG_ST_DISTRICT_COMP[],D$1,0),"ERROR")</f>
        <v>387.28005362509998</v>
      </c>
      <c r="E6" s="96">
        <f>IFERROR(VLOOKUP($B6,MMWR_TRAD_AGG_ST_DISTRICT_COMP[],E$1,0),"ERROR")</f>
        <v>315603</v>
      </c>
      <c r="F6" s="97">
        <f>IFERROR(VLOOKUP($B6,MMWR_TRAD_AGG_ST_DISTRICT_COMP[],F$1,0),"ERROR")</f>
        <v>75370</v>
      </c>
      <c r="G6" s="98">
        <f t="shared" ref="G6:G37" si="0">IFERROR(F6/E6,"0%")</f>
        <v>0.23881268555748836</v>
      </c>
      <c r="H6" s="96">
        <f>IFERROR(VLOOKUP($B6,MMWR_TRAD_AGG_ST_DISTRICT_COMP[],H$1,0),"ERROR")</f>
        <v>402921</v>
      </c>
      <c r="I6" s="97">
        <f>IFERROR(VLOOKUP($B6,MMWR_TRAD_AGG_ST_DISTRICT_COMP[],I$1,0),"ERROR")</f>
        <v>270942</v>
      </c>
      <c r="J6" s="99">
        <f t="shared" ref="J6:J37" si="1">IFERROR(I6/H6,"0%")</f>
        <v>0.67244447422695763</v>
      </c>
      <c r="K6" s="96">
        <f>IFERROR(VLOOKUP($B6,MMWR_TRAD_AGG_ST_DISTRICT_COMP[],K$1,0),"ERROR")</f>
        <v>123442</v>
      </c>
      <c r="L6" s="97">
        <f>IFERROR(VLOOKUP($B6,MMWR_TRAD_AGG_ST_DISTRICT_COMP[],L$1,0),"ERROR")</f>
        <v>98628</v>
      </c>
      <c r="M6" s="99">
        <f t="shared" ref="M6:M37" si="2">IFERROR(L6/K6,"0%")</f>
        <v>0.798982518105669</v>
      </c>
      <c r="N6" s="96">
        <f>IFERROR(VLOOKUP($B6,MMWR_TRAD_AGG_ST_DISTRICT_COMP[],N$1,0),"ERROR")</f>
        <v>165404</v>
      </c>
      <c r="O6" s="97">
        <f>IFERROR(VLOOKUP($B6,MMWR_TRAD_AGG_ST_DISTRICT_COMP[],O$1,0),"ERROR")</f>
        <v>108607</v>
      </c>
      <c r="P6" s="99">
        <f t="shared" ref="P6:P37" si="3">IFERROR(O6/N6,"0%")</f>
        <v>0.65661652680709048</v>
      </c>
      <c r="Q6" s="100">
        <f>IFERROR(VLOOKUP($B6,MMWR_TRAD_AGG_ST_DISTRICT_COMP[],Q$1,0),"ERROR")</f>
        <v>20887</v>
      </c>
      <c r="R6" s="100">
        <f>IFERROR(VLOOKUP($B6,MMWR_TRAD_AGG_ST_DISTRICT_COMP[],R$1,0),"ERROR")</f>
        <v>4218</v>
      </c>
      <c r="S6" s="100">
        <f>S7+S23+S36+S46+S56+S64</f>
        <v>317091</v>
      </c>
      <c r="T6" s="28"/>
    </row>
    <row r="7" spans="1:20" s="123" customFormat="1" x14ac:dyDescent="0.2">
      <c r="A7" s="92"/>
      <c r="B7" s="126" t="s">
        <v>370</v>
      </c>
      <c r="C7" s="102">
        <f>IF(SUM(C8:C22)&lt;&gt;VLOOKUP($B7,MMWR_TRAD_AGG_ST_DISTRICT_COMP[],C$1,0),"ERROR",
VLOOKUP($B7,MMWR_TRAD_AGG_ST_DISTRICT_COMP[],C$1,0))</f>
        <v>65540</v>
      </c>
      <c r="D7" s="103">
        <f>IFERROR(VLOOKUP($B7,MMWR_TRAD_AGG_ST_DISTRICT_COMP[],D$1,0),"ERROR")</f>
        <v>423.73661885870001</v>
      </c>
      <c r="E7" s="102">
        <f>IF(SUM(E8:E22)&lt;&gt;VLOOKUP($B7,MMWR_TRAD_AGG_ST_DISTRICT_COMP[],E$1,0),"ERROR",
VLOOKUP($B7,MMWR_TRAD_AGG_ST_DISTRICT_COMP[],E$1,0))</f>
        <v>69818</v>
      </c>
      <c r="F7" s="102">
        <f>IFERROR(VLOOKUP($B7,MMWR_TRAD_AGG_ST_DISTRICT_COMP[],F$1,0),"ERROR")</f>
        <v>17030</v>
      </c>
      <c r="G7" s="104">
        <f t="shared" si="0"/>
        <v>0.243919906041422</v>
      </c>
      <c r="H7" s="102">
        <f>IF(SUM(H8:H22)&lt;&gt;VLOOKUP($B7,MMWR_TRAD_AGG_ST_DISTRICT_COMP[],H$1,0),"ERROR",
VLOOKUP($B7,MMWR_TRAD_AGG_ST_DISTRICT_COMP[],H$1,0))</f>
        <v>94367</v>
      </c>
      <c r="I7" s="102">
        <f>IF(SUM(I8:I22)&lt;&gt;VLOOKUP($B7,MMWR_TRAD_AGG_ST_DISTRICT_COMP[],I$1,0),"ERROR",
VLOOKUP($B7,MMWR_TRAD_AGG_ST_DISTRICT_COMP[],I$1,0))</f>
        <v>64245</v>
      </c>
      <c r="J7" s="105">
        <f t="shared" si="1"/>
        <v>0.68079943200483217</v>
      </c>
      <c r="K7" s="102">
        <f>IF(SUM(K8:K22)&lt;&gt;VLOOKUP($B7,MMWR_TRAD_AGG_ST_DISTRICT_COMP[],K$1,0),"ERROR",
VLOOKUP($B7,MMWR_TRAD_AGG_ST_DISTRICT_COMP[],K$1,0))</f>
        <v>36292</v>
      </c>
      <c r="L7" s="102">
        <f>IF(SUM(L8:L22)&lt;&gt;VLOOKUP($B7,MMWR_TRAD_AGG_ST_DISTRICT_COMP[],L$1,0),"ERROR",
VLOOKUP($B7,MMWR_TRAD_AGG_ST_DISTRICT_COMP[],L$1,0))</f>
        <v>29898</v>
      </c>
      <c r="M7" s="105">
        <f t="shared" si="2"/>
        <v>0.82381792130497078</v>
      </c>
      <c r="N7" s="102">
        <f>IF(SUM(N8:N22)&lt;&gt;VLOOKUP($B7,MMWR_TRAD_AGG_ST_DISTRICT_COMP[],N$1,0),"ERROR",
VLOOKUP($B7,MMWR_TRAD_AGG_ST_DISTRICT_COMP[],N$1,0))</f>
        <v>36781</v>
      </c>
      <c r="O7" s="102">
        <f>IF(SUM(O8:O22)&lt;&gt;VLOOKUP($B7,MMWR_TRAD_AGG_ST_DISTRICT_COMP[],O$1,0),"ERROR",
VLOOKUP($B7,MMWR_TRAD_AGG_ST_DISTRICT_COMP[],O$1,0))</f>
        <v>24410</v>
      </c>
      <c r="P7" s="105">
        <f t="shared" si="3"/>
        <v>0.66365786683341943</v>
      </c>
      <c r="Q7" s="102">
        <f>IF(SUM(Q8:Q22)&lt;&gt;VLOOKUP($B7,MMWR_TRAD_AGG_ST_DISTRICT_COMP[],Q$1,0),"ERROR",
VLOOKUP($B7,MMWR_TRAD_AGG_ST_DISTRICT_COMP[],Q$1,0))</f>
        <v>8831</v>
      </c>
      <c r="R7" s="106">
        <f>IFERROR(VLOOKUP($B7,MMWR_TRAD_AGG_ST_DISTRICT_COMP[],R$1,0),"ERROR")</f>
        <v>134</v>
      </c>
      <c r="S7" s="106">
        <f>SUM(S8:S22)</f>
        <v>57696</v>
      </c>
      <c r="T7" s="28"/>
    </row>
    <row r="8" spans="1:20" s="123" customFormat="1" x14ac:dyDescent="0.2">
      <c r="A8" s="107"/>
      <c r="B8" s="127" t="s">
        <v>374</v>
      </c>
      <c r="C8" s="109">
        <f>IFERROR(VLOOKUP($B8,MMWR_TRAD_AGG_STATE_COMP[],C$1,0),"ERROR")</f>
        <v>1014</v>
      </c>
      <c r="D8" s="110">
        <f>IFERROR(VLOOKUP($B8,MMWR_TRAD_AGG_STATE_COMP[],D$1,0),"ERROR")</f>
        <v>322.4023668639</v>
      </c>
      <c r="E8" s="111">
        <f>IFERROR(VLOOKUP($B8,MMWR_TRAD_AGG_STATE_COMP[],E$1,0),"ERROR")</f>
        <v>1696</v>
      </c>
      <c r="F8" s="112">
        <f>IFERROR(VLOOKUP($B8,MMWR_TRAD_AGG_STATE_COMP[],F$1,0),"ERROR")</f>
        <v>449</v>
      </c>
      <c r="G8" s="113">
        <f t="shared" si="0"/>
        <v>0.26474056603773582</v>
      </c>
      <c r="H8" s="111">
        <f>IFERROR(VLOOKUP($B8,MMWR_TRAD_AGG_STATE_COMP[],H$1,0),"ERROR")</f>
        <v>2596</v>
      </c>
      <c r="I8" s="112">
        <f>IFERROR(VLOOKUP($B8,MMWR_TRAD_AGG_STATE_COMP[],I$1,0),"ERROR")</f>
        <v>1683</v>
      </c>
      <c r="J8" s="114">
        <f t="shared" si="1"/>
        <v>0.64830508474576276</v>
      </c>
      <c r="K8" s="111">
        <f>IFERROR(VLOOKUP($B8,MMWR_TRAD_AGG_STATE_COMP[],K$1,0),"ERROR")</f>
        <v>596</v>
      </c>
      <c r="L8" s="112">
        <f>IFERROR(VLOOKUP($B8,MMWR_TRAD_AGG_STATE_COMP[],L$1,0),"ERROR")</f>
        <v>407</v>
      </c>
      <c r="M8" s="114">
        <f t="shared" si="2"/>
        <v>0.68288590604026844</v>
      </c>
      <c r="N8" s="111">
        <f>IFERROR(VLOOKUP($B8,MMWR_TRAD_AGG_STATE_COMP[],N$1,0),"ERROR")</f>
        <v>1065</v>
      </c>
      <c r="O8" s="112">
        <f>IFERROR(VLOOKUP($B8,MMWR_TRAD_AGG_STATE_COMP[],O$1,0),"ERROR")</f>
        <v>787</v>
      </c>
      <c r="P8" s="114">
        <f t="shared" si="3"/>
        <v>0.73896713615023479</v>
      </c>
      <c r="Q8" s="115">
        <f>IFERROR(VLOOKUP($B8,MMWR_TRAD_AGG_STATE_COMP[],Q$1,0),"ERROR")</f>
        <v>297</v>
      </c>
      <c r="R8" s="115">
        <f>IFERROR(VLOOKUP($B8,MMWR_TRAD_AGG_STATE_COMP[],R$1,0),"ERROR")</f>
        <v>5</v>
      </c>
      <c r="S8" s="115">
        <f>IFERROR(VLOOKUP($B8,MMWR_APP_STATE_COMP[],S$1,0),"ERROR")</f>
        <v>1234</v>
      </c>
      <c r="T8" s="28"/>
    </row>
    <row r="9" spans="1:20" s="123" customFormat="1" x14ac:dyDescent="0.2">
      <c r="A9" s="107"/>
      <c r="B9" s="127" t="s">
        <v>424</v>
      </c>
      <c r="C9" s="109">
        <f>IFERROR(VLOOKUP($B9,MMWR_TRAD_AGG_STATE_COMP[],C$1,0),"ERROR")</f>
        <v>804</v>
      </c>
      <c r="D9" s="110">
        <f>IFERROR(VLOOKUP($B9,MMWR_TRAD_AGG_STATE_COMP[],D$1,0),"ERROR")</f>
        <v>424.88308457710002</v>
      </c>
      <c r="E9" s="111">
        <f>IFERROR(VLOOKUP($B9,MMWR_TRAD_AGG_STATE_COMP[],E$1,0),"ERROR")</f>
        <v>845</v>
      </c>
      <c r="F9" s="112">
        <f>IFERROR(VLOOKUP($B9,MMWR_TRAD_AGG_STATE_COMP[],F$1,0),"ERROR")</f>
        <v>207</v>
      </c>
      <c r="G9" s="113">
        <f t="shared" si="0"/>
        <v>0.24497041420118343</v>
      </c>
      <c r="H9" s="111">
        <f>IFERROR(VLOOKUP($B9,MMWR_TRAD_AGG_STATE_COMP[],H$1,0),"ERROR")</f>
        <v>1052</v>
      </c>
      <c r="I9" s="112">
        <f>IFERROR(VLOOKUP($B9,MMWR_TRAD_AGG_STATE_COMP[],I$1,0),"ERROR")</f>
        <v>771</v>
      </c>
      <c r="J9" s="114">
        <f t="shared" si="1"/>
        <v>0.7328897338403042</v>
      </c>
      <c r="K9" s="111">
        <f>IFERROR(VLOOKUP($B9,MMWR_TRAD_AGG_STATE_COMP[],K$1,0),"ERROR")</f>
        <v>234</v>
      </c>
      <c r="L9" s="112">
        <f>IFERROR(VLOOKUP($B9,MMWR_TRAD_AGG_STATE_COMP[],L$1,0),"ERROR")</f>
        <v>190</v>
      </c>
      <c r="M9" s="114">
        <f t="shared" si="2"/>
        <v>0.81196581196581197</v>
      </c>
      <c r="N9" s="111">
        <f>IFERROR(VLOOKUP($B9,MMWR_TRAD_AGG_STATE_COMP[],N$1,0),"ERROR")</f>
        <v>355</v>
      </c>
      <c r="O9" s="112">
        <f>IFERROR(VLOOKUP($B9,MMWR_TRAD_AGG_STATE_COMP[],O$1,0),"ERROR")</f>
        <v>222</v>
      </c>
      <c r="P9" s="114">
        <f t="shared" si="3"/>
        <v>0.62535211267605639</v>
      </c>
      <c r="Q9" s="115">
        <f>IFERROR(VLOOKUP($B9,MMWR_TRAD_AGG_STATE_COMP[],Q$1,0),"ERROR")</f>
        <v>80</v>
      </c>
      <c r="R9" s="115">
        <f>IFERROR(VLOOKUP($B9,MMWR_TRAD_AGG_STATE_COMP[],R$1,0),"ERROR")</f>
        <v>1</v>
      </c>
      <c r="S9" s="115">
        <f>IFERROR(VLOOKUP($B9,MMWR_APP_STATE_COMP[],S$1,0),"ERROR")</f>
        <v>617</v>
      </c>
      <c r="T9" s="28"/>
    </row>
    <row r="10" spans="1:20" s="123" customFormat="1" x14ac:dyDescent="0.2">
      <c r="A10" s="107"/>
      <c r="B10" s="127" t="s">
        <v>415</v>
      </c>
      <c r="C10" s="109">
        <f>IFERROR(VLOOKUP($B10,MMWR_TRAD_AGG_STATE_COMP[],C$1,0),"ERROR")</f>
        <v>433</v>
      </c>
      <c r="D10" s="110">
        <f>IFERROR(VLOOKUP($B10,MMWR_TRAD_AGG_STATE_COMP[],D$1,0),"ERROR")</f>
        <v>537.688221709</v>
      </c>
      <c r="E10" s="111">
        <f>IFERROR(VLOOKUP($B10,MMWR_TRAD_AGG_STATE_COMP[],E$1,0),"ERROR")</f>
        <v>429</v>
      </c>
      <c r="F10" s="112">
        <f>IFERROR(VLOOKUP($B10,MMWR_TRAD_AGG_STATE_COMP[],F$1,0),"ERROR")</f>
        <v>84</v>
      </c>
      <c r="G10" s="113">
        <f t="shared" si="0"/>
        <v>0.19580419580419581</v>
      </c>
      <c r="H10" s="111">
        <f>IFERROR(VLOOKUP($B10,MMWR_TRAD_AGG_STATE_COMP[],H$1,0),"ERROR")</f>
        <v>615</v>
      </c>
      <c r="I10" s="112">
        <f>IFERROR(VLOOKUP($B10,MMWR_TRAD_AGG_STATE_COMP[],I$1,0),"ERROR")</f>
        <v>456</v>
      </c>
      <c r="J10" s="114">
        <f t="shared" si="1"/>
        <v>0.74146341463414633</v>
      </c>
      <c r="K10" s="111">
        <f>IFERROR(VLOOKUP($B10,MMWR_TRAD_AGG_STATE_COMP[],K$1,0),"ERROR")</f>
        <v>205</v>
      </c>
      <c r="L10" s="112">
        <f>IFERROR(VLOOKUP($B10,MMWR_TRAD_AGG_STATE_COMP[],L$1,0),"ERROR")</f>
        <v>182</v>
      </c>
      <c r="M10" s="114">
        <f t="shared" si="2"/>
        <v>0.8878048780487805</v>
      </c>
      <c r="N10" s="111">
        <f>IFERROR(VLOOKUP($B10,MMWR_TRAD_AGG_STATE_COMP[],N$1,0),"ERROR")</f>
        <v>358</v>
      </c>
      <c r="O10" s="112">
        <f>IFERROR(VLOOKUP($B10,MMWR_TRAD_AGG_STATE_COMP[],O$1,0),"ERROR")</f>
        <v>266</v>
      </c>
      <c r="P10" s="114">
        <f t="shared" si="3"/>
        <v>0.74301675977653636</v>
      </c>
      <c r="Q10" s="115">
        <f>IFERROR(VLOOKUP($B10,MMWR_TRAD_AGG_STATE_COMP[],Q$1,0),"ERROR")</f>
        <v>37</v>
      </c>
      <c r="R10" s="115">
        <f>IFERROR(VLOOKUP($B10,MMWR_TRAD_AGG_STATE_COMP[],R$1,0),"ERROR")</f>
        <v>0</v>
      </c>
      <c r="S10" s="115">
        <f>IFERROR(VLOOKUP($B10,MMWR_APP_STATE_COMP[],S$1,0),"ERROR")</f>
        <v>603</v>
      </c>
      <c r="T10" s="28"/>
    </row>
    <row r="11" spans="1:20" s="123" customFormat="1" x14ac:dyDescent="0.2">
      <c r="A11" s="107"/>
      <c r="B11" s="127" t="s">
        <v>417</v>
      </c>
      <c r="C11" s="109">
        <f>IFERROR(VLOOKUP($B11,MMWR_TRAD_AGG_STATE_COMP[],C$1,0),"ERROR")</f>
        <v>1109</v>
      </c>
      <c r="D11" s="110">
        <f>IFERROR(VLOOKUP($B11,MMWR_TRAD_AGG_STATE_COMP[],D$1,0),"ERROR")</f>
        <v>309.76825969340001</v>
      </c>
      <c r="E11" s="111">
        <f>IFERROR(VLOOKUP($B11,MMWR_TRAD_AGG_STATE_COMP[],E$1,0),"ERROR")</f>
        <v>1462</v>
      </c>
      <c r="F11" s="112">
        <f>IFERROR(VLOOKUP($B11,MMWR_TRAD_AGG_STATE_COMP[],F$1,0),"ERROR")</f>
        <v>196</v>
      </c>
      <c r="G11" s="113">
        <f t="shared" si="0"/>
        <v>0.13406292749658003</v>
      </c>
      <c r="H11" s="111">
        <f>IFERROR(VLOOKUP($B11,MMWR_TRAD_AGG_STATE_COMP[],H$1,0),"ERROR")</f>
        <v>1878</v>
      </c>
      <c r="I11" s="112">
        <f>IFERROR(VLOOKUP($B11,MMWR_TRAD_AGG_STATE_COMP[],I$1,0),"ERROR")</f>
        <v>920</v>
      </c>
      <c r="J11" s="114">
        <f t="shared" si="1"/>
        <v>0.48988285410010651</v>
      </c>
      <c r="K11" s="111">
        <f>IFERROR(VLOOKUP($B11,MMWR_TRAD_AGG_STATE_COMP[],K$1,0),"ERROR")</f>
        <v>976</v>
      </c>
      <c r="L11" s="112">
        <f>IFERROR(VLOOKUP($B11,MMWR_TRAD_AGG_STATE_COMP[],L$1,0),"ERROR")</f>
        <v>758</v>
      </c>
      <c r="M11" s="114">
        <f t="shared" si="2"/>
        <v>0.77663934426229508</v>
      </c>
      <c r="N11" s="111">
        <f>IFERROR(VLOOKUP($B11,MMWR_TRAD_AGG_STATE_COMP[],N$1,0),"ERROR")</f>
        <v>405</v>
      </c>
      <c r="O11" s="112">
        <f>IFERROR(VLOOKUP($B11,MMWR_TRAD_AGG_STATE_COMP[],O$1,0),"ERROR")</f>
        <v>247</v>
      </c>
      <c r="P11" s="114">
        <f t="shared" si="3"/>
        <v>0.6098765432098765</v>
      </c>
      <c r="Q11" s="115">
        <f>IFERROR(VLOOKUP($B11,MMWR_TRAD_AGG_STATE_COMP[],Q$1,0),"ERROR")</f>
        <v>359</v>
      </c>
      <c r="R11" s="115">
        <f>IFERROR(VLOOKUP($B11,MMWR_TRAD_AGG_STATE_COMP[],R$1,0),"ERROR")</f>
        <v>2</v>
      </c>
      <c r="S11" s="115">
        <f>IFERROR(VLOOKUP($B11,MMWR_APP_STATE_COMP[],S$1,0),"ERROR")</f>
        <v>471</v>
      </c>
      <c r="T11" s="28"/>
    </row>
    <row r="12" spans="1:20" s="123" customFormat="1" x14ac:dyDescent="0.2">
      <c r="A12" s="107"/>
      <c r="B12" s="127" t="s">
        <v>377</v>
      </c>
      <c r="C12" s="109">
        <f>IFERROR(VLOOKUP($B12,MMWR_TRAD_AGG_STATE_COMP[],C$1,0),"ERROR")</f>
        <v>8604</v>
      </c>
      <c r="D12" s="110">
        <f>IFERROR(VLOOKUP($B12,MMWR_TRAD_AGG_STATE_COMP[],D$1,0),"ERROR")</f>
        <v>690.80660158069998</v>
      </c>
      <c r="E12" s="111">
        <f>IFERROR(VLOOKUP($B12,MMWR_TRAD_AGG_STATE_COMP[],E$1,0),"ERROR")</f>
        <v>5175</v>
      </c>
      <c r="F12" s="112">
        <f>IFERROR(VLOOKUP($B12,MMWR_TRAD_AGG_STATE_COMP[],F$1,0),"ERROR")</f>
        <v>1401</v>
      </c>
      <c r="G12" s="113">
        <f t="shared" si="0"/>
        <v>0.2707246376811594</v>
      </c>
      <c r="H12" s="111">
        <f>IFERROR(VLOOKUP($B12,MMWR_TRAD_AGG_STATE_COMP[],H$1,0),"ERROR")</f>
        <v>11521</v>
      </c>
      <c r="I12" s="112">
        <f>IFERROR(VLOOKUP($B12,MMWR_TRAD_AGG_STATE_COMP[],I$1,0),"ERROR")</f>
        <v>8826</v>
      </c>
      <c r="J12" s="114">
        <f t="shared" si="1"/>
        <v>0.76607933339119871</v>
      </c>
      <c r="K12" s="111">
        <f>IFERROR(VLOOKUP($B12,MMWR_TRAD_AGG_STATE_COMP[],K$1,0),"ERROR")</f>
        <v>3849</v>
      </c>
      <c r="L12" s="112">
        <f>IFERROR(VLOOKUP($B12,MMWR_TRAD_AGG_STATE_COMP[],L$1,0),"ERROR")</f>
        <v>3375</v>
      </c>
      <c r="M12" s="114">
        <f t="shared" si="2"/>
        <v>0.87685113016367888</v>
      </c>
      <c r="N12" s="111">
        <f>IFERROR(VLOOKUP($B12,MMWR_TRAD_AGG_STATE_COMP[],N$1,0),"ERROR")</f>
        <v>3011</v>
      </c>
      <c r="O12" s="112">
        <f>IFERROR(VLOOKUP($B12,MMWR_TRAD_AGG_STATE_COMP[],O$1,0),"ERROR")</f>
        <v>2057</v>
      </c>
      <c r="P12" s="114">
        <f t="shared" si="3"/>
        <v>0.68316174028561938</v>
      </c>
      <c r="Q12" s="115">
        <f>IFERROR(VLOOKUP($B12,MMWR_TRAD_AGG_STATE_COMP[],Q$1,0),"ERROR")</f>
        <v>398</v>
      </c>
      <c r="R12" s="115">
        <f>IFERROR(VLOOKUP($B12,MMWR_TRAD_AGG_STATE_COMP[],R$1,0),"ERROR")</f>
        <v>6</v>
      </c>
      <c r="S12" s="115">
        <f>IFERROR(VLOOKUP($B12,MMWR_APP_STATE_COMP[],S$1,0),"ERROR")</f>
        <v>5819</v>
      </c>
      <c r="T12" s="28"/>
    </row>
    <row r="13" spans="1:20" s="123" customFormat="1" x14ac:dyDescent="0.2">
      <c r="A13" s="107"/>
      <c r="B13" s="127" t="s">
        <v>372</v>
      </c>
      <c r="C13" s="109">
        <f>IFERROR(VLOOKUP($B13,MMWR_TRAD_AGG_STATE_COMP[],C$1,0),"ERROR")</f>
        <v>4194</v>
      </c>
      <c r="D13" s="110">
        <f>IFERROR(VLOOKUP($B13,MMWR_TRAD_AGG_STATE_COMP[],D$1,0),"ERROR")</f>
        <v>586.52551263709995</v>
      </c>
      <c r="E13" s="111">
        <f>IFERROR(VLOOKUP($B13,MMWR_TRAD_AGG_STATE_COMP[],E$1,0),"ERROR")</f>
        <v>4501</v>
      </c>
      <c r="F13" s="112">
        <f>IFERROR(VLOOKUP($B13,MMWR_TRAD_AGG_STATE_COMP[],F$1,0),"ERROR")</f>
        <v>1012</v>
      </c>
      <c r="G13" s="113">
        <f t="shared" si="0"/>
        <v>0.22483892468340369</v>
      </c>
      <c r="H13" s="111">
        <f>IFERROR(VLOOKUP($B13,MMWR_TRAD_AGG_STATE_COMP[],H$1,0),"ERROR")</f>
        <v>6110</v>
      </c>
      <c r="I13" s="112">
        <f>IFERROR(VLOOKUP($B13,MMWR_TRAD_AGG_STATE_COMP[],I$1,0),"ERROR")</f>
        <v>4578</v>
      </c>
      <c r="J13" s="114">
        <f t="shared" si="1"/>
        <v>0.74926350245499185</v>
      </c>
      <c r="K13" s="111">
        <f>IFERROR(VLOOKUP($B13,MMWR_TRAD_AGG_STATE_COMP[],K$1,0),"ERROR")</f>
        <v>2887</v>
      </c>
      <c r="L13" s="112">
        <f>IFERROR(VLOOKUP($B13,MMWR_TRAD_AGG_STATE_COMP[],L$1,0),"ERROR")</f>
        <v>2318</v>
      </c>
      <c r="M13" s="114">
        <f t="shared" si="2"/>
        <v>0.80290959473501911</v>
      </c>
      <c r="N13" s="111">
        <f>IFERROR(VLOOKUP($B13,MMWR_TRAD_AGG_STATE_COMP[],N$1,0),"ERROR")</f>
        <v>1340</v>
      </c>
      <c r="O13" s="112">
        <f>IFERROR(VLOOKUP($B13,MMWR_TRAD_AGG_STATE_COMP[],O$1,0),"ERROR")</f>
        <v>987</v>
      </c>
      <c r="P13" s="114">
        <f t="shared" si="3"/>
        <v>0.73656716417910451</v>
      </c>
      <c r="Q13" s="115">
        <f>IFERROR(VLOOKUP($B13,MMWR_TRAD_AGG_STATE_COMP[],Q$1,0),"ERROR")</f>
        <v>776</v>
      </c>
      <c r="R13" s="115">
        <f>IFERROR(VLOOKUP($B13,MMWR_TRAD_AGG_STATE_COMP[],R$1,0),"ERROR")</f>
        <v>12</v>
      </c>
      <c r="S13" s="115">
        <f>IFERROR(VLOOKUP($B13,MMWR_APP_STATE_COMP[],S$1,0),"ERROR")</f>
        <v>3401</v>
      </c>
      <c r="T13" s="28"/>
    </row>
    <row r="14" spans="1:20" s="123" customFormat="1" x14ac:dyDescent="0.2">
      <c r="A14" s="107"/>
      <c r="B14" s="127" t="s">
        <v>416</v>
      </c>
      <c r="C14" s="109">
        <f>IFERROR(VLOOKUP($B14,MMWR_TRAD_AGG_STATE_COMP[],C$1,0),"ERROR")</f>
        <v>1244</v>
      </c>
      <c r="D14" s="110">
        <f>IFERROR(VLOOKUP($B14,MMWR_TRAD_AGG_STATE_COMP[],D$1,0),"ERROR")</f>
        <v>335.6511254019</v>
      </c>
      <c r="E14" s="111">
        <f>IFERROR(VLOOKUP($B14,MMWR_TRAD_AGG_STATE_COMP[],E$1,0),"ERROR")</f>
        <v>1116</v>
      </c>
      <c r="F14" s="112">
        <f>IFERROR(VLOOKUP($B14,MMWR_TRAD_AGG_STATE_COMP[],F$1,0),"ERROR")</f>
        <v>220</v>
      </c>
      <c r="G14" s="113">
        <f t="shared" si="0"/>
        <v>0.1971326164874552</v>
      </c>
      <c r="H14" s="111">
        <f>IFERROR(VLOOKUP($B14,MMWR_TRAD_AGG_STATE_COMP[],H$1,0),"ERROR")</f>
        <v>1867</v>
      </c>
      <c r="I14" s="112">
        <f>IFERROR(VLOOKUP($B14,MMWR_TRAD_AGG_STATE_COMP[],I$1,0),"ERROR")</f>
        <v>1174</v>
      </c>
      <c r="J14" s="114">
        <f t="shared" si="1"/>
        <v>0.6288162828066417</v>
      </c>
      <c r="K14" s="111">
        <f>IFERROR(VLOOKUP($B14,MMWR_TRAD_AGG_STATE_COMP[],K$1,0),"ERROR")</f>
        <v>420</v>
      </c>
      <c r="L14" s="112">
        <f>IFERROR(VLOOKUP($B14,MMWR_TRAD_AGG_STATE_COMP[],L$1,0),"ERROR")</f>
        <v>355</v>
      </c>
      <c r="M14" s="114">
        <f t="shared" si="2"/>
        <v>0.84523809523809523</v>
      </c>
      <c r="N14" s="111">
        <f>IFERROR(VLOOKUP($B14,MMWR_TRAD_AGG_STATE_COMP[],N$1,0),"ERROR")</f>
        <v>243</v>
      </c>
      <c r="O14" s="112">
        <f>IFERROR(VLOOKUP($B14,MMWR_TRAD_AGG_STATE_COMP[],O$1,0),"ERROR")</f>
        <v>149</v>
      </c>
      <c r="P14" s="114">
        <f t="shared" si="3"/>
        <v>0.61316872427983538</v>
      </c>
      <c r="Q14" s="115">
        <f>IFERROR(VLOOKUP($B14,MMWR_TRAD_AGG_STATE_COMP[],Q$1,0),"ERROR")</f>
        <v>159</v>
      </c>
      <c r="R14" s="115">
        <f>IFERROR(VLOOKUP($B14,MMWR_TRAD_AGG_STATE_COMP[],R$1,0),"ERROR")</f>
        <v>4</v>
      </c>
      <c r="S14" s="115">
        <f>IFERROR(VLOOKUP($B14,MMWR_APP_STATE_COMP[],S$1,0),"ERROR")</f>
        <v>638</v>
      </c>
      <c r="T14" s="28"/>
    </row>
    <row r="15" spans="1:20" s="123" customFormat="1" x14ac:dyDescent="0.2">
      <c r="A15" s="107"/>
      <c r="B15" s="127" t="s">
        <v>375</v>
      </c>
      <c r="C15" s="109">
        <f>IFERROR(VLOOKUP($B15,MMWR_TRAD_AGG_STATE_COMP[],C$1,0),"ERROR")</f>
        <v>1970</v>
      </c>
      <c r="D15" s="110">
        <f>IFERROR(VLOOKUP($B15,MMWR_TRAD_AGG_STATE_COMP[],D$1,0),"ERROR")</f>
        <v>338.02639593909998</v>
      </c>
      <c r="E15" s="111">
        <f>IFERROR(VLOOKUP($B15,MMWR_TRAD_AGG_STATE_COMP[],E$1,0),"ERROR")</f>
        <v>4158</v>
      </c>
      <c r="F15" s="112">
        <f>IFERROR(VLOOKUP($B15,MMWR_TRAD_AGG_STATE_COMP[],F$1,0),"ERROR")</f>
        <v>946</v>
      </c>
      <c r="G15" s="113">
        <f t="shared" si="0"/>
        <v>0.2275132275132275</v>
      </c>
      <c r="H15" s="111">
        <f>IFERROR(VLOOKUP($B15,MMWR_TRAD_AGG_STATE_COMP[],H$1,0),"ERROR")</f>
        <v>3504</v>
      </c>
      <c r="I15" s="112">
        <f>IFERROR(VLOOKUP($B15,MMWR_TRAD_AGG_STATE_COMP[],I$1,0),"ERROR")</f>
        <v>2077</v>
      </c>
      <c r="J15" s="114">
        <f t="shared" si="1"/>
        <v>0.59275114155251141</v>
      </c>
      <c r="K15" s="111">
        <f>IFERROR(VLOOKUP($B15,MMWR_TRAD_AGG_STATE_COMP[],K$1,0),"ERROR")</f>
        <v>1383</v>
      </c>
      <c r="L15" s="112">
        <f>IFERROR(VLOOKUP($B15,MMWR_TRAD_AGG_STATE_COMP[],L$1,0),"ERROR")</f>
        <v>1204</v>
      </c>
      <c r="M15" s="114">
        <f t="shared" si="2"/>
        <v>0.87057122198120029</v>
      </c>
      <c r="N15" s="111">
        <f>IFERROR(VLOOKUP($B15,MMWR_TRAD_AGG_STATE_COMP[],N$1,0),"ERROR")</f>
        <v>2315</v>
      </c>
      <c r="O15" s="112">
        <f>IFERROR(VLOOKUP($B15,MMWR_TRAD_AGG_STATE_COMP[],O$1,0),"ERROR")</f>
        <v>1636</v>
      </c>
      <c r="P15" s="114">
        <f t="shared" si="3"/>
        <v>0.70669546436285102</v>
      </c>
      <c r="Q15" s="115">
        <f>IFERROR(VLOOKUP($B15,MMWR_TRAD_AGG_STATE_COMP[],Q$1,0),"ERROR")</f>
        <v>748</v>
      </c>
      <c r="R15" s="115">
        <f>IFERROR(VLOOKUP($B15,MMWR_TRAD_AGG_STATE_COMP[],R$1,0),"ERROR")</f>
        <v>3</v>
      </c>
      <c r="S15" s="115">
        <f>IFERROR(VLOOKUP($B15,MMWR_APP_STATE_COMP[],S$1,0),"ERROR")</f>
        <v>4112</v>
      </c>
      <c r="T15" s="28"/>
    </row>
    <row r="16" spans="1:20" s="123" customFormat="1" x14ac:dyDescent="0.2">
      <c r="A16" s="107"/>
      <c r="B16" s="127" t="s">
        <v>60</v>
      </c>
      <c r="C16" s="109">
        <f>IFERROR(VLOOKUP($B16,MMWR_TRAD_AGG_STATE_COMP[],C$1,0),"ERROR")</f>
        <v>4284</v>
      </c>
      <c r="D16" s="110">
        <f>IFERROR(VLOOKUP($B16,MMWR_TRAD_AGG_STATE_COMP[],D$1,0),"ERROR")</f>
        <v>297.56769374420003</v>
      </c>
      <c r="E16" s="111">
        <f>IFERROR(VLOOKUP($B16,MMWR_TRAD_AGG_STATE_COMP[],E$1,0),"ERROR")</f>
        <v>8797</v>
      </c>
      <c r="F16" s="112">
        <f>IFERROR(VLOOKUP($B16,MMWR_TRAD_AGG_STATE_COMP[],F$1,0),"ERROR")</f>
        <v>2063</v>
      </c>
      <c r="G16" s="113">
        <f t="shared" si="0"/>
        <v>0.23451176537455951</v>
      </c>
      <c r="H16" s="111">
        <f>IFERROR(VLOOKUP($B16,MMWR_TRAD_AGG_STATE_COMP[],H$1,0),"ERROR")</f>
        <v>7941</v>
      </c>
      <c r="I16" s="112">
        <f>IFERROR(VLOOKUP($B16,MMWR_TRAD_AGG_STATE_COMP[],I$1,0),"ERROR")</f>
        <v>4262</v>
      </c>
      <c r="J16" s="114">
        <f t="shared" si="1"/>
        <v>0.53670822314569955</v>
      </c>
      <c r="K16" s="111">
        <f>IFERROR(VLOOKUP($B16,MMWR_TRAD_AGG_STATE_COMP[],K$1,0),"ERROR")</f>
        <v>3988</v>
      </c>
      <c r="L16" s="112">
        <f>IFERROR(VLOOKUP($B16,MMWR_TRAD_AGG_STATE_COMP[],L$1,0),"ERROR")</f>
        <v>3135</v>
      </c>
      <c r="M16" s="114">
        <f t="shared" si="2"/>
        <v>0.78610832497492478</v>
      </c>
      <c r="N16" s="111">
        <f>IFERROR(VLOOKUP($B16,MMWR_TRAD_AGG_STATE_COMP[],N$1,0),"ERROR")</f>
        <v>5228</v>
      </c>
      <c r="O16" s="112">
        <f>IFERROR(VLOOKUP($B16,MMWR_TRAD_AGG_STATE_COMP[],O$1,0),"ERROR")</f>
        <v>1672</v>
      </c>
      <c r="P16" s="114">
        <f t="shared" si="3"/>
        <v>0.31981637337413926</v>
      </c>
      <c r="Q16" s="115">
        <f>IFERROR(VLOOKUP($B16,MMWR_TRAD_AGG_STATE_COMP[],Q$1,0),"ERROR")</f>
        <v>1638</v>
      </c>
      <c r="R16" s="115">
        <f>IFERROR(VLOOKUP($B16,MMWR_TRAD_AGG_STATE_COMP[],R$1,0),"ERROR")</f>
        <v>11</v>
      </c>
      <c r="S16" s="115">
        <f>IFERROR(VLOOKUP($B16,MMWR_APP_STATE_COMP[],S$1,0),"ERROR")</f>
        <v>5227</v>
      </c>
      <c r="T16" s="28"/>
    </row>
    <row r="17" spans="1:20" s="123" customFormat="1" x14ac:dyDescent="0.2">
      <c r="A17" s="107"/>
      <c r="B17" s="127" t="s">
        <v>383</v>
      </c>
      <c r="C17" s="109">
        <f>IFERROR(VLOOKUP($B17,MMWR_TRAD_AGG_STATE_COMP[],C$1,0),"ERROR")</f>
        <v>15156</v>
      </c>
      <c r="D17" s="110">
        <f>IFERROR(VLOOKUP($B17,MMWR_TRAD_AGG_STATE_COMP[],D$1,0),"ERROR")</f>
        <v>312.98568223810003</v>
      </c>
      <c r="E17" s="111">
        <f>IFERROR(VLOOKUP($B17,MMWR_TRAD_AGG_STATE_COMP[],E$1,0),"ERROR")</f>
        <v>17260</v>
      </c>
      <c r="F17" s="112">
        <f>IFERROR(VLOOKUP($B17,MMWR_TRAD_AGG_STATE_COMP[],F$1,0),"ERROR")</f>
        <v>4405</v>
      </c>
      <c r="G17" s="113">
        <f t="shared" si="0"/>
        <v>0.25521436848203938</v>
      </c>
      <c r="H17" s="111">
        <f>IFERROR(VLOOKUP($B17,MMWR_TRAD_AGG_STATE_COMP[],H$1,0),"ERROR")</f>
        <v>20299</v>
      </c>
      <c r="I17" s="112">
        <f>IFERROR(VLOOKUP($B17,MMWR_TRAD_AGG_STATE_COMP[],I$1,0),"ERROR")</f>
        <v>13628</v>
      </c>
      <c r="J17" s="114">
        <f t="shared" si="1"/>
        <v>0.67136312133602638</v>
      </c>
      <c r="K17" s="111">
        <f>IFERROR(VLOOKUP($B17,MMWR_TRAD_AGG_STATE_COMP[],K$1,0),"ERROR")</f>
        <v>9440</v>
      </c>
      <c r="L17" s="112">
        <f>IFERROR(VLOOKUP($B17,MMWR_TRAD_AGG_STATE_COMP[],L$1,0),"ERROR")</f>
        <v>7303</v>
      </c>
      <c r="M17" s="114">
        <f t="shared" si="2"/>
        <v>0.77362288135593216</v>
      </c>
      <c r="N17" s="111">
        <f>IFERROR(VLOOKUP($B17,MMWR_TRAD_AGG_STATE_COMP[],N$1,0),"ERROR")</f>
        <v>6983</v>
      </c>
      <c r="O17" s="112">
        <f>IFERROR(VLOOKUP($B17,MMWR_TRAD_AGG_STATE_COMP[],O$1,0),"ERROR")</f>
        <v>4599</v>
      </c>
      <c r="P17" s="114">
        <f t="shared" si="3"/>
        <v>0.65859945582128021</v>
      </c>
      <c r="Q17" s="115">
        <f>IFERROR(VLOOKUP($B17,MMWR_TRAD_AGG_STATE_COMP[],Q$1,0),"ERROR")</f>
        <v>1198</v>
      </c>
      <c r="R17" s="115">
        <f>IFERROR(VLOOKUP($B17,MMWR_TRAD_AGG_STATE_COMP[],R$1,0),"ERROR")</f>
        <v>46</v>
      </c>
      <c r="S17" s="115">
        <f>IFERROR(VLOOKUP($B17,MMWR_APP_STATE_COMP[],S$1,0),"ERROR")</f>
        <v>10057</v>
      </c>
      <c r="T17" s="28"/>
    </row>
    <row r="18" spans="1:20" s="123" customFormat="1" x14ac:dyDescent="0.2">
      <c r="A18" s="107"/>
      <c r="B18" s="127" t="s">
        <v>376</v>
      </c>
      <c r="C18" s="109">
        <f>IFERROR(VLOOKUP($B18,MMWR_TRAD_AGG_STATE_COMP[],C$1,0),"ERROR")</f>
        <v>6622</v>
      </c>
      <c r="D18" s="110">
        <f>IFERROR(VLOOKUP($B18,MMWR_TRAD_AGG_STATE_COMP[],D$1,0),"ERROR")</f>
        <v>460.27831470849998</v>
      </c>
      <c r="E18" s="111">
        <f>IFERROR(VLOOKUP($B18,MMWR_TRAD_AGG_STATE_COMP[],E$1,0),"ERROR")</f>
        <v>8954</v>
      </c>
      <c r="F18" s="112">
        <f>IFERROR(VLOOKUP($B18,MMWR_TRAD_AGG_STATE_COMP[],F$1,0),"ERROR")</f>
        <v>2475</v>
      </c>
      <c r="G18" s="113">
        <f t="shared" si="0"/>
        <v>0.2764127764127764</v>
      </c>
      <c r="H18" s="111">
        <f>IFERROR(VLOOKUP($B18,MMWR_TRAD_AGG_STATE_COMP[],H$1,0),"ERROR")</f>
        <v>10354</v>
      </c>
      <c r="I18" s="112">
        <f>IFERROR(VLOOKUP($B18,MMWR_TRAD_AGG_STATE_COMP[],I$1,0),"ERROR")</f>
        <v>7709</v>
      </c>
      <c r="J18" s="114">
        <f t="shared" si="1"/>
        <v>0.74454317172107398</v>
      </c>
      <c r="K18" s="111">
        <f>IFERROR(VLOOKUP($B18,MMWR_TRAD_AGG_STATE_COMP[],K$1,0),"ERROR")</f>
        <v>1948</v>
      </c>
      <c r="L18" s="112">
        <f>IFERROR(VLOOKUP($B18,MMWR_TRAD_AGG_STATE_COMP[],L$1,0),"ERROR")</f>
        <v>1646</v>
      </c>
      <c r="M18" s="114">
        <f t="shared" si="2"/>
        <v>0.84496919917864477</v>
      </c>
      <c r="N18" s="111">
        <f>IFERROR(VLOOKUP($B18,MMWR_TRAD_AGG_STATE_COMP[],N$1,0),"ERROR")</f>
        <v>6403</v>
      </c>
      <c r="O18" s="112">
        <f>IFERROR(VLOOKUP($B18,MMWR_TRAD_AGG_STATE_COMP[],O$1,0),"ERROR")</f>
        <v>5100</v>
      </c>
      <c r="P18" s="114">
        <f t="shared" si="3"/>
        <v>0.79650163985631739</v>
      </c>
      <c r="Q18" s="115">
        <f>IFERROR(VLOOKUP($B18,MMWR_TRAD_AGG_STATE_COMP[],Q$1,0),"ERROR")</f>
        <v>1569</v>
      </c>
      <c r="R18" s="115">
        <f>IFERROR(VLOOKUP($B18,MMWR_TRAD_AGG_STATE_COMP[],R$1,0),"ERROR")</f>
        <v>13</v>
      </c>
      <c r="S18" s="115">
        <f>IFERROR(VLOOKUP($B18,MMWR_APP_STATE_COMP[],S$1,0),"ERROR")</f>
        <v>7375</v>
      </c>
      <c r="T18" s="28"/>
    </row>
    <row r="19" spans="1:20" s="123" customFormat="1" x14ac:dyDescent="0.2">
      <c r="A19" s="107"/>
      <c r="B19" s="127" t="s">
        <v>373</v>
      </c>
      <c r="C19" s="109">
        <f>IFERROR(VLOOKUP($B19,MMWR_TRAD_AGG_STATE_COMP[],C$1,0),"ERROR")</f>
        <v>273</v>
      </c>
      <c r="D19" s="110">
        <f>IFERROR(VLOOKUP($B19,MMWR_TRAD_AGG_STATE_COMP[],D$1,0),"ERROR")</f>
        <v>235.60805860810001</v>
      </c>
      <c r="E19" s="111">
        <f>IFERROR(VLOOKUP($B19,MMWR_TRAD_AGG_STATE_COMP[],E$1,0),"ERROR")</f>
        <v>900</v>
      </c>
      <c r="F19" s="112">
        <f>IFERROR(VLOOKUP($B19,MMWR_TRAD_AGG_STATE_COMP[],F$1,0),"ERROR")</f>
        <v>173</v>
      </c>
      <c r="G19" s="113">
        <f t="shared" si="0"/>
        <v>0.19222222222222221</v>
      </c>
      <c r="H19" s="111">
        <f>IFERROR(VLOOKUP($B19,MMWR_TRAD_AGG_STATE_COMP[],H$1,0),"ERROR")</f>
        <v>557</v>
      </c>
      <c r="I19" s="112">
        <f>IFERROR(VLOOKUP($B19,MMWR_TRAD_AGG_STATE_COMP[],I$1,0),"ERROR")</f>
        <v>268</v>
      </c>
      <c r="J19" s="114">
        <f t="shared" si="1"/>
        <v>0.48114901256732495</v>
      </c>
      <c r="K19" s="111">
        <f>IFERROR(VLOOKUP($B19,MMWR_TRAD_AGG_STATE_COMP[],K$1,0),"ERROR")</f>
        <v>245</v>
      </c>
      <c r="L19" s="112">
        <f>IFERROR(VLOOKUP($B19,MMWR_TRAD_AGG_STATE_COMP[],L$1,0),"ERROR")</f>
        <v>203</v>
      </c>
      <c r="M19" s="114">
        <f t="shared" si="2"/>
        <v>0.82857142857142863</v>
      </c>
      <c r="N19" s="111">
        <f>IFERROR(VLOOKUP($B19,MMWR_TRAD_AGG_STATE_COMP[],N$1,0),"ERROR")</f>
        <v>198</v>
      </c>
      <c r="O19" s="112">
        <f>IFERROR(VLOOKUP($B19,MMWR_TRAD_AGG_STATE_COMP[],O$1,0),"ERROR")</f>
        <v>111</v>
      </c>
      <c r="P19" s="114">
        <f t="shared" si="3"/>
        <v>0.56060606060606055</v>
      </c>
      <c r="Q19" s="115">
        <f>IFERROR(VLOOKUP($B19,MMWR_TRAD_AGG_STATE_COMP[],Q$1,0),"ERROR")</f>
        <v>204</v>
      </c>
      <c r="R19" s="115">
        <f>IFERROR(VLOOKUP($B19,MMWR_TRAD_AGG_STATE_COMP[],R$1,0),"ERROR")</f>
        <v>2</v>
      </c>
      <c r="S19" s="115">
        <f>IFERROR(VLOOKUP($B19,MMWR_APP_STATE_COMP[],S$1,0),"ERROR")</f>
        <v>272</v>
      </c>
      <c r="T19" s="28"/>
    </row>
    <row r="20" spans="1:20" s="123" customFormat="1" x14ac:dyDescent="0.2">
      <c r="A20" s="107"/>
      <c r="B20" s="127" t="s">
        <v>418</v>
      </c>
      <c r="C20" s="109">
        <f>IFERROR(VLOOKUP($B20,MMWR_TRAD_AGG_STATE_COMP[],C$1,0),"ERROR")</f>
        <v>507</v>
      </c>
      <c r="D20" s="110">
        <f>IFERROR(VLOOKUP($B20,MMWR_TRAD_AGG_STATE_COMP[],D$1,0),"ERROR")</f>
        <v>366.2071005917</v>
      </c>
      <c r="E20" s="111">
        <f>IFERROR(VLOOKUP($B20,MMWR_TRAD_AGG_STATE_COMP[],E$1,0),"ERROR")</f>
        <v>486</v>
      </c>
      <c r="F20" s="112">
        <f>IFERROR(VLOOKUP($B20,MMWR_TRAD_AGG_STATE_COMP[],F$1,0),"ERROR")</f>
        <v>138</v>
      </c>
      <c r="G20" s="113">
        <f t="shared" si="0"/>
        <v>0.2839506172839506</v>
      </c>
      <c r="H20" s="111">
        <f>IFERROR(VLOOKUP($B20,MMWR_TRAD_AGG_STATE_COMP[],H$1,0),"ERROR")</f>
        <v>922</v>
      </c>
      <c r="I20" s="112">
        <f>IFERROR(VLOOKUP($B20,MMWR_TRAD_AGG_STATE_COMP[],I$1,0),"ERROR")</f>
        <v>582</v>
      </c>
      <c r="J20" s="114">
        <f t="shared" si="1"/>
        <v>0.63123644251626898</v>
      </c>
      <c r="K20" s="111">
        <f>IFERROR(VLOOKUP($B20,MMWR_TRAD_AGG_STATE_COMP[],K$1,0),"ERROR")</f>
        <v>242</v>
      </c>
      <c r="L20" s="112">
        <f>IFERROR(VLOOKUP($B20,MMWR_TRAD_AGG_STATE_COMP[],L$1,0),"ERROR")</f>
        <v>163</v>
      </c>
      <c r="M20" s="114">
        <f t="shared" si="2"/>
        <v>0.67355371900826444</v>
      </c>
      <c r="N20" s="111">
        <f>IFERROR(VLOOKUP($B20,MMWR_TRAD_AGG_STATE_COMP[],N$1,0),"ERROR")</f>
        <v>145</v>
      </c>
      <c r="O20" s="112">
        <f>IFERROR(VLOOKUP($B20,MMWR_TRAD_AGG_STATE_COMP[],O$1,0),"ERROR")</f>
        <v>76</v>
      </c>
      <c r="P20" s="114">
        <f t="shared" si="3"/>
        <v>0.52413793103448281</v>
      </c>
      <c r="Q20" s="115">
        <f>IFERROR(VLOOKUP($B20,MMWR_TRAD_AGG_STATE_COMP[],Q$1,0),"ERROR")</f>
        <v>74</v>
      </c>
      <c r="R20" s="115">
        <f>IFERROR(VLOOKUP($B20,MMWR_TRAD_AGG_STATE_COMP[],R$1,0),"ERROR")</f>
        <v>1</v>
      </c>
      <c r="S20" s="115">
        <f>IFERROR(VLOOKUP($B20,MMWR_APP_STATE_COMP[],S$1,0),"ERROR")</f>
        <v>106</v>
      </c>
      <c r="T20" s="28"/>
    </row>
    <row r="21" spans="1:20" s="123" customFormat="1" x14ac:dyDescent="0.2">
      <c r="A21" s="107"/>
      <c r="B21" s="127" t="s">
        <v>379</v>
      </c>
      <c r="C21" s="109">
        <f>IFERROR(VLOOKUP($B21,MMWR_TRAD_AGG_STATE_COMP[],C$1,0),"ERROR")</f>
        <v>17343</v>
      </c>
      <c r="D21" s="110">
        <f>IFERROR(VLOOKUP($B21,MMWR_TRAD_AGG_STATE_COMP[],D$1,0),"ERROR")</f>
        <v>414.1349247535</v>
      </c>
      <c r="E21" s="111">
        <f>IFERROR(VLOOKUP($B21,MMWR_TRAD_AGG_STATE_COMP[],E$1,0),"ERROR")</f>
        <v>11461</v>
      </c>
      <c r="F21" s="112">
        <f>IFERROR(VLOOKUP($B21,MMWR_TRAD_AGG_STATE_COMP[],F$1,0),"ERROR")</f>
        <v>2704</v>
      </c>
      <c r="G21" s="113">
        <f t="shared" si="0"/>
        <v>0.23593054707268127</v>
      </c>
      <c r="H21" s="111">
        <f>IFERROR(VLOOKUP($B21,MMWR_TRAD_AGG_STATE_COMP[],H$1,0),"ERROR")</f>
        <v>21877</v>
      </c>
      <c r="I21" s="112">
        <f>IFERROR(VLOOKUP($B21,MMWR_TRAD_AGG_STATE_COMP[],I$1,0),"ERROR")</f>
        <v>15107</v>
      </c>
      <c r="J21" s="114">
        <f t="shared" si="1"/>
        <v>0.69054257896420901</v>
      </c>
      <c r="K21" s="111">
        <f>IFERROR(VLOOKUP($B21,MMWR_TRAD_AGG_STATE_COMP[],K$1,0),"ERROR")</f>
        <v>9418</v>
      </c>
      <c r="L21" s="112">
        <f>IFERROR(VLOOKUP($B21,MMWR_TRAD_AGG_STATE_COMP[],L$1,0),"ERROR")</f>
        <v>8289</v>
      </c>
      <c r="M21" s="114">
        <f t="shared" si="2"/>
        <v>0.88012316840093441</v>
      </c>
      <c r="N21" s="111">
        <f>IFERROR(VLOOKUP($B21,MMWR_TRAD_AGG_STATE_COMP[],N$1,0),"ERROR")</f>
        <v>7366</v>
      </c>
      <c r="O21" s="112">
        <f>IFERROR(VLOOKUP($B21,MMWR_TRAD_AGG_STATE_COMP[],O$1,0),"ERROR")</f>
        <v>5483</v>
      </c>
      <c r="P21" s="114">
        <f t="shared" si="3"/>
        <v>0.74436600597339131</v>
      </c>
      <c r="Q21" s="115">
        <f>IFERROR(VLOOKUP($B21,MMWR_TRAD_AGG_STATE_COMP[],Q$1,0),"ERROR")</f>
        <v>974</v>
      </c>
      <c r="R21" s="115">
        <f>IFERROR(VLOOKUP($B21,MMWR_TRAD_AGG_STATE_COMP[],R$1,0),"ERROR")</f>
        <v>16</v>
      </c>
      <c r="S21" s="115">
        <f>IFERROR(VLOOKUP($B21,MMWR_APP_STATE_COMP[],S$1,0),"ERROR")</f>
        <v>15313</v>
      </c>
      <c r="T21" s="28"/>
    </row>
    <row r="22" spans="1:20" s="123" customFormat="1" x14ac:dyDescent="0.2">
      <c r="A22" s="107"/>
      <c r="B22" s="127" t="s">
        <v>380</v>
      </c>
      <c r="C22" s="109">
        <f>IFERROR(VLOOKUP($B22,MMWR_TRAD_AGG_STATE_COMP[],C$1,0),"ERROR")</f>
        <v>1983</v>
      </c>
      <c r="D22" s="110">
        <f>IFERROR(VLOOKUP($B22,MMWR_TRAD_AGG_STATE_COMP[],D$1,0),"ERROR")</f>
        <v>272.86434694910002</v>
      </c>
      <c r="E22" s="111">
        <f>IFERROR(VLOOKUP($B22,MMWR_TRAD_AGG_STATE_COMP[],E$1,0),"ERROR")</f>
        <v>2578</v>
      </c>
      <c r="F22" s="112">
        <f>IFERROR(VLOOKUP($B22,MMWR_TRAD_AGG_STATE_COMP[],F$1,0),"ERROR")</f>
        <v>557</v>
      </c>
      <c r="G22" s="113">
        <f t="shared" si="0"/>
        <v>0.21605896043444531</v>
      </c>
      <c r="H22" s="111">
        <f>IFERROR(VLOOKUP($B22,MMWR_TRAD_AGG_STATE_COMP[],H$1,0),"ERROR")</f>
        <v>3274</v>
      </c>
      <c r="I22" s="112">
        <f>IFERROR(VLOOKUP($B22,MMWR_TRAD_AGG_STATE_COMP[],I$1,0),"ERROR")</f>
        <v>2204</v>
      </c>
      <c r="J22" s="114">
        <f t="shared" si="1"/>
        <v>0.67318265119120346</v>
      </c>
      <c r="K22" s="111">
        <f>IFERROR(VLOOKUP($B22,MMWR_TRAD_AGG_STATE_COMP[],K$1,0),"ERROR")</f>
        <v>461</v>
      </c>
      <c r="L22" s="112">
        <f>IFERROR(VLOOKUP($B22,MMWR_TRAD_AGG_STATE_COMP[],L$1,0),"ERROR")</f>
        <v>370</v>
      </c>
      <c r="M22" s="114">
        <f t="shared" si="2"/>
        <v>0.8026030368763557</v>
      </c>
      <c r="N22" s="111">
        <f>IFERROR(VLOOKUP($B22,MMWR_TRAD_AGG_STATE_COMP[],N$1,0),"ERROR")</f>
        <v>1366</v>
      </c>
      <c r="O22" s="112">
        <f>IFERROR(VLOOKUP($B22,MMWR_TRAD_AGG_STATE_COMP[],O$1,0),"ERROR")</f>
        <v>1018</v>
      </c>
      <c r="P22" s="114">
        <f t="shared" si="3"/>
        <v>0.74524158125915085</v>
      </c>
      <c r="Q22" s="115">
        <f>IFERROR(VLOOKUP($B22,MMWR_TRAD_AGG_STATE_COMP[],Q$1,0),"ERROR")</f>
        <v>320</v>
      </c>
      <c r="R22" s="115">
        <f>IFERROR(VLOOKUP($B22,MMWR_TRAD_AGG_STATE_COMP[],R$1,0),"ERROR")</f>
        <v>12</v>
      </c>
      <c r="S22" s="115">
        <f>IFERROR(VLOOKUP($B22,MMWR_APP_STATE_COMP[],S$1,0),"ERROR")</f>
        <v>2451</v>
      </c>
      <c r="T22" s="28"/>
    </row>
    <row r="23" spans="1:20" s="123" customFormat="1" x14ac:dyDescent="0.2">
      <c r="A23" s="107"/>
      <c r="B23" s="126" t="s">
        <v>391</v>
      </c>
      <c r="C23" s="102">
        <f>IF(SUM(C24:C35)&lt;&gt;VLOOKUP($B23,MMWR_TRAD_AGG_ST_DISTRICT_COMP[],C$1,0),"ERROR",
VLOOKUP($B23,MMWR_TRAD_AGG_ST_DISTRICT_COMP[],C$1,0))</f>
        <v>34539</v>
      </c>
      <c r="D23" s="103">
        <f>IFERROR(VLOOKUP($B23,MMWR_TRAD_AGG_ST_DISTRICT_COMP[],D$1,0),"ERROR")</f>
        <v>383.19297026549998</v>
      </c>
      <c r="E23" s="102">
        <f>IF(SUM(E24:E35)&lt;&gt;VLOOKUP($B23,MMWR_TRAD_AGG_ST_DISTRICT_COMP[],E$1,0),"ERROR",
VLOOKUP($B23,MMWR_TRAD_AGG_ST_DISTRICT_COMP[],E$1,0))</f>
        <v>49170</v>
      </c>
      <c r="F23" s="102">
        <f>IF(SUM(F24:F35)&lt;&gt;VLOOKUP($B23,MMWR_TRAD_AGG_ST_DISTRICT_COMP[],F$1,0),"ERROR",
VLOOKUP($B23,MMWR_TRAD_AGG_ST_DISTRICT_COMP[],F$1,0))</f>
        <v>10844</v>
      </c>
      <c r="G23" s="104">
        <f t="shared" si="0"/>
        <v>0.22054098027252389</v>
      </c>
      <c r="H23" s="102">
        <f>IF(SUM(H24:H35)&lt;&gt;VLOOKUP($B23,MMWR_TRAD_AGG_ST_DISTRICT_COMP[],H$1,0),"ERROR",
VLOOKUP($B23,MMWR_TRAD_AGG_ST_DISTRICT_COMP[],H$1,0))</f>
        <v>55180</v>
      </c>
      <c r="I23" s="102">
        <f>IF(SUM(I24:I35)&lt;&gt;VLOOKUP($B23,MMWR_TRAD_AGG_ST_DISTRICT_COMP[],I$1,0),"ERROR",
VLOOKUP($B23,MMWR_TRAD_AGG_ST_DISTRICT_COMP[],I$1,0))</f>
        <v>33959</v>
      </c>
      <c r="J23" s="105">
        <f t="shared" si="1"/>
        <v>0.61542225444001453</v>
      </c>
      <c r="K23" s="102">
        <f>IF(SUM(K24:K35)&lt;&gt;VLOOKUP($B23,MMWR_TRAD_AGG_ST_DISTRICT_COMP[],K$1,0),"ERROR",
VLOOKUP($B23,MMWR_TRAD_AGG_ST_DISTRICT_COMP[],K$1,0))</f>
        <v>13849</v>
      </c>
      <c r="L23" s="102">
        <f>IF(SUM(L24:L35)&lt;&gt;VLOOKUP($B23,MMWR_TRAD_AGG_ST_DISTRICT_COMP[],L$1,0),"ERROR",
VLOOKUP($B23,MMWR_TRAD_AGG_ST_DISTRICT_COMP[],L$1,0))</f>
        <v>10762</v>
      </c>
      <c r="M23" s="105">
        <f t="shared" si="2"/>
        <v>0.77709581919272153</v>
      </c>
      <c r="N23" s="102">
        <f>IF(SUM(N24:N35)&lt;&gt;VLOOKUP($B23,MMWR_TRAD_AGG_ST_DISTRICT_COMP[],N$1,0),"ERROR",
VLOOKUP($B23,MMWR_TRAD_AGG_ST_DISTRICT_COMP[],N$1,0))</f>
        <v>23383</v>
      </c>
      <c r="O23" s="102">
        <f>IF(SUM(O24:O35)&lt;&gt;VLOOKUP($B23,MMWR_TRAD_AGG_ST_DISTRICT_COMP[],O$1,0),"ERROR",
VLOOKUP($B23,MMWR_TRAD_AGG_ST_DISTRICT_COMP[],O$1,0))</f>
        <v>15154</v>
      </c>
      <c r="P23" s="105">
        <f t="shared" si="3"/>
        <v>0.64807766325963312</v>
      </c>
      <c r="Q23" s="102">
        <f>IF(SUM(Q24:Q35)&lt;&gt;VLOOKUP($B23,MMWR_TRAD_AGG_ST_DISTRICT_COMP[],Q$1,0),"ERROR",
VLOOKUP($B23,MMWR_TRAD_AGG_ST_DISTRICT_COMP[],Q$1,0))</f>
        <v>4545</v>
      </c>
      <c r="R23" s="102">
        <f>IF(SUM(R24:R35)&lt;&gt;VLOOKUP($B23,MMWR_TRAD_AGG_ST_DISTRICT_COMP[],R$1,0),"ERROR",
VLOOKUP($B23,MMWR_TRAD_AGG_ST_DISTRICT_COMP[],R$1,0))</f>
        <v>1056</v>
      </c>
      <c r="S23" s="106">
        <f>SUM(S24:S35)</f>
        <v>52584</v>
      </c>
      <c r="T23" s="28"/>
    </row>
    <row r="24" spans="1:20" s="123" customFormat="1" x14ac:dyDescent="0.2">
      <c r="A24" s="92"/>
      <c r="B24" s="127" t="s">
        <v>395</v>
      </c>
      <c r="C24" s="109">
        <f>IFERROR(VLOOKUP($B24,MMWR_TRAD_AGG_STATE_COMP[],C$1,0),"ERROR")</f>
        <v>6137</v>
      </c>
      <c r="D24" s="110">
        <f>IFERROR(VLOOKUP($B24,MMWR_TRAD_AGG_STATE_COMP[],D$1,0),"ERROR")</f>
        <v>476.98794199119999</v>
      </c>
      <c r="E24" s="111">
        <f>IFERROR(VLOOKUP($B24,MMWR_TRAD_AGG_STATE_COMP[],E$1,0),"ERROR")</f>
        <v>6383</v>
      </c>
      <c r="F24" s="112">
        <f>IFERROR(VLOOKUP($B24,MMWR_TRAD_AGG_STATE_COMP[],F$1,0),"ERROR")</f>
        <v>1731</v>
      </c>
      <c r="G24" s="113">
        <f t="shared" si="0"/>
        <v>0.27118909603634656</v>
      </c>
      <c r="H24" s="111">
        <f>IFERROR(VLOOKUP($B24,MMWR_TRAD_AGG_STATE_COMP[],H$1,0),"ERROR")</f>
        <v>9009</v>
      </c>
      <c r="I24" s="112">
        <f>IFERROR(VLOOKUP($B24,MMWR_TRAD_AGG_STATE_COMP[],I$1,0),"ERROR")</f>
        <v>6017</v>
      </c>
      <c r="J24" s="114">
        <f t="shared" si="1"/>
        <v>0.66788766788766785</v>
      </c>
      <c r="K24" s="111">
        <f>IFERROR(VLOOKUP($B24,MMWR_TRAD_AGG_STATE_COMP[],K$1,0),"ERROR")</f>
        <v>2227</v>
      </c>
      <c r="L24" s="112">
        <f>IFERROR(VLOOKUP($B24,MMWR_TRAD_AGG_STATE_COMP[],L$1,0),"ERROR")</f>
        <v>1989</v>
      </c>
      <c r="M24" s="114">
        <f t="shared" si="2"/>
        <v>0.89312977099236646</v>
      </c>
      <c r="N24" s="111">
        <f>IFERROR(VLOOKUP($B24,MMWR_TRAD_AGG_STATE_COMP[],N$1,0),"ERROR")</f>
        <v>3273</v>
      </c>
      <c r="O24" s="112">
        <f>IFERROR(VLOOKUP($B24,MMWR_TRAD_AGG_STATE_COMP[],O$1,0),"ERROR")</f>
        <v>1688</v>
      </c>
      <c r="P24" s="114">
        <f t="shared" si="3"/>
        <v>0.51573479987778792</v>
      </c>
      <c r="Q24" s="115">
        <f>IFERROR(VLOOKUP($B24,MMWR_TRAD_AGG_STATE_COMP[],Q$1,0),"ERROR")</f>
        <v>833</v>
      </c>
      <c r="R24" s="115">
        <f>IFERROR(VLOOKUP($B24,MMWR_TRAD_AGG_STATE_COMP[],R$1,0),"ERROR")</f>
        <v>215</v>
      </c>
      <c r="S24" s="115">
        <f>IFERROR(VLOOKUP($B24,MMWR_APP_STATE_COMP[],S$1,0),"ERROR")</f>
        <v>8522</v>
      </c>
      <c r="T24" s="28"/>
    </row>
    <row r="25" spans="1:20" s="123" customFormat="1" x14ac:dyDescent="0.2">
      <c r="A25" s="107"/>
      <c r="B25" s="127" t="s">
        <v>393</v>
      </c>
      <c r="C25" s="109">
        <f>IFERROR(VLOOKUP($B25,MMWR_TRAD_AGG_STATE_COMP[],C$1,0),"ERROR")</f>
        <v>5912</v>
      </c>
      <c r="D25" s="110">
        <f>IFERROR(VLOOKUP($B25,MMWR_TRAD_AGG_STATE_COMP[],D$1,0),"ERROR")</f>
        <v>625.3070027064</v>
      </c>
      <c r="E25" s="111">
        <f>IFERROR(VLOOKUP($B25,MMWR_TRAD_AGG_STATE_COMP[],E$1,0),"ERROR")</f>
        <v>4851</v>
      </c>
      <c r="F25" s="112">
        <f>IFERROR(VLOOKUP($B25,MMWR_TRAD_AGG_STATE_COMP[],F$1,0),"ERROR")</f>
        <v>1122</v>
      </c>
      <c r="G25" s="113">
        <f t="shared" si="0"/>
        <v>0.23129251700680273</v>
      </c>
      <c r="H25" s="111">
        <f>IFERROR(VLOOKUP($B25,MMWR_TRAD_AGG_STATE_COMP[],H$1,0),"ERROR")</f>
        <v>9058</v>
      </c>
      <c r="I25" s="112">
        <f>IFERROR(VLOOKUP($B25,MMWR_TRAD_AGG_STATE_COMP[],I$1,0),"ERROR")</f>
        <v>6943</v>
      </c>
      <c r="J25" s="114">
        <f t="shared" si="1"/>
        <v>0.76650474718480899</v>
      </c>
      <c r="K25" s="111">
        <f>IFERROR(VLOOKUP($B25,MMWR_TRAD_AGG_STATE_COMP[],K$1,0),"ERROR")</f>
        <v>2139</v>
      </c>
      <c r="L25" s="112">
        <f>IFERROR(VLOOKUP($B25,MMWR_TRAD_AGG_STATE_COMP[],L$1,0),"ERROR")</f>
        <v>1819</v>
      </c>
      <c r="M25" s="114">
        <f t="shared" si="2"/>
        <v>0.85039738195418424</v>
      </c>
      <c r="N25" s="111">
        <f>IFERROR(VLOOKUP($B25,MMWR_TRAD_AGG_STATE_COMP[],N$1,0),"ERROR")</f>
        <v>2991</v>
      </c>
      <c r="O25" s="112">
        <f>IFERROR(VLOOKUP($B25,MMWR_TRAD_AGG_STATE_COMP[],O$1,0),"ERROR")</f>
        <v>2129</v>
      </c>
      <c r="P25" s="114">
        <f t="shared" si="3"/>
        <v>0.7118020728853226</v>
      </c>
      <c r="Q25" s="115">
        <f>IFERROR(VLOOKUP($B25,MMWR_TRAD_AGG_STATE_COMP[],Q$1,0),"ERROR")</f>
        <v>630</v>
      </c>
      <c r="R25" s="115">
        <f>IFERROR(VLOOKUP($B25,MMWR_TRAD_AGG_STATE_COMP[],R$1,0),"ERROR")</f>
        <v>214</v>
      </c>
      <c r="S25" s="115">
        <f>IFERROR(VLOOKUP($B25,MMWR_APP_STATE_COMP[],S$1,0),"ERROR")</f>
        <v>8191</v>
      </c>
      <c r="T25" s="28"/>
    </row>
    <row r="26" spans="1:20" s="123" customFormat="1" x14ac:dyDescent="0.2">
      <c r="A26" s="107"/>
      <c r="B26" s="127" t="s">
        <v>400</v>
      </c>
      <c r="C26" s="109">
        <f>IFERROR(VLOOKUP($B26,MMWR_TRAD_AGG_STATE_COMP[],C$1,0),"ERROR")</f>
        <v>1025</v>
      </c>
      <c r="D26" s="110">
        <f>IFERROR(VLOOKUP($B26,MMWR_TRAD_AGG_STATE_COMP[],D$1,0),"ERROR")</f>
        <v>173.66341463410001</v>
      </c>
      <c r="E26" s="111">
        <f>IFERROR(VLOOKUP($B26,MMWR_TRAD_AGG_STATE_COMP[],E$1,0),"ERROR")</f>
        <v>2731</v>
      </c>
      <c r="F26" s="112">
        <f>IFERROR(VLOOKUP($B26,MMWR_TRAD_AGG_STATE_COMP[],F$1,0),"ERROR")</f>
        <v>440</v>
      </c>
      <c r="G26" s="113">
        <f t="shared" si="0"/>
        <v>0.16111314536799706</v>
      </c>
      <c r="H26" s="111">
        <f>IFERROR(VLOOKUP($B26,MMWR_TRAD_AGG_STATE_COMP[],H$1,0),"ERROR")</f>
        <v>1487</v>
      </c>
      <c r="I26" s="112">
        <f>IFERROR(VLOOKUP($B26,MMWR_TRAD_AGG_STATE_COMP[],I$1,0),"ERROR")</f>
        <v>561</v>
      </c>
      <c r="J26" s="114">
        <f t="shared" si="1"/>
        <v>0.3772696704774714</v>
      </c>
      <c r="K26" s="111">
        <f>IFERROR(VLOOKUP($B26,MMWR_TRAD_AGG_STATE_COMP[],K$1,0),"ERROR")</f>
        <v>402</v>
      </c>
      <c r="L26" s="112">
        <f>IFERROR(VLOOKUP($B26,MMWR_TRAD_AGG_STATE_COMP[],L$1,0),"ERROR")</f>
        <v>290</v>
      </c>
      <c r="M26" s="114">
        <f t="shared" si="2"/>
        <v>0.72139303482587069</v>
      </c>
      <c r="N26" s="111">
        <f>IFERROR(VLOOKUP($B26,MMWR_TRAD_AGG_STATE_COMP[],N$1,0),"ERROR")</f>
        <v>515</v>
      </c>
      <c r="O26" s="112">
        <f>IFERROR(VLOOKUP($B26,MMWR_TRAD_AGG_STATE_COMP[],O$1,0),"ERROR")</f>
        <v>298</v>
      </c>
      <c r="P26" s="114">
        <f t="shared" si="3"/>
        <v>0.57864077669902914</v>
      </c>
      <c r="Q26" s="115">
        <f>IFERROR(VLOOKUP($B26,MMWR_TRAD_AGG_STATE_COMP[],Q$1,0),"ERROR")</f>
        <v>5</v>
      </c>
      <c r="R26" s="115">
        <f>IFERROR(VLOOKUP($B26,MMWR_TRAD_AGG_STATE_COMP[],R$1,0),"ERROR")</f>
        <v>9</v>
      </c>
      <c r="S26" s="115">
        <f>IFERROR(VLOOKUP($B26,MMWR_APP_STATE_COMP[],S$1,0),"ERROR")</f>
        <v>1373</v>
      </c>
      <c r="T26" s="28"/>
    </row>
    <row r="27" spans="1:20" s="123" customFormat="1" x14ac:dyDescent="0.2">
      <c r="A27" s="107"/>
      <c r="B27" s="127" t="s">
        <v>423</v>
      </c>
      <c r="C27" s="109">
        <f>IFERROR(VLOOKUP($B27,MMWR_TRAD_AGG_STATE_COMP[],C$1,0),"ERROR")</f>
        <v>1788</v>
      </c>
      <c r="D27" s="110">
        <f>IFERROR(VLOOKUP($B27,MMWR_TRAD_AGG_STATE_COMP[],D$1,0),"ERROR")</f>
        <v>220.0967561521</v>
      </c>
      <c r="E27" s="111">
        <f>IFERROR(VLOOKUP($B27,MMWR_TRAD_AGG_STATE_COMP[],E$1,0),"ERROR")</f>
        <v>2244</v>
      </c>
      <c r="F27" s="112">
        <f>IFERROR(VLOOKUP($B27,MMWR_TRAD_AGG_STATE_COMP[],F$1,0),"ERROR")</f>
        <v>398</v>
      </c>
      <c r="G27" s="113">
        <f t="shared" si="0"/>
        <v>0.17736185383244207</v>
      </c>
      <c r="H27" s="111">
        <f>IFERROR(VLOOKUP($B27,MMWR_TRAD_AGG_STATE_COMP[],H$1,0),"ERROR")</f>
        <v>2672</v>
      </c>
      <c r="I27" s="112">
        <f>IFERROR(VLOOKUP($B27,MMWR_TRAD_AGG_STATE_COMP[],I$1,0),"ERROR")</f>
        <v>1400</v>
      </c>
      <c r="J27" s="114">
        <f t="shared" si="1"/>
        <v>0.5239520958083832</v>
      </c>
      <c r="K27" s="111">
        <f>IFERROR(VLOOKUP($B27,MMWR_TRAD_AGG_STATE_COMP[],K$1,0),"ERROR")</f>
        <v>1021</v>
      </c>
      <c r="L27" s="112">
        <f>IFERROR(VLOOKUP($B27,MMWR_TRAD_AGG_STATE_COMP[],L$1,0),"ERROR")</f>
        <v>555</v>
      </c>
      <c r="M27" s="114">
        <f t="shared" si="2"/>
        <v>0.54358472086190013</v>
      </c>
      <c r="N27" s="111">
        <f>IFERROR(VLOOKUP($B27,MMWR_TRAD_AGG_STATE_COMP[],N$1,0),"ERROR")</f>
        <v>709</v>
      </c>
      <c r="O27" s="112">
        <f>IFERROR(VLOOKUP($B27,MMWR_TRAD_AGG_STATE_COMP[],O$1,0),"ERROR")</f>
        <v>414</v>
      </c>
      <c r="P27" s="114">
        <f t="shared" si="3"/>
        <v>0.58392101551480957</v>
      </c>
      <c r="Q27" s="115">
        <f>IFERROR(VLOOKUP($B27,MMWR_TRAD_AGG_STATE_COMP[],Q$1,0),"ERROR")</f>
        <v>9</v>
      </c>
      <c r="R27" s="115">
        <f>IFERROR(VLOOKUP($B27,MMWR_TRAD_AGG_STATE_COMP[],R$1,0),"ERROR")</f>
        <v>13</v>
      </c>
      <c r="S27" s="115">
        <f>IFERROR(VLOOKUP($B27,MMWR_APP_STATE_COMP[],S$1,0),"ERROR")</f>
        <v>1345</v>
      </c>
      <c r="T27" s="28"/>
    </row>
    <row r="28" spans="1:20" s="123" customFormat="1" x14ac:dyDescent="0.2">
      <c r="A28" s="107"/>
      <c r="B28" s="127" t="s">
        <v>396</v>
      </c>
      <c r="C28" s="109">
        <f>IFERROR(VLOOKUP($B28,MMWR_TRAD_AGG_STATE_COMP[],C$1,0),"ERROR")</f>
        <v>3501</v>
      </c>
      <c r="D28" s="110">
        <f>IFERROR(VLOOKUP($B28,MMWR_TRAD_AGG_STATE_COMP[],D$1,0),"ERROR")</f>
        <v>314.60439874320002</v>
      </c>
      <c r="E28" s="111">
        <f>IFERROR(VLOOKUP($B28,MMWR_TRAD_AGG_STATE_COMP[],E$1,0),"ERROR")</f>
        <v>7683</v>
      </c>
      <c r="F28" s="112">
        <f>IFERROR(VLOOKUP($B28,MMWR_TRAD_AGG_STATE_COMP[],F$1,0),"ERROR")</f>
        <v>1985</v>
      </c>
      <c r="G28" s="113">
        <f t="shared" si="0"/>
        <v>0.25836261876871014</v>
      </c>
      <c r="H28" s="111">
        <f>IFERROR(VLOOKUP($B28,MMWR_TRAD_AGG_STATE_COMP[],H$1,0),"ERROR")</f>
        <v>6475</v>
      </c>
      <c r="I28" s="112">
        <f>IFERROR(VLOOKUP($B28,MMWR_TRAD_AGG_STATE_COMP[],I$1,0),"ERROR")</f>
        <v>4145</v>
      </c>
      <c r="J28" s="114">
        <f t="shared" si="1"/>
        <v>0.64015444015444012</v>
      </c>
      <c r="K28" s="111">
        <f>IFERROR(VLOOKUP($B28,MMWR_TRAD_AGG_STATE_COMP[],K$1,0),"ERROR")</f>
        <v>1305</v>
      </c>
      <c r="L28" s="112">
        <f>IFERROR(VLOOKUP($B28,MMWR_TRAD_AGG_STATE_COMP[],L$1,0),"ERROR")</f>
        <v>1019</v>
      </c>
      <c r="M28" s="114">
        <f t="shared" si="2"/>
        <v>0.78084291187739463</v>
      </c>
      <c r="N28" s="111">
        <f>IFERROR(VLOOKUP($B28,MMWR_TRAD_AGG_STATE_COMP[],N$1,0),"ERROR")</f>
        <v>2401</v>
      </c>
      <c r="O28" s="112">
        <f>IFERROR(VLOOKUP($B28,MMWR_TRAD_AGG_STATE_COMP[],O$1,0),"ERROR")</f>
        <v>1289</v>
      </c>
      <c r="P28" s="114">
        <f t="shared" si="3"/>
        <v>0.53685964181591006</v>
      </c>
      <c r="Q28" s="115">
        <f>IFERROR(VLOOKUP($B28,MMWR_TRAD_AGG_STATE_COMP[],Q$1,0),"ERROR")</f>
        <v>887</v>
      </c>
      <c r="R28" s="115">
        <f>IFERROR(VLOOKUP($B28,MMWR_TRAD_AGG_STATE_COMP[],R$1,0),"ERROR")</f>
        <v>205</v>
      </c>
      <c r="S28" s="115">
        <f>IFERROR(VLOOKUP($B28,MMWR_APP_STATE_COMP[],S$1,0),"ERROR")</f>
        <v>5633</v>
      </c>
      <c r="T28" s="28"/>
    </row>
    <row r="29" spans="1:20" s="123" customFormat="1" x14ac:dyDescent="0.2">
      <c r="A29" s="107"/>
      <c r="B29" s="127" t="s">
        <v>402</v>
      </c>
      <c r="C29" s="109">
        <f>IFERROR(VLOOKUP($B29,MMWR_TRAD_AGG_STATE_COMP[],C$1,0),"ERROR")</f>
        <v>1529</v>
      </c>
      <c r="D29" s="110">
        <f>IFERROR(VLOOKUP($B29,MMWR_TRAD_AGG_STATE_COMP[],D$1,0),"ERROR")</f>
        <v>187.48986265529999</v>
      </c>
      <c r="E29" s="111">
        <f>IFERROR(VLOOKUP($B29,MMWR_TRAD_AGG_STATE_COMP[],E$1,0),"ERROR")</f>
        <v>4266</v>
      </c>
      <c r="F29" s="112">
        <f>IFERROR(VLOOKUP($B29,MMWR_TRAD_AGG_STATE_COMP[],F$1,0),"ERROR")</f>
        <v>765</v>
      </c>
      <c r="G29" s="113">
        <f t="shared" si="0"/>
        <v>0.17932489451476794</v>
      </c>
      <c r="H29" s="111">
        <f>IFERROR(VLOOKUP($B29,MMWR_TRAD_AGG_STATE_COMP[],H$1,0),"ERROR")</f>
        <v>2628</v>
      </c>
      <c r="I29" s="112">
        <f>IFERROR(VLOOKUP($B29,MMWR_TRAD_AGG_STATE_COMP[],I$1,0),"ERROR")</f>
        <v>1077</v>
      </c>
      <c r="J29" s="114">
        <f t="shared" si="1"/>
        <v>0.40981735159817351</v>
      </c>
      <c r="K29" s="111">
        <f>IFERROR(VLOOKUP($B29,MMWR_TRAD_AGG_STATE_COMP[],K$1,0),"ERROR")</f>
        <v>752</v>
      </c>
      <c r="L29" s="112">
        <f>IFERROR(VLOOKUP($B29,MMWR_TRAD_AGG_STATE_COMP[],L$1,0),"ERROR")</f>
        <v>311</v>
      </c>
      <c r="M29" s="114">
        <f t="shared" si="2"/>
        <v>0.41356382978723405</v>
      </c>
      <c r="N29" s="111">
        <f>IFERROR(VLOOKUP($B29,MMWR_TRAD_AGG_STATE_COMP[],N$1,0),"ERROR")</f>
        <v>1168</v>
      </c>
      <c r="O29" s="112">
        <f>IFERROR(VLOOKUP($B29,MMWR_TRAD_AGG_STATE_COMP[],O$1,0),"ERROR")</f>
        <v>711</v>
      </c>
      <c r="P29" s="114">
        <f t="shared" si="3"/>
        <v>0.60873287671232879</v>
      </c>
      <c r="Q29" s="115">
        <f>IFERROR(VLOOKUP($B29,MMWR_TRAD_AGG_STATE_COMP[],Q$1,0),"ERROR")</f>
        <v>8</v>
      </c>
      <c r="R29" s="115">
        <f>IFERROR(VLOOKUP($B29,MMWR_TRAD_AGG_STATE_COMP[],R$1,0),"ERROR")</f>
        <v>4</v>
      </c>
      <c r="S29" s="115">
        <f>IFERROR(VLOOKUP($B29,MMWR_APP_STATE_COMP[],S$1,0),"ERROR")</f>
        <v>2219</v>
      </c>
      <c r="T29" s="28"/>
    </row>
    <row r="30" spans="1:20" s="123" customFormat="1" x14ac:dyDescent="0.2">
      <c r="A30" s="107"/>
      <c r="B30" s="127" t="s">
        <v>398</v>
      </c>
      <c r="C30" s="109">
        <f>IFERROR(VLOOKUP($B30,MMWR_TRAD_AGG_STATE_COMP[],C$1,0),"ERROR")</f>
        <v>4214</v>
      </c>
      <c r="D30" s="110">
        <f>IFERROR(VLOOKUP($B30,MMWR_TRAD_AGG_STATE_COMP[],D$1,0),"ERROR")</f>
        <v>247.21120075939999</v>
      </c>
      <c r="E30" s="111">
        <f>IFERROR(VLOOKUP($B30,MMWR_TRAD_AGG_STATE_COMP[],E$1,0),"ERROR")</f>
        <v>5825</v>
      </c>
      <c r="F30" s="112">
        <f>IFERROR(VLOOKUP($B30,MMWR_TRAD_AGG_STATE_COMP[],F$1,0),"ERROR")</f>
        <v>1325</v>
      </c>
      <c r="G30" s="113">
        <f t="shared" si="0"/>
        <v>0.22746781115879827</v>
      </c>
      <c r="H30" s="111">
        <f>IFERROR(VLOOKUP($B30,MMWR_TRAD_AGG_STATE_COMP[],H$1,0),"ERROR")</f>
        <v>6372</v>
      </c>
      <c r="I30" s="112">
        <f>IFERROR(VLOOKUP($B30,MMWR_TRAD_AGG_STATE_COMP[],I$1,0),"ERROR")</f>
        <v>3488</v>
      </c>
      <c r="J30" s="114">
        <f t="shared" si="1"/>
        <v>0.54739485247959829</v>
      </c>
      <c r="K30" s="111">
        <f>IFERROR(VLOOKUP($B30,MMWR_TRAD_AGG_STATE_COMP[],K$1,0),"ERROR")</f>
        <v>2202</v>
      </c>
      <c r="L30" s="112">
        <f>IFERROR(VLOOKUP($B30,MMWR_TRAD_AGG_STATE_COMP[],L$1,0),"ERROR")</f>
        <v>1858</v>
      </c>
      <c r="M30" s="114">
        <f t="shared" si="2"/>
        <v>0.8437783832879201</v>
      </c>
      <c r="N30" s="111">
        <f>IFERROR(VLOOKUP($B30,MMWR_TRAD_AGG_STATE_COMP[],N$1,0),"ERROR")</f>
        <v>6458</v>
      </c>
      <c r="O30" s="112">
        <f>IFERROR(VLOOKUP($B30,MMWR_TRAD_AGG_STATE_COMP[],O$1,0),"ERROR")</f>
        <v>4770</v>
      </c>
      <c r="P30" s="114">
        <f t="shared" si="3"/>
        <v>0.7386187674202539</v>
      </c>
      <c r="Q30" s="115">
        <f>IFERROR(VLOOKUP($B30,MMWR_TRAD_AGG_STATE_COMP[],Q$1,0),"ERROR")</f>
        <v>770</v>
      </c>
      <c r="R30" s="115">
        <f>IFERROR(VLOOKUP($B30,MMWR_TRAD_AGG_STATE_COMP[],R$1,0),"ERROR")</f>
        <v>49</v>
      </c>
      <c r="S30" s="115">
        <f>IFERROR(VLOOKUP($B30,MMWR_APP_STATE_COMP[],S$1,0),"ERROR")</f>
        <v>6687</v>
      </c>
      <c r="T30" s="28"/>
    </row>
    <row r="31" spans="1:20" s="123" customFormat="1" x14ac:dyDescent="0.2">
      <c r="A31" s="107"/>
      <c r="B31" s="127" t="s">
        <v>401</v>
      </c>
      <c r="C31" s="109">
        <f>IFERROR(VLOOKUP($B31,MMWR_TRAD_AGG_STATE_COMP[],C$1,0),"ERROR")</f>
        <v>1028</v>
      </c>
      <c r="D31" s="110">
        <f>IFERROR(VLOOKUP($B31,MMWR_TRAD_AGG_STATE_COMP[],D$1,0),"ERROR")</f>
        <v>211.75194552529999</v>
      </c>
      <c r="E31" s="111">
        <f>IFERROR(VLOOKUP($B31,MMWR_TRAD_AGG_STATE_COMP[],E$1,0),"ERROR")</f>
        <v>2242</v>
      </c>
      <c r="F31" s="112">
        <f>IFERROR(VLOOKUP($B31,MMWR_TRAD_AGG_STATE_COMP[],F$1,0),"ERROR")</f>
        <v>292</v>
      </c>
      <c r="G31" s="113">
        <f t="shared" si="0"/>
        <v>0.13024085637823371</v>
      </c>
      <c r="H31" s="111">
        <f>IFERROR(VLOOKUP($B31,MMWR_TRAD_AGG_STATE_COMP[],H$1,0),"ERROR")</f>
        <v>1838</v>
      </c>
      <c r="I31" s="112">
        <f>IFERROR(VLOOKUP($B31,MMWR_TRAD_AGG_STATE_COMP[],I$1,0),"ERROR")</f>
        <v>899</v>
      </c>
      <c r="J31" s="114">
        <f t="shared" si="1"/>
        <v>0.48911860718171923</v>
      </c>
      <c r="K31" s="111">
        <f>IFERROR(VLOOKUP($B31,MMWR_TRAD_AGG_STATE_COMP[],K$1,0),"ERROR")</f>
        <v>799</v>
      </c>
      <c r="L31" s="112">
        <f>IFERROR(VLOOKUP($B31,MMWR_TRAD_AGG_STATE_COMP[],L$1,0),"ERROR")</f>
        <v>581</v>
      </c>
      <c r="M31" s="114">
        <f t="shared" si="2"/>
        <v>0.72715894868585729</v>
      </c>
      <c r="N31" s="111">
        <f>IFERROR(VLOOKUP($B31,MMWR_TRAD_AGG_STATE_COMP[],N$1,0),"ERROR")</f>
        <v>620</v>
      </c>
      <c r="O31" s="112">
        <f>IFERROR(VLOOKUP($B31,MMWR_TRAD_AGG_STATE_COMP[],O$1,0),"ERROR")</f>
        <v>349</v>
      </c>
      <c r="P31" s="114">
        <f t="shared" si="3"/>
        <v>0.56290322580645158</v>
      </c>
      <c r="Q31" s="115">
        <f>IFERROR(VLOOKUP($B31,MMWR_TRAD_AGG_STATE_COMP[],Q$1,0),"ERROR")</f>
        <v>1</v>
      </c>
      <c r="R31" s="115">
        <f>IFERROR(VLOOKUP($B31,MMWR_TRAD_AGG_STATE_COMP[],R$1,0),"ERROR")</f>
        <v>12</v>
      </c>
      <c r="S31" s="115">
        <f>IFERROR(VLOOKUP($B31,MMWR_APP_STATE_COMP[],S$1,0),"ERROR")</f>
        <v>1077</v>
      </c>
      <c r="T31" s="28"/>
    </row>
    <row r="32" spans="1:20" s="123" customFormat="1" x14ac:dyDescent="0.2">
      <c r="A32" s="107"/>
      <c r="B32" s="127" t="s">
        <v>420</v>
      </c>
      <c r="C32" s="109">
        <f>IFERROR(VLOOKUP($B32,MMWR_TRAD_AGG_STATE_COMP[],C$1,0),"ERROR")</f>
        <v>142</v>
      </c>
      <c r="D32" s="110">
        <f>IFERROR(VLOOKUP($B32,MMWR_TRAD_AGG_STATE_COMP[],D$1,0),"ERROR")</f>
        <v>229.34507042249999</v>
      </c>
      <c r="E32" s="111">
        <f>IFERROR(VLOOKUP($B32,MMWR_TRAD_AGG_STATE_COMP[],E$1,0),"ERROR")</f>
        <v>596</v>
      </c>
      <c r="F32" s="112">
        <f>IFERROR(VLOOKUP($B32,MMWR_TRAD_AGG_STATE_COMP[],F$1,0),"ERROR")</f>
        <v>108</v>
      </c>
      <c r="G32" s="113">
        <f t="shared" si="0"/>
        <v>0.18120805369127516</v>
      </c>
      <c r="H32" s="111">
        <f>IFERROR(VLOOKUP($B32,MMWR_TRAD_AGG_STATE_COMP[],H$1,0),"ERROR")</f>
        <v>303</v>
      </c>
      <c r="I32" s="112">
        <f>IFERROR(VLOOKUP($B32,MMWR_TRAD_AGG_STATE_COMP[],I$1,0),"ERROR")</f>
        <v>113</v>
      </c>
      <c r="J32" s="114">
        <f t="shared" si="1"/>
        <v>0.37293729372937295</v>
      </c>
      <c r="K32" s="111">
        <f>IFERROR(VLOOKUP($B32,MMWR_TRAD_AGG_STATE_COMP[],K$1,0),"ERROR")</f>
        <v>116</v>
      </c>
      <c r="L32" s="112">
        <f>IFERROR(VLOOKUP($B32,MMWR_TRAD_AGG_STATE_COMP[],L$1,0),"ERROR")</f>
        <v>59</v>
      </c>
      <c r="M32" s="114">
        <f t="shared" si="2"/>
        <v>0.50862068965517238</v>
      </c>
      <c r="N32" s="111">
        <f>IFERROR(VLOOKUP($B32,MMWR_TRAD_AGG_STATE_COMP[],N$1,0),"ERROR")</f>
        <v>159</v>
      </c>
      <c r="O32" s="112">
        <f>IFERROR(VLOOKUP($B32,MMWR_TRAD_AGG_STATE_COMP[],O$1,0),"ERROR")</f>
        <v>97</v>
      </c>
      <c r="P32" s="114">
        <f t="shared" si="3"/>
        <v>0.61006289308176098</v>
      </c>
      <c r="Q32" s="115">
        <f>IFERROR(VLOOKUP($B32,MMWR_TRAD_AGG_STATE_COMP[],Q$1,0),"ERROR")</f>
        <v>2</v>
      </c>
      <c r="R32" s="115">
        <f>IFERROR(VLOOKUP($B32,MMWR_TRAD_AGG_STATE_COMP[],R$1,0),"ERROR")</f>
        <v>1</v>
      </c>
      <c r="S32" s="115">
        <f>IFERROR(VLOOKUP($B32,MMWR_APP_STATE_COMP[],S$1,0),"ERROR")</f>
        <v>489</v>
      </c>
      <c r="T32" s="28"/>
    </row>
    <row r="33" spans="1:20" s="123" customFormat="1" x14ac:dyDescent="0.2">
      <c r="A33" s="107"/>
      <c r="B33" s="127" t="s">
        <v>392</v>
      </c>
      <c r="C33" s="109">
        <f>IFERROR(VLOOKUP($B33,MMWR_TRAD_AGG_STATE_COMP[],C$1,0),"ERROR")</f>
        <v>5377</v>
      </c>
      <c r="D33" s="110">
        <f>IFERROR(VLOOKUP($B33,MMWR_TRAD_AGG_STATE_COMP[],D$1,0),"ERROR")</f>
        <v>440.97452110839998</v>
      </c>
      <c r="E33" s="111">
        <f>IFERROR(VLOOKUP($B33,MMWR_TRAD_AGG_STATE_COMP[],E$1,0),"ERROR")</f>
        <v>7612</v>
      </c>
      <c r="F33" s="112">
        <f>IFERROR(VLOOKUP($B33,MMWR_TRAD_AGG_STATE_COMP[],F$1,0),"ERROR")</f>
        <v>1803</v>
      </c>
      <c r="G33" s="113">
        <f t="shared" si="0"/>
        <v>0.23686284813452443</v>
      </c>
      <c r="H33" s="111">
        <f>IFERROR(VLOOKUP($B33,MMWR_TRAD_AGG_STATE_COMP[],H$1,0),"ERROR")</f>
        <v>9728</v>
      </c>
      <c r="I33" s="112">
        <f>IFERROR(VLOOKUP($B33,MMWR_TRAD_AGG_STATE_COMP[],I$1,0),"ERROR")</f>
        <v>6161</v>
      </c>
      <c r="J33" s="114">
        <f t="shared" si="1"/>
        <v>0.63332648026315785</v>
      </c>
      <c r="K33" s="111">
        <f>IFERROR(VLOOKUP($B33,MMWR_TRAD_AGG_STATE_COMP[],K$1,0),"ERROR")</f>
        <v>1891</v>
      </c>
      <c r="L33" s="112">
        <f>IFERROR(VLOOKUP($B33,MMWR_TRAD_AGG_STATE_COMP[],L$1,0),"ERROR")</f>
        <v>1620</v>
      </c>
      <c r="M33" s="114">
        <f t="shared" si="2"/>
        <v>0.8566895822316235</v>
      </c>
      <c r="N33" s="111">
        <f>IFERROR(VLOOKUP($B33,MMWR_TRAD_AGG_STATE_COMP[],N$1,0),"ERROR")</f>
        <v>3928</v>
      </c>
      <c r="O33" s="112">
        <f>IFERROR(VLOOKUP($B33,MMWR_TRAD_AGG_STATE_COMP[],O$1,0),"ERROR")</f>
        <v>2768</v>
      </c>
      <c r="P33" s="114">
        <f t="shared" si="3"/>
        <v>0.70468431771894091</v>
      </c>
      <c r="Q33" s="115">
        <f>IFERROR(VLOOKUP($B33,MMWR_TRAD_AGG_STATE_COMP[],Q$1,0),"ERROR")</f>
        <v>932</v>
      </c>
      <c r="R33" s="115">
        <f>IFERROR(VLOOKUP($B33,MMWR_TRAD_AGG_STATE_COMP[],R$1,0),"ERROR")</f>
        <v>327</v>
      </c>
      <c r="S33" s="115">
        <f>IFERROR(VLOOKUP($B33,MMWR_APP_STATE_COMP[],S$1,0),"ERROR")</f>
        <v>13451</v>
      </c>
      <c r="T33" s="28"/>
    </row>
    <row r="34" spans="1:20" s="123" customFormat="1" x14ac:dyDescent="0.2">
      <c r="A34" s="107"/>
      <c r="B34" s="127" t="s">
        <v>421</v>
      </c>
      <c r="C34" s="109">
        <f>IFERROR(VLOOKUP($B34,MMWR_TRAD_AGG_STATE_COMP[],C$1,0),"ERROR")</f>
        <v>298</v>
      </c>
      <c r="D34" s="110">
        <f>IFERROR(VLOOKUP($B34,MMWR_TRAD_AGG_STATE_COMP[],D$1,0),"ERROR")</f>
        <v>263.45637583889999</v>
      </c>
      <c r="E34" s="111">
        <f>IFERROR(VLOOKUP($B34,MMWR_TRAD_AGG_STATE_COMP[],E$1,0),"ERROR")</f>
        <v>980</v>
      </c>
      <c r="F34" s="112">
        <f>IFERROR(VLOOKUP($B34,MMWR_TRAD_AGG_STATE_COMP[],F$1,0),"ERROR")</f>
        <v>201</v>
      </c>
      <c r="G34" s="113">
        <f t="shared" si="0"/>
        <v>0.20510204081632652</v>
      </c>
      <c r="H34" s="111">
        <f>IFERROR(VLOOKUP($B34,MMWR_TRAD_AGG_STATE_COMP[],H$1,0),"ERROR")</f>
        <v>535</v>
      </c>
      <c r="I34" s="112">
        <f>IFERROR(VLOOKUP($B34,MMWR_TRAD_AGG_STATE_COMP[],I$1,0),"ERROR")</f>
        <v>237</v>
      </c>
      <c r="J34" s="114">
        <f t="shared" si="1"/>
        <v>0.44299065420560746</v>
      </c>
      <c r="K34" s="111">
        <f>IFERROR(VLOOKUP($B34,MMWR_TRAD_AGG_STATE_COMP[],K$1,0),"ERROR")</f>
        <v>296</v>
      </c>
      <c r="L34" s="112">
        <f>IFERROR(VLOOKUP($B34,MMWR_TRAD_AGG_STATE_COMP[],L$1,0),"ERROR")</f>
        <v>125</v>
      </c>
      <c r="M34" s="114">
        <f t="shared" si="2"/>
        <v>0.42229729729729731</v>
      </c>
      <c r="N34" s="111">
        <f>IFERROR(VLOOKUP($B34,MMWR_TRAD_AGG_STATE_COMP[],N$1,0),"ERROR")</f>
        <v>134</v>
      </c>
      <c r="O34" s="112">
        <f>IFERROR(VLOOKUP($B34,MMWR_TRAD_AGG_STATE_COMP[],O$1,0),"ERROR")</f>
        <v>82</v>
      </c>
      <c r="P34" s="114">
        <f t="shared" si="3"/>
        <v>0.61194029850746268</v>
      </c>
      <c r="Q34" s="115">
        <f>IFERROR(VLOOKUP($B34,MMWR_TRAD_AGG_STATE_COMP[],Q$1,0),"ERROR")</f>
        <v>1</v>
      </c>
      <c r="R34" s="115">
        <f>IFERROR(VLOOKUP($B34,MMWR_TRAD_AGG_STATE_COMP[],R$1,0),"ERROR")</f>
        <v>1</v>
      </c>
      <c r="S34" s="115">
        <f>IFERROR(VLOOKUP($B34,MMWR_APP_STATE_COMP[],S$1,0),"ERROR")</f>
        <v>213</v>
      </c>
      <c r="T34" s="28"/>
    </row>
    <row r="35" spans="1:20" s="123" customFormat="1" x14ac:dyDescent="0.2">
      <c r="A35" s="107"/>
      <c r="B35" s="127" t="s">
        <v>397</v>
      </c>
      <c r="C35" s="109">
        <f>IFERROR(VLOOKUP($B35,MMWR_TRAD_AGG_STATE_COMP[],C$1,0),"ERROR")</f>
        <v>3588</v>
      </c>
      <c r="D35" s="110">
        <f>IFERROR(VLOOKUP($B35,MMWR_TRAD_AGG_STATE_COMP[],D$1,0),"ERROR")</f>
        <v>253.55239687849999</v>
      </c>
      <c r="E35" s="111">
        <f>IFERROR(VLOOKUP($B35,MMWR_TRAD_AGG_STATE_COMP[],E$1,0),"ERROR")</f>
        <v>3757</v>
      </c>
      <c r="F35" s="112">
        <f>IFERROR(VLOOKUP($B35,MMWR_TRAD_AGG_STATE_COMP[],F$1,0),"ERROR")</f>
        <v>674</v>
      </c>
      <c r="G35" s="113">
        <f t="shared" si="0"/>
        <v>0.1793984562150652</v>
      </c>
      <c r="H35" s="111">
        <f>IFERROR(VLOOKUP($B35,MMWR_TRAD_AGG_STATE_COMP[],H$1,0),"ERROR")</f>
        <v>5075</v>
      </c>
      <c r="I35" s="112">
        <f>IFERROR(VLOOKUP($B35,MMWR_TRAD_AGG_STATE_COMP[],I$1,0),"ERROR")</f>
        <v>2918</v>
      </c>
      <c r="J35" s="114">
        <f t="shared" si="1"/>
        <v>0.5749753694581281</v>
      </c>
      <c r="K35" s="111">
        <f>IFERROR(VLOOKUP($B35,MMWR_TRAD_AGG_STATE_COMP[],K$1,0),"ERROR")</f>
        <v>699</v>
      </c>
      <c r="L35" s="112">
        <f>IFERROR(VLOOKUP($B35,MMWR_TRAD_AGG_STATE_COMP[],L$1,0),"ERROR")</f>
        <v>536</v>
      </c>
      <c r="M35" s="114">
        <f t="shared" si="2"/>
        <v>0.76680972818311877</v>
      </c>
      <c r="N35" s="111">
        <f>IFERROR(VLOOKUP($B35,MMWR_TRAD_AGG_STATE_COMP[],N$1,0),"ERROR")</f>
        <v>1027</v>
      </c>
      <c r="O35" s="112">
        <f>IFERROR(VLOOKUP($B35,MMWR_TRAD_AGG_STATE_COMP[],O$1,0),"ERROR")</f>
        <v>559</v>
      </c>
      <c r="P35" s="114">
        <f t="shared" si="3"/>
        <v>0.54430379746835444</v>
      </c>
      <c r="Q35" s="115">
        <f>IFERROR(VLOOKUP($B35,MMWR_TRAD_AGG_STATE_COMP[],Q$1,0),"ERROR")</f>
        <v>467</v>
      </c>
      <c r="R35" s="115">
        <f>IFERROR(VLOOKUP($B35,MMWR_TRAD_AGG_STATE_COMP[],R$1,0),"ERROR")</f>
        <v>6</v>
      </c>
      <c r="S35" s="115">
        <f>IFERROR(VLOOKUP($B35,MMWR_APP_STATE_COMP[],S$1,0),"ERROR")</f>
        <v>3384</v>
      </c>
      <c r="T35" s="28"/>
    </row>
    <row r="36" spans="1:20" s="123" customFormat="1" x14ac:dyDescent="0.2">
      <c r="A36" s="28"/>
      <c r="B36" s="126" t="s">
        <v>386</v>
      </c>
      <c r="C36" s="102">
        <f>IF(SUM(C37:C45)&lt;&gt;VLOOKUP($B36,MMWR_TRAD_AGG_ST_DISTRICT_COMP[],C$1,0),"ERROR",
VLOOKUP($B36,MMWR_TRAD_AGG_ST_DISTRICT_COMP[],C$1,0))</f>
        <v>50485</v>
      </c>
      <c r="D36" s="103">
        <f>IFERROR(VLOOKUP($B36,MMWR_TRAD_AGG_ST_DISTRICT_COMP[],D$1,0),"ERROR")</f>
        <v>368.96648509459999</v>
      </c>
      <c r="E36" s="102">
        <f>IFERROR(VLOOKUP($B36,MMWR_TRAD_AGG_ST_DISTRICT_COMP[],E$1,0),"ERROR")</f>
        <v>64584</v>
      </c>
      <c r="F36" s="102">
        <f>IFERROR(VLOOKUP($B36,MMWR_TRAD_AGG_ST_DISTRICT_COMP[],F$1,0),"ERROR")</f>
        <v>14964</v>
      </c>
      <c r="G36" s="104">
        <f t="shared" si="0"/>
        <v>0.23169825343738387</v>
      </c>
      <c r="H36" s="102">
        <f>IFERROR(VLOOKUP($B36,MMWR_TRAD_AGG_ST_DISTRICT_COMP[],H$1,0),"ERROR")</f>
        <v>72121</v>
      </c>
      <c r="I36" s="102">
        <f>IFERROR(VLOOKUP($B36,MMWR_TRAD_AGG_ST_DISTRICT_COMP[],I$1,0),"ERROR")</f>
        <v>47313</v>
      </c>
      <c r="J36" s="105">
        <f t="shared" si="1"/>
        <v>0.65602251771328735</v>
      </c>
      <c r="K36" s="102">
        <f>IFERROR(VLOOKUP($B36,MMWR_TRAD_AGG_ST_DISTRICT_COMP[],K$1,0),"ERROR")</f>
        <v>18659</v>
      </c>
      <c r="L36" s="102">
        <f>IFERROR(VLOOKUP($B36,MMWR_TRAD_AGG_ST_DISTRICT_COMP[],L$1,0),"ERROR")</f>
        <v>13760</v>
      </c>
      <c r="M36" s="105">
        <f t="shared" si="2"/>
        <v>0.73744573664183499</v>
      </c>
      <c r="N36" s="102">
        <f>IFERROR(VLOOKUP($B36,MMWR_TRAD_AGG_ST_DISTRICT_COMP[],N$1,0),"ERROR")</f>
        <v>28291</v>
      </c>
      <c r="O36" s="102">
        <f>IFERROR(VLOOKUP($B36,MMWR_TRAD_AGG_ST_DISTRICT_COMP[],O$1,0),"ERROR")</f>
        <v>16794</v>
      </c>
      <c r="P36" s="105">
        <f t="shared" si="3"/>
        <v>0.59361634442048705</v>
      </c>
      <c r="Q36" s="102">
        <f>IFERROR(VLOOKUP($B36,MMWR_TRAD_AGG_ST_DISTRICT_COMP[],Q$1,0),"ERROR")</f>
        <v>1015</v>
      </c>
      <c r="R36" s="106">
        <f>IFERROR(VLOOKUP($B36,MMWR_TRAD_AGG_ST_DISTRICT_COMP[],R$1,0),"ERROR")</f>
        <v>1091</v>
      </c>
      <c r="S36" s="106">
        <f>SUM(S37:S45)</f>
        <v>70831</v>
      </c>
      <c r="T36" s="28"/>
    </row>
    <row r="37" spans="1:20" s="123" customFormat="1" x14ac:dyDescent="0.2">
      <c r="A37" s="28"/>
      <c r="B37" s="127" t="s">
        <v>412</v>
      </c>
      <c r="C37" s="109">
        <f>IFERROR(VLOOKUP($B37,MMWR_TRAD_AGG_STATE_COMP[],C$1,0),"ERROR")</f>
        <v>3603</v>
      </c>
      <c r="D37" s="110">
        <f>IFERROR(VLOOKUP($B37,MMWR_TRAD_AGG_STATE_COMP[],D$1,0),"ERROR")</f>
        <v>346.47182903139998</v>
      </c>
      <c r="E37" s="111">
        <f>IFERROR(VLOOKUP($B37,MMWR_TRAD_AGG_STATE_COMP[],E$1,0),"ERROR")</f>
        <v>3372</v>
      </c>
      <c r="F37" s="112">
        <f>IFERROR(VLOOKUP($B37,MMWR_TRAD_AGG_STATE_COMP[],F$1,0),"ERROR")</f>
        <v>626</v>
      </c>
      <c r="G37" s="113">
        <f t="shared" si="0"/>
        <v>0.18564650059311982</v>
      </c>
      <c r="H37" s="111">
        <f>IFERROR(VLOOKUP($B37,MMWR_TRAD_AGG_STATE_COMP[],H$1,0),"ERROR")</f>
        <v>5025</v>
      </c>
      <c r="I37" s="112">
        <f>IFERROR(VLOOKUP($B37,MMWR_TRAD_AGG_STATE_COMP[],I$1,0),"ERROR")</f>
        <v>3220</v>
      </c>
      <c r="J37" s="114">
        <f t="shared" si="1"/>
        <v>0.6407960199004975</v>
      </c>
      <c r="K37" s="111">
        <f>IFERROR(VLOOKUP($B37,MMWR_TRAD_AGG_STATE_COMP[],K$1,0),"ERROR")</f>
        <v>1760</v>
      </c>
      <c r="L37" s="112">
        <f>IFERROR(VLOOKUP($B37,MMWR_TRAD_AGG_STATE_COMP[],L$1,0),"ERROR")</f>
        <v>1492</v>
      </c>
      <c r="M37" s="114">
        <f t="shared" si="2"/>
        <v>0.84772727272727277</v>
      </c>
      <c r="N37" s="111">
        <f>IFERROR(VLOOKUP($B37,MMWR_TRAD_AGG_STATE_COMP[],N$1,0),"ERROR")</f>
        <v>2459</v>
      </c>
      <c r="O37" s="112">
        <f>IFERROR(VLOOKUP($B37,MMWR_TRAD_AGG_STATE_COMP[],O$1,0),"ERROR")</f>
        <v>1469</v>
      </c>
      <c r="P37" s="114">
        <f t="shared" si="3"/>
        <v>0.59739731598210655</v>
      </c>
      <c r="Q37" s="115">
        <f>IFERROR(VLOOKUP($B37,MMWR_TRAD_AGG_STATE_COMP[],Q$1,0),"ERROR")</f>
        <v>352</v>
      </c>
      <c r="R37" s="115">
        <f>IFERROR(VLOOKUP($B37,MMWR_TRAD_AGG_STATE_COMP[],R$1,0),"ERROR")</f>
        <v>95</v>
      </c>
      <c r="S37" s="115">
        <f>IFERROR(VLOOKUP($B37,MMWR_APP_STATE_COMP[],S$1,0),"ERROR")</f>
        <v>5356</v>
      </c>
      <c r="T37" s="28"/>
    </row>
    <row r="38" spans="1:20" s="123" customFormat="1" x14ac:dyDescent="0.2">
      <c r="A38" s="28"/>
      <c r="B38" s="127" t="s">
        <v>404</v>
      </c>
      <c r="C38" s="109">
        <f>IFERROR(VLOOKUP($B38,MMWR_TRAD_AGG_STATE_COMP[],C$1,0),"ERROR")</f>
        <v>6916</v>
      </c>
      <c r="D38" s="110">
        <f>IFERROR(VLOOKUP($B38,MMWR_TRAD_AGG_STATE_COMP[],D$1,0),"ERROR")</f>
        <v>442.68348756509999</v>
      </c>
      <c r="E38" s="111">
        <f>IFERROR(VLOOKUP($B38,MMWR_TRAD_AGG_STATE_COMP[],E$1,0),"ERROR")</f>
        <v>6478</v>
      </c>
      <c r="F38" s="112">
        <f>IFERROR(VLOOKUP($B38,MMWR_TRAD_AGG_STATE_COMP[],F$1,0),"ERROR")</f>
        <v>1812</v>
      </c>
      <c r="G38" s="113">
        <f t="shared" ref="G38:G64" si="4">IFERROR(F38/E38,"0%")</f>
        <v>0.2797159617165792</v>
      </c>
      <c r="H38" s="111">
        <f>IFERROR(VLOOKUP($B38,MMWR_TRAD_AGG_STATE_COMP[],H$1,0),"ERROR")</f>
        <v>10010</v>
      </c>
      <c r="I38" s="112">
        <f>IFERROR(VLOOKUP($B38,MMWR_TRAD_AGG_STATE_COMP[],I$1,0),"ERROR")</f>
        <v>7114</v>
      </c>
      <c r="J38" s="114">
        <f t="shared" ref="J38:J64" si="5">IFERROR(I38/H38,"0%")</f>
        <v>0.71068931068931074</v>
      </c>
      <c r="K38" s="111">
        <f>IFERROR(VLOOKUP($B38,MMWR_TRAD_AGG_STATE_COMP[],K$1,0),"ERROR")</f>
        <v>3266</v>
      </c>
      <c r="L38" s="112">
        <f>IFERROR(VLOOKUP($B38,MMWR_TRAD_AGG_STATE_COMP[],L$1,0),"ERROR")</f>
        <v>2601</v>
      </c>
      <c r="M38" s="114">
        <f t="shared" ref="M38:M64" si="6">IFERROR(L38/K38,"0%")</f>
        <v>0.79638701775872622</v>
      </c>
      <c r="N38" s="111">
        <f>IFERROR(VLOOKUP($B38,MMWR_TRAD_AGG_STATE_COMP[],N$1,0),"ERROR")</f>
        <v>1772</v>
      </c>
      <c r="O38" s="112">
        <f>IFERROR(VLOOKUP($B38,MMWR_TRAD_AGG_STATE_COMP[],O$1,0),"ERROR")</f>
        <v>1080</v>
      </c>
      <c r="P38" s="114">
        <f t="shared" ref="P38:P64" si="7">IFERROR(O38/N38,"0%")</f>
        <v>0.60948081264108356</v>
      </c>
      <c r="Q38" s="115">
        <f>IFERROR(VLOOKUP($B38,MMWR_TRAD_AGG_STATE_COMP[],Q$1,0),"ERROR")</f>
        <v>6</v>
      </c>
      <c r="R38" s="115">
        <f>IFERROR(VLOOKUP($B38,MMWR_TRAD_AGG_STATE_COMP[],R$1,0),"ERROR")</f>
        <v>58</v>
      </c>
      <c r="S38" s="115">
        <f>IFERROR(VLOOKUP($B38,MMWR_APP_STATE_COMP[],S$1,0),"ERROR")</f>
        <v>6590</v>
      </c>
      <c r="T38" s="28"/>
    </row>
    <row r="39" spans="1:20" s="123" customFormat="1" x14ac:dyDescent="0.2">
      <c r="A39" s="28"/>
      <c r="B39" s="127" t="s">
        <v>388</v>
      </c>
      <c r="C39" s="109">
        <f>IFERROR(VLOOKUP($B39,MMWR_TRAD_AGG_STATE_COMP[],C$1,0),"ERROR")</f>
        <v>4629</v>
      </c>
      <c r="D39" s="110">
        <f>IFERROR(VLOOKUP($B39,MMWR_TRAD_AGG_STATE_COMP[],D$1,0),"ERROR")</f>
        <v>434.37783538560001</v>
      </c>
      <c r="E39" s="111">
        <f>IFERROR(VLOOKUP($B39,MMWR_TRAD_AGG_STATE_COMP[],E$1,0),"ERROR")</f>
        <v>5496</v>
      </c>
      <c r="F39" s="112">
        <f>IFERROR(VLOOKUP($B39,MMWR_TRAD_AGG_STATE_COMP[],F$1,0),"ERROR")</f>
        <v>1418</v>
      </c>
      <c r="G39" s="113">
        <f t="shared" si="4"/>
        <v>0.25800582241630277</v>
      </c>
      <c r="H39" s="111">
        <f>IFERROR(VLOOKUP($B39,MMWR_TRAD_AGG_STATE_COMP[],H$1,0),"ERROR")</f>
        <v>7044</v>
      </c>
      <c r="I39" s="112">
        <f>IFERROR(VLOOKUP($B39,MMWR_TRAD_AGG_STATE_COMP[],I$1,0),"ERROR")</f>
        <v>4691</v>
      </c>
      <c r="J39" s="114">
        <f t="shared" si="5"/>
        <v>0.6659568427030097</v>
      </c>
      <c r="K39" s="111">
        <f>IFERROR(VLOOKUP($B39,MMWR_TRAD_AGG_STATE_COMP[],K$1,0),"ERROR")</f>
        <v>1623</v>
      </c>
      <c r="L39" s="112">
        <f>IFERROR(VLOOKUP($B39,MMWR_TRAD_AGG_STATE_COMP[],L$1,0),"ERROR")</f>
        <v>1229</v>
      </c>
      <c r="M39" s="114">
        <f t="shared" si="6"/>
        <v>0.75723967960566851</v>
      </c>
      <c r="N39" s="111">
        <f>IFERROR(VLOOKUP($B39,MMWR_TRAD_AGG_STATE_COMP[],N$1,0),"ERROR")</f>
        <v>2477</v>
      </c>
      <c r="O39" s="112">
        <f>IFERROR(VLOOKUP($B39,MMWR_TRAD_AGG_STATE_COMP[],O$1,0),"ERROR")</f>
        <v>1622</v>
      </c>
      <c r="P39" s="114">
        <f t="shared" si="7"/>
        <v>0.65482438433589019</v>
      </c>
      <c r="Q39" s="115">
        <f>IFERROR(VLOOKUP($B39,MMWR_TRAD_AGG_STATE_COMP[],Q$1,0),"ERROR")</f>
        <v>260</v>
      </c>
      <c r="R39" s="115">
        <f>IFERROR(VLOOKUP($B39,MMWR_TRAD_AGG_STATE_COMP[],R$1,0),"ERROR")</f>
        <v>262</v>
      </c>
      <c r="S39" s="115">
        <f>IFERROR(VLOOKUP($B39,MMWR_APP_STATE_COMP[],S$1,0),"ERROR")</f>
        <v>6050</v>
      </c>
      <c r="T39" s="28"/>
    </row>
    <row r="40" spans="1:20" s="123" customFormat="1" x14ac:dyDescent="0.2">
      <c r="A40" s="28"/>
      <c r="B40" s="127" t="s">
        <v>390</v>
      </c>
      <c r="C40" s="109">
        <f>IFERROR(VLOOKUP($B40,MMWR_TRAD_AGG_STATE_COMP[],C$1,0),"ERROR")</f>
        <v>4072</v>
      </c>
      <c r="D40" s="110">
        <f>IFERROR(VLOOKUP($B40,MMWR_TRAD_AGG_STATE_COMP[],D$1,0),"ERROR")</f>
        <v>398.80255402749998</v>
      </c>
      <c r="E40" s="111">
        <f>IFERROR(VLOOKUP($B40,MMWR_TRAD_AGG_STATE_COMP[],E$1,0),"ERROR")</f>
        <v>4557</v>
      </c>
      <c r="F40" s="112">
        <f>IFERROR(VLOOKUP($B40,MMWR_TRAD_AGG_STATE_COMP[],F$1,0),"ERROR")</f>
        <v>1476</v>
      </c>
      <c r="G40" s="113">
        <f t="shared" si="4"/>
        <v>0.32389730085582619</v>
      </c>
      <c r="H40" s="111">
        <f>IFERROR(VLOOKUP($B40,MMWR_TRAD_AGG_STATE_COMP[],H$1,0),"ERROR")</f>
        <v>6174</v>
      </c>
      <c r="I40" s="112">
        <f>IFERROR(VLOOKUP($B40,MMWR_TRAD_AGG_STATE_COMP[],I$1,0),"ERROR")</f>
        <v>4666</v>
      </c>
      <c r="J40" s="114">
        <f t="shared" si="5"/>
        <v>0.75574991901522515</v>
      </c>
      <c r="K40" s="111">
        <f>IFERROR(VLOOKUP($B40,MMWR_TRAD_AGG_STATE_COMP[],K$1,0),"ERROR")</f>
        <v>1473</v>
      </c>
      <c r="L40" s="112">
        <f>IFERROR(VLOOKUP($B40,MMWR_TRAD_AGG_STATE_COMP[],L$1,0),"ERROR")</f>
        <v>1173</v>
      </c>
      <c r="M40" s="114">
        <f t="shared" si="6"/>
        <v>0.79633401221995925</v>
      </c>
      <c r="N40" s="111">
        <f>IFERROR(VLOOKUP($B40,MMWR_TRAD_AGG_STATE_COMP[],N$1,0),"ERROR")</f>
        <v>2671</v>
      </c>
      <c r="O40" s="112">
        <f>IFERROR(VLOOKUP($B40,MMWR_TRAD_AGG_STATE_COMP[],O$1,0),"ERROR")</f>
        <v>2023</v>
      </c>
      <c r="P40" s="114">
        <f t="shared" si="7"/>
        <v>0.7573942343691501</v>
      </c>
      <c r="Q40" s="115">
        <f>IFERROR(VLOOKUP($B40,MMWR_TRAD_AGG_STATE_COMP[],Q$1,0),"ERROR")</f>
        <v>364</v>
      </c>
      <c r="R40" s="115">
        <f>IFERROR(VLOOKUP($B40,MMWR_TRAD_AGG_STATE_COMP[],R$1,0),"ERROR")</f>
        <v>179</v>
      </c>
      <c r="S40" s="115">
        <f>IFERROR(VLOOKUP($B40,MMWR_APP_STATE_COMP[],S$1,0),"ERROR")</f>
        <v>4921</v>
      </c>
      <c r="T40" s="28"/>
    </row>
    <row r="41" spans="1:20" s="123" customFormat="1" x14ac:dyDescent="0.2">
      <c r="A41" s="28"/>
      <c r="B41" s="127" t="s">
        <v>419</v>
      </c>
      <c r="C41" s="109">
        <f>IFERROR(VLOOKUP($B41,MMWR_TRAD_AGG_STATE_COMP[],C$1,0),"ERROR")</f>
        <v>560</v>
      </c>
      <c r="D41" s="110">
        <f>IFERROR(VLOOKUP($B41,MMWR_TRAD_AGG_STATE_COMP[],D$1,0),"ERROR")</f>
        <v>265.70357142860001</v>
      </c>
      <c r="E41" s="111">
        <f>IFERROR(VLOOKUP($B41,MMWR_TRAD_AGG_STATE_COMP[],E$1,0),"ERROR")</f>
        <v>793</v>
      </c>
      <c r="F41" s="112">
        <f>IFERROR(VLOOKUP($B41,MMWR_TRAD_AGG_STATE_COMP[],F$1,0),"ERROR")</f>
        <v>69</v>
      </c>
      <c r="G41" s="113">
        <f t="shared" si="4"/>
        <v>8.7011349306431271E-2</v>
      </c>
      <c r="H41" s="111">
        <f>IFERROR(VLOOKUP($B41,MMWR_TRAD_AGG_STATE_COMP[],H$1,0),"ERROR")</f>
        <v>932</v>
      </c>
      <c r="I41" s="112">
        <f>IFERROR(VLOOKUP($B41,MMWR_TRAD_AGG_STATE_COMP[],I$1,0),"ERROR")</f>
        <v>506</v>
      </c>
      <c r="J41" s="114">
        <f t="shared" si="5"/>
        <v>0.5429184549356223</v>
      </c>
      <c r="K41" s="111">
        <f>IFERROR(VLOOKUP($B41,MMWR_TRAD_AGG_STATE_COMP[],K$1,0),"ERROR")</f>
        <v>440</v>
      </c>
      <c r="L41" s="112">
        <f>IFERROR(VLOOKUP($B41,MMWR_TRAD_AGG_STATE_COMP[],L$1,0),"ERROR")</f>
        <v>268</v>
      </c>
      <c r="M41" s="114">
        <f t="shared" si="6"/>
        <v>0.60909090909090913</v>
      </c>
      <c r="N41" s="111">
        <f>IFERROR(VLOOKUP($B41,MMWR_TRAD_AGG_STATE_COMP[],N$1,0),"ERROR")</f>
        <v>380</v>
      </c>
      <c r="O41" s="112">
        <f>IFERROR(VLOOKUP($B41,MMWR_TRAD_AGG_STATE_COMP[],O$1,0),"ERROR")</f>
        <v>196</v>
      </c>
      <c r="P41" s="114">
        <f t="shared" si="7"/>
        <v>0.51578947368421058</v>
      </c>
      <c r="Q41" s="115">
        <f>IFERROR(VLOOKUP($B41,MMWR_TRAD_AGG_STATE_COMP[],Q$1,0),"ERROR")</f>
        <v>1</v>
      </c>
      <c r="R41" s="115">
        <f>IFERROR(VLOOKUP($B41,MMWR_TRAD_AGG_STATE_COMP[],R$1,0),"ERROR")</f>
        <v>7</v>
      </c>
      <c r="S41" s="115">
        <f>IFERROR(VLOOKUP($B41,MMWR_APP_STATE_COMP[],S$1,0),"ERROR")</f>
        <v>409</v>
      </c>
      <c r="T41" s="28"/>
    </row>
    <row r="42" spans="1:20" s="123" customFormat="1" x14ac:dyDescent="0.2">
      <c r="A42" s="28"/>
      <c r="B42" s="127" t="s">
        <v>413</v>
      </c>
      <c r="C42" s="109">
        <f>IFERROR(VLOOKUP($B42,MMWR_TRAD_AGG_STATE_COMP[],C$1,0),"ERROR")</f>
        <v>2117</v>
      </c>
      <c r="D42" s="110">
        <f>IFERROR(VLOOKUP($B42,MMWR_TRAD_AGG_STATE_COMP[],D$1,0),"ERROR")</f>
        <v>268.820028342</v>
      </c>
      <c r="E42" s="111">
        <f>IFERROR(VLOOKUP($B42,MMWR_TRAD_AGG_STATE_COMP[],E$1,0),"ERROR")</f>
        <v>5656</v>
      </c>
      <c r="F42" s="112">
        <f>IFERROR(VLOOKUP($B42,MMWR_TRAD_AGG_STATE_COMP[],F$1,0),"ERROR")</f>
        <v>882</v>
      </c>
      <c r="G42" s="113">
        <f t="shared" si="4"/>
        <v>0.15594059405940594</v>
      </c>
      <c r="H42" s="111">
        <f>IFERROR(VLOOKUP($B42,MMWR_TRAD_AGG_STATE_COMP[],H$1,0),"ERROR")</f>
        <v>3333</v>
      </c>
      <c r="I42" s="112">
        <f>IFERROR(VLOOKUP($B42,MMWR_TRAD_AGG_STATE_COMP[],I$1,0),"ERROR")</f>
        <v>1283</v>
      </c>
      <c r="J42" s="114">
        <f t="shared" si="5"/>
        <v>0.38493849384938494</v>
      </c>
      <c r="K42" s="111">
        <f>IFERROR(VLOOKUP($B42,MMWR_TRAD_AGG_STATE_COMP[],K$1,0),"ERROR")</f>
        <v>1130</v>
      </c>
      <c r="L42" s="112">
        <f>IFERROR(VLOOKUP($B42,MMWR_TRAD_AGG_STATE_COMP[],L$1,0),"ERROR")</f>
        <v>516</v>
      </c>
      <c r="M42" s="114">
        <f t="shared" si="6"/>
        <v>0.45663716814159294</v>
      </c>
      <c r="N42" s="111">
        <f>IFERROR(VLOOKUP($B42,MMWR_TRAD_AGG_STATE_COMP[],N$1,0),"ERROR")</f>
        <v>2732</v>
      </c>
      <c r="O42" s="112">
        <f>IFERROR(VLOOKUP($B42,MMWR_TRAD_AGG_STATE_COMP[],O$1,0),"ERROR")</f>
        <v>1532</v>
      </c>
      <c r="P42" s="114">
        <f t="shared" si="7"/>
        <v>0.56076134699853586</v>
      </c>
      <c r="Q42" s="115">
        <f>IFERROR(VLOOKUP($B42,MMWR_TRAD_AGG_STATE_COMP[],Q$1,0),"ERROR")</f>
        <v>6</v>
      </c>
      <c r="R42" s="115">
        <f>IFERROR(VLOOKUP($B42,MMWR_TRAD_AGG_STATE_COMP[],R$1,0),"ERROR")</f>
        <v>63</v>
      </c>
      <c r="S42" s="115">
        <f>IFERROR(VLOOKUP($B42,MMWR_APP_STATE_COMP[],S$1,0),"ERROR")</f>
        <v>4586</v>
      </c>
      <c r="T42" s="28"/>
    </row>
    <row r="43" spans="1:20" s="123" customFormat="1" x14ac:dyDescent="0.2">
      <c r="A43" s="28"/>
      <c r="B43" s="127" t="s">
        <v>411</v>
      </c>
      <c r="C43" s="109">
        <f>IFERROR(VLOOKUP($B43,MMWR_TRAD_AGG_STATE_COMP[],C$1,0),"ERROR")</f>
        <v>26866</v>
      </c>
      <c r="D43" s="110">
        <f>IFERROR(VLOOKUP($B43,MMWR_TRAD_AGG_STATE_COMP[],D$1,0),"ERROR")</f>
        <v>353.19277153280001</v>
      </c>
      <c r="E43" s="111">
        <f>IFERROR(VLOOKUP($B43,MMWR_TRAD_AGG_STATE_COMP[],E$1,0),"ERROR")</f>
        <v>35297</v>
      </c>
      <c r="F43" s="112">
        <f>IFERROR(VLOOKUP($B43,MMWR_TRAD_AGG_STATE_COMP[],F$1,0),"ERROR")</f>
        <v>7917</v>
      </c>
      <c r="G43" s="113">
        <f t="shared" si="4"/>
        <v>0.22429668243760092</v>
      </c>
      <c r="H43" s="111">
        <f>IFERROR(VLOOKUP($B43,MMWR_TRAD_AGG_STATE_COMP[],H$1,0),"ERROR")</f>
        <v>37110</v>
      </c>
      <c r="I43" s="112">
        <f>IFERROR(VLOOKUP($B43,MMWR_TRAD_AGG_STATE_COMP[],I$1,0),"ERROR")</f>
        <v>24384</v>
      </c>
      <c r="J43" s="114">
        <f t="shared" si="5"/>
        <v>0.6570735650767987</v>
      </c>
      <c r="K43" s="111">
        <f>IFERROR(VLOOKUP($B43,MMWR_TRAD_AGG_STATE_COMP[],K$1,0),"ERROR")</f>
        <v>8313</v>
      </c>
      <c r="L43" s="112">
        <f>IFERROR(VLOOKUP($B43,MMWR_TRAD_AGG_STATE_COMP[],L$1,0),"ERROR")</f>
        <v>6060</v>
      </c>
      <c r="M43" s="114">
        <f t="shared" si="6"/>
        <v>0.7289787080476362</v>
      </c>
      <c r="N43" s="111">
        <f>IFERROR(VLOOKUP($B43,MMWR_TRAD_AGG_STATE_COMP[],N$1,0),"ERROR")</f>
        <v>15164</v>
      </c>
      <c r="O43" s="112">
        <f>IFERROR(VLOOKUP($B43,MMWR_TRAD_AGG_STATE_COMP[],O$1,0),"ERROR")</f>
        <v>8524</v>
      </c>
      <c r="P43" s="114">
        <f t="shared" si="7"/>
        <v>0.5621208124505408</v>
      </c>
      <c r="Q43" s="115">
        <f>IFERROR(VLOOKUP($B43,MMWR_TRAD_AGG_STATE_COMP[],Q$1,0),"ERROR")</f>
        <v>23</v>
      </c>
      <c r="R43" s="115">
        <f>IFERROR(VLOOKUP($B43,MMWR_TRAD_AGG_STATE_COMP[],R$1,0),"ERROR")</f>
        <v>423</v>
      </c>
      <c r="S43" s="115">
        <f>IFERROR(VLOOKUP($B43,MMWR_APP_STATE_COMP[],S$1,0),"ERROR")</f>
        <v>42081</v>
      </c>
      <c r="T43" s="28"/>
    </row>
    <row r="44" spans="1:20" s="123" customFormat="1" x14ac:dyDescent="0.2">
      <c r="A44" s="28"/>
      <c r="B44" s="127" t="s">
        <v>407</v>
      </c>
      <c r="C44" s="109">
        <f>IFERROR(VLOOKUP($B44,MMWR_TRAD_AGG_STATE_COMP[],C$1,0),"ERROR")</f>
        <v>1321</v>
      </c>
      <c r="D44" s="110">
        <f>IFERROR(VLOOKUP($B44,MMWR_TRAD_AGG_STATE_COMP[],D$1,0),"ERROR")</f>
        <v>265.49432248300002</v>
      </c>
      <c r="E44" s="111">
        <f>IFERROR(VLOOKUP($B44,MMWR_TRAD_AGG_STATE_COMP[],E$1,0),"ERROR")</f>
        <v>2113</v>
      </c>
      <c r="F44" s="112">
        <f>IFERROR(VLOOKUP($B44,MMWR_TRAD_AGG_STATE_COMP[],F$1,0),"ERROR")</f>
        <v>642</v>
      </c>
      <c r="G44" s="113">
        <f t="shared" si="4"/>
        <v>0.30383341221012777</v>
      </c>
      <c r="H44" s="111">
        <f>IFERROR(VLOOKUP($B44,MMWR_TRAD_AGG_STATE_COMP[],H$1,0),"ERROR")</f>
        <v>1775</v>
      </c>
      <c r="I44" s="112">
        <f>IFERROR(VLOOKUP($B44,MMWR_TRAD_AGG_STATE_COMP[],I$1,0),"ERROR")</f>
        <v>1014</v>
      </c>
      <c r="J44" s="114">
        <f t="shared" si="5"/>
        <v>0.57126760563380286</v>
      </c>
      <c r="K44" s="111">
        <f>IFERROR(VLOOKUP($B44,MMWR_TRAD_AGG_STATE_COMP[],K$1,0),"ERROR")</f>
        <v>461</v>
      </c>
      <c r="L44" s="112">
        <f>IFERROR(VLOOKUP($B44,MMWR_TRAD_AGG_STATE_COMP[],L$1,0),"ERROR")</f>
        <v>293</v>
      </c>
      <c r="M44" s="114">
        <f t="shared" si="6"/>
        <v>0.63557483731019526</v>
      </c>
      <c r="N44" s="111">
        <f>IFERROR(VLOOKUP($B44,MMWR_TRAD_AGG_STATE_COMP[],N$1,0),"ERROR")</f>
        <v>443</v>
      </c>
      <c r="O44" s="112">
        <f>IFERROR(VLOOKUP($B44,MMWR_TRAD_AGG_STATE_COMP[],O$1,0),"ERROR")</f>
        <v>241</v>
      </c>
      <c r="P44" s="114">
        <f t="shared" si="7"/>
        <v>0.54401805869074493</v>
      </c>
      <c r="Q44" s="115">
        <f>IFERROR(VLOOKUP($B44,MMWR_TRAD_AGG_STATE_COMP[],Q$1,0),"ERROR")</f>
        <v>1</v>
      </c>
      <c r="R44" s="115">
        <f>IFERROR(VLOOKUP($B44,MMWR_TRAD_AGG_STATE_COMP[],R$1,0),"ERROR")</f>
        <v>2</v>
      </c>
      <c r="S44" s="115">
        <f>IFERROR(VLOOKUP($B44,MMWR_APP_STATE_COMP[],S$1,0),"ERROR")</f>
        <v>573</v>
      </c>
      <c r="T44" s="28"/>
    </row>
    <row r="45" spans="1:20" s="123" customFormat="1" x14ac:dyDescent="0.2">
      <c r="A45" s="28"/>
      <c r="B45" s="127" t="s">
        <v>422</v>
      </c>
      <c r="C45" s="109">
        <f>IFERROR(VLOOKUP($B45,MMWR_TRAD_AGG_STATE_COMP[],C$1,0),"ERROR")</f>
        <v>401</v>
      </c>
      <c r="D45" s="110">
        <f>IFERROR(VLOOKUP($B45,MMWR_TRAD_AGG_STATE_COMP[],D$1,0),"ERROR")</f>
        <v>312.2094763092</v>
      </c>
      <c r="E45" s="111">
        <f>IFERROR(VLOOKUP($B45,MMWR_TRAD_AGG_STATE_COMP[],E$1,0),"ERROR")</f>
        <v>822</v>
      </c>
      <c r="F45" s="112">
        <f>IFERROR(VLOOKUP($B45,MMWR_TRAD_AGG_STATE_COMP[],F$1,0),"ERROR")</f>
        <v>122</v>
      </c>
      <c r="G45" s="113">
        <f t="shared" si="4"/>
        <v>0.14841849148418493</v>
      </c>
      <c r="H45" s="111">
        <f>IFERROR(VLOOKUP($B45,MMWR_TRAD_AGG_STATE_COMP[],H$1,0),"ERROR")</f>
        <v>718</v>
      </c>
      <c r="I45" s="112">
        <f>IFERROR(VLOOKUP($B45,MMWR_TRAD_AGG_STATE_COMP[],I$1,0),"ERROR")</f>
        <v>435</v>
      </c>
      <c r="J45" s="114">
        <f t="shared" si="5"/>
        <v>0.60584958217270191</v>
      </c>
      <c r="K45" s="111">
        <f>IFERROR(VLOOKUP($B45,MMWR_TRAD_AGG_STATE_COMP[],K$1,0),"ERROR")</f>
        <v>193</v>
      </c>
      <c r="L45" s="112">
        <f>IFERROR(VLOOKUP($B45,MMWR_TRAD_AGG_STATE_COMP[],L$1,0),"ERROR")</f>
        <v>128</v>
      </c>
      <c r="M45" s="114">
        <f t="shared" si="6"/>
        <v>0.66321243523316065</v>
      </c>
      <c r="N45" s="111">
        <f>IFERROR(VLOOKUP($B45,MMWR_TRAD_AGG_STATE_COMP[],N$1,0),"ERROR")</f>
        <v>193</v>
      </c>
      <c r="O45" s="112">
        <f>IFERROR(VLOOKUP($B45,MMWR_TRAD_AGG_STATE_COMP[],O$1,0),"ERROR")</f>
        <v>107</v>
      </c>
      <c r="P45" s="114">
        <f t="shared" si="7"/>
        <v>0.55440414507772018</v>
      </c>
      <c r="Q45" s="115">
        <f>IFERROR(VLOOKUP($B45,MMWR_TRAD_AGG_STATE_COMP[],Q$1,0),"ERROR")</f>
        <v>2</v>
      </c>
      <c r="R45" s="115">
        <f>IFERROR(VLOOKUP($B45,MMWR_TRAD_AGG_STATE_COMP[],R$1,0),"ERROR")</f>
        <v>2</v>
      </c>
      <c r="S45" s="115">
        <f>IFERROR(VLOOKUP($B45,MMWR_APP_STATE_COMP[],S$1,0),"ERROR")</f>
        <v>265</v>
      </c>
      <c r="T45" s="28"/>
    </row>
    <row r="46" spans="1:20" s="123" customFormat="1" x14ac:dyDescent="0.2">
      <c r="A46" s="28"/>
      <c r="B46" s="126" t="s">
        <v>405</v>
      </c>
      <c r="C46" s="102">
        <f>IFERROR(VLOOKUP($B46,MMWR_TRAD_AGG_ST_DISTRICT_COMP[],C$1,0),"ERROR")</f>
        <v>55568</v>
      </c>
      <c r="D46" s="103">
        <f>IFERROR(VLOOKUP($B46,MMWR_TRAD_AGG_ST_DISTRICT_COMP[],D$1,0),"ERROR")</f>
        <v>393.45662971489998</v>
      </c>
      <c r="E46" s="102">
        <f>IFERROR(VLOOKUP($B46,MMWR_TRAD_AGG_ST_DISTRICT_COMP[],E$1,0),"ERROR")</f>
        <v>56984</v>
      </c>
      <c r="F46" s="102">
        <f>IFERROR(VLOOKUP($B46,MMWR_TRAD_AGG_ST_DISTRICT_COMP[],F$1,0),"ERROR")</f>
        <v>13120</v>
      </c>
      <c r="G46" s="104">
        <f t="shared" si="4"/>
        <v>0.23024006738733679</v>
      </c>
      <c r="H46" s="102">
        <f>IFERROR(VLOOKUP($B46,MMWR_TRAD_AGG_ST_DISTRICT_COMP[],H$1,0),"ERROR")</f>
        <v>80707</v>
      </c>
      <c r="I46" s="102">
        <f>IFERROR(VLOOKUP($B46,MMWR_TRAD_AGG_ST_DISTRICT_COMP[],I$1,0),"ERROR")</f>
        <v>57278</v>
      </c>
      <c r="J46" s="105">
        <f t="shared" si="5"/>
        <v>0.70970299973979956</v>
      </c>
      <c r="K46" s="102">
        <f>IFERROR(VLOOKUP($B46,MMWR_TRAD_AGG_ST_DISTRICT_COMP[],K$1,0),"ERROR")</f>
        <v>23431</v>
      </c>
      <c r="L46" s="102">
        <f>IFERROR(VLOOKUP($B46,MMWR_TRAD_AGG_ST_DISTRICT_COMP[],L$1,0),"ERROR")</f>
        <v>18603</v>
      </c>
      <c r="M46" s="105">
        <f t="shared" si="6"/>
        <v>0.79394818829755454</v>
      </c>
      <c r="N46" s="102">
        <f>IFERROR(VLOOKUP($B46,MMWR_TRAD_AGG_ST_DISTRICT_COMP[],N$1,0),"ERROR")</f>
        <v>31299</v>
      </c>
      <c r="O46" s="102">
        <f>IFERROR(VLOOKUP($B46,MMWR_TRAD_AGG_ST_DISTRICT_COMP[],O$1,0),"ERROR")</f>
        <v>20586</v>
      </c>
      <c r="P46" s="105">
        <f t="shared" si="7"/>
        <v>0.65772069395188348</v>
      </c>
      <c r="Q46" s="102">
        <f>IFERROR(VLOOKUP($B46,MMWR_TRAD_AGG_ST_DISTRICT_COMP[],Q$1,0),"ERROR")</f>
        <v>99</v>
      </c>
      <c r="R46" s="106">
        <f>IFERROR(VLOOKUP($B46,MMWR_TRAD_AGG_ST_DISTRICT_COMP[],R$1,0),"ERROR")</f>
        <v>603</v>
      </c>
      <c r="S46" s="106">
        <f>SUM(S47:S55)</f>
        <v>44075</v>
      </c>
      <c r="T46" s="28"/>
    </row>
    <row r="47" spans="1:20" s="123" customFormat="1" x14ac:dyDescent="0.2">
      <c r="A47" s="28"/>
      <c r="B47" s="127" t="s">
        <v>425</v>
      </c>
      <c r="C47" s="109">
        <f>IFERROR(VLOOKUP($B47,MMWR_TRAD_AGG_STATE_COMP[],C$1,0),"ERROR")</f>
        <v>1922</v>
      </c>
      <c r="D47" s="110">
        <f>IFERROR(VLOOKUP($B47,MMWR_TRAD_AGG_STATE_COMP[],D$1,0),"ERROR")</f>
        <v>464.00624349639997</v>
      </c>
      <c r="E47" s="111">
        <f>IFERROR(VLOOKUP($B47,MMWR_TRAD_AGG_STATE_COMP[],E$1,0),"ERROR")</f>
        <v>1159</v>
      </c>
      <c r="F47" s="112">
        <f>IFERROR(VLOOKUP($B47,MMWR_TRAD_AGG_STATE_COMP[],F$1,0),"ERROR")</f>
        <v>319</v>
      </c>
      <c r="G47" s="113">
        <f t="shared" si="4"/>
        <v>0.27523727351164795</v>
      </c>
      <c r="H47" s="111">
        <f>IFERROR(VLOOKUP($B47,MMWR_TRAD_AGG_STATE_COMP[],H$1,0),"ERROR")</f>
        <v>2718</v>
      </c>
      <c r="I47" s="112">
        <f>IFERROR(VLOOKUP($B47,MMWR_TRAD_AGG_STATE_COMP[],I$1,0),"ERROR")</f>
        <v>2083</v>
      </c>
      <c r="J47" s="114">
        <f t="shared" si="5"/>
        <v>0.76637233259749815</v>
      </c>
      <c r="K47" s="111">
        <f>IFERROR(VLOOKUP($B47,MMWR_TRAD_AGG_STATE_COMP[],K$1,0),"ERROR")</f>
        <v>1858</v>
      </c>
      <c r="L47" s="112">
        <f>IFERROR(VLOOKUP($B47,MMWR_TRAD_AGG_STATE_COMP[],L$1,0),"ERROR")</f>
        <v>1528</v>
      </c>
      <c r="M47" s="114">
        <f t="shared" si="6"/>
        <v>0.82238966630785792</v>
      </c>
      <c r="N47" s="111">
        <f>IFERROR(VLOOKUP($B47,MMWR_TRAD_AGG_STATE_COMP[],N$1,0),"ERROR")</f>
        <v>690</v>
      </c>
      <c r="O47" s="112">
        <f>IFERROR(VLOOKUP($B47,MMWR_TRAD_AGG_STATE_COMP[],O$1,0),"ERROR")</f>
        <v>394</v>
      </c>
      <c r="P47" s="114">
        <f t="shared" si="7"/>
        <v>0.57101449275362315</v>
      </c>
      <c r="Q47" s="115">
        <f>IFERROR(VLOOKUP($B47,MMWR_TRAD_AGG_STATE_COMP[],Q$1,0),"ERROR")</f>
        <v>1</v>
      </c>
      <c r="R47" s="115">
        <f>IFERROR(VLOOKUP($B47,MMWR_TRAD_AGG_STATE_COMP[],R$1,0),"ERROR")</f>
        <v>3</v>
      </c>
      <c r="S47" s="115">
        <f>IFERROR(VLOOKUP($B47,MMWR_APP_STATE_COMP[],S$1,0),"ERROR")</f>
        <v>296</v>
      </c>
      <c r="T47" s="28"/>
    </row>
    <row r="48" spans="1:20" s="123" customFormat="1" x14ac:dyDescent="0.2">
      <c r="A48" s="28"/>
      <c r="B48" s="127" t="s">
        <v>427</v>
      </c>
      <c r="C48" s="109">
        <f>IFERROR(VLOOKUP($B48,MMWR_TRAD_AGG_STATE_COMP[],C$1,0),"ERROR")</f>
        <v>4752</v>
      </c>
      <c r="D48" s="110">
        <f>IFERROR(VLOOKUP($B48,MMWR_TRAD_AGG_STATE_COMP[],D$1,0),"ERROR")</f>
        <v>293.0010521886</v>
      </c>
      <c r="E48" s="111">
        <f>IFERROR(VLOOKUP($B48,MMWR_TRAD_AGG_STATE_COMP[],E$1,0),"ERROR")</f>
        <v>5252</v>
      </c>
      <c r="F48" s="112">
        <f>IFERROR(VLOOKUP($B48,MMWR_TRAD_AGG_STATE_COMP[],F$1,0),"ERROR")</f>
        <v>1236</v>
      </c>
      <c r="G48" s="113">
        <f t="shared" si="4"/>
        <v>0.23533891850723535</v>
      </c>
      <c r="H48" s="111">
        <f>IFERROR(VLOOKUP($B48,MMWR_TRAD_AGG_STATE_COMP[],H$1,0),"ERROR")</f>
        <v>6638</v>
      </c>
      <c r="I48" s="112">
        <f>IFERROR(VLOOKUP($B48,MMWR_TRAD_AGG_STATE_COMP[],I$1,0),"ERROR")</f>
        <v>4260</v>
      </c>
      <c r="J48" s="114">
        <f t="shared" si="5"/>
        <v>0.64175956613437779</v>
      </c>
      <c r="K48" s="111">
        <f>IFERROR(VLOOKUP($B48,MMWR_TRAD_AGG_STATE_COMP[],K$1,0),"ERROR")</f>
        <v>1455</v>
      </c>
      <c r="L48" s="112">
        <f>IFERROR(VLOOKUP($B48,MMWR_TRAD_AGG_STATE_COMP[],L$1,0),"ERROR")</f>
        <v>1156</v>
      </c>
      <c r="M48" s="114">
        <f t="shared" si="6"/>
        <v>0.79450171821305837</v>
      </c>
      <c r="N48" s="111">
        <f>IFERROR(VLOOKUP($B48,MMWR_TRAD_AGG_STATE_COMP[],N$1,0),"ERROR")</f>
        <v>2528</v>
      </c>
      <c r="O48" s="112">
        <f>IFERROR(VLOOKUP($B48,MMWR_TRAD_AGG_STATE_COMP[],O$1,0),"ERROR")</f>
        <v>1471</v>
      </c>
      <c r="P48" s="114">
        <f t="shared" si="7"/>
        <v>0.58188291139240511</v>
      </c>
      <c r="Q48" s="115">
        <f>IFERROR(VLOOKUP($B48,MMWR_TRAD_AGG_STATE_COMP[],Q$1,0),"ERROR")</f>
        <v>9</v>
      </c>
      <c r="R48" s="115">
        <f>IFERROR(VLOOKUP($B48,MMWR_TRAD_AGG_STATE_COMP[],R$1,0),"ERROR")</f>
        <v>78</v>
      </c>
      <c r="S48" s="115">
        <f>IFERROR(VLOOKUP($B48,MMWR_APP_STATE_COMP[],S$1,0),"ERROR")</f>
        <v>7324</v>
      </c>
      <c r="T48" s="28"/>
    </row>
    <row r="49" spans="1:20" s="123" customFormat="1" x14ac:dyDescent="0.2">
      <c r="A49" s="28"/>
      <c r="B49" s="127" t="s">
        <v>408</v>
      </c>
      <c r="C49" s="109">
        <f>IFERROR(VLOOKUP($B49,MMWR_TRAD_AGG_STATE_COMP[],C$1,0),"ERROR")</f>
        <v>25770</v>
      </c>
      <c r="D49" s="110">
        <f>IFERROR(VLOOKUP($B49,MMWR_TRAD_AGG_STATE_COMP[],D$1,0),"ERROR")</f>
        <v>400.81140861469999</v>
      </c>
      <c r="E49" s="111">
        <f>IFERROR(VLOOKUP($B49,MMWR_TRAD_AGG_STATE_COMP[],E$1,0),"ERROR")</f>
        <v>30026</v>
      </c>
      <c r="F49" s="112">
        <f>IFERROR(VLOOKUP($B49,MMWR_TRAD_AGG_STATE_COMP[],F$1,0),"ERROR")</f>
        <v>7069</v>
      </c>
      <c r="G49" s="113">
        <f t="shared" si="4"/>
        <v>0.23542929461133685</v>
      </c>
      <c r="H49" s="111">
        <f>IFERROR(VLOOKUP($B49,MMWR_TRAD_AGG_STATE_COMP[],H$1,0),"ERROR")</f>
        <v>38159</v>
      </c>
      <c r="I49" s="112">
        <f>IFERROR(VLOOKUP($B49,MMWR_TRAD_AGG_STATE_COMP[],I$1,0),"ERROR")</f>
        <v>27221</v>
      </c>
      <c r="J49" s="114">
        <f t="shared" si="5"/>
        <v>0.71335726827222934</v>
      </c>
      <c r="K49" s="111">
        <f>IFERROR(VLOOKUP($B49,MMWR_TRAD_AGG_STATE_COMP[],K$1,0),"ERROR")</f>
        <v>9924</v>
      </c>
      <c r="L49" s="112">
        <f>IFERROR(VLOOKUP($B49,MMWR_TRAD_AGG_STATE_COMP[],L$1,0),"ERROR")</f>
        <v>7962</v>
      </c>
      <c r="M49" s="114">
        <f t="shared" si="6"/>
        <v>0.80229746070133012</v>
      </c>
      <c r="N49" s="111">
        <f>IFERROR(VLOOKUP($B49,MMWR_TRAD_AGG_STATE_COMP[],N$1,0),"ERROR")</f>
        <v>15027</v>
      </c>
      <c r="O49" s="112">
        <f>IFERROR(VLOOKUP($B49,MMWR_TRAD_AGG_STATE_COMP[],O$1,0),"ERROR")</f>
        <v>10064</v>
      </c>
      <c r="P49" s="114">
        <f t="shared" si="7"/>
        <v>0.66972782325148061</v>
      </c>
      <c r="Q49" s="115">
        <f>IFERROR(VLOOKUP($B49,MMWR_TRAD_AGG_STATE_COMP[],Q$1,0),"ERROR")</f>
        <v>59</v>
      </c>
      <c r="R49" s="115">
        <f>IFERROR(VLOOKUP($B49,MMWR_TRAD_AGG_STATE_COMP[],R$1,0),"ERROR")</f>
        <v>150</v>
      </c>
      <c r="S49" s="115">
        <f>IFERROR(VLOOKUP($B49,MMWR_APP_STATE_COMP[],S$1,0),"ERROR")</f>
        <v>18486</v>
      </c>
      <c r="T49" s="28"/>
    </row>
    <row r="50" spans="1:20" s="123" customFormat="1" x14ac:dyDescent="0.2">
      <c r="A50" s="28"/>
      <c r="B50" s="127" t="s">
        <v>429</v>
      </c>
      <c r="C50" s="109">
        <f>IFERROR(VLOOKUP($B50,MMWR_TRAD_AGG_STATE_COMP[],C$1,0),"ERROR")</f>
        <v>1443</v>
      </c>
      <c r="D50" s="110">
        <f>IFERROR(VLOOKUP($B50,MMWR_TRAD_AGG_STATE_COMP[],D$1,0),"ERROR")</f>
        <v>296.41164241159998</v>
      </c>
      <c r="E50" s="111">
        <f>IFERROR(VLOOKUP($B50,MMWR_TRAD_AGG_STATE_COMP[],E$1,0),"ERROR")</f>
        <v>1699</v>
      </c>
      <c r="F50" s="112">
        <f>IFERROR(VLOOKUP($B50,MMWR_TRAD_AGG_STATE_COMP[],F$1,0),"ERROR")</f>
        <v>360</v>
      </c>
      <c r="G50" s="113">
        <f t="shared" si="4"/>
        <v>0.21188934667451442</v>
      </c>
      <c r="H50" s="111">
        <f>IFERROR(VLOOKUP($B50,MMWR_TRAD_AGG_STATE_COMP[],H$1,0),"ERROR")</f>
        <v>2042</v>
      </c>
      <c r="I50" s="112">
        <f>IFERROR(VLOOKUP($B50,MMWR_TRAD_AGG_STATE_COMP[],I$1,0),"ERROR")</f>
        <v>1335</v>
      </c>
      <c r="J50" s="114">
        <f t="shared" si="5"/>
        <v>0.65377081292850148</v>
      </c>
      <c r="K50" s="111">
        <f>IFERROR(VLOOKUP($B50,MMWR_TRAD_AGG_STATE_COMP[],K$1,0),"ERROR")</f>
        <v>1060</v>
      </c>
      <c r="L50" s="112">
        <f>IFERROR(VLOOKUP($B50,MMWR_TRAD_AGG_STATE_COMP[],L$1,0),"ERROR")</f>
        <v>648</v>
      </c>
      <c r="M50" s="114">
        <f t="shared" si="6"/>
        <v>0.61132075471698111</v>
      </c>
      <c r="N50" s="111">
        <f>IFERROR(VLOOKUP($B50,MMWR_TRAD_AGG_STATE_COMP[],N$1,0),"ERROR")</f>
        <v>603</v>
      </c>
      <c r="O50" s="112">
        <f>IFERROR(VLOOKUP($B50,MMWR_TRAD_AGG_STATE_COMP[],O$1,0),"ERROR")</f>
        <v>328</v>
      </c>
      <c r="P50" s="114">
        <f t="shared" si="7"/>
        <v>0.54394693200663347</v>
      </c>
      <c r="Q50" s="115">
        <f>IFERROR(VLOOKUP($B50,MMWR_TRAD_AGG_STATE_COMP[],Q$1,0),"ERROR")</f>
        <v>3</v>
      </c>
      <c r="R50" s="115">
        <f>IFERROR(VLOOKUP($B50,MMWR_TRAD_AGG_STATE_COMP[],R$1,0),"ERROR")</f>
        <v>5</v>
      </c>
      <c r="S50" s="115">
        <f>IFERROR(VLOOKUP($B50,MMWR_APP_STATE_COMP[],S$1,0),"ERROR")</f>
        <v>1253</v>
      </c>
      <c r="T50" s="28"/>
    </row>
    <row r="51" spans="1:20" s="123" customFormat="1" x14ac:dyDescent="0.2">
      <c r="A51" s="28"/>
      <c r="B51" s="127" t="s">
        <v>409</v>
      </c>
      <c r="C51" s="109">
        <f>IFERROR(VLOOKUP($B51,MMWR_TRAD_AGG_STATE_COMP[],C$1,0),"ERROR")</f>
        <v>599</v>
      </c>
      <c r="D51" s="110">
        <f>IFERROR(VLOOKUP($B51,MMWR_TRAD_AGG_STATE_COMP[],D$1,0),"ERROR")</f>
        <v>276.4257095159</v>
      </c>
      <c r="E51" s="111">
        <f>IFERROR(VLOOKUP($B51,MMWR_TRAD_AGG_STATE_COMP[],E$1,0),"ERROR")</f>
        <v>1533</v>
      </c>
      <c r="F51" s="112">
        <f>IFERROR(VLOOKUP($B51,MMWR_TRAD_AGG_STATE_COMP[],F$1,0),"ERROR")</f>
        <v>352</v>
      </c>
      <c r="G51" s="113">
        <f t="shared" si="4"/>
        <v>0.22961513372472275</v>
      </c>
      <c r="H51" s="111">
        <f>IFERROR(VLOOKUP($B51,MMWR_TRAD_AGG_STATE_COMP[],H$1,0),"ERROR")</f>
        <v>934</v>
      </c>
      <c r="I51" s="112">
        <f>IFERROR(VLOOKUP($B51,MMWR_TRAD_AGG_STATE_COMP[],I$1,0),"ERROR")</f>
        <v>469</v>
      </c>
      <c r="J51" s="114">
        <f t="shared" si="5"/>
        <v>0.50214132762312635</v>
      </c>
      <c r="K51" s="111">
        <f>IFERROR(VLOOKUP($B51,MMWR_TRAD_AGG_STATE_COMP[],K$1,0),"ERROR")</f>
        <v>350</v>
      </c>
      <c r="L51" s="112">
        <f>IFERROR(VLOOKUP($B51,MMWR_TRAD_AGG_STATE_COMP[],L$1,0),"ERROR")</f>
        <v>270</v>
      </c>
      <c r="M51" s="114">
        <f t="shared" si="6"/>
        <v>0.77142857142857146</v>
      </c>
      <c r="N51" s="111">
        <f>IFERROR(VLOOKUP($B51,MMWR_TRAD_AGG_STATE_COMP[],N$1,0),"ERROR")</f>
        <v>464</v>
      </c>
      <c r="O51" s="112">
        <f>IFERROR(VLOOKUP($B51,MMWR_TRAD_AGG_STATE_COMP[],O$1,0),"ERROR")</f>
        <v>262</v>
      </c>
      <c r="P51" s="114">
        <f t="shared" si="7"/>
        <v>0.56465517241379315</v>
      </c>
      <c r="Q51" s="115">
        <f>IFERROR(VLOOKUP($B51,MMWR_TRAD_AGG_STATE_COMP[],Q$1,0),"ERROR")</f>
        <v>1</v>
      </c>
      <c r="R51" s="115">
        <f>IFERROR(VLOOKUP($B51,MMWR_TRAD_AGG_STATE_COMP[],R$1,0),"ERROR")</f>
        <v>3</v>
      </c>
      <c r="S51" s="115">
        <f>IFERROR(VLOOKUP($B51,MMWR_APP_STATE_COMP[],S$1,0),"ERROR")</f>
        <v>1003</v>
      </c>
      <c r="T51" s="28"/>
    </row>
    <row r="52" spans="1:20" s="123" customFormat="1" x14ac:dyDescent="0.2">
      <c r="A52" s="28"/>
      <c r="B52" s="127" t="s">
        <v>414</v>
      </c>
      <c r="C52" s="109">
        <f>IFERROR(VLOOKUP($B52,MMWR_TRAD_AGG_STATE_COMP[],C$1,0),"ERROR")</f>
        <v>3362</v>
      </c>
      <c r="D52" s="110">
        <f>IFERROR(VLOOKUP($B52,MMWR_TRAD_AGG_STATE_COMP[],D$1,0),"ERROR")</f>
        <v>403.8685306365</v>
      </c>
      <c r="E52" s="111">
        <f>IFERROR(VLOOKUP($B52,MMWR_TRAD_AGG_STATE_COMP[],E$1,0),"ERROR")</f>
        <v>3816</v>
      </c>
      <c r="F52" s="112">
        <f>IFERROR(VLOOKUP($B52,MMWR_TRAD_AGG_STATE_COMP[],F$1,0),"ERROR")</f>
        <v>947</v>
      </c>
      <c r="G52" s="113">
        <f t="shared" si="4"/>
        <v>0.24816561844863733</v>
      </c>
      <c r="H52" s="111">
        <f>IFERROR(VLOOKUP($B52,MMWR_TRAD_AGG_STATE_COMP[],H$1,0),"ERROR")</f>
        <v>4559</v>
      </c>
      <c r="I52" s="112">
        <f>IFERROR(VLOOKUP($B52,MMWR_TRAD_AGG_STATE_COMP[],I$1,0),"ERROR")</f>
        <v>3213</v>
      </c>
      <c r="J52" s="114">
        <f t="shared" si="5"/>
        <v>0.70475981574906776</v>
      </c>
      <c r="K52" s="111">
        <f>IFERROR(VLOOKUP($B52,MMWR_TRAD_AGG_STATE_COMP[],K$1,0),"ERROR")</f>
        <v>1013</v>
      </c>
      <c r="L52" s="112">
        <f>IFERROR(VLOOKUP($B52,MMWR_TRAD_AGG_STATE_COMP[],L$1,0),"ERROR")</f>
        <v>824</v>
      </c>
      <c r="M52" s="114">
        <f t="shared" si="6"/>
        <v>0.81342546890424483</v>
      </c>
      <c r="N52" s="111">
        <f>IFERROR(VLOOKUP($B52,MMWR_TRAD_AGG_STATE_COMP[],N$1,0),"ERROR")</f>
        <v>1978</v>
      </c>
      <c r="O52" s="112">
        <f>IFERROR(VLOOKUP($B52,MMWR_TRAD_AGG_STATE_COMP[],O$1,0),"ERROR")</f>
        <v>1397</v>
      </c>
      <c r="P52" s="114">
        <f t="shared" si="7"/>
        <v>0.70626895854398386</v>
      </c>
      <c r="Q52" s="115">
        <f>IFERROR(VLOOKUP($B52,MMWR_TRAD_AGG_STATE_COMP[],Q$1,0),"ERROR")</f>
        <v>5</v>
      </c>
      <c r="R52" s="115">
        <f>IFERROR(VLOOKUP($B52,MMWR_TRAD_AGG_STATE_COMP[],R$1,0),"ERROR")</f>
        <v>123</v>
      </c>
      <c r="S52" s="115">
        <f>IFERROR(VLOOKUP($B52,MMWR_APP_STATE_COMP[],S$1,0),"ERROR")</f>
        <v>3195</v>
      </c>
      <c r="T52" s="28"/>
    </row>
    <row r="53" spans="1:20" s="123" customFormat="1" x14ac:dyDescent="0.2">
      <c r="A53" s="28"/>
      <c r="B53" s="127" t="s">
        <v>406</v>
      </c>
      <c r="C53" s="109">
        <f>IFERROR(VLOOKUP($B53,MMWR_TRAD_AGG_STATE_COMP[],C$1,0),"ERROR")</f>
        <v>1140</v>
      </c>
      <c r="D53" s="110">
        <f>IFERROR(VLOOKUP($B53,MMWR_TRAD_AGG_STATE_COMP[],D$1,0),"ERROR")</f>
        <v>231.98333333330001</v>
      </c>
      <c r="E53" s="111">
        <f>IFERROR(VLOOKUP($B53,MMWR_TRAD_AGG_STATE_COMP[],E$1,0),"ERROR")</f>
        <v>2568</v>
      </c>
      <c r="F53" s="112">
        <f>IFERROR(VLOOKUP($B53,MMWR_TRAD_AGG_STATE_COMP[],F$1,0),"ERROR")</f>
        <v>574</v>
      </c>
      <c r="G53" s="113">
        <f t="shared" si="4"/>
        <v>0.2235202492211838</v>
      </c>
      <c r="H53" s="111">
        <f>IFERROR(VLOOKUP($B53,MMWR_TRAD_AGG_STATE_COMP[],H$1,0),"ERROR")</f>
        <v>1891</v>
      </c>
      <c r="I53" s="112">
        <f>IFERROR(VLOOKUP($B53,MMWR_TRAD_AGG_STATE_COMP[],I$1,0),"ERROR")</f>
        <v>854</v>
      </c>
      <c r="J53" s="114">
        <f t="shared" si="5"/>
        <v>0.45161290322580644</v>
      </c>
      <c r="K53" s="111">
        <f>IFERROR(VLOOKUP($B53,MMWR_TRAD_AGG_STATE_COMP[],K$1,0),"ERROR")</f>
        <v>565</v>
      </c>
      <c r="L53" s="112">
        <f>IFERROR(VLOOKUP($B53,MMWR_TRAD_AGG_STATE_COMP[],L$1,0),"ERROR")</f>
        <v>366</v>
      </c>
      <c r="M53" s="114">
        <f t="shared" si="6"/>
        <v>0.64778761061946899</v>
      </c>
      <c r="N53" s="111">
        <f>IFERROR(VLOOKUP($B53,MMWR_TRAD_AGG_STATE_COMP[],N$1,0),"ERROR")</f>
        <v>888</v>
      </c>
      <c r="O53" s="112">
        <f>IFERROR(VLOOKUP($B53,MMWR_TRAD_AGG_STATE_COMP[],O$1,0),"ERROR")</f>
        <v>548</v>
      </c>
      <c r="P53" s="114">
        <f t="shared" si="7"/>
        <v>0.61711711711711714</v>
      </c>
      <c r="Q53" s="115">
        <f>IFERROR(VLOOKUP($B53,MMWR_TRAD_AGG_STATE_COMP[],Q$1,0),"ERROR")</f>
        <v>5</v>
      </c>
      <c r="R53" s="115">
        <f>IFERROR(VLOOKUP($B53,MMWR_TRAD_AGG_STATE_COMP[],R$1,0),"ERROR")</f>
        <v>12</v>
      </c>
      <c r="S53" s="115">
        <f>IFERROR(VLOOKUP($B53,MMWR_APP_STATE_COMP[],S$1,0),"ERROR")</f>
        <v>1900</v>
      </c>
      <c r="T53" s="28"/>
    </row>
    <row r="54" spans="1:20" s="123" customFormat="1" x14ac:dyDescent="0.2">
      <c r="A54" s="28"/>
      <c r="B54" s="127" t="s">
        <v>410</v>
      </c>
      <c r="C54" s="109">
        <f>IFERROR(VLOOKUP($B54,MMWR_TRAD_AGG_STATE_COMP[],C$1,0),"ERROR")</f>
        <v>6395</v>
      </c>
      <c r="D54" s="110">
        <f>IFERROR(VLOOKUP($B54,MMWR_TRAD_AGG_STATE_COMP[],D$1,0),"ERROR")</f>
        <v>465.995308835</v>
      </c>
      <c r="E54" s="111">
        <f>IFERROR(VLOOKUP($B54,MMWR_TRAD_AGG_STATE_COMP[],E$1,0),"ERROR")</f>
        <v>4655</v>
      </c>
      <c r="F54" s="112">
        <f>IFERROR(VLOOKUP($B54,MMWR_TRAD_AGG_STATE_COMP[],F$1,0),"ERROR")</f>
        <v>1123</v>
      </c>
      <c r="G54" s="113">
        <f t="shared" si="4"/>
        <v>0.24124597207303974</v>
      </c>
      <c r="H54" s="111">
        <f>IFERROR(VLOOKUP($B54,MMWR_TRAD_AGG_STATE_COMP[],H$1,0),"ERROR")</f>
        <v>8727</v>
      </c>
      <c r="I54" s="112">
        <f>IFERROR(VLOOKUP($B54,MMWR_TRAD_AGG_STATE_COMP[],I$1,0),"ERROR")</f>
        <v>6740</v>
      </c>
      <c r="J54" s="114">
        <f t="shared" si="5"/>
        <v>0.77231580153546464</v>
      </c>
      <c r="K54" s="111">
        <f>IFERROR(VLOOKUP($B54,MMWR_TRAD_AGG_STATE_COMP[],K$1,0),"ERROR")</f>
        <v>3018</v>
      </c>
      <c r="L54" s="112">
        <f>IFERROR(VLOOKUP($B54,MMWR_TRAD_AGG_STATE_COMP[],L$1,0),"ERROR")</f>
        <v>2727</v>
      </c>
      <c r="M54" s="114">
        <f t="shared" si="6"/>
        <v>0.90357852882703782</v>
      </c>
      <c r="N54" s="111">
        <f>IFERROR(VLOOKUP($B54,MMWR_TRAD_AGG_STATE_COMP[],N$1,0),"ERROR")</f>
        <v>3144</v>
      </c>
      <c r="O54" s="112">
        <f>IFERROR(VLOOKUP($B54,MMWR_TRAD_AGG_STATE_COMP[],O$1,0),"ERROR")</f>
        <v>1876</v>
      </c>
      <c r="P54" s="114">
        <f t="shared" si="7"/>
        <v>0.59669211195928751</v>
      </c>
      <c r="Q54" s="115">
        <f>IFERROR(VLOOKUP($B54,MMWR_TRAD_AGG_STATE_COMP[],Q$1,0),"ERROR")</f>
        <v>8</v>
      </c>
      <c r="R54" s="115">
        <f>IFERROR(VLOOKUP($B54,MMWR_TRAD_AGG_STATE_COMP[],R$1,0),"ERROR")</f>
        <v>87</v>
      </c>
      <c r="S54" s="115">
        <f>IFERROR(VLOOKUP($B54,MMWR_APP_STATE_COMP[],S$1,0),"ERROR")</f>
        <v>5349</v>
      </c>
      <c r="T54" s="28"/>
    </row>
    <row r="55" spans="1:20" s="123" customFormat="1" x14ac:dyDescent="0.2">
      <c r="A55" s="28"/>
      <c r="B55" s="127" t="s">
        <v>80</v>
      </c>
      <c r="C55" s="109">
        <f>IFERROR(VLOOKUP($B55,MMWR_TRAD_AGG_STATE_COMP[],C$1,0),"ERROR")</f>
        <v>10185</v>
      </c>
      <c r="D55" s="110">
        <f>IFERROR(VLOOKUP($B55,MMWR_TRAD_AGG_STATE_COMP[],D$1,0),"ERROR")</f>
        <v>398.12655866469999</v>
      </c>
      <c r="E55" s="111">
        <f>IFERROR(VLOOKUP($B55,MMWR_TRAD_AGG_STATE_COMP[],E$1,0),"ERROR")</f>
        <v>6276</v>
      </c>
      <c r="F55" s="112">
        <f>IFERROR(VLOOKUP($B55,MMWR_TRAD_AGG_STATE_COMP[],F$1,0),"ERROR")</f>
        <v>1140</v>
      </c>
      <c r="G55" s="113">
        <f t="shared" si="4"/>
        <v>0.18164435946462715</v>
      </c>
      <c r="H55" s="111">
        <f>IFERROR(VLOOKUP($B55,MMWR_TRAD_AGG_STATE_COMP[],H$1,0),"ERROR")</f>
        <v>15039</v>
      </c>
      <c r="I55" s="112">
        <f>IFERROR(VLOOKUP($B55,MMWR_TRAD_AGG_STATE_COMP[],I$1,0),"ERROR")</f>
        <v>11103</v>
      </c>
      <c r="J55" s="114">
        <f t="shared" si="5"/>
        <v>0.73828047077598247</v>
      </c>
      <c r="K55" s="111">
        <f>IFERROR(VLOOKUP($B55,MMWR_TRAD_AGG_STATE_COMP[],K$1,0),"ERROR")</f>
        <v>4188</v>
      </c>
      <c r="L55" s="112">
        <f>IFERROR(VLOOKUP($B55,MMWR_TRAD_AGG_STATE_COMP[],L$1,0),"ERROR")</f>
        <v>3122</v>
      </c>
      <c r="M55" s="114">
        <f t="shared" si="6"/>
        <v>0.74546322827125122</v>
      </c>
      <c r="N55" s="111">
        <f>IFERROR(VLOOKUP($B55,MMWR_TRAD_AGG_STATE_COMP[],N$1,0),"ERROR")</f>
        <v>5977</v>
      </c>
      <c r="O55" s="112">
        <f>IFERROR(VLOOKUP($B55,MMWR_TRAD_AGG_STATE_COMP[],O$1,0),"ERROR")</f>
        <v>4246</v>
      </c>
      <c r="P55" s="114">
        <f t="shared" si="7"/>
        <v>0.7103898276727455</v>
      </c>
      <c r="Q55" s="115">
        <f>IFERROR(VLOOKUP($B55,MMWR_TRAD_AGG_STATE_COMP[],Q$1,0),"ERROR")</f>
        <v>8</v>
      </c>
      <c r="R55" s="115">
        <f>IFERROR(VLOOKUP($B55,MMWR_TRAD_AGG_STATE_COMP[],R$1,0),"ERROR")</f>
        <v>142</v>
      </c>
      <c r="S55" s="115">
        <f>IFERROR(VLOOKUP($B55,MMWR_APP_STATE_COMP[],S$1,0),"ERROR")</f>
        <v>5269</v>
      </c>
      <c r="T55" s="28"/>
    </row>
    <row r="56" spans="1:20" s="123" customFormat="1" x14ac:dyDescent="0.2">
      <c r="A56" s="28"/>
      <c r="B56" s="126" t="s">
        <v>381</v>
      </c>
      <c r="C56" s="102">
        <f>IFERROR(VLOOKUP($B56,MMWR_TRAD_AGG_ST_DISTRICT_COMP[],C$1,0),"ERROR")</f>
        <v>66169</v>
      </c>
      <c r="D56" s="103">
        <f>IFERROR(VLOOKUP($B56,MMWR_TRAD_AGG_ST_DISTRICT_COMP[],D$1,0),"ERROR")</f>
        <v>363.21174568150002</v>
      </c>
      <c r="E56" s="102">
        <f>IFERROR(VLOOKUP($B56,MMWR_TRAD_AGG_ST_DISTRICT_COMP[],E$1,0),"ERROR")</f>
        <v>70585</v>
      </c>
      <c r="F56" s="102">
        <f>IFERROR(VLOOKUP($B56,MMWR_TRAD_AGG_ST_DISTRICT_COMP[],F$1,0),"ERROR")</f>
        <v>17483</v>
      </c>
      <c r="G56" s="104">
        <f t="shared" si="4"/>
        <v>0.2476871856626762</v>
      </c>
      <c r="H56" s="102">
        <f>IFERROR(VLOOKUP($B56,MMWR_TRAD_AGG_ST_DISTRICT_COMP[],H$1,0),"ERROR")</f>
        <v>95564</v>
      </c>
      <c r="I56" s="102">
        <f>IFERROR(VLOOKUP($B56,MMWR_TRAD_AGG_ST_DISTRICT_COMP[],I$1,0),"ERROR")</f>
        <v>64702</v>
      </c>
      <c r="J56" s="105">
        <f t="shared" si="5"/>
        <v>0.67705412079862715</v>
      </c>
      <c r="K56" s="102">
        <f>IFERROR(VLOOKUP($B56,MMWR_TRAD_AGG_ST_DISTRICT_COMP[],K$1,0),"ERROR")</f>
        <v>29785</v>
      </c>
      <c r="L56" s="102">
        <f>IFERROR(VLOOKUP($B56,MMWR_TRAD_AGG_ST_DISTRICT_COMP[],L$1,0),"ERROR")</f>
        <v>24637</v>
      </c>
      <c r="M56" s="105">
        <f t="shared" si="6"/>
        <v>0.82716132281349675</v>
      </c>
      <c r="N56" s="102">
        <f>IFERROR(VLOOKUP($B56,MMWR_TRAD_AGG_ST_DISTRICT_COMP[],N$1,0),"ERROR")</f>
        <v>44107</v>
      </c>
      <c r="O56" s="102">
        <f>IFERROR(VLOOKUP($B56,MMWR_TRAD_AGG_ST_DISTRICT_COMP[],O$1,0),"ERROR")</f>
        <v>30692</v>
      </c>
      <c r="P56" s="105">
        <f t="shared" si="7"/>
        <v>0.69585326592150909</v>
      </c>
      <c r="Q56" s="102">
        <f>IFERROR(VLOOKUP($B56,MMWR_TRAD_AGG_ST_DISTRICT_COMP[],Q$1,0),"ERROR")</f>
        <v>5943</v>
      </c>
      <c r="R56" s="106">
        <f>IFERROR(VLOOKUP($B56,MMWR_TRAD_AGG_ST_DISTRICT_COMP[],R$1,0),"ERROR")</f>
        <v>1175</v>
      </c>
      <c r="S56" s="106">
        <f>SUM(S57:S63)</f>
        <v>91479</v>
      </c>
      <c r="T56" s="28"/>
    </row>
    <row r="57" spans="1:20" s="123" customFormat="1" x14ac:dyDescent="0.2">
      <c r="A57" s="28"/>
      <c r="B57" s="127" t="s">
        <v>389</v>
      </c>
      <c r="C57" s="109">
        <f>IFERROR(VLOOKUP($B57,MMWR_TRAD_AGG_STATE_COMP[],C$1,0),"ERROR")</f>
        <v>11798</v>
      </c>
      <c r="D57" s="110">
        <f>IFERROR(VLOOKUP($B57,MMWR_TRAD_AGG_STATE_COMP[],D$1,0),"ERROR")</f>
        <v>387.86277335139999</v>
      </c>
      <c r="E57" s="111">
        <f>IFERROR(VLOOKUP($B57,MMWR_TRAD_AGG_STATE_COMP[],E$1,0),"ERROR")</f>
        <v>7297</v>
      </c>
      <c r="F57" s="112">
        <f>IFERROR(VLOOKUP($B57,MMWR_TRAD_AGG_STATE_COMP[],F$1,0),"ERROR")</f>
        <v>1637</v>
      </c>
      <c r="G57" s="113">
        <f t="shared" si="4"/>
        <v>0.22433876935727012</v>
      </c>
      <c r="H57" s="111">
        <f>IFERROR(VLOOKUP($B57,MMWR_TRAD_AGG_STATE_COMP[],H$1,0),"ERROR")</f>
        <v>15198</v>
      </c>
      <c r="I57" s="112">
        <f>IFERROR(VLOOKUP($B57,MMWR_TRAD_AGG_STATE_COMP[],I$1,0),"ERROR")</f>
        <v>11115</v>
      </c>
      <c r="J57" s="114">
        <f t="shared" si="5"/>
        <v>0.73134622976707464</v>
      </c>
      <c r="K57" s="111">
        <f>IFERROR(VLOOKUP($B57,MMWR_TRAD_AGG_STATE_COMP[],K$1,0),"ERROR")</f>
        <v>5114</v>
      </c>
      <c r="L57" s="112">
        <f>IFERROR(VLOOKUP($B57,MMWR_TRAD_AGG_STATE_COMP[],L$1,0),"ERROR")</f>
        <v>4520</v>
      </c>
      <c r="M57" s="114">
        <f t="shared" si="6"/>
        <v>0.88384825967931169</v>
      </c>
      <c r="N57" s="111">
        <f>IFERROR(VLOOKUP($B57,MMWR_TRAD_AGG_STATE_COMP[],N$1,0),"ERROR")</f>
        <v>3666</v>
      </c>
      <c r="O57" s="112">
        <f>IFERROR(VLOOKUP($B57,MMWR_TRAD_AGG_STATE_COMP[],O$1,0),"ERROR")</f>
        <v>2320</v>
      </c>
      <c r="P57" s="114">
        <f t="shared" si="7"/>
        <v>0.63284233496999454</v>
      </c>
      <c r="Q57" s="115">
        <f>IFERROR(VLOOKUP($B57,MMWR_TRAD_AGG_STATE_COMP[],Q$1,0),"ERROR")</f>
        <v>495</v>
      </c>
      <c r="R57" s="115">
        <f>IFERROR(VLOOKUP($B57,MMWR_TRAD_AGG_STATE_COMP[],R$1,0),"ERROR")</f>
        <v>380</v>
      </c>
      <c r="S57" s="115">
        <f>IFERROR(VLOOKUP($B57,MMWR_APP_STATE_COMP[],S$1,0),"ERROR")</f>
        <v>10592</v>
      </c>
      <c r="T57" s="28"/>
    </row>
    <row r="58" spans="1:20" s="123" customFormat="1" x14ac:dyDescent="0.2">
      <c r="A58" s="28"/>
      <c r="B58" s="127" t="s">
        <v>426</v>
      </c>
      <c r="C58" s="109">
        <f>IFERROR(VLOOKUP($B58,MMWR_TRAD_AGG_STATE_COMP[],C$1,0),"ERROR")</f>
        <v>19283</v>
      </c>
      <c r="D58" s="110">
        <f>IFERROR(VLOOKUP($B58,MMWR_TRAD_AGG_STATE_COMP[],D$1,0),"ERROR")</f>
        <v>329.65430690250002</v>
      </c>
      <c r="E58" s="111">
        <f>IFERROR(VLOOKUP($B58,MMWR_TRAD_AGG_STATE_COMP[],E$1,0),"ERROR")</f>
        <v>23257</v>
      </c>
      <c r="F58" s="112">
        <f>IFERROR(VLOOKUP($B58,MMWR_TRAD_AGG_STATE_COMP[],F$1,0),"ERROR")</f>
        <v>5461</v>
      </c>
      <c r="G58" s="113">
        <f t="shared" si="4"/>
        <v>0.23481102463774348</v>
      </c>
      <c r="H58" s="111">
        <f>IFERROR(VLOOKUP($B58,MMWR_TRAD_AGG_STATE_COMP[],H$1,0),"ERROR")</f>
        <v>26869</v>
      </c>
      <c r="I58" s="112">
        <f>IFERROR(VLOOKUP($B58,MMWR_TRAD_AGG_STATE_COMP[],I$1,0),"ERROR")</f>
        <v>17444</v>
      </c>
      <c r="J58" s="114">
        <f t="shared" si="5"/>
        <v>0.64922401280285835</v>
      </c>
      <c r="K58" s="111">
        <f>IFERROR(VLOOKUP($B58,MMWR_TRAD_AGG_STATE_COMP[],K$1,0),"ERROR")</f>
        <v>7233</v>
      </c>
      <c r="L58" s="112">
        <f>IFERROR(VLOOKUP($B58,MMWR_TRAD_AGG_STATE_COMP[],L$1,0),"ERROR")</f>
        <v>5579</v>
      </c>
      <c r="M58" s="114">
        <f t="shared" si="6"/>
        <v>0.77132586755150012</v>
      </c>
      <c r="N58" s="111">
        <f>IFERROR(VLOOKUP($B58,MMWR_TRAD_AGG_STATE_COMP[],N$1,0),"ERROR")</f>
        <v>17529</v>
      </c>
      <c r="O58" s="112">
        <f>IFERROR(VLOOKUP($B58,MMWR_TRAD_AGG_STATE_COMP[],O$1,0),"ERROR")</f>
        <v>11729</v>
      </c>
      <c r="P58" s="114">
        <f t="shared" si="7"/>
        <v>0.66911974442352673</v>
      </c>
      <c r="Q58" s="115">
        <f>IFERROR(VLOOKUP($B58,MMWR_TRAD_AGG_STATE_COMP[],Q$1,0),"ERROR")</f>
        <v>2149</v>
      </c>
      <c r="R58" s="115">
        <f>IFERROR(VLOOKUP($B58,MMWR_TRAD_AGG_STATE_COMP[],R$1,0),"ERROR")</f>
        <v>282</v>
      </c>
      <c r="S58" s="115">
        <f>IFERROR(VLOOKUP($B58,MMWR_APP_STATE_COMP[],S$1,0),"ERROR")</f>
        <v>31819</v>
      </c>
      <c r="T58" s="28"/>
    </row>
    <row r="59" spans="1:20" s="123" customFormat="1" x14ac:dyDescent="0.2">
      <c r="A59" s="28"/>
      <c r="B59" s="127" t="s">
        <v>382</v>
      </c>
      <c r="C59" s="109">
        <f>IFERROR(VLOOKUP($B59,MMWR_TRAD_AGG_STATE_COMP[],C$1,0),"ERROR")</f>
        <v>14185</v>
      </c>
      <c r="D59" s="110">
        <f>IFERROR(VLOOKUP($B59,MMWR_TRAD_AGG_STATE_COMP[],D$1,0),"ERROR")</f>
        <v>357.0989072964</v>
      </c>
      <c r="E59" s="111">
        <f>IFERROR(VLOOKUP($B59,MMWR_TRAD_AGG_STATE_COMP[],E$1,0),"ERROR")</f>
        <v>17019</v>
      </c>
      <c r="F59" s="112">
        <f>IFERROR(VLOOKUP($B59,MMWR_TRAD_AGG_STATE_COMP[],F$1,0),"ERROR")</f>
        <v>4624</v>
      </c>
      <c r="G59" s="113">
        <f t="shared" si="4"/>
        <v>0.27169633938539278</v>
      </c>
      <c r="H59" s="111">
        <f>IFERROR(VLOOKUP($B59,MMWR_TRAD_AGG_STATE_COMP[],H$1,0),"ERROR")</f>
        <v>21145</v>
      </c>
      <c r="I59" s="112">
        <f>IFERROR(VLOOKUP($B59,MMWR_TRAD_AGG_STATE_COMP[],I$1,0),"ERROR")</f>
        <v>14634</v>
      </c>
      <c r="J59" s="114">
        <f t="shared" si="5"/>
        <v>0.69207850555686923</v>
      </c>
      <c r="K59" s="111">
        <f>IFERROR(VLOOKUP($B59,MMWR_TRAD_AGG_STATE_COMP[],K$1,0),"ERROR")</f>
        <v>8101</v>
      </c>
      <c r="L59" s="112">
        <f>IFERROR(VLOOKUP($B59,MMWR_TRAD_AGG_STATE_COMP[],L$1,0),"ERROR")</f>
        <v>6745</v>
      </c>
      <c r="M59" s="114">
        <f t="shared" si="6"/>
        <v>0.8326132576225157</v>
      </c>
      <c r="N59" s="111">
        <f>IFERROR(VLOOKUP($B59,MMWR_TRAD_AGG_STATE_COMP[],N$1,0),"ERROR")</f>
        <v>12775</v>
      </c>
      <c r="O59" s="112">
        <f>IFERROR(VLOOKUP($B59,MMWR_TRAD_AGG_STATE_COMP[],O$1,0),"ERROR")</f>
        <v>10490</v>
      </c>
      <c r="P59" s="114">
        <f t="shared" si="7"/>
        <v>0.82113502935420746</v>
      </c>
      <c r="Q59" s="115">
        <f>IFERROR(VLOOKUP($B59,MMWR_TRAD_AGG_STATE_COMP[],Q$1,0),"ERROR")</f>
        <v>1046</v>
      </c>
      <c r="R59" s="115">
        <f>IFERROR(VLOOKUP($B59,MMWR_TRAD_AGG_STATE_COMP[],R$1,0),"ERROR")</f>
        <v>31</v>
      </c>
      <c r="S59" s="115">
        <f>IFERROR(VLOOKUP($B59,MMWR_APP_STATE_COMP[],S$1,0),"ERROR")</f>
        <v>19401</v>
      </c>
      <c r="T59" s="28"/>
    </row>
    <row r="60" spans="1:20" s="123" customFormat="1" x14ac:dyDescent="0.2">
      <c r="A60" s="28"/>
      <c r="B60" s="127" t="s">
        <v>394</v>
      </c>
      <c r="C60" s="109">
        <f>IFERROR(VLOOKUP($B60,MMWR_TRAD_AGG_STATE_COMP[],C$1,0),"ERROR")</f>
        <v>6196</v>
      </c>
      <c r="D60" s="110">
        <f>IFERROR(VLOOKUP($B60,MMWR_TRAD_AGG_STATE_COMP[],D$1,0),"ERROR")</f>
        <v>549.23886378309999</v>
      </c>
      <c r="E60" s="111">
        <f>IFERROR(VLOOKUP($B60,MMWR_TRAD_AGG_STATE_COMP[],E$1,0),"ERROR")</f>
        <v>3156</v>
      </c>
      <c r="F60" s="112">
        <f>IFERROR(VLOOKUP($B60,MMWR_TRAD_AGG_STATE_COMP[],F$1,0),"ERROR")</f>
        <v>653</v>
      </c>
      <c r="G60" s="113">
        <f t="shared" si="4"/>
        <v>0.20690747782002536</v>
      </c>
      <c r="H60" s="111">
        <f>IFERROR(VLOOKUP($B60,MMWR_TRAD_AGG_STATE_COMP[],H$1,0),"ERROR")</f>
        <v>8663</v>
      </c>
      <c r="I60" s="112">
        <f>IFERROR(VLOOKUP($B60,MMWR_TRAD_AGG_STATE_COMP[],I$1,0),"ERROR")</f>
        <v>6449</v>
      </c>
      <c r="J60" s="114">
        <f t="shared" si="5"/>
        <v>0.74443033591134711</v>
      </c>
      <c r="K60" s="111">
        <f>IFERROR(VLOOKUP($B60,MMWR_TRAD_AGG_STATE_COMP[],K$1,0),"ERROR")</f>
        <v>2447</v>
      </c>
      <c r="L60" s="112">
        <f>IFERROR(VLOOKUP($B60,MMWR_TRAD_AGG_STATE_COMP[],L$1,0),"ERROR")</f>
        <v>2093</v>
      </c>
      <c r="M60" s="114">
        <f t="shared" si="6"/>
        <v>0.85533306089088679</v>
      </c>
      <c r="N60" s="111">
        <f>IFERROR(VLOOKUP($B60,MMWR_TRAD_AGG_STATE_COMP[],N$1,0),"ERROR")</f>
        <v>2181</v>
      </c>
      <c r="O60" s="112">
        <f>IFERROR(VLOOKUP($B60,MMWR_TRAD_AGG_STATE_COMP[],O$1,0),"ERROR")</f>
        <v>1116</v>
      </c>
      <c r="P60" s="114">
        <f t="shared" si="7"/>
        <v>0.51169188445667124</v>
      </c>
      <c r="Q60" s="115">
        <f>IFERROR(VLOOKUP($B60,MMWR_TRAD_AGG_STATE_COMP[],Q$1,0),"ERROR")</f>
        <v>566</v>
      </c>
      <c r="R60" s="115">
        <f>IFERROR(VLOOKUP($B60,MMWR_TRAD_AGG_STATE_COMP[],R$1,0),"ERROR")</f>
        <v>150</v>
      </c>
      <c r="S60" s="115">
        <f>IFERROR(VLOOKUP($B60,MMWR_APP_STATE_COMP[],S$1,0),"ERROR")</f>
        <v>3358</v>
      </c>
      <c r="T60" s="28"/>
    </row>
    <row r="61" spans="1:20" s="123" customFormat="1" x14ac:dyDescent="0.2">
      <c r="A61" s="28"/>
      <c r="B61" s="127" t="s">
        <v>428</v>
      </c>
      <c r="C61" s="109">
        <f>IFERROR(VLOOKUP($B61,MMWR_TRAD_AGG_STATE_COMP[],C$1,0),"ERROR")</f>
        <v>1482</v>
      </c>
      <c r="D61" s="110">
        <f>IFERROR(VLOOKUP($B61,MMWR_TRAD_AGG_STATE_COMP[],D$1,0),"ERROR")</f>
        <v>303.34885290149998</v>
      </c>
      <c r="E61" s="111">
        <f>IFERROR(VLOOKUP($B61,MMWR_TRAD_AGG_STATE_COMP[],E$1,0),"ERROR")</f>
        <v>2550</v>
      </c>
      <c r="F61" s="112">
        <f>IFERROR(VLOOKUP($B61,MMWR_TRAD_AGG_STATE_COMP[],F$1,0),"ERROR")</f>
        <v>834</v>
      </c>
      <c r="G61" s="113">
        <f t="shared" si="4"/>
        <v>0.32705882352941179</v>
      </c>
      <c r="H61" s="111">
        <f>IFERROR(VLOOKUP($B61,MMWR_TRAD_AGG_STATE_COMP[],H$1,0),"ERROR")</f>
        <v>3902</v>
      </c>
      <c r="I61" s="112">
        <f>IFERROR(VLOOKUP($B61,MMWR_TRAD_AGG_STATE_COMP[],I$1,0),"ERROR")</f>
        <v>2200</v>
      </c>
      <c r="J61" s="114">
        <f t="shared" si="5"/>
        <v>0.5638134290107637</v>
      </c>
      <c r="K61" s="111">
        <f>IFERROR(VLOOKUP($B61,MMWR_TRAD_AGG_STATE_COMP[],K$1,0),"ERROR")</f>
        <v>915</v>
      </c>
      <c r="L61" s="112">
        <f>IFERROR(VLOOKUP($B61,MMWR_TRAD_AGG_STATE_COMP[],L$1,0),"ERROR")</f>
        <v>779</v>
      </c>
      <c r="M61" s="114">
        <f t="shared" si="6"/>
        <v>0.85136612021857927</v>
      </c>
      <c r="N61" s="111">
        <f>IFERROR(VLOOKUP($B61,MMWR_TRAD_AGG_STATE_COMP[],N$1,0),"ERROR")</f>
        <v>1700</v>
      </c>
      <c r="O61" s="112">
        <f>IFERROR(VLOOKUP($B61,MMWR_TRAD_AGG_STATE_COMP[],O$1,0),"ERROR")</f>
        <v>1255</v>
      </c>
      <c r="P61" s="114">
        <f t="shared" si="7"/>
        <v>0.7382352941176471</v>
      </c>
      <c r="Q61" s="115">
        <f>IFERROR(VLOOKUP($B61,MMWR_TRAD_AGG_STATE_COMP[],Q$1,0),"ERROR")</f>
        <v>388</v>
      </c>
      <c r="R61" s="115">
        <f>IFERROR(VLOOKUP($B61,MMWR_TRAD_AGG_STATE_COMP[],R$1,0),"ERROR")</f>
        <v>2</v>
      </c>
      <c r="S61" s="115">
        <f>IFERROR(VLOOKUP($B61,MMWR_APP_STATE_COMP[],S$1,0),"ERROR")</f>
        <v>5667</v>
      </c>
      <c r="T61" s="28"/>
    </row>
    <row r="62" spans="1:20" s="123" customFormat="1" x14ac:dyDescent="0.2">
      <c r="A62" s="28"/>
      <c r="B62" s="127" t="s">
        <v>384</v>
      </c>
      <c r="C62" s="109">
        <f>IFERROR(VLOOKUP($B62,MMWR_TRAD_AGG_STATE_COMP[],C$1,0),"ERROR")</f>
        <v>8474</v>
      </c>
      <c r="D62" s="110">
        <f>IFERROR(VLOOKUP($B62,MMWR_TRAD_AGG_STATE_COMP[],D$1,0),"ERROR")</f>
        <v>339.74179844230002</v>
      </c>
      <c r="E62" s="111">
        <f>IFERROR(VLOOKUP($B62,MMWR_TRAD_AGG_STATE_COMP[],E$1,0),"ERROR")</f>
        <v>8875</v>
      </c>
      <c r="F62" s="112">
        <f>IFERROR(VLOOKUP($B62,MMWR_TRAD_AGG_STATE_COMP[],F$1,0),"ERROR")</f>
        <v>2446</v>
      </c>
      <c r="G62" s="113">
        <f t="shared" si="4"/>
        <v>0.27560563380281689</v>
      </c>
      <c r="H62" s="111">
        <f>IFERROR(VLOOKUP($B62,MMWR_TRAD_AGG_STATE_COMP[],H$1,0),"ERROR")</f>
        <v>11768</v>
      </c>
      <c r="I62" s="112">
        <f>IFERROR(VLOOKUP($B62,MMWR_TRAD_AGG_STATE_COMP[],I$1,0),"ERROR")</f>
        <v>8340</v>
      </c>
      <c r="J62" s="114">
        <f t="shared" si="5"/>
        <v>0.7087015635622026</v>
      </c>
      <c r="K62" s="111">
        <f>IFERROR(VLOOKUP($B62,MMWR_TRAD_AGG_STATE_COMP[],K$1,0),"ERROR")</f>
        <v>2830</v>
      </c>
      <c r="L62" s="112">
        <f>IFERROR(VLOOKUP($B62,MMWR_TRAD_AGG_STATE_COMP[],L$1,0),"ERROR")</f>
        <v>2256</v>
      </c>
      <c r="M62" s="114">
        <f t="shared" si="6"/>
        <v>0.79717314487632507</v>
      </c>
      <c r="N62" s="111">
        <f>IFERROR(VLOOKUP($B62,MMWR_TRAD_AGG_STATE_COMP[],N$1,0),"ERROR")</f>
        <v>3505</v>
      </c>
      <c r="O62" s="112">
        <f>IFERROR(VLOOKUP($B62,MMWR_TRAD_AGG_STATE_COMP[],O$1,0),"ERROR")</f>
        <v>2026</v>
      </c>
      <c r="P62" s="114">
        <f t="shared" si="7"/>
        <v>0.57803138373751783</v>
      </c>
      <c r="Q62" s="115">
        <f>IFERROR(VLOOKUP($B62,MMWR_TRAD_AGG_STATE_COMP[],Q$1,0),"ERROR")</f>
        <v>658</v>
      </c>
      <c r="R62" s="115">
        <f>IFERROR(VLOOKUP($B62,MMWR_TRAD_AGG_STATE_COMP[],R$1,0),"ERROR")</f>
        <v>59</v>
      </c>
      <c r="S62" s="115">
        <f>IFERROR(VLOOKUP($B62,MMWR_APP_STATE_COMP[],S$1,0),"ERROR")</f>
        <v>13437</v>
      </c>
      <c r="T62" s="28"/>
    </row>
    <row r="63" spans="1:20" s="123" customFormat="1" x14ac:dyDescent="0.2">
      <c r="A63" s="28"/>
      <c r="B63" s="127" t="s">
        <v>385</v>
      </c>
      <c r="C63" s="109">
        <f>IFERROR(VLOOKUP($B63,MMWR_TRAD_AGG_STATE_COMP[],C$1,0),"ERROR")</f>
        <v>4751</v>
      </c>
      <c r="D63" s="110">
        <f>IFERROR(VLOOKUP($B63,MMWR_TRAD_AGG_STATE_COMP[],D$1,0),"ERROR")</f>
        <v>274.37634182279999</v>
      </c>
      <c r="E63" s="111">
        <f>IFERROR(VLOOKUP($B63,MMWR_TRAD_AGG_STATE_COMP[],E$1,0),"ERROR")</f>
        <v>8431</v>
      </c>
      <c r="F63" s="112">
        <f>IFERROR(VLOOKUP($B63,MMWR_TRAD_AGG_STATE_COMP[],F$1,0),"ERROR")</f>
        <v>1828</v>
      </c>
      <c r="G63" s="113">
        <f t="shared" si="4"/>
        <v>0.21681888269481675</v>
      </c>
      <c r="H63" s="111">
        <f>IFERROR(VLOOKUP($B63,MMWR_TRAD_AGG_STATE_COMP[],H$1,0),"ERROR")</f>
        <v>8019</v>
      </c>
      <c r="I63" s="112">
        <f>IFERROR(VLOOKUP($B63,MMWR_TRAD_AGG_STATE_COMP[],I$1,0),"ERROR")</f>
        <v>4520</v>
      </c>
      <c r="J63" s="114">
        <f t="shared" si="5"/>
        <v>0.56366130440204509</v>
      </c>
      <c r="K63" s="111">
        <f>IFERROR(VLOOKUP($B63,MMWR_TRAD_AGG_STATE_COMP[],K$1,0),"ERROR")</f>
        <v>3145</v>
      </c>
      <c r="L63" s="112">
        <f>IFERROR(VLOOKUP($B63,MMWR_TRAD_AGG_STATE_COMP[],L$1,0),"ERROR")</f>
        <v>2665</v>
      </c>
      <c r="M63" s="114">
        <f t="shared" si="6"/>
        <v>0.84737678855325915</v>
      </c>
      <c r="N63" s="111">
        <f>IFERROR(VLOOKUP($B63,MMWR_TRAD_AGG_STATE_COMP[],N$1,0),"ERROR")</f>
        <v>2751</v>
      </c>
      <c r="O63" s="112">
        <f>IFERROR(VLOOKUP($B63,MMWR_TRAD_AGG_STATE_COMP[],O$1,0),"ERROR")</f>
        <v>1756</v>
      </c>
      <c r="P63" s="114">
        <f t="shared" si="7"/>
        <v>0.63831334060341693</v>
      </c>
      <c r="Q63" s="115">
        <f>IFERROR(VLOOKUP($B63,MMWR_TRAD_AGG_STATE_COMP[],Q$1,0),"ERROR")</f>
        <v>641</v>
      </c>
      <c r="R63" s="115">
        <f>IFERROR(VLOOKUP($B63,MMWR_TRAD_AGG_STATE_COMP[],R$1,0),"ERROR")</f>
        <v>271</v>
      </c>
      <c r="S63" s="115">
        <f>IFERROR(VLOOKUP($B63,MMWR_APP_STATE_COMP[],S$1,0),"ERROR")</f>
        <v>7205</v>
      </c>
      <c r="T63" s="28"/>
    </row>
    <row r="64" spans="1:20" s="123" customFormat="1" x14ac:dyDescent="0.2">
      <c r="A64" s="28"/>
      <c r="B64" s="128" t="s">
        <v>8</v>
      </c>
      <c r="C64" s="102">
        <f>IFERROR(VLOOKUP($B64,MMWR_TRAD_AGG_ST_DISTRICT_COMP[],C$1,0),"ERROR")</f>
        <v>3689</v>
      </c>
      <c r="D64" s="103">
        <f>IFERROR(VLOOKUP($B64,MMWR_TRAD_AGG_ST_DISTRICT_COMP[],D$1,0),"ERROR")</f>
        <v>367.14367037139999</v>
      </c>
      <c r="E64" s="102">
        <f>IFERROR(VLOOKUP($B64,MMWR_TRAD_AGG_ST_DISTRICT_COMP[],E$1,0),"ERROR")</f>
        <v>4462</v>
      </c>
      <c r="F64" s="102">
        <f>IFERROR(VLOOKUP($B64,MMWR_TRAD_AGG_ST_DISTRICT_COMP[],F$1,0),"ERROR")</f>
        <v>1929</v>
      </c>
      <c r="G64" s="104">
        <f t="shared" si="4"/>
        <v>0.43231734648139847</v>
      </c>
      <c r="H64" s="102">
        <f>IFERROR(VLOOKUP($B64,MMWR_TRAD_AGG_ST_DISTRICT_COMP[],H$1,0),"ERROR")</f>
        <v>4982</v>
      </c>
      <c r="I64" s="102">
        <f>IFERROR(VLOOKUP($B64,MMWR_TRAD_AGG_ST_DISTRICT_COMP[],I$1,0),"ERROR")</f>
        <v>3445</v>
      </c>
      <c r="J64" s="105">
        <f t="shared" si="5"/>
        <v>0.69148936170212771</v>
      </c>
      <c r="K64" s="102">
        <f>IFERROR(VLOOKUP($B64,MMWR_TRAD_AGG_ST_DISTRICT_COMP[],K$1,0),"ERROR")</f>
        <v>1426</v>
      </c>
      <c r="L64" s="102">
        <f>IFERROR(VLOOKUP($B64,MMWR_TRAD_AGG_ST_DISTRICT_COMP[],L$1,0),"ERROR")</f>
        <v>968</v>
      </c>
      <c r="M64" s="105">
        <f t="shared" si="6"/>
        <v>0.67882187938288918</v>
      </c>
      <c r="N64" s="102">
        <f>IFERROR(VLOOKUP($B64,MMWR_TRAD_AGG_ST_DISTRICT_COMP[],N$1,0),"ERROR")</f>
        <v>1543</v>
      </c>
      <c r="O64" s="102">
        <f>IFERROR(VLOOKUP($B64,MMWR_TRAD_AGG_ST_DISTRICT_COMP[],O$1,0),"ERROR")</f>
        <v>971</v>
      </c>
      <c r="P64" s="105">
        <f t="shared" si="7"/>
        <v>0.62929358392741408</v>
      </c>
      <c r="Q64" s="102">
        <f>IFERROR(VLOOKUP($B64,MMWR_TRAD_AGG_ST_DISTRICT_COMP[],Q$1,0),"ERROR")</f>
        <v>454</v>
      </c>
      <c r="R64" s="106">
        <f>IFERROR(VLOOKUP($B64,MMWR_TRAD_AGG_ST_DISTRICT_COMP[],R$1,0),"ERROR")</f>
        <v>159</v>
      </c>
      <c r="S64" s="106">
        <f>IFERROR(VLOOKUP($B64,MMWR_APP_STATE_COMP[],S$1,0),"ERROR")</f>
        <v>426</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488</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225</v>
      </c>
      <c r="D67" s="461"/>
      <c r="E67" s="458" t="s">
        <v>205</v>
      </c>
      <c r="F67" s="459"/>
      <c r="G67" s="460"/>
      <c r="H67" s="458" t="s">
        <v>7</v>
      </c>
      <c r="I67" s="459"/>
      <c r="J67" s="460"/>
      <c r="K67" s="458" t="s">
        <v>30</v>
      </c>
      <c r="L67" s="459"/>
      <c r="M67" s="460"/>
      <c r="N67" s="458" t="s">
        <v>8</v>
      </c>
      <c r="O67" s="459"/>
      <c r="P67" s="460"/>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489</v>
      </c>
      <c r="T68" s="28"/>
    </row>
    <row r="69" spans="1:20" s="123" customFormat="1" x14ac:dyDescent="0.2">
      <c r="A69" s="28"/>
      <c r="B69" s="129" t="s">
        <v>463</v>
      </c>
      <c r="C69" s="119">
        <f>IFERROR(VLOOKUP($B69,MMWR_TRAD_AGG_RO_PEN[],C$1,0),"ERROR")</f>
        <v>26581</v>
      </c>
      <c r="D69" s="120">
        <f>IFERROR(VLOOKUP($B69,MMWR_TRAD_AGG_RO_PEN[],D$1,0),"ERROR")</f>
        <v>76.917685564899998</v>
      </c>
      <c r="E69" s="119">
        <f>IFERROR(VLOOKUP($B69,MMWR_TRAD_AGG_RO_PEN[],E$1,0),"ERROR")</f>
        <v>31214</v>
      </c>
      <c r="F69" s="119">
        <f>IFERROR(VLOOKUP($B69,MMWR_TRAD_AGG_RO_PEN[],F$1,0),"ERROR")</f>
        <v>5416</v>
      </c>
      <c r="G69" s="98">
        <f t="shared" ref="G69:G100" si="8">IFERROR(F69/E69,"0%")</f>
        <v>0.17351188569231754</v>
      </c>
      <c r="H69" s="119">
        <f>IFERROR(VLOOKUP($B69,MMWR_TRAD_AGG_RO_PEN[],H$1,0),"ERROR")</f>
        <v>33843</v>
      </c>
      <c r="I69" s="119">
        <f>IFERROR(VLOOKUP($B69,MMWR_TRAD_AGG_RO_PEN[],I$1,0),"ERROR")</f>
        <v>5999</v>
      </c>
      <c r="J69" s="98">
        <f t="shared" ref="J69:J100" si="9">IFERROR(I69/H69,"0%")</f>
        <v>0.17725969919924356</v>
      </c>
      <c r="K69" s="119">
        <f>IFERROR(VLOOKUP($B69,MMWR_TRAD_AGG_RO_PEN[],K$1,0),"ERROR")</f>
        <v>345</v>
      </c>
      <c r="L69" s="119">
        <f>IFERROR(VLOOKUP($B69,MMWR_TRAD_AGG_RO_PEN[],L$1,0),"ERROR")</f>
        <v>307</v>
      </c>
      <c r="M69" s="98">
        <f t="shared" ref="M69:M100" si="10">IFERROR(L69/K69,"0%")</f>
        <v>0.88985507246376816</v>
      </c>
      <c r="N69" s="119">
        <f>IFERROR(VLOOKUP($B69,MMWR_TRAD_AGG_RO_PEN[],N$1,0),"ERROR")</f>
        <v>1830</v>
      </c>
      <c r="O69" s="119">
        <f>IFERROR(VLOOKUP($B69,MMWR_TRAD_AGG_RO_PEN[],O$1,0),"ERROR")</f>
        <v>513</v>
      </c>
      <c r="P69" s="98">
        <f t="shared" ref="P69:P100" si="11">IFERROR(O69/N69,"0%")</f>
        <v>0.28032786885245903</v>
      </c>
      <c r="Q69" s="119">
        <f>IFERROR(VLOOKUP($B69,MMWR_TRAD_AGG_RO_PEN[],Q$1,0),"ERROR")</f>
        <v>10832</v>
      </c>
      <c r="R69" s="121">
        <f>IFERROR(VLOOKUP($B69,MMWR_TRAD_AGG_RO_PEN[],R$1,0),"ERROR")</f>
        <v>6281</v>
      </c>
      <c r="S69" s="121">
        <f>S70+S86+S99+S109+S119+S127</f>
        <v>6572</v>
      </c>
      <c r="T69" s="28"/>
    </row>
    <row r="70" spans="1:20" s="123" customFormat="1" x14ac:dyDescent="0.2">
      <c r="A70" s="28"/>
      <c r="B70" s="126" t="s">
        <v>370</v>
      </c>
      <c r="C70" s="102">
        <f>IFERROR(VLOOKUP($B70,MMWR_TRAD_AGG_ST_DISTRICT_PEN[],C$1,0),"ERROR")</f>
        <v>7424</v>
      </c>
      <c r="D70" s="103">
        <f>IFERROR(VLOOKUP($B70,MMWR_TRAD_AGG_ST_DISTRICT_PEN[],D$1,0),"ERROR")</f>
        <v>94.531115301699998</v>
      </c>
      <c r="E70" s="102">
        <f>IFERROR(VLOOKUP($B70,MMWR_TRAD_AGG_ST_DISTRICT_PEN[],E$1,0),"ERROR")</f>
        <v>10724</v>
      </c>
      <c r="F70" s="102">
        <f>IFERROR(VLOOKUP($B70,MMWR_TRAD_AGG_ST_DISTRICT_PEN[],F$1,0),"ERROR")</f>
        <v>2607</v>
      </c>
      <c r="G70" s="104">
        <f t="shared" si="8"/>
        <v>0.24309958970533382</v>
      </c>
      <c r="H70" s="102">
        <f>IFERROR(VLOOKUP($B70,MMWR_TRAD_AGG_ST_DISTRICT_PEN[],H$1,0),"ERROR")</f>
        <v>9822</v>
      </c>
      <c r="I70" s="102">
        <f>IFERROR(VLOOKUP($B70,MMWR_TRAD_AGG_ST_DISTRICT_PEN[],I$1,0),"ERROR")</f>
        <v>2767</v>
      </c>
      <c r="J70" s="104">
        <f t="shared" si="9"/>
        <v>0.28171451842801876</v>
      </c>
      <c r="K70" s="102">
        <f>IFERROR(VLOOKUP($B70,MMWR_TRAD_AGG_ST_DISTRICT_PEN[],K$1,0),"ERROR")</f>
        <v>211</v>
      </c>
      <c r="L70" s="102">
        <f>IFERROR(VLOOKUP($B70,MMWR_TRAD_AGG_ST_DISTRICT_PEN[],L$1,0),"ERROR")</f>
        <v>202</v>
      </c>
      <c r="M70" s="104">
        <f t="shared" si="10"/>
        <v>0.95734597156398105</v>
      </c>
      <c r="N70" s="102">
        <f>IFERROR(VLOOKUP($B70,MMWR_TRAD_AGG_ST_DISTRICT_PEN[],N$1,0),"ERROR")</f>
        <v>683</v>
      </c>
      <c r="O70" s="102">
        <f>IFERROR(VLOOKUP($B70,MMWR_TRAD_AGG_ST_DISTRICT_PEN[],O$1,0),"ERROR")</f>
        <v>182</v>
      </c>
      <c r="P70" s="104">
        <f t="shared" si="11"/>
        <v>0.26647144948755491</v>
      </c>
      <c r="Q70" s="102">
        <f>IFERROR(VLOOKUP($B70,MMWR_TRAD_AGG_ST_DISTRICT_PEN[],Q$1,0),"ERROR")</f>
        <v>1021</v>
      </c>
      <c r="R70" s="106">
        <f>IFERROR(VLOOKUP($B70,MMWR_TRAD_AGG_ST_DISTRICT_PEN[],R$1,0),"ERROR")</f>
        <v>2490</v>
      </c>
      <c r="S70" s="106">
        <f>IFERROR(VLOOKUP($B70,MMWR_APP_STATE_PEN[],S$1,0),"ERROR")</f>
        <v>1321</v>
      </c>
      <c r="T70" s="28"/>
    </row>
    <row r="71" spans="1:20" s="123" customFormat="1" x14ac:dyDescent="0.2">
      <c r="A71" s="28"/>
      <c r="B71" s="127" t="s">
        <v>374</v>
      </c>
      <c r="C71" s="109">
        <f>IFERROR(VLOOKUP($B71,MMWR_TRAD_AGG_STATE_PEN[],C$1,0),"ERROR")</f>
        <v>206</v>
      </c>
      <c r="D71" s="110">
        <f>IFERROR(VLOOKUP($B71,MMWR_TRAD_AGG_STATE_PEN[],D$1,0),"ERROR")</f>
        <v>96.436893203899999</v>
      </c>
      <c r="E71" s="111">
        <f>IFERROR(VLOOKUP($B71,MMWR_TRAD_AGG_STATE_PEN[],E$1,0),"ERROR")</f>
        <v>351</v>
      </c>
      <c r="F71" s="112">
        <f>IFERROR(VLOOKUP($B71,MMWR_TRAD_AGG_STATE_PEN[],F$1,0),"ERROR")</f>
        <v>98</v>
      </c>
      <c r="G71" s="113">
        <f t="shared" si="8"/>
        <v>0.27920227920227919</v>
      </c>
      <c r="H71" s="111">
        <f>IFERROR(VLOOKUP($B71,MMWR_TRAD_AGG_STATE_PEN[],H$1,0),"ERROR")</f>
        <v>281</v>
      </c>
      <c r="I71" s="112">
        <f>IFERROR(VLOOKUP($B71,MMWR_TRAD_AGG_STATE_PEN[],I$1,0),"ERROR")</f>
        <v>81</v>
      </c>
      <c r="J71" s="114">
        <f t="shared" si="9"/>
        <v>0.28825622775800713</v>
      </c>
      <c r="K71" s="111">
        <f>IFERROR(VLOOKUP($B71,MMWR_TRAD_AGG_STATE_PEN[],K$1,0),"ERROR")</f>
        <v>2</v>
      </c>
      <c r="L71" s="112">
        <f>IFERROR(VLOOKUP($B71,MMWR_TRAD_AGG_STATE_PEN[],L$1,0),"ERROR")</f>
        <v>2</v>
      </c>
      <c r="M71" s="114">
        <f t="shared" si="10"/>
        <v>1</v>
      </c>
      <c r="N71" s="111">
        <f>IFERROR(VLOOKUP($B71,MMWR_TRAD_AGG_STATE_PEN[],N$1,0),"ERROR")</f>
        <v>17</v>
      </c>
      <c r="O71" s="112">
        <f>IFERROR(VLOOKUP($B71,MMWR_TRAD_AGG_STATE_PEN[],O$1,0),"ERROR")</f>
        <v>5</v>
      </c>
      <c r="P71" s="114">
        <f t="shared" si="11"/>
        <v>0.29411764705882354</v>
      </c>
      <c r="Q71" s="115">
        <f>IFERROR(VLOOKUP($B71,MMWR_TRAD_AGG_STATE_PEN[],Q$1,0),"ERROR")</f>
        <v>23</v>
      </c>
      <c r="R71" s="115">
        <f>IFERROR(VLOOKUP($B71,MMWR_TRAD_AGG_STATE_PEN[],R$1,0),"ERROR")</f>
        <v>64</v>
      </c>
      <c r="S71" s="115">
        <f>IFERROR(VLOOKUP($B71,MMWR_APP_STATE_PEN[],S$1,0),"ERROR")</f>
        <v>47</v>
      </c>
      <c r="T71" s="28"/>
    </row>
    <row r="72" spans="1:20" s="123" customFormat="1" x14ac:dyDescent="0.2">
      <c r="A72" s="28"/>
      <c r="B72" s="127" t="s">
        <v>424</v>
      </c>
      <c r="C72" s="109">
        <f>IFERROR(VLOOKUP($B72,MMWR_TRAD_AGG_STATE_PEN[],C$1,0),"ERROR")</f>
        <v>56</v>
      </c>
      <c r="D72" s="110">
        <f>IFERROR(VLOOKUP($B72,MMWR_TRAD_AGG_STATE_PEN[],D$1,0),"ERROR")</f>
        <v>109.2857142857</v>
      </c>
      <c r="E72" s="111">
        <f>IFERROR(VLOOKUP($B72,MMWR_TRAD_AGG_STATE_PEN[],E$1,0),"ERROR")</f>
        <v>104</v>
      </c>
      <c r="F72" s="112">
        <f>IFERROR(VLOOKUP($B72,MMWR_TRAD_AGG_STATE_PEN[],F$1,0),"ERROR")</f>
        <v>27</v>
      </c>
      <c r="G72" s="113">
        <f t="shared" si="8"/>
        <v>0.25961538461538464</v>
      </c>
      <c r="H72" s="111">
        <f>IFERROR(VLOOKUP($B72,MMWR_TRAD_AGG_STATE_PEN[],H$1,0),"ERROR")</f>
        <v>75</v>
      </c>
      <c r="I72" s="112">
        <f>IFERROR(VLOOKUP($B72,MMWR_TRAD_AGG_STATE_PEN[],I$1,0),"ERROR")</f>
        <v>30</v>
      </c>
      <c r="J72" s="114">
        <f t="shared" si="9"/>
        <v>0.4</v>
      </c>
      <c r="K72" s="111">
        <f>IFERROR(VLOOKUP($B72,MMWR_TRAD_AGG_STATE_PEN[],K$1,0),"ERROR")</f>
        <v>2</v>
      </c>
      <c r="L72" s="112">
        <f>IFERROR(VLOOKUP($B72,MMWR_TRAD_AGG_STATE_PEN[],L$1,0),"ERROR")</f>
        <v>2</v>
      </c>
      <c r="M72" s="114">
        <f t="shared" si="10"/>
        <v>1</v>
      </c>
      <c r="N72" s="111">
        <f>IFERROR(VLOOKUP($B72,MMWR_TRAD_AGG_STATE_PEN[],N$1,0),"ERROR")</f>
        <v>5</v>
      </c>
      <c r="O72" s="112">
        <f>IFERROR(VLOOKUP($B72,MMWR_TRAD_AGG_STATE_PEN[],O$1,0),"ERROR")</f>
        <v>1</v>
      </c>
      <c r="P72" s="114">
        <f t="shared" si="11"/>
        <v>0.2</v>
      </c>
      <c r="Q72" s="115">
        <f>IFERROR(VLOOKUP($B72,MMWR_TRAD_AGG_STATE_PEN[],Q$1,0),"ERROR")</f>
        <v>12</v>
      </c>
      <c r="R72" s="115">
        <f>IFERROR(VLOOKUP($B72,MMWR_TRAD_AGG_STATE_PEN[],R$1,0),"ERROR")</f>
        <v>24</v>
      </c>
      <c r="S72" s="115">
        <f>IFERROR(VLOOKUP($B72,MMWR_APP_STATE_PEN[],S$1,0),"ERROR")</f>
        <v>18</v>
      </c>
      <c r="T72" s="28"/>
    </row>
    <row r="73" spans="1:20" s="123" customFormat="1" x14ac:dyDescent="0.2">
      <c r="A73" s="28"/>
      <c r="B73" s="127" t="s">
        <v>415</v>
      </c>
      <c r="C73" s="109">
        <f>IFERROR(VLOOKUP($B73,MMWR_TRAD_AGG_STATE_PEN[],C$1,0),"ERROR")</f>
        <v>34</v>
      </c>
      <c r="D73" s="110">
        <f>IFERROR(VLOOKUP($B73,MMWR_TRAD_AGG_STATE_PEN[],D$1,0),"ERROR")</f>
        <v>107.1176470588</v>
      </c>
      <c r="E73" s="111">
        <f>IFERROR(VLOOKUP($B73,MMWR_TRAD_AGG_STATE_PEN[],E$1,0),"ERROR")</f>
        <v>53</v>
      </c>
      <c r="F73" s="112">
        <f>IFERROR(VLOOKUP($B73,MMWR_TRAD_AGG_STATE_PEN[],F$1,0),"ERROR")</f>
        <v>13</v>
      </c>
      <c r="G73" s="113">
        <f t="shared" si="8"/>
        <v>0.24528301886792453</v>
      </c>
      <c r="H73" s="111">
        <f>IFERROR(VLOOKUP($B73,MMWR_TRAD_AGG_STATE_PEN[],H$1,0),"ERROR")</f>
        <v>54</v>
      </c>
      <c r="I73" s="112">
        <f>IFERROR(VLOOKUP($B73,MMWR_TRAD_AGG_STATE_PEN[],I$1,0),"ERROR")</f>
        <v>18</v>
      </c>
      <c r="J73" s="114">
        <f t="shared" si="9"/>
        <v>0.33333333333333331</v>
      </c>
      <c r="K73" s="111">
        <f>IFERROR(VLOOKUP($B73,MMWR_TRAD_AGG_STATE_PEN[],K$1,0),"ERROR")</f>
        <v>2</v>
      </c>
      <c r="L73" s="112">
        <f>IFERROR(VLOOKUP($B73,MMWR_TRAD_AGG_STATE_PEN[],L$1,0),"ERROR")</f>
        <v>2</v>
      </c>
      <c r="M73" s="114">
        <f t="shared" si="10"/>
        <v>1</v>
      </c>
      <c r="N73" s="111">
        <f>IFERROR(VLOOKUP($B73,MMWR_TRAD_AGG_STATE_PEN[],N$1,0),"ERROR")</f>
        <v>0</v>
      </c>
      <c r="O73" s="112">
        <f>IFERROR(VLOOKUP($B73,MMWR_TRAD_AGG_STATE_PEN[],O$1,0),"ERROR")</f>
        <v>0</v>
      </c>
      <c r="P73" s="114" t="str">
        <f t="shared" si="11"/>
        <v>0%</v>
      </c>
      <c r="Q73" s="115">
        <f>IFERROR(VLOOKUP($B73,MMWR_TRAD_AGG_STATE_PEN[],Q$1,0),"ERROR")</f>
        <v>9</v>
      </c>
      <c r="R73" s="115">
        <f>IFERROR(VLOOKUP($B73,MMWR_TRAD_AGG_STATE_PEN[],R$1,0),"ERROR")</f>
        <v>20</v>
      </c>
      <c r="S73" s="115">
        <f>IFERROR(VLOOKUP($B73,MMWR_APP_STATE_PEN[],S$1,0),"ERROR")</f>
        <v>11</v>
      </c>
      <c r="T73" s="28"/>
    </row>
    <row r="74" spans="1:20" s="123" customFormat="1" x14ac:dyDescent="0.2">
      <c r="A74" s="28"/>
      <c r="B74" s="127" t="s">
        <v>417</v>
      </c>
      <c r="C74" s="109">
        <f>IFERROR(VLOOKUP($B74,MMWR_TRAD_AGG_STATE_PEN[],C$1,0),"ERROR")</f>
        <v>134</v>
      </c>
      <c r="D74" s="110">
        <f>IFERROR(VLOOKUP($B74,MMWR_TRAD_AGG_STATE_PEN[],D$1,0),"ERROR")</f>
        <v>103.2164179104</v>
      </c>
      <c r="E74" s="111">
        <f>IFERROR(VLOOKUP($B74,MMWR_TRAD_AGG_STATE_PEN[],E$1,0),"ERROR")</f>
        <v>142</v>
      </c>
      <c r="F74" s="112">
        <f>IFERROR(VLOOKUP($B74,MMWR_TRAD_AGG_STATE_PEN[],F$1,0),"ERROR")</f>
        <v>32</v>
      </c>
      <c r="G74" s="113">
        <f t="shared" si="8"/>
        <v>0.22535211267605634</v>
      </c>
      <c r="H74" s="111">
        <f>IFERROR(VLOOKUP($B74,MMWR_TRAD_AGG_STATE_PEN[],H$1,0),"ERROR")</f>
        <v>177</v>
      </c>
      <c r="I74" s="112">
        <f>IFERROR(VLOOKUP($B74,MMWR_TRAD_AGG_STATE_PEN[],I$1,0),"ERROR")</f>
        <v>57</v>
      </c>
      <c r="J74" s="114">
        <f t="shared" si="9"/>
        <v>0.32203389830508472</v>
      </c>
      <c r="K74" s="111">
        <f>IFERROR(VLOOKUP($B74,MMWR_TRAD_AGG_STATE_PEN[],K$1,0),"ERROR")</f>
        <v>1</v>
      </c>
      <c r="L74" s="112">
        <f>IFERROR(VLOOKUP($B74,MMWR_TRAD_AGG_STATE_PEN[],L$1,0),"ERROR")</f>
        <v>1</v>
      </c>
      <c r="M74" s="114">
        <f t="shared" si="10"/>
        <v>1</v>
      </c>
      <c r="N74" s="111">
        <f>IFERROR(VLOOKUP($B74,MMWR_TRAD_AGG_STATE_PEN[],N$1,0),"ERROR")</f>
        <v>16</v>
      </c>
      <c r="O74" s="112">
        <f>IFERROR(VLOOKUP($B74,MMWR_TRAD_AGG_STATE_PEN[],O$1,0),"ERROR")</f>
        <v>3</v>
      </c>
      <c r="P74" s="114">
        <f t="shared" si="11"/>
        <v>0.1875</v>
      </c>
      <c r="Q74" s="115">
        <f>IFERROR(VLOOKUP($B74,MMWR_TRAD_AGG_STATE_PEN[],Q$1,0),"ERROR")</f>
        <v>28</v>
      </c>
      <c r="R74" s="115">
        <f>IFERROR(VLOOKUP($B74,MMWR_TRAD_AGG_STATE_PEN[],R$1,0),"ERROR")</f>
        <v>31</v>
      </c>
      <c r="S74" s="115">
        <f>IFERROR(VLOOKUP($B74,MMWR_APP_STATE_PEN[],S$1,0),"ERROR")</f>
        <v>22</v>
      </c>
      <c r="T74" s="28"/>
    </row>
    <row r="75" spans="1:20" s="123" customFormat="1" x14ac:dyDescent="0.2">
      <c r="A75" s="28"/>
      <c r="B75" s="127" t="s">
        <v>377</v>
      </c>
      <c r="C75" s="109">
        <f>IFERROR(VLOOKUP($B75,MMWR_TRAD_AGG_STATE_PEN[],C$1,0),"ERROR")</f>
        <v>351</v>
      </c>
      <c r="D75" s="110">
        <f>IFERROR(VLOOKUP($B75,MMWR_TRAD_AGG_STATE_PEN[],D$1,0),"ERROR")</f>
        <v>100.207977208</v>
      </c>
      <c r="E75" s="111">
        <f>IFERROR(VLOOKUP($B75,MMWR_TRAD_AGG_STATE_PEN[],E$1,0),"ERROR")</f>
        <v>609</v>
      </c>
      <c r="F75" s="112">
        <f>IFERROR(VLOOKUP($B75,MMWR_TRAD_AGG_STATE_PEN[],F$1,0),"ERROR")</f>
        <v>132</v>
      </c>
      <c r="G75" s="113">
        <f t="shared" si="8"/>
        <v>0.21674876847290642</v>
      </c>
      <c r="H75" s="111">
        <f>IFERROR(VLOOKUP($B75,MMWR_TRAD_AGG_STATE_PEN[],H$1,0),"ERROR")</f>
        <v>495</v>
      </c>
      <c r="I75" s="112">
        <f>IFERROR(VLOOKUP($B75,MMWR_TRAD_AGG_STATE_PEN[],I$1,0),"ERROR")</f>
        <v>170</v>
      </c>
      <c r="J75" s="114">
        <f t="shared" si="9"/>
        <v>0.34343434343434343</v>
      </c>
      <c r="K75" s="111">
        <f>IFERROR(VLOOKUP($B75,MMWR_TRAD_AGG_STATE_PEN[],K$1,0),"ERROR")</f>
        <v>11</v>
      </c>
      <c r="L75" s="112">
        <f>IFERROR(VLOOKUP($B75,MMWR_TRAD_AGG_STATE_PEN[],L$1,0),"ERROR")</f>
        <v>11</v>
      </c>
      <c r="M75" s="114">
        <f t="shared" si="10"/>
        <v>1</v>
      </c>
      <c r="N75" s="111">
        <f>IFERROR(VLOOKUP($B75,MMWR_TRAD_AGG_STATE_PEN[],N$1,0),"ERROR")</f>
        <v>47</v>
      </c>
      <c r="O75" s="112">
        <f>IFERROR(VLOOKUP($B75,MMWR_TRAD_AGG_STATE_PEN[],O$1,0),"ERROR")</f>
        <v>17</v>
      </c>
      <c r="P75" s="114">
        <f t="shared" si="11"/>
        <v>0.36170212765957449</v>
      </c>
      <c r="Q75" s="115">
        <f>IFERROR(VLOOKUP($B75,MMWR_TRAD_AGG_STATE_PEN[],Q$1,0),"ERROR")</f>
        <v>55</v>
      </c>
      <c r="R75" s="115">
        <f>IFERROR(VLOOKUP($B75,MMWR_TRAD_AGG_STATE_PEN[],R$1,0),"ERROR")</f>
        <v>173</v>
      </c>
      <c r="S75" s="115">
        <f>IFERROR(VLOOKUP($B75,MMWR_APP_STATE_PEN[],S$1,0),"ERROR")</f>
        <v>81</v>
      </c>
      <c r="T75" s="28"/>
    </row>
    <row r="76" spans="1:20" s="123" customFormat="1" x14ac:dyDescent="0.2">
      <c r="A76" s="28"/>
      <c r="B76" s="127" t="s">
        <v>372</v>
      </c>
      <c r="C76" s="109">
        <f>IFERROR(VLOOKUP($B76,MMWR_TRAD_AGG_STATE_PEN[],C$1,0),"ERROR")</f>
        <v>366</v>
      </c>
      <c r="D76" s="110">
        <f>IFERROR(VLOOKUP($B76,MMWR_TRAD_AGG_STATE_PEN[],D$1,0),"ERROR")</f>
        <v>98.125683060100002</v>
      </c>
      <c r="E76" s="111">
        <f>IFERROR(VLOOKUP($B76,MMWR_TRAD_AGG_STATE_PEN[],E$1,0),"ERROR")</f>
        <v>607</v>
      </c>
      <c r="F76" s="112">
        <f>IFERROR(VLOOKUP($B76,MMWR_TRAD_AGG_STATE_PEN[],F$1,0),"ERROR")</f>
        <v>134</v>
      </c>
      <c r="G76" s="113">
        <f t="shared" si="8"/>
        <v>0.22075782537067545</v>
      </c>
      <c r="H76" s="111">
        <f>IFERROR(VLOOKUP($B76,MMWR_TRAD_AGG_STATE_PEN[],H$1,0),"ERROR")</f>
        <v>485</v>
      </c>
      <c r="I76" s="112">
        <f>IFERROR(VLOOKUP($B76,MMWR_TRAD_AGG_STATE_PEN[],I$1,0),"ERROR")</f>
        <v>142</v>
      </c>
      <c r="J76" s="114">
        <f t="shared" si="9"/>
        <v>0.29278350515463919</v>
      </c>
      <c r="K76" s="111">
        <f>IFERROR(VLOOKUP($B76,MMWR_TRAD_AGG_STATE_PEN[],K$1,0),"ERROR")</f>
        <v>4</v>
      </c>
      <c r="L76" s="112">
        <f>IFERROR(VLOOKUP($B76,MMWR_TRAD_AGG_STATE_PEN[],L$1,0),"ERROR")</f>
        <v>3</v>
      </c>
      <c r="M76" s="114">
        <f t="shared" si="10"/>
        <v>0.75</v>
      </c>
      <c r="N76" s="111">
        <f>IFERROR(VLOOKUP($B76,MMWR_TRAD_AGG_STATE_PEN[],N$1,0),"ERROR")</f>
        <v>60</v>
      </c>
      <c r="O76" s="112">
        <f>IFERROR(VLOOKUP($B76,MMWR_TRAD_AGG_STATE_PEN[],O$1,0),"ERROR")</f>
        <v>12</v>
      </c>
      <c r="P76" s="114">
        <f t="shared" si="11"/>
        <v>0.2</v>
      </c>
      <c r="Q76" s="115">
        <f>IFERROR(VLOOKUP($B76,MMWR_TRAD_AGG_STATE_PEN[],Q$1,0),"ERROR")</f>
        <v>54</v>
      </c>
      <c r="R76" s="115">
        <f>IFERROR(VLOOKUP($B76,MMWR_TRAD_AGG_STATE_PEN[],R$1,0),"ERROR")</f>
        <v>177</v>
      </c>
      <c r="S76" s="115">
        <f>IFERROR(VLOOKUP($B76,MMWR_APP_STATE_PEN[],S$1,0),"ERROR")</f>
        <v>93</v>
      </c>
      <c r="T76" s="28"/>
    </row>
    <row r="77" spans="1:20" s="123" customFormat="1" x14ac:dyDescent="0.2">
      <c r="A77" s="28"/>
      <c r="B77" s="127" t="s">
        <v>416</v>
      </c>
      <c r="C77" s="109">
        <f>IFERROR(VLOOKUP($B77,MMWR_TRAD_AGG_STATE_PEN[],C$1,0),"ERROR")</f>
        <v>103</v>
      </c>
      <c r="D77" s="110">
        <f>IFERROR(VLOOKUP($B77,MMWR_TRAD_AGG_STATE_PEN[],D$1,0),"ERROR")</f>
        <v>102.3689320388</v>
      </c>
      <c r="E77" s="111">
        <f>IFERROR(VLOOKUP($B77,MMWR_TRAD_AGG_STATE_PEN[],E$1,0),"ERROR")</f>
        <v>155</v>
      </c>
      <c r="F77" s="112">
        <f>IFERROR(VLOOKUP($B77,MMWR_TRAD_AGG_STATE_PEN[],F$1,0),"ERROR")</f>
        <v>28</v>
      </c>
      <c r="G77" s="113">
        <f t="shared" si="8"/>
        <v>0.18064516129032257</v>
      </c>
      <c r="H77" s="111">
        <f>IFERROR(VLOOKUP($B77,MMWR_TRAD_AGG_STATE_PEN[],H$1,0),"ERROR")</f>
        <v>137</v>
      </c>
      <c r="I77" s="112">
        <f>IFERROR(VLOOKUP($B77,MMWR_TRAD_AGG_STATE_PEN[],I$1,0),"ERROR")</f>
        <v>49</v>
      </c>
      <c r="J77" s="114">
        <f t="shared" si="9"/>
        <v>0.35766423357664234</v>
      </c>
      <c r="K77" s="111">
        <f>IFERROR(VLOOKUP($B77,MMWR_TRAD_AGG_STATE_PEN[],K$1,0),"ERROR")</f>
        <v>1</v>
      </c>
      <c r="L77" s="112">
        <f>IFERROR(VLOOKUP($B77,MMWR_TRAD_AGG_STATE_PEN[],L$1,0),"ERROR")</f>
        <v>0</v>
      </c>
      <c r="M77" s="114">
        <f t="shared" si="10"/>
        <v>0</v>
      </c>
      <c r="N77" s="111">
        <f>IFERROR(VLOOKUP($B77,MMWR_TRAD_AGG_STATE_PEN[],N$1,0),"ERROR")</f>
        <v>15</v>
      </c>
      <c r="O77" s="112">
        <f>IFERROR(VLOOKUP($B77,MMWR_TRAD_AGG_STATE_PEN[],O$1,0),"ERROR")</f>
        <v>1</v>
      </c>
      <c r="P77" s="114">
        <f t="shared" si="11"/>
        <v>6.6666666666666666E-2</v>
      </c>
      <c r="Q77" s="115">
        <f>IFERROR(VLOOKUP($B77,MMWR_TRAD_AGG_STATE_PEN[],Q$1,0),"ERROR")</f>
        <v>8</v>
      </c>
      <c r="R77" s="115">
        <f>IFERROR(VLOOKUP($B77,MMWR_TRAD_AGG_STATE_PEN[],R$1,0),"ERROR")</f>
        <v>35</v>
      </c>
      <c r="S77" s="115">
        <f>IFERROR(VLOOKUP($B77,MMWR_APP_STATE_PEN[],S$1,0),"ERROR")</f>
        <v>15</v>
      </c>
      <c r="T77" s="28"/>
    </row>
    <row r="78" spans="1:20" s="123" customFormat="1" x14ac:dyDescent="0.2">
      <c r="A78" s="28"/>
      <c r="B78" s="127" t="s">
        <v>375</v>
      </c>
      <c r="C78" s="109">
        <f>IFERROR(VLOOKUP($B78,MMWR_TRAD_AGG_STATE_PEN[],C$1,0),"ERROR")</f>
        <v>438</v>
      </c>
      <c r="D78" s="110">
        <f>IFERROR(VLOOKUP($B78,MMWR_TRAD_AGG_STATE_PEN[],D$1,0),"ERROR")</f>
        <v>103.0570776256</v>
      </c>
      <c r="E78" s="111">
        <f>IFERROR(VLOOKUP($B78,MMWR_TRAD_AGG_STATE_PEN[],E$1,0),"ERROR")</f>
        <v>766</v>
      </c>
      <c r="F78" s="112">
        <f>IFERROR(VLOOKUP($B78,MMWR_TRAD_AGG_STATE_PEN[],F$1,0),"ERROR")</f>
        <v>207</v>
      </c>
      <c r="G78" s="113">
        <f t="shared" si="8"/>
        <v>0.27023498694516973</v>
      </c>
      <c r="H78" s="111">
        <f>IFERROR(VLOOKUP($B78,MMWR_TRAD_AGG_STATE_PEN[],H$1,0),"ERROR")</f>
        <v>562</v>
      </c>
      <c r="I78" s="112">
        <f>IFERROR(VLOOKUP($B78,MMWR_TRAD_AGG_STATE_PEN[],I$1,0),"ERROR")</f>
        <v>176</v>
      </c>
      <c r="J78" s="114">
        <f t="shared" si="9"/>
        <v>0.31316725978647686</v>
      </c>
      <c r="K78" s="111">
        <f>IFERROR(VLOOKUP($B78,MMWR_TRAD_AGG_STATE_PEN[],K$1,0),"ERROR")</f>
        <v>4</v>
      </c>
      <c r="L78" s="112">
        <f>IFERROR(VLOOKUP($B78,MMWR_TRAD_AGG_STATE_PEN[],L$1,0),"ERROR")</f>
        <v>3</v>
      </c>
      <c r="M78" s="114">
        <f t="shared" si="10"/>
        <v>0.75</v>
      </c>
      <c r="N78" s="111">
        <f>IFERROR(VLOOKUP($B78,MMWR_TRAD_AGG_STATE_PEN[],N$1,0),"ERROR")</f>
        <v>48</v>
      </c>
      <c r="O78" s="112">
        <f>IFERROR(VLOOKUP($B78,MMWR_TRAD_AGG_STATE_PEN[],O$1,0),"ERROR")</f>
        <v>13</v>
      </c>
      <c r="P78" s="114">
        <f t="shared" si="11"/>
        <v>0.27083333333333331</v>
      </c>
      <c r="Q78" s="115">
        <f>IFERROR(VLOOKUP($B78,MMWR_TRAD_AGG_STATE_PEN[],Q$1,0),"ERROR")</f>
        <v>69</v>
      </c>
      <c r="R78" s="115">
        <f>IFERROR(VLOOKUP($B78,MMWR_TRAD_AGG_STATE_PEN[],R$1,0),"ERROR")</f>
        <v>203</v>
      </c>
      <c r="S78" s="115">
        <f>IFERROR(VLOOKUP($B78,MMWR_APP_STATE_PEN[],S$1,0),"ERROR")</f>
        <v>160</v>
      </c>
      <c r="T78" s="28"/>
    </row>
    <row r="79" spans="1:20" s="123" customFormat="1" x14ac:dyDescent="0.2">
      <c r="A79" s="28"/>
      <c r="B79" s="127" t="s">
        <v>60</v>
      </c>
      <c r="C79" s="109">
        <f>IFERROR(VLOOKUP($B79,MMWR_TRAD_AGG_STATE_PEN[],C$1,0),"ERROR")</f>
        <v>1173</v>
      </c>
      <c r="D79" s="110">
        <f>IFERROR(VLOOKUP($B79,MMWR_TRAD_AGG_STATE_PEN[],D$1,0),"ERROR")</f>
        <v>97.335038363199999</v>
      </c>
      <c r="E79" s="111">
        <f>IFERROR(VLOOKUP($B79,MMWR_TRAD_AGG_STATE_PEN[],E$1,0),"ERROR")</f>
        <v>2224</v>
      </c>
      <c r="F79" s="112">
        <f>IFERROR(VLOOKUP($B79,MMWR_TRAD_AGG_STATE_PEN[],F$1,0),"ERROR")</f>
        <v>572</v>
      </c>
      <c r="G79" s="113">
        <f t="shared" si="8"/>
        <v>0.25719424460431656</v>
      </c>
      <c r="H79" s="111">
        <f>IFERROR(VLOOKUP($B79,MMWR_TRAD_AGG_STATE_PEN[],H$1,0),"ERROR")</f>
        <v>1637</v>
      </c>
      <c r="I79" s="112">
        <f>IFERROR(VLOOKUP($B79,MMWR_TRAD_AGG_STATE_PEN[],I$1,0),"ERROR")</f>
        <v>485</v>
      </c>
      <c r="J79" s="114">
        <f t="shared" si="9"/>
        <v>0.29627367135003052</v>
      </c>
      <c r="K79" s="111">
        <f>IFERROR(VLOOKUP($B79,MMWR_TRAD_AGG_STATE_PEN[],K$1,0),"ERROR")</f>
        <v>11</v>
      </c>
      <c r="L79" s="112">
        <f>IFERROR(VLOOKUP($B79,MMWR_TRAD_AGG_STATE_PEN[],L$1,0),"ERROR")</f>
        <v>10</v>
      </c>
      <c r="M79" s="114">
        <f t="shared" si="10"/>
        <v>0.90909090909090906</v>
      </c>
      <c r="N79" s="111">
        <f>IFERROR(VLOOKUP($B79,MMWR_TRAD_AGG_STATE_PEN[],N$1,0),"ERROR")</f>
        <v>96</v>
      </c>
      <c r="O79" s="112">
        <f>IFERROR(VLOOKUP($B79,MMWR_TRAD_AGG_STATE_PEN[],O$1,0),"ERROR")</f>
        <v>23</v>
      </c>
      <c r="P79" s="114">
        <f t="shared" si="11"/>
        <v>0.23958333333333334</v>
      </c>
      <c r="Q79" s="115">
        <f>IFERROR(VLOOKUP($B79,MMWR_TRAD_AGG_STATE_PEN[],Q$1,0),"ERROR")</f>
        <v>156</v>
      </c>
      <c r="R79" s="115">
        <f>IFERROR(VLOOKUP($B79,MMWR_TRAD_AGG_STATE_PEN[],R$1,0),"ERROR")</f>
        <v>368</v>
      </c>
      <c r="S79" s="115">
        <f>IFERROR(VLOOKUP($B79,MMWR_APP_STATE_PEN[],S$1,0),"ERROR")</f>
        <v>228</v>
      </c>
      <c r="T79" s="28"/>
    </row>
    <row r="80" spans="1:20" s="123" customFormat="1" x14ac:dyDescent="0.2">
      <c r="A80" s="28"/>
      <c r="B80" s="127" t="s">
        <v>383</v>
      </c>
      <c r="C80" s="109">
        <f>IFERROR(VLOOKUP($B80,MMWR_TRAD_AGG_STATE_PEN[],C$1,0),"ERROR")</f>
        <v>1702</v>
      </c>
      <c r="D80" s="110">
        <f>IFERROR(VLOOKUP($B80,MMWR_TRAD_AGG_STATE_PEN[],D$1,0),"ERROR")</f>
        <v>87.658049353699994</v>
      </c>
      <c r="E80" s="111">
        <f>IFERROR(VLOOKUP($B80,MMWR_TRAD_AGG_STATE_PEN[],E$1,0),"ERROR")</f>
        <v>1603</v>
      </c>
      <c r="F80" s="112">
        <f>IFERROR(VLOOKUP($B80,MMWR_TRAD_AGG_STATE_PEN[],F$1,0),"ERROR")</f>
        <v>350</v>
      </c>
      <c r="G80" s="113">
        <f t="shared" si="8"/>
        <v>0.2183406113537118</v>
      </c>
      <c r="H80" s="111">
        <f>IFERROR(VLOOKUP($B80,MMWR_TRAD_AGG_STATE_PEN[],H$1,0),"ERROR")</f>
        <v>2093</v>
      </c>
      <c r="I80" s="112">
        <f>IFERROR(VLOOKUP($B80,MMWR_TRAD_AGG_STATE_PEN[],I$1,0),"ERROR")</f>
        <v>519</v>
      </c>
      <c r="J80" s="114">
        <f t="shared" si="9"/>
        <v>0.24796942188246537</v>
      </c>
      <c r="K80" s="111">
        <f>IFERROR(VLOOKUP($B80,MMWR_TRAD_AGG_STATE_PEN[],K$1,0),"ERROR")</f>
        <v>31</v>
      </c>
      <c r="L80" s="112">
        <f>IFERROR(VLOOKUP($B80,MMWR_TRAD_AGG_STATE_PEN[],L$1,0),"ERROR")</f>
        <v>28</v>
      </c>
      <c r="M80" s="114">
        <f t="shared" si="10"/>
        <v>0.90322580645161288</v>
      </c>
      <c r="N80" s="111">
        <f>IFERROR(VLOOKUP($B80,MMWR_TRAD_AGG_STATE_PEN[],N$1,0),"ERROR")</f>
        <v>130</v>
      </c>
      <c r="O80" s="112">
        <f>IFERROR(VLOOKUP($B80,MMWR_TRAD_AGG_STATE_PEN[],O$1,0),"ERROR")</f>
        <v>43</v>
      </c>
      <c r="P80" s="114">
        <f t="shared" si="11"/>
        <v>0.33076923076923076</v>
      </c>
      <c r="Q80" s="115">
        <f>IFERROR(VLOOKUP($B80,MMWR_TRAD_AGG_STATE_PEN[],Q$1,0),"ERROR")</f>
        <v>238</v>
      </c>
      <c r="R80" s="115">
        <f>IFERROR(VLOOKUP($B80,MMWR_TRAD_AGG_STATE_PEN[],R$1,0),"ERROR")</f>
        <v>458</v>
      </c>
      <c r="S80" s="115">
        <f>IFERROR(VLOOKUP($B80,MMWR_APP_STATE_PEN[],S$1,0),"ERROR")</f>
        <v>194</v>
      </c>
      <c r="T80" s="28"/>
    </row>
    <row r="81" spans="1:20" s="123" customFormat="1" x14ac:dyDescent="0.2">
      <c r="A81" s="28"/>
      <c r="B81" s="127" t="s">
        <v>376</v>
      </c>
      <c r="C81" s="109">
        <f>IFERROR(VLOOKUP($B81,MMWR_TRAD_AGG_STATE_PEN[],C$1,0),"ERROR")</f>
        <v>1583</v>
      </c>
      <c r="D81" s="110">
        <f>IFERROR(VLOOKUP($B81,MMWR_TRAD_AGG_STATE_PEN[],D$1,0),"ERROR")</f>
        <v>94.765003158599995</v>
      </c>
      <c r="E81" s="111">
        <f>IFERROR(VLOOKUP($B81,MMWR_TRAD_AGG_STATE_PEN[],E$1,0),"ERROR")</f>
        <v>2718</v>
      </c>
      <c r="F81" s="112">
        <f>IFERROR(VLOOKUP($B81,MMWR_TRAD_AGG_STATE_PEN[],F$1,0),"ERROR")</f>
        <v>701</v>
      </c>
      <c r="G81" s="113">
        <f t="shared" si="8"/>
        <v>0.25791022810890363</v>
      </c>
      <c r="H81" s="111">
        <f>IFERROR(VLOOKUP($B81,MMWR_TRAD_AGG_STATE_PEN[],H$1,0),"ERROR")</f>
        <v>2196</v>
      </c>
      <c r="I81" s="112">
        <f>IFERROR(VLOOKUP($B81,MMWR_TRAD_AGG_STATE_PEN[],I$1,0),"ERROR")</f>
        <v>608</v>
      </c>
      <c r="J81" s="114">
        <f t="shared" si="9"/>
        <v>0.27686703096539161</v>
      </c>
      <c r="K81" s="111">
        <f>IFERROR(VLOOKUP($B81,MMWR_TRAD_AGG_STATE_PEN[],K$1,0),"ERROR")</f>
        <v>4</v>
      </c>
      <c r="L81" s="112">
        <f>IFERROR(VLOOKUP($B81,MMWR_TRAD_AGG_STATE_PEN[],L$1,0),"ERROR")</f>
        <v>4</v>
      </c>
      <c r="M81" s="114">
        <f t="shared" si="10"/>
        <v>1</v>
      </c>
      <c r="N81" s="111">
        <f>IFERROR(VLOOKUP($B81,MMWR_TRAD_AGG_STATE_PEN[],N$1,0),"ERROR")</f>
        <v>132</v>
      </c>
      <c r="O81" s="112">
        <f>IFERROR(VLOOKUP($B81,MMWR_TRAD_AGG_STATE_PEN[],O$1,0),"ERROR")</f>
        <v>28</v>
      </c>
      <c r="P81" s="114">
        <f t="shared" si="11"/>
        <v>0.21212121212121213</v>
      </c>
      <c r="Q81" s="115">
        <f>IFERROR(VLOOKUP($B81,MMWR_TRAD_AGG_STATE_PEN[],Q$1,0),"ERROR")</f>
        <v>137</v>
      </c>
      <c r="R81" s="115">
        <f>IFERROR(VLOOKUP($B81,MMWR_TRAD_AGG_STATE_PEN[],R$1,0),"ERROR")</f>
        <v>471</v>
      </c>
      <c r="S81" s="115">
        <f>IFERROR(VLOOKUP($B81,MMWR_APP_STATE_PEN[],S$1,0),"ERROR")</f>
        <v>211</v>
      </c>
      <c r="T81" s="28"/>
    </row>
    <row r="82" spans="1:20" s="123" customFormat="1" x14ac:dyDescent="0.2">
      <c r="A82" s="28"/>
      <c r="B82" s="127" t="s">
        <v>373</v>
      </c>
      <c r="C82" s="109">
        <f>IFERROR(VLOOKUP($B82,MMWR_TRAD_AGG_STATE_PEN[],C$1,0),"ERROR")</f>
        <v>101</v>
      </c>
      <c r="D82" s="110">
        <f>IFERROR(VLOOKUP($B82,MMWR_TRAD_AGG_STATE_PEN[],D$1,0),"ERROR")</f>
        <v>87.0198019802</v>
      </c>
      <c r="E82" s="111">
        <f>IFERROR(VLOOKUP($B82,MMWR_TRAD_AGG_STATE_PEN[],E$1,0),"ERROR")</f>
        <v>172</v>
      </c>
      <c r="F82" s="112">
        <f>IFERROR(VLOOKUP($B82,MMWR_TRAD_AGG_STATE_PEN[],F$1,0),"ERROR")</f>
        <v>51</v>
      </c>
      <c r="G82" s="113">
        <f t="shared" si="8"/>
        <v>0.29651162790697677</v>
      </c>
      <c r="H82" s="111">
        <f>IFERROR(VLOOKUP($B82,MMWR_TRAD_AGG_STATE_PEN[],H$1,0),"ERROR")</f>
        <v>142</v>
      </c>
      <c r="I82" s="112">
        <f>IFERROR(VLOOKUP($B82,MMWR_TRAD_AGG_STATE_PEN[],I$1,0),"ERROR")</f>
        <v>33</v>
      </c>
      <c r="J82" s="114">
        <f t="shared" si="9"/>
        <v>0.23239436619718309</v>
      </c>
      <c r="K82" s="111">
        <f>IFERROR(VLOOKUP($B82,MMWR_TRAD_AGG_STATE_PEN[],K$1,0),"ERROR")</f>
        <v>0</v>
      </c>
      <c r="L82" s="112">
        <f>IFERROR(VLOOKUP($B82,MMWR_TRAD_AGG_STATE_PEN[],L$1,0),"ERROR")</f>
        <v>0</v>
      </c>
      <c r="M82" s="114" t="str">
        <f t="shared" si="10"/>
        <v>0%</v>
      </c>
      <c r="N82" s="111">
        <f>IFERROR(VLOOKUP($B82,MMWR_TRAD_AGG_STATE_PEN[],N$1,0),"ERROR")</f>
        <v>17</v>
      </c>
      <c r="O82" s="112">
        <f>IFERROR(VLOOKUP($B82,MMWR_TRAD_AGG_STATE_PEN[],O$1,0),"ERROR")</f>
        <v>6</v>
      </c>
      <c r="P82" s="114">
        <f t="shared" si="11"/>
        <v>0.35294117647058826</v>
      </c>
      <c r="Q82" s="115">
        <f>IFERROR(VLOOKUP($B82,MMWR_TRAD_AGG_STATE_PEN[],Q$1,0),"ERROR")</f>
        <v>10</v>
      </c>
      <c r="R82" s="115">
        <f>IFERROR(VLOOKUP($B82,MMWR_TRAD_AGG_STATE_PEN[],R$1,0),"ERROR")</f>
        <v>32</v>
      </c>
      <c r="S82" s="115">
        <f>IFERROR(VLOOKUP($B82,MMWR_APP_STATE_PEN[],S$1,0),"ERROR")</f>
        <v>20</v>
      </c>
      <c r="T82" s="28"/>
    </row>
    <row r="83" spans="1:20" s="123" customFormat="1" x14ac:dyDescent="0.2">
      <c r="A83" s="28"/>
      <c r="B83" s="127" t="s">
        <v>418</v>
      </c>
      <c r="C83" s="109">
        <f>IFERROR(VLOOKUP($B83,MMWR_TRAD_AGG_STATE_PEN[],C$1,0),"ERROR")</f>
        <v>37</v>
      </c>
      <c r="D83" s="110">
        <f>IFERROR(VLOOKUP($B83,MMWR_TRAD_AGG_STATE_PEN[],D$1,0),"ERROR")</f>
        <v>87.405405405400003</v>
      </c>
      <c r="E83" s="111">
        <f>IFERROR(VLOOKUP($B83,MMWR_TRAD_AGG_STATE_PEN[],E$1,0),"ERROR")</f>
        <v>59</v>
      </c>
      <c r="F83" s="112">
        <f>IFERROR(VLOOKUP($B83,MMWR_TRAD_AGG_STATE_PEN[],F$1,0),"ERROR")</f>
        <v>9</v>
      </c>
      <c r="G83" s="113">
        <f t="shared" si="8"/>
        <v>0.15254237288135594</v>
      </c>
      <c r="H83" s="111">
        <f>IFERROR(VLOOKUP($B83,MMWR_TRAD_AGG_STATE_PEN[],H$1,0),"ERROR")</f>
        <v>43</v>
      </c>
      <c r="I83" s="112">
        <f>IFERROR(VLOOKUP($B83,MMWR_TRAD_AGG_STATE_PEN[],I$1,0),"ERROR")</f>
        <v>8</v>
      </c>
      <c r="J83" s="114">
        <f t="shared" si="9"/>
        <v>0.18604651162790697</v>
      </c>
      <c r="K83" s="111">
        <f>IFERROR(VLOOKUP($B83,MMWR_TRAD_AGG_STATE_PEN[],K$1,0),"ERROR")</f>
        <v>0</v>
      </c>
      <c r="L83" s="112">
        <f>IFERROR(VLOOKUP($B83,MMWR_TRAD_AGG_STATE_PEN[],L$1,0),"ERROR")</f>
        <v>0</v>
      </c>
      <c r="M83" s="114" t="str">
        <f t="shared" si="10"/>
        <v>0%</v>
      </c>
      <c r="N83" s="111">
        <f>IFERROR(VLOOKUP($B83,MMWR_TRAD_AGG_STATE_PEN[],N$1,0),"ERROR")</f>
        <v>4</v>
      </c>
      <c r="O83" s="112">
        <f>IFERROR(VLOOKUP($B83,MMWR_TRAD_AGG_STATE_PEN[],O$1,0),"ERROR")</f>
        <v>0</v>
      </c>
      <c r="P83" s="114">
        <f t="shared" si="11"/>
        <v>0</v>
      </c>
      <c r="Q83" s="115">
        <f>IFERROR(VLOOKUP($B83,MMWR_TRAD_AGG_STATE_PEN[],Q$1,0),"ERROR")</f>
        <v>8</v>
      </c>
      <c r="R83" s="115">
        <f>IFERROR(VLOOKUP($B83,MMWR_TRAD_AGG_STATE_PEN[],R$1,0),"ERROR")</f>
        <v>14</v>
      </c>
      <c r="S83" s="115">
        <f>IFERROR(VLOOKUP($B83,MMWR_APP_STATE_PEN[],S$1,0),"ERROR")</f>
        <v>9</v>
      </c>
      <c r="T83" s="28"/>
    </row>
    <row r="84" spans="1:20" s="123" customFormat="1" x14ac:dyDescent="0.2">
      <c r="A84" s="28"/>
      <c r="B84" s="127" t="s">
        <v>379</v>
      </c>
      <c r="C84" s="109">
        <f>IFERROR(VLOOKUP($B84,MMWR_TRAD_AGG_STATE_PEN[],C$1,0),"ERROR")</f>
        <v>844</v>
      </c>
      <c r="D84" s="110">
        <f>IFERROR(VLOOKUP($B84,MMWR_TRAD_AGG_STATE_PEN[],D$1,0),"ERROR")</f>
        <v>94.898104265399994</v>
      </c>
      <c r="E84" s="111">
        <f>IFERROR(VLOOKUP($B84,MMWR_TRAD_AGG_STATE_PEN[],E$1,0),"ERROR")</f>
        <v>857</v>
      </c>
      <c r="F84" s="112">
        <f>IFERROR(VLOOKUP($B84,MMWR_TRAD_AGG_STATE_PEN[],F$1,0),"ERROR")</f>
        <v>184</v>
      </c>
      <c r="G84" s="113">
        <f t="shared" si="8"/>
        <v>0.21470245040840141</v>
      </c>
      <c r="H84" s="111">
        <f>IFERROR(VLOOKUP($B84,MMWR_TRAD_AGG_STATE_PEN[],H$1,0),"ERROR")</f>
        <v>1075</v>
      </c>
      <c r="I84" s="112">
        <f>IFERROR(VLOOKUP($B84,MMWR_TRAD_AGG_STATE_PEN[],I$1,0),"ERROR")</f>
        <v>310</v>
      </c>
      <c r="J84" s="114">
        <f t="shared" si="9"/>
        <v>0.28837209302325584</v>
      </c>
      <c r="K84" s="111">
        <f>IFERROR(VLOOKUP($B84,MMWR_TRAD_AGG_STATE_PEN[],K$1,0),"ERROR")</f>
        <v>138</v>
      </c>
      <c r="L84" s="112">
        <f>IFERROR(VLOOKUP($B84,MMWR_TRAD_AGG_STATE_PEN[],L$1,0),"ERROR")</f>
        <v>136</v>
      </c>
      <c r="M84" s="114">
        <f t="shared" si="10"/>
        <v>0.98550724637681164</v>
      </c>
      <c r="N84" s="111">
        <f>IFERROR(VLOOKUP($B84,MMWR_TRAD_AGG_STATE_PEN[],N$1,0),"ERROR")</f>
        <v>73</v>
      </c>
      <c r="O84" s="112">
        <f>IFERROR(VLOOKUP($B84,MMWR_TRAD_AGG_STATE_PEN[],O$1,0),"ERROR")</f>
        <v>26</v>
      </c>
      <c r="P84" s="114">
        <f t="shared" si="11"/>
        <v>0.35616438356164382</v>
      </c>
      <c r="Q84" s="115">
        <f>IFERROR(VLOOKUP($B84,MMWR_TRAD_AGG_STATE_PEN[],Q$1,0),"ERROR")</f>
        <v>163</v>
      </c>
      <c r="R84" s="115">
        <f>IFERROR(VLOOKUP($B84,MMWR_TRAD_AGG_STATE_PEN[],R$1,0),"ERROR")</f>
        <v>328</v>
      </c>
      <c r="S84" s="115">
        <f>IFERROR(VLOOKUP($B84,MMWR_APP_STATE_PEN[],S$1,0),"ERROR")</f>
        <v>158</v>
      </c>
      <c r="T84" s="28"/>
    </row>
    <row r="85" spans="1:20" s="123" customFormat="1" x14ac:dyDescent="0.2">
      <c r="A85" s="28"/>
      <c r="B85" s="127" t="s">
        <v>380</v>
      </c>
      <c r="C85" s="109">
        <f>IFERROR(VLOOKUP($B85,MMWR_TRAD_AGG_STATE_PEN[],C$1,0),"ERROR")</f>
        <v>296</v>
      </c>
      <c r="D85" s="110">
        <f>IFERROR(VLOOKUP($B85,MMWR_TRAD_AGG_STATE_PEN[],D$1,0),"ERROR")</f>
        <v>88.081081081099995</v>
      </c>
      <c r="E85" s="111">
        <f>IFERROR(VLOOKUP($B85,MMWR_TRAD_AGG_STATE_PEN[],E$1,0),"ERROR")</f>
        <v>304</v>
      </c>
      <c r="F85" s="112">
        <f>IFERROR(VLOOKUP($B85,MMWR_TRAD_AGG_STATE_PEN[],F$1,0),"ERROR")</f>
        <v>69</v>
      </c>
      <c r="G85" s="113">
        <f t="shared" si="8"/>
        <v>0.22697368421052633</v>
      </c>
      <c r="H85" s="111">
        <f>IFERROR(VLOOKUP($B85,MMWR_TRAD_AGG_STATE_PEN[],H$1,0),"ERROR")</f>
        <v>370</v>
      </c>
      <c r="I85" s="112">
        <f>IFERROR(VLOOKUP($B85,MMWR_TRAD_AGG_STATE_PEN[],I$1,0),"ERROR")</f>
        <v>81</v>
      </c>
      <c r="J85" s="114">
        <f t="shared" si="9"/>
        <v>0.21891891891891893</v>
      </c>
      <c r="K85" s="111">
        <f>IFERROR(VLOOKUP($B85,MMWR_TRAD_AGG_STATE_PEN[],K$1,0),"ERROR")</f>
        <v>0</v>
      </c>
      <c r="L85" s="112">
        <f>IFERROR(VLOOKUP($B85,MMWR_TRAD_AGG_STATE_PEN[],L$1,0),"ERROR")</f>
        <v>0</v>
      </c>
      <c r="M85" s="114" t="str">
        <f t="shared" si="10"/>
        <v>0%</v>
      </c>
      <c r="N85" s="111">
        <f>IFERROR(VLOOKUP($B85,MMWR_TRAD_AGG_STATE_PEN[],N$1,0),"ERROR")</f>
        <v>23</v>
      </c>
      <c r="O85" s="112">
        <f>IFERROR(VLOOKUP($B85,MMWR_TRAD_AGG_STATE_PEN[],O$1,0),"ERROR")</f>
        <v>4</v>
      </c>
      <c r="P85" s="114">
        <f t="shared" si="11"/>
        <v>0.17391304347826086</v>
      </c>
      <c r="Q85" s="115">
        <f>IFERROR(VLOOKUP($B85,MMWR_TRAD_AGG_STATE_PEN[],Q$1,0),"ERROR")</f>
        <v>51</v>
      </c>
      <c r="R85" s="115">
        <f>IFERROR(VLOOKUP($B85,MMWR_TRAD_AGG_STATE_PEN[],R$1,0),"ERROR")</f>
        <v>92</v>
      </c>
      <c r="S85" s="115">
        <f>IFERROR(VLOOKUP($B85,MMWR_APP_STATE_PEN[],S$1,0),"ERROR")</f>
        <v>54</v>
      </c>
      <c r="T85" s="28"/>
    </row>
    <row r="86" spans="1:20" s="123" customFormat="1" x14ac:dyDescent="0.2">
      <c r="A86" s="28"/>
      <c r="B86" s="126" t="s">
        <v>391</v>
      </c>
      <c r="C86" s="102">
        <f>IFERROR(VLOOKUP($B86,MMWR_TRAD_AGG_ST_DISTRICT_PEN[],C$1,0),"ERROR")</f>
        <v>4329</v>
      </c>
      <c r="D86" s="103">
        <f>IFERROR(VLOOKUP($B86,MMWR_TRAD_AGG_ST_DISTRICT_PEN[],D$1,0),"ERROR")</f>
        <v>60.3594363594</v>
      </c>
      <c r="E86" s="102">
        <f>IFERROR(VLOOKUP($B86,MMWR_TRAD_AGG_ST_DISTRICT_PEN[],E$1,0),"ERROR")</f>
        <v>5097</v>
      </c>
      <c r="F86" s="102">
        <f>IFERROR(VLOOKUP($B86,MMWR_TRAD_AGG_ST_DISTRICT_PEN[],F$1,0),"ERROR")</f>
        <v>612</v>
      </c>
      <c r="G86" s="104">
        <f t="shared" si="8"/>
        <v>0.12007062978222484</v>
      </c>
      <c r="H86" s="102">
        <f>IFERROR(VLOOKUP($B86,MMWR_TRAD_AGG_ST_DISTRICT_PEN[],H$1,0),"ERROR")</f>
        <v>5536</v>
      </c>
      <c r="I86" s="102">
        <f>IFERROR(VLOOKUP($B86,MMWR_TRAD_AGG_ST_DISTRICT_PEN[],I$1,0),"ERROR")</f>
        <v>348</v>
      </c>
      <c r="J86" s="104">
        <f t="shared" si="9"/>
        <v>6.2861271676300581E-2</v>
      </c>
      <c r="K86" s="102">
        <f>IFERROR(VLOOKUP($B86,MMWR_TRAD_AGG_ST_DISTRICT_PEN[],K$1,0),"ERROR")</f>
        <v>16</v>
      </c>
      <c r="L86" s="102">
        <f>IFERROR(VLOOKUP($B86,MMWR_TRAD_AGG_ST_DISTRICT_PEN[],L$1,0),"ERROR")</f>
        <v>13</v>
      </c>
      <c r="M86" s="104">
        <f t="shared" si="10"/>
        <v>0.8125</v>
      </c>
      <c r="N86" s="102">
        <f>IFERROR(VLOOKUP($B86,MMWR_TRAD_AGG_ST_DISTRICT_PEN[],N$1,0),"ERROR")</f>
        <v>276</v>
      </c>
      <c r="O86" s="102">
        <f>IFERROR(VLOOKUP($B86,MMWR_TRAD_AGG_ST_DISTRICT_PEN[],O$1,0),"ERROR")</f>
        <v>71</v>
      </c>
      <c r="P86" s="104">
        <f t="shared" si="11"/>
        <v>0.25724637681159418</v>
      </c>
      <c r="Q86" s="102">
        <f>IFERROR(VLOOKUP($B86,MMWR_TRAD_AGG_ST_DISTRICT_PEN[],Q$1,0),"ERROR")</f>
        <v>2187</v>
      </c>
      <c r="R86" s="106">
        <f>IFERROR(VLOOKUP($B86,MMWR_TRAD_AGG_ST_DISTRICT_PEN[],R$1,0),"ERROR")</f>
        <v>618</v>
      </c>
      <c r="S86" s="106">
        <f>IFERROR(VLOOKUP($B86,MMWR_APP_STATE_PEN[],S$1,0),"ERROR")</f>
        <v>1556</v>
      </c>
      <c r="T86" s="28"/>
    </row>
    <row r="87" spans="1:20" s="123" customFormat="1" x14ac:dyDescent="0.2">
      <c r="A87" s="28"/>
      <c r="B87" s="127" t="s">
        <v>395</v>
      </c>
      <c r="C87" s="109">
        <f>IFERROR(VLOOKUP($B87,MMWR_TRAD_AGG_STATE_PEN[],C$1,0),"ERROR")</f>
        <v>547</v>
      </c>
      <c r="D87" s="110">
        <f>IFERROR(VLOOKUP($B87,MMWR_TRAD_AGG_STATE_PEN[],D$1,0),"ERROR")</f>
        <v>65.063985374799998</v>
      </c>
      <c r="E87" s="111">
        <f>IFERROR(VLOOKUP($B87,MMWR_TRAD_AGG_STATE_PEN[],E$1,0),"ERROR")</f>
        <v>725</v>
      </c>
      <c r="F87" s="112">
        <f>IFERROR(VLOOKUP($B87,MMWR_TRAD_AGG_STATE_PEN[],F$1,0),"ERROR")</f>
        <v>112</v>
      </c>
      <c r="G87" s="113">
        <f t="shared" si="8"/>
        <v>0.15448275862068966</v>
      </c>
      <c r="H87" s="111">
        <f>IFERROR(VLOOKUP($B87,MMWR_TRAD_AGG_STATE_PEN[],H$1,0),"ERROR")</f>
        <v>674</v>
      </c>
      <c r="I87" s="112">
        <f>IFERROR(VLOOKUP($B87,MMWR_TRAD_AGG_STATE_PEN[],I$1,0),"ERROR")</f>
        <v>49</v>
      </c>
      <c r="J87" s="114">
        <f t="shared" si="9"/>
        <v>7.2700296735905043E-2</v>
      </c>
      <c r="K87" s="111">
        <f>IFERROR(VLOOKUP($B87,MMWR_TRAD_AGG_STATE_PEN[],K$1,0),"ERROR")</f>
        <v>2</v>
      </c>
      <c r="L87" s="112">
        <f>IFERROR(VLOOKUP($B87,MMWR_TRAD_AGG_STATE_PEN[],L$1,0),"ERROR")</f>
        <v>1</v>
      </c>
      <c r="M87" s="114">
        <f t="shared" si="10"/>
        <v>0.5</v>
      </c>
      <c r="N87" s="111">
        <f>IFERROR(VLOOKUP($B87,MMWR_TRAD_AGG_STATE_PEN[],N$1,0),"ERROR")</f>
        <v>41</v>
      </c>
      <c r="O87" s="112">
        <f>IFERROR(VLOOKUP($B87,MMWR_TRAD_AGG_STATE_PEN[],O$1,0),"ERROR")</f>
        <v>13</v>
      </c>
      <c r="P87" s="114">
        <f t="shared" si="11"/>
        <v>0.31707317073170732</v>
      </c>
      <c r="Q87" s="115">
        <f>IFERROR(VLOOKUP($B87,MMWR_TRAD_AGG_STATE_PEN[],Q$1,0),"ERROR")</f>
        <v>103</v>
      </c>
      <c r="R87" s="115">
        <f>IFERROR(VLOOKUP($B87,MMWR_TRAD_AGG_STATE_PEN[],R$1,0),"ERROR")</f>
        <v>122</v>
      </c>
      <c r="S87" s="115">
        <f>IFERROR(VLOOKUP($B87,MMWR_APP_STATE_PEN[],S$1,0),"ERROR")</f>
        <v>345</v>
      </c>
      <c r="T87" s="28"/>
    </row>
    <row r="88" spans="1:20" s="123" customFormat="1" x14ac:dyDescent="0.2">
      <c r="A88" s="28"/>
      <c r="B88" s="127" t="s">
        <v>393</v>
      </c>
      <c r="C88" s="109">
        <f>IFERROR(VLOOKUP($B88,MMWR_TRAD_AGG_STATE_PEN[],C$1,0),"ERROR")</f>
        <v>359</v>
      </c>
      <c r="D88" s="110">
        <f>IFERROR(VLOOKUP($B88,MMWR_TRAD_AGG_STATE_PEN[],D$1,0),"ERROR")</f>
        <v>69.576601671299997</v>
      </c>
      <c r="E88" s="111">
        <f>IFERROR(VLOOKUP($B88,MMWR_TRAD_AGG_STATE_PEN[],E$1,0),"ERROR")</f>
        <v>539</v>
      </c>
      <c r="F88" s="112">
        <f>IFERROR(VLOOKUP($B88,MMWR_TRAD_AGG_STATE_PEN[],F$1,0),"ERROR")</f>
        <v>74</v>
      </c>
      <c r="G88" s="113">
        <f t="shared" si="8"/>
        <v>0.13729128014842301</v>
      </c>
      <c r="H88" s="111">
        <f>IFERROR(VLOOKUP($B88,MMWR_TRAD_AGG_STATE_PEN[],H$1,0),"ERROR")</f>
        <v>473</v>
      </c>
      <c r="I88" s="112">
        <f>IFERROR(VLOOKUP($B88,MMWR_TRAD_AGG_STATE_PEN[],I$1,0),"ERROR")</f>
        <v>43</v>
      </c>
      <c r="J88" s="114">
        <f t="shared" si="9"/>
        <v>9.0909090909090912E-2</v>
      </c>
      <c r="K88" s="111">
        <f>IFERROR(VLOOKUP($B88,MMWR_TRAD_AGG_STATE_PEN[],K$1,0),"ERROR")</f>
        <v>2</v>
      </c>
      <c r="L88" s="112">
        <f>IFERROR(VLOOKUP($B88,MMWR_TRAD_AGG_STATE_PEN[],L$1,0),"ERROR")</f>
        <v>2</v>
      </c>
      <c r="M88" s="114">
        <f t="shared" si="10"/>
        <v>1</v>
      </c>
      <c r="N88" s="111">
        <f>IFERROR(VLOOKUP($B88,MMWR_TRAD_AGG_STATE_PEN[],N$1,0),"ERROR")</f>
        <v>32</v>
      </c>
      <c r="O88" s="112">
        <f>IFERROR(VLOOKUP($B88,MMWR_TRAD_AGG_STATE_PEN[],O$1,0),"ERROR")</f>
        <v>9</v>
      </c>
      <c r="P88" s="114">
        <f t="shared" si="11"/>
        <v>0.28125</v>
      </c>
      <c r="Q88" s="115">
        <f>IFERROR(VLOOKUP($B88,MMWR_TRAD_AGG_STATE_PEN[],Q$1,0),"ERROR")</f>
        <v>46</v>
      </c>
      <c r="R88" s="115">
        <f>IFERROR(VLOOKUP($B88,MMWR_TRAD_AGG_STATE_PEN[],R$1,0),"ERROR")</f>
        <v>65</v>
      </c>
      <c r="S88" s="115">
        <f>IFERROR(VLOOKUP($B88,MMWR_APP_STATE_PEN[],S$1,0),"ERROR")</f>
        <v>157</v>
      </c>
      <c r="T88" s="28"/>
    </row>
    <row r="89" spans="1:20" s="123" customFormat="1" x14ac:dyDescent="0.2">
      <c r="A89" s="28"/>
      <c r="B89" s="127" t="s">
        <v>400</v>
      </c>
      <c r="C89" s="109">
        <f>IFERROR(VLOOKUP($B89,MMWR_TRAD_AGG_STATE_PEN[],C$1,0),"ERROR")</f>
        <v>215</v>
      </c>
      <c r="D89" s="110">
        <f>IFERROR(VLOOKUP($B89,MMWR_TRAD_AGG_STATE_PEN[],D$1,0),"ERROR")</f>
        <v>49.3069767442</v>
      </c>
      <c r="E89" s="111">
        <f>IFERROR(VLOOKUP($B89,MMWR_TRAD_AGG_STATE_PEN[],E$1,0),"ERROR")</f>
        <v>298</v>
      </c>
      <c r="F89" s="112">
        <f>IFERROR(VLOOKUP($B89,MMWR_TRAD_AGG_STATE_PEN[],F$1,0),"ERROR")</f>
        <v>12</v>
      </c>
      <c r="G89" s="113">
        <f t="shared" si="8"/>
        <v>4.0268456375838924E-2</v>
      </c>
      <c r="H89" s="111">
        <f>IFERROR(VLOOKUP($B89,MMWR_TRAD_AGG_STATE_PEN[],H$1,0),"ERROR")</f>
        <v>288</v>
      </c>
      <c r="I89" s="112">
        <f>IFERROR(VLOOKUP($B89,MMWR_TRAD_AGG_STATE_PEN[],I$1,0),"ERROR")</f>
        <v>8</v>
      </c>
      <c r="J89" s="114">
        <f t="shared" si="9"/>
        <v>2.7777777777777776E-2</v>
      </c>
      <c r="K89" s="111">
        <f>IFERROR(VLOOKUP($B89,MMWR_TRAD_AGG_STATE_PEN[],K$1,0),"ERROR")</f>
        <v>0</v>
      </c>
      <c r="L89" s="112">
        <f>IFERROR(VLOOKUP($B89,MMWR_TRAD_AGG_STATE_PEN[],L$1,0),"ERROR")</f>
        <v>0</v>
      </c>
      <c r="M89" s="114" t="str">
        <f t="shared" si="10"/>
        <v>0%</v>
      </c>
      <c r="N89" s="111">
        <f>IFERROR(VLOOKUP($B89,MMWR_TRAD_AGG_STATE_PEN[],N$1,0),"ERROR")</f>
        <v>6</v>
      </c>
      <c r="O89" s="112">
        <f>IFERROR(VLOOKUP($B89,MMWR_TRAD_AGG_STATE_PEN[],O$1,0),"ERROR")</f>
        <v>3</v>
      </c>
      <c r="P89" s="114">
        <f t="shared" si="11"/>
        <v>0.5</v>
      </c>
      <c r="Q89" s="115">
        <f>IFERROR(VLOOKUP($B89,MMWR_TRAD_AGG_STATE_PEN[],Q$1,0),"ERROR")</f>
        <v>335</v>
      </c>
      <c r="R89" s="115">
        <f>IFERROR(VLOOKUP($B89,MMWR_TRAD_AGG_STATE_PEN[],R$1,0),"ERROR")</f>
        <v>31</v>
      </c>
      <c r="S89" s="115">
        <f>IFERROR(VLOOKUP($B89,MMWR_APP_STATE_PEN[],S$1,0),"ERROR")</f>
        <v>27</v>
      </c>
      <c r="T89" s="28"/>
    </row>
    <row r="90" spans="1:20" s="123" customFormat="1" x14ac:dyDescent="0.2">
      <c r="A90" s="28"/>
      <c r="B90" s="127" t="s">
        <v>423</v>
      </c>
      <c r="C90" s="109">
        <f>IFERROR(VLOOKUP($B90,MMWR_TRAD_AGG_STATE_PEN[],C$1,0),"ERROR")</f>
        <v>162</v>
      </c>
      <c r="D90" s="110">
        <f>IFERROR(VLOOKUP($B90,MMWR_TRAD_AGG_STATE_PEN[],D$1,0),"ERROR")</f>
        <v>54.512345678999999</v>
      </c>
      <c r="E90" s="111">
        <f>IFERROR(VLOOKUP($B90,MMWR_TRAD_AGG_STATE_PEN[],E$1,0),"ERROR")</f>
        <v>233</v>
      </c>
      <c r="F90" s="112">
        <f>IFERROR(VLOOKUP($B90,MMWR_TRAD_AGG_STATE_PEN[],F$1,0),"ERROR")</f>
        <v>7</v>
      </c>
      <c r="G90" s="113">
        <f t="shared" si="8"/>
        <v>3.0042918454935622E-2</v>
      </c>
      <c r="H90" s="111">
        <f>IFERROR(VLOOKUP($B90,MMWR_TRAD_AGG_STATE_PEN[],H$1,0),"ERROR")</f>
        <v>220</v>
      </c>
      <c r="I90" s="112">
        <f>IFERROR(VLOOKUP($B90,MMWR_TRAD_AGG_STATE_PEN[],I$1,0),"ERROR")</f>
        <v>5</v>
      </c>
      <c r="J90" s="114">
        <f t="shared" si="9"/>
        <v>2.2727272727272728E-2</v>
      </c>
      <c r="K90" s="111">
        <f>IFERROR(VLOOKUP($B90,MMWR_TRAD_AGG_STATE_PEN[],K$1,0),"ERROR")</f>
        <v>0</v>
      </c>
      <c r="L90" s="112">
        <f>IFERROR(VLOOKUP($B90,MMWR_TRAD_AGG_STATE_PEN[],L$1,0),"ERROR")</f>
        <v>0</v>
      </c>
      <c r="M90" s="114" t="str">
        <f t="shared" si="10"/>
        <v>0%</v>
      </c>
      <c r="N90" s="111">
        <f>IFERROR(VLOOKUP($B90,MMWR_TRAD_AGG_STATE_PEN[],N$1,0),"ERROR")</f>
        <v>8</v>
      </c>
      <c r="O90" s="112">
        <f>IFERROR(VLOOKUP($B90,MMWR_TRAD_AGG_STATE_PEN[],O$1,0),"ERROR")</f>
        <v>2</v>
      </c>
      <c r="P90" s="114">
        <f t="shared" si="11"/>
        <v>0.25</v>
      </c>
      <c r="Q90" s="115">
        <f>IFERROR(VLOOKUP($B90,MMWR_TRAD_AGG_STATE_PEN[],Q$1,0),"ERROR")</f>
        <v>191</v>
      </c>
      <c r="R90" s="115">
        <f>IFERROR(VLOOKUP($B90,MMWR_TRAD_AGG_STATE_PEN[],R$1,0),"ERROR")</f>
        <v>34</v>
      </c>
      <c r="S90" s="115">
        <f>IFERROR(VLOOKUP($B90,MMWR_APP_STATE_PEN[],S$1,0),"ERROR")</f>
        <v>36</v>
      </c>
      <c r="T90" s="28"/>
    </row>
    <row r="91" spans="1:20" s="123" customFormat="1" x14ac:dyDescent="0.2">
      <c r="A91" s="28"/>
      <c r="B91" s="127" t="s">
        <v>396</v>
      </c>
      <c r="C91" s="109">
        <f>IFERROR(VLOOKUP($B91,MMWR_TRAD_AGG_STATE_PEN[],C$1,0),"ERROR")</f>
        <v>707</v>
      </c>
      <c r="D91" s="110">
        <f>IFERROR(VLOOKUP($B91,MMWR_TRAD_AGG_STATE_PEN[],D$1,0),"ERROR")</f>
        <v>66.100424328100004</v>
      </c>
      <c r="E91" s="111">
        <f>IFERROR(VLOOKUP($B91,MMWR_TRAD_AGG_STATE_PEN[],E$1,0),"ERROR")</f>
        <v>918</v>
      </c>
      <c r="F91" s="112">
        <f>IFERROR(VLOOKUP($B91,MMWR_TRAD_AGG_STATE_PEN[],F$1,0),"ERROR")</f>
        <v>124</v>
      </c>
      <c r="G91" s="113">
        <f t="shared" si="8"/>
        <v>0.13507625272331156</v>
      </c>
      <c r="H91" s="111">
        <f>IFERROR(VLOOKUP($B91,MMWR_TRAD_AGG_STATE_PEN[],H$1,0),"ERROR")</f>
        <v>892</v>
      </c>
      <c r="I91" s="112">
        <f>IFERROR(VLOOKUP($B91,MMWR_TRAD_AGG_STATE_PEN[],I$1,0),"ERROR")</f>
        <v>76</v>
      </c>
      <c r="J91" s="114">
        <f t="shared" si="9"/>
        <v>8.520179372197309E-2</v>
      </c>
      <c r="K91" s="111">
        <f>IFERROR(VLOOKUP($B91,MMWR_TRAD_AGG_STATE_PEN[],K$1,0),"ERROR")</f>
        <v>1</v>
      </c>
      <c r="L91" s="112">
        <f>IFERROR(VLOOKUP($B91,MMWR_TRAD_AGG_STATE_PEN[],L$1,0),"ERROR")</f>
        <v>1</v>
      </c>
      <c r="M91" s="114">
        <f t="shared" si="10"/>
        <v>1</v>
      </c>
      <c r="N91" s="111">
        <f>IFERROR(VLOOKUP($B91,MMWR_TRAD_AGG_STATE_PEN[],N$1,0),"ERROR")</f>
        <v>55</v>
      </c>
      <c r="O91" s="112">
        <f>IFERROR(VLOOKUP($B91,MMWR_TRAD_AGG_STATE_PEN[],O$1,0),"ERROR")</f>
        <v>8</v>
      </c>
      <c r="P91" s="114">
        <f t="shared" si="11"/>
        <v>0.14545454545454545</v>
      </c>
      <c r="Q91" s="115">
        <f>IFERROR(VLOOKUP($B91,MMWR_TRAD_AGG_STATE_PEN[],Q$1,0),"ERROR")</f>
        <v>105</v>
      </c>
      <c r="R91" s="115">
        <f>IFERROR(VLOOKUP($B91,MMWR_TRAD_AGG_STATE_PEN[],R$1,0),"ERROR")</f>
        <v>91</v>
      </c>
      <c r="S91" s="115">
        <f>IFERROR(VLOOKUP($B91,MMWR_APP_STATE_PEN[],S$1,0),"ERROR")</f>
        <v>254</v>
      </c>
      <c r="T91" s="28"/>
    </row>
    <row r="92" spans="1:20" s="123" customFormat="1" x14ac:dyDescent="0.2">
      <c r="A92" s="28"/>
      <c r="B92" s="127" t="s">
        <v>402</v>
      </c>
      <c r="C92" s="109">
        <f>IFERROR(VLOOKUP($B92,MMWR_TRAD_AGG_STATE_PEN[],C$1,0),"ERROR")</f>
        <v>301</v>
      </c>
      <c r="D92" s="110">
        <f>IFERROR(VLOOKUP($B92,MMWR_TRAD_AGG_STATE_PEN[],D$1,0),"ERROR")</f>
        <v>49.0365448505</v>
      </c>
      <c r="E92" s="111">
        <f>IFERROR(VLOOKUP($B92,MMWR_TRAD_AGG_STATE_PEN[],E$1,0),"ERROR")</f>
        <v>287</v>
      </c>
      <c r="F92" s="112">
        <f>IFERROR(VLOOKUP($B92,MMWR_TRAD_AGG_STATE_PEN[],F$1,0),"ERROR")</f>
        <v>14</v>
      </c>
      <c r="G92" s="113">
        <f t="shared" si="8"/>
        <v>4.878048780487805E-2</v>
      </c>
      <c r="H92" s="111">
        <f>IFERROR(VLOOKUP($B92,MMWR_TRAD_AGG_STATE_PEN[],H$1,0),"ERROR")</f>
        <v>350</v>
      </c>
      <c r="I92" s="112">
        <f>IFERROR(VLOOKUP($B92,MMWR_TRAD_AGG_STATE_PEN[],I$1,0),"ERROR")</f>
        <v>11</v>
      </c>
      <c r="J92" s="114">
        <f t="shared" si="9"/>
        <v>3.1428571428571431E-2</v>
      </c>
      <c r="K92" s="111">
        <f>IFERROR(VLOOKUP($B92,MMWR_TRAD_AGG_STATE_PEN[],K$1,0),"ERROR")</f>
        <v>1</v>
      </c>
      <c r="L92" s="112">
        <f>IFERROR(VLOOKUP($B92,MMWR_TRAD_AGG_STATE_PEN[],L$1,0),"ERROR")</f>
        <v>1</v>
      </c>
      <c r="M92" s="114">
        <f t="shared" si="10"/>
        <v>1</v>
      </c>
      <c r="N92" s="111">
        <f>IFERROR(VLOOKUP($B92,MMWR_TRAD_AGG_STATE_PEN[],N$1,0),"ERROR")</f>
        <v>5</v>
      </c>
      <c r="O92" s="112">
        <f>IFERROR(VLOOKUP($B92,MMWR_TRAD_AGG_STATE_PEN[],O$1,0),"ERROR")</f>
        <v>0</v>
      </c>
      <c r="P92" s="114">
        <f t="shared" si="11"/>
        <v>0</v>
      </c>
      <c r="Q92" s="115">
        <f>IFERROR(VLOOKUP($B92,MMWR_TRAD_AGG_STATE_PEN[],Q$1,0),"ERROR")</f>
        <v>767</v>
      </c>
      <c r="R92" s="115">
        <f>IFERROR(VLOOKUP($B92,MMWR_TRAD_AGG_STATE_PEN[],R$1,0),"ERROR")</f>
        <v>42</v>
      </c>
      <c r="S92" s="115">
        <f>IFERROR(VLOOKUP($B92,MMWR_APP_STATE_PEN[],S$1,0),"ERROR")</f>
        <v>38</v>
      </c>
      <c r="T92" s="28"/>
    </row>
    <row r="93" spans="1:20" s="123" customFormat="1" x14ac:dyDescent="0.2">
      <c r="A93" s="28"/>
      <c r="B93" s="127" t="s">
        <v>398</v>
      </c>
      <c r="C93" s="109">
        <f>IFERROR(VLOOKUP($B93,MMWR_TRAD_AGG_STATE_PEN[],C$1,0),"ERROR")</f>
        <v>663</v>
      </c>
      <c r="D93" s="110">
        <f>IFERROR(VLOOKUP($B93,MMWR_TRAD_AGG_STATE_PEN[],D$1,0),"ERROR")</f>
        <v>57.832579185500002</v>
      </c>
      <c r="E93" s="111">
        <f>IFERROR(VLOOKUP($B93,MMWR_TRAD_AGG_STATE_PEN[],E$1,0),"ERROR")</f>
        <v>603</v>
      </c>
      <c r="F93" s="112">
        <f>IFERROR(VLOOKUP($B93,MMWR_TRAD_AGG_STATE_PEN[],F$1,0),"ERROR")</f>
        <v>80</v>
      </c>
      <c r="G93" s="113">
        <f t="shared" si="8"/>
        <v>0.13266998341625208</v>
      </c>
      <c r="H93" s="111">
        <f>IFERROR(VLOOKUP($B93,MMWR_TRAD_AGG_STATE_PEN[],H$1,0),"ERROR")</f>
        <v>815</v>
      </c>
      <c r="I93" s="112">
        <f>IFERROR(VLOOKUP($B93,MMWR_TRAD_AGG_STATE_PEN[],I$1,0),"ERROR")</f>
        <v>42</v>
      </c>
      <c r="J93" s="114">
        <f t="shared" si="9"/>
        <v>5.1533742331288344E-2</v>
      </c>
      <c r="K93" s="111">
        <f>IFERROR(VLOOKUP($B93,MMWR_TRAD_AGG_STATE_PEN[],K$1,0),"ERROR")</f>
        <v>3</v>
      </c>
      <c r="L93" s="112">
        <f>IFERROR(VLOOKUP($B93,MMWR_TRAD_AGG_STATE_PEN[],L$1,0),"ERROR")</f>
        <v>2</v>
      </c>
      <c r="M93" s="114">
        <f t="shared" si="10"/>
        <v>0.66666666666666663</v>
      </c>
      <c r="N93" s="111">
        <f>IFERROR(VLOOKUP($B93,MMWR_TRAD_AGG_STATE_PEN[],N$1,0),"ERROR")</f>
        <v>28</v>
      </c>
      <c r="O93" s="112">
        <f>IFERROR(VLOOKUP($B93,MMWR_TRAD_AGG_STATE_PEN[],O$1,0),"ERROR")</f>
        <v>10</v>
      </c>
      <c r="P93" s="114">
        <f t="shared" si="11"/>
        <v>0.35714285714285715</v>
      </c>
      <c r="Q93" s="115">
        <f>IFERROR(VLOOKUP($B93,MMWR_TRAD_AGG_STATE_PEN[],Q$1,0),"ERROR")</f>
        <v>101</v>
      </c>
      <c r="R93" s="115">
        <f>IFERROR(VLOOKUP($B93,MMWR_TRAD_AGG_STATE_PEN[],R$1,0),"ERROR")</f>
        <v>56</v>
      </c>
      <c r="S93" s="115">
        <f>IFERROR(VLOOKUP($B93,MMWR_APP_STATE_PEN[],S$1,0),"ERROR")</f>
        <v>225</v>
      </c>
      <c r="T93" s="28"/>
    </row>
    <row r="94" spans="1:20" s="123" customFormat="1" x14ac:dyDescent="0.2">
      <c r="A94" s="28"/>
      <c r="B94" s="127" t="s">
        <v>401</v>
      </c>
      <c r="C94" s="109">
        <f>IFERROR(VLOOKUP($B94,MMWR_TRAD_AGG_STATE_PEN[],C$1,0),"ERROR")</f>
        <v>129</v>
      </c>
      <c r="D94" s="110">
        <f>IFERROR(VLOOKUP($B94,MMWR_TRAD_AGG_STATE_PEN[],D$1,0),"ERROR")</f>
        <v>49.069767441899998</v>
      </c>
      <c r="E94" s="111">
        <f>IFERROR(VLOOKUP($B94,MMWR_TRAD_AGG_STATE_PEN[],E$1,0),"ERROR")</f>
        <v>63</v>
      </c>
      <c r="F94" s="112">
        <f>IFERROR(VLOOKUP($B94,MMWR_TRAD_AGG_STATE_PEN[],F$1,0),"ERROR")</f>
        <v>3</v>
      </c>
      <c r="G94" s="113">
        <f t="shared" si="8"/>
        <v>4.7619047619047616E-2</v>
      </c>
      <c r="H94" s="111">
        <f>IFERROR(VLOOKUP($B94,MMWR_TRAD_AGG_STATE_PEN[],H$1,0),"ERROR")</f>
        <v>152</v>
      </c>
      <c r="I94" s="112">
        <f>IFERROR(VLOOKUP($B94,MMWR_TRAD_AGG_STATE_PEN[],I$1,0),"ERROR")</f>
        <v>1</v>
      </c>
      <c r="J94" s="114">
        <f t="shared" si="9"/>
        <v>6.5789473684210523E-3</v>
      </c>
      <c r="K94" s="111">
        <f>IFERROR(VLOOKUP($B94,MMWR_TRAD_AGG_STATE_PEN[],K$1,0),"ERROR")</f>
        <v>0</v>
      </c>
      <c r="L94" s="112">
        <f>IFERROR(VLOOKUP($B94,MMWR_TRAD_AGG_STATE_PEN[],L$1,0),"ERROR")</f>
        <v>0</v>
      </c>
      <c r="M94" s="114" t="str">
        <f t="shared" si="10"/>
        <v>0%</v>
      </c>
      <c r="N94" s="111">
        <f>IFERROR(VLOOKUP($B94,MMWR_TRAD_AGG_STATE_PEN[],N$1,0),"ERROR")</f>
        <v>1</v>
      </c>
      <c r="O94" s="112">
        <f>IFERROR(VLOOKUP($B94,MMWR_TRAD_AGG_STATE_PEN[],O$1,0),"ERROR")</f>
        <v>0</v>
      </c>
      <c r="P94" s="114">
        <f t="shared" si="11"/>
        <v>0</v>
      </c>
      <c r="Q94" s="115">
        <f>IFERROR(VLOOKUP($B94,MMWR_TRAD_AGG_STATE_PEN[],Q$1,0),"ERROR")</f>
        <v>226</v>
      </c>
      <c r="R94" s="115">
        <f>IFERROR(VLOOKUP($B94,MMWR_TRAD_AGG_STATE_PEN[],R$1,0),"ERROR")</f>
        <v>17</v>
      </c>
      <c r="S94" s="115">
        <f>IFERROR(VLOOKUP($B94,MMWR_APP_STATE_PEN[],S$1,0),"ERROR")</f>
        <v>21</v>
      </c>
      <c r="T94" s="28"/>
    </row>
    <row r="95" spans="1:20" s="123" customFormat="1" x14ac:dyDescent="0.2">
      <c r="A95" s="28"/>
      <c r="B95" s="127" t="s">
        <v>420</v>
      </c>
      <c r="C95" s="109">
        <f>IFERROR(VLOOKUP($B95,MMWR_TRAD_AGG_STATE_PEN[],C$1,0),"ERROR")</f>
        <v>42</v>
      </c>
      <c r="D95" s="110">
        <f>IFERROR(VLOOKUP($B95,MMWR_TRAD_AGG_STATE_PEN[],D$1,0),"ERROR")</f>
        <v>56.261904761899999</v>
      </c>
      <c r="E95" s="111">
        <f>IFERROR(VLOOKUP($B95,MMWR_TRAD_AGG_STATE_PEN[],E$1,0),"ERROR")</f>
        <v>32</v>
      </c>
      <c r="F95" s="112">
        <f>IFERROR(VLOOKUP($B95,MMWR_TRAD_AGG_STATE_PEN[],F$1,0),"ERROR")</f>
        <v>2</v>
      </c>
      <c r="G95" s="113">
        <f t="shared" si="8"/>
        <v>6.25E-2</v>
      </c>
      <c r="H95" s="111">
        <f>IFERROR(VLOOKUP($B95,MMWR_TRAD_AGG_STATE_PEN[],H$1,0),"ERROR")</f>
        <v>54</v>
      </c>
      <c r="I95" s="112">
        <f>IFERROR(VLOOKUP($B95,MMWR_TRAD_AGG_STATE_PEN[],I$1,0),"ERROR")</f>
        <v>0</v>
      </c>
      <c r="J95" s="114">
        <f t="shared" si="9"/>
        <v>0</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60</v>
      </c>
      <c r="R95" s="115">
        <f>IFERROR(VLOOKUP($B95,MMWR_TRAD_AGG_STATE_PEN[],R$1,0),"ERROR")</f>
        <v>5</v>
      </c>
      <c r="S95" s="115">
        <f>IFERROR(VLOOKUP($B95,MMWR_APP_STATE_PEN[],S$1,0),"ERROR")</f>
        <v>6</v>
      </c>
      <c r="T95" s="28"/>
    </row>
    <row r="96" spans="1:20" s="123" customFormat="1" x14ac:dyDescent="0.2">
      <c r="A96" s="28"/>
      <c r="B96" s="127" t="s">
        <v>392</v>
      </c>
      <c r="C96" s="109">
        <f>IFERROR(VLOOKUP($B96,MMWR_TRAD_AGG_STATE_PEN[],C$1,0),"ERROR")</f>
        <v>745</v>
      </c>
      <c r="D96" s="110">
        <f>IFERROR(VLOOKUP($B96,MMWR_TRAD_AGG_STATE_PEN[],D$1,0),"ERROR")</f>
        <v>61.771812080499998</v>
      </c>
      <c r="E96" s="111">
        <f>IFERROR(VLOOKUP($B96,MMWR_TRAD_AGG_STATE_PEN[],E$1,0),"ERROR")</f>
        <v>997</v>
      </c>
      <c r="F96" s="112">
        <f>IFERROR(VLOOKUP($B96,MMWR_TRAD_AGG_STATE_PEN[],F$1,0),"ERROR")</f>
        <v>144</v>
      </c>
      <c r="G96" s="113">
        <f t="shared" si="8"/>
        <v>0.14443329989969911</v>
      </c>
      <c r="H96" s="111">
        <f>IFERROR(VLOOKUP($B96,MMWR_TRAD_AGG_STATE_PEN[],H$1,0),"ERROR")</f>
        <v>1036</v>
      </c>
      <c r="I96" s="112">
        <f>IFERROR(VLOOKUP($B96,MMWR_TRAD_AGG_STATE_PEN[],I$1,0),"ERROR")</f>
        <v>84</v>
      </c>
      <c r="J96" s="114">
        <f t="shared" si="9"/>
        <v>8.1081081081081086E-2</v>
      </c>
      <c r="K96" s="111">
        <f>IFERROR(VLOOKUP($B96,MMWR_TRAD_AGG_STATE_PEN[],K$1,0),"ERROR")</f>
        <v>6</v>
      </c>
      <c r="L96" s="112">
        <f>IFERROR(VLOOKUP($B96,MMWR_TRAD_AGG_STATE_PEN[],L$1,0),"ERROR")</f>
        <v>5</v>
      </c>
      <c r="M96" s="114">
        <f t="shared" si="10"/>
        <v>0.83333333333333337</v>
      </c>
      <c r="N96" s="111">
        <f>IFERROR(VLOOKUP($B96,MMWR_TRAD_AGG_STATE_PEN[],N$1,0),"ERROR")</f>
        <v>67</v>
      </c>
      <c r="O96" s="112">
        <f>IFERROR(VLOOKUP($B96,MMWR_TRAD_AGG_STATE_PEN[],O$1,0),"ERROR")</f>
        <v>19</v>
      </c>
      <c r="P96" s="114">
        <f t="shared" si="11"/>
        <v>0.28358208955223879</v>
      </c>
      <c r="Q96" s="115">
        <f>IFERROR(VLOOKUP($B96,MMWR_TRAD_AGG_STATE_PEN[],Q$1,0),"ERROR")</f>
        <v>104</v>
      </c>
      <c r="R96" s="115">
        <f>IFERROR(VLOOKUP($B96,MMWR_TRAD_AGG_STATE_PEN[],R$1,0),"ERROR")</f>
        <v>108</v>
      </c>
      <c r="S96" s="115">
        <f>IFERROR(VLOOKUP($B96,MMWR_APP_STATE_PEN[],S$1,0),"ERROR")</f>
        <v>338</v>
      </c>
      <c r="T96" s="28"/>
    </row>
    <row r="97" spans="1:20" s="123" customFormat="1" x14ac:dyDescent="0.2">
      <c r="A97" s="28"/>
      <c r="B97" s="127" t="s">
        <v>421</v>
      </c>
      <c r="C97" s="109">
        <f>IFERROR(VLOOKUP($B97,MMWR_TRAD_AGG_STATE_PEN[],C$1,0),"ERROR")</f>
        <v>70</v>
      </c>
      <c r="D97" s="110">
        <f>IFERROR(VLOOKUP($B97,MMWR_TRAD_AGG_STATE_PEN[],D$1,0),"ERROR")</f>
        <v>50.5857142857</v>
      </c>
      <c r="E97" s="111">
        <f>IFERROR(VLOOKUP($B97,MMWR_TRAD_AGG_STATE_PEN[],E$1,0),"ERROR")</f>
        <v>54</v>
      </c>
      <c r="F97" s="112">
        <f>IFERROR(VLOOKUP($B97,MMWR_TRAD_AGG_STATE_PEN[],F$1,0),"ERROR")</f>
        <v>0</v>
      </c>
      <c r="G97" s="113">
        <f t="shared" si="8"/>
        <v>0</v>
      </c>
      <c r="H97" s="111">
        <f>IFERROR(VLOOKUP($B97,MMWR_TRAD_AGG_STATE_PEN[],H$1,0),"ERROR")</f>
        <v>84</v>
      </c>
      <c r="I97" s="112">
        <f>IFERROR(VLOOKUP($B97,MMWR_TRAD_AGG_STATE_PEN[],I$1,0),"ERROR")</f>
        <v>3</v>
      </c>
      <c r="J97" s="114">
        <f t="shared" si="9"/>
        <v>3.5714285714285712E-2</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0</v>
      </c>
      <c r="P97" s="114">
        <f t="shared" si="11"/>
        <v>0</v>
      </c>
      <c r="Q97" s="115">
        <f>IFERROR(VLOOKUP($B97,MMWR_TRAD_AGG_STATE_PEN[],Q$1,0),"ERROR")</f>
        <v>88</v>
      </c>
      <c r="R97" s="115">
        <f>IFERROR(VLOOKUP($B97,MMWR_TRAD_AGG_STATE_PEN[],R$1,0),"ERROR")</f>
        <v>3</v>
      </c>
      <c r="S97" s="115">
        <f>IFERROR(VLOOKUP($B97,MMWR_APP_STATE_PEN[],S$1,0),"ERROR")</f>
        <v>7</v>
      </c>
      <c r="T97" s="28"/>
    </row>
    <row r="98" spans="1:20" s="123" customFormat="1" x14ac:dyDescent="0.2">
      <c r="A98" s="28"/>
      <c r="B98" s="127" t="s">
        <v>397</v>
      </c>
      <c r="C98" s="109">
        <f>IFERROR(VLOOKUP($B98,MMWR_TRAD_AGG_STATE_PEN[],C$1,0),"ERROR")</f>
        <v>389</v>
      </c>
      <c r="D98" s="110">
        <f>IFERROR(VLOOKUP($B98,MMWR_TRAD_AGG_STATE_PEN[],D$1,0),"ERROR")</f>
        <v>59.655526992299997</v>
      </c>
      <c r="E98" s="111">
        <f>IFERROR(VLOOKUP($B98,MMWR_TRAD_AGG_STATE_PEN[],E$1,0),"ERROR")</f>
        <v>348</v>
      </c>
      <c r="F98" s="112">
        <f>IFERROR(VLOOKUP($B98,MMWR_TRAD_AGG_STATE_PEN[],F$1,0),"ERROR")</f>
        <v>40</v>
      </c>
      <c r="G98" s="113">
        <f t="shared" si="8"/>
        <v>0.11494252873563218</v>
      </c>
      <c r="H98" s="111">
        <f>IFERROR(VLOOKUP($B98,MMWR_TRAD_AGG_STATE_PEN[],H$1,0),"ERROR")</f>
        <v>498</v>
      </c>
      <c r="I98" s="112">
        <f>IFERROR(VLOOKUP($B98,MMWR_TRAD_AGG_STATE_PEN[],I$1,0),"ERROR")</f>
        <v>26</v>
      </c>
      <c r="J98" s="114">
        <f t="shared" si="9"/>
        <v>5.2208835341365459E-2</v>
      </c>
      <c r="K98" s="111">
        <f>IFERROR(VLOOKUP($B98,MMWR_TRAD_AGG_STATE_PEN[],K$1,0),"ERROR")</f>
        <v>1</v>
      </c>
      <c r="L98" s="112">
        <f>IFERROR(VLOOKUP($B98,MMWR_TRAD_AGG_STATE_PEN[],L$1,0),"ERROR")</f>
        <v>1</v>
      </c>
      <c r="M98" s="114">
        <f t="shared" si="10"/>
        <v>1</v>
      </c>
      <c r="N98" s="111">
        <f>IFERROR(VLOOKUP($B98,MMWR_TRAD_AGG_STATE_PEN[],N$1,0),"ERROR")</f>
        <v>31</v>
      </c>
      <c r="O98" s="112">
        <f>IFERROR(VLOOKUP($B98,MMWR_TRAD_AGG_STATE_PEN[],O$1,0),"ERROR")</f>
        <v>7</v>
      </c>
      <c r="P98" s="114">
        <f t="shared" si="11"/>
        <v>0.22580645161290322</v>
      </c>
      <c r="Q98" s="115">
        <f>IFERROR(VLOOKUP($B98,MMWR_TRAD_AGG_STATE_PEN[],Q$1,0),"ERROR")</f>
        <v>61</v>
      </c>
      <c r="R98" s="115">
        <f>IFERROR(VLOOKUP($B98,MMWR_TRAD_AGG_STATE_PEN[],R$1,0),"ERROR")</f>
        <v>44</v>
      </c>
      <c r="S98" s="115">
        <f>IFERROR(VLOOKUP($B98,MMWR_APP_STATE_PEN[],S$1,0),"ERROR")</f>
        <v>102</v>
      </c>
      <c r="T98" s="28"/>
    </row>
    <row r="99" spans="1:20" s="123" customFormat="1" x14ac:dyDescent="0.2">
      <c r="A99" s="28"/>
      <c r="B99" s="126" t="s">
        <v>386</v>
      </c>
      <c r="C99" s="102">
        <f>IFERROR(VLOOKUP($B99,MMWR_TRAD_AGG_ST_DISTRICT_PEN[],C$1,0),"ERROR")</f>
        <v>3141</v>
      </c>
      <c r="D99" s="103">
        <f>IFERROR(VLOOKUP($B99,MMWR_TRAD_AGG_ST_DISTRICT_PEN[],D$1,0),"ERROR")</f>
        <v>55.601400827799999</v>
      </c>
      <c r="E99" s="102">
        <f>IFERROR(VLOOKUP($B99,MMWR_TRAD_AGG_ST_DISTRICT_PEN[],E$1,0),"ERROR")</f>
        <v>3116</v>
      </c>
      <c r="F99" s="102">
        <f>IFERROR(VLOOKUP($B99,MMWR_TRAD_AGG_ST_DISTRICT_PEN[],F$1,0),"ERROR")</f>
        <v>205</v>
      </c>
      <c r="G99" s="104">
        <f t="shared" si="8"/>
        <v>6.5789473684210523E-2</v>
      </c>
      <c r="H99" s="102">
        <f>IFERROR(VLOOKUP($B99,MMWR_TRAD_AGG_ST_DISTRICT_PEN[],H$1,0),"ERROR")</f>
        <v>3901</v>
      </c>
      <c r="I99" s="102">
        <f>IFERROR(VLOOKUP($B99,MMWR_TRAD_AGG_ST_DISTRICT_PEN[],I$1,0),"ERROR")</f>
        <v>194</v>
      </c>
      <c r="J99" s="104">
        <f t="shared" si="9"/>
        <v>4.9730838246603432E-2</v>
      </c>
      <c r="K99" s="102">
        <f>IFERROR(VLOOKUP($B99,MMWR_TRAD_AGG_ST_DISTRICT_PEN[],K$1,0),"ERROR")</f>
        <v>27</v>
      </c>
      <c r="L99" s="102">
        <f>IFERROR(VLOOKUP($B99,MMWR_TRAD_AGG_ST_DISTRICT_PEN[],L$1,0),"ERROR")</f>
        <v>21</v>
      </c>
      <c r="M99" s="104">
        <f t="shared" si="10"/>
        <v>0.77777777777777779</v>
      </c>
      <c r="N99" s="102">
        <f>IFERROR(VLOOKUP($B99,MMWR_TRAD_AGG_ST_DISTRICT_PEN[],N$1,0),"ERROR")</f>
        <v>186</v>
      </c>
      <c r="O99" s="102">
        <f>IFERROR(VLOOKUP($B99,MMWR_TRAD_AGG_ST_DISTRICT_PEN[],O$1,0),"ERROR")</f>
        <v>60</v>
      </c>
      <c r="P99" s="104">
        <f t="shared" si="11"/>
        <v>0.32258064516129031</v>
      </c>
      <c r="Q99" s="102">
        <f>IFERROR(VLOOKUP($B99,MMWR_TRAD_AGG_ST_DISTRICT_PEN[],Q$1,0),"ERROR")</f>
        <v>3098</v>
      </c>
      <c r="R99" s="106">
        <f>IFERROR(VLOOKUP($B99,MMWR_TRAD_AGG_ST_DISTRICT_PEN[],R$1,0),"ERROR")</f>
        <v>611</v>
      </c>
      <c r="S99" s="106">
        <f>IFERROR(VLOOKUP($B99,MMWR_APP_STATE_PEN[],S$1,0),"ERROR")</f>
        <v>1216</v>
      </c>
      <c r="T99" s="28"/>
    </row>
    <row r="100" spans="1:20" s="123" customFormat="1" x14ac:dyDescent="0.2">
      <c r="A100" s="28"/>
      <c r="B100" s="127" t="s">
        <v>412</v>
      </c>
      <c r="C100" s="109">
        <f>IFERROR(VLOOKUP($B100,MMWR_TRAD_AGG_STATE_PEN[],C$1,0),"ERROR")</f>
        <v>312</v>
      </c>
      <c r="D100" s="110">
        <f>IFERROR(VLOOKUP($B100,MMWR_TRAD_AGG_STATE_PEN[],D$1,0),"ERROR")</f>
        <v>62.532051282099999</v>
      </c>
      <c r="E100" s="111">
        <f>IFERROR(VLOOKUP($B100,MMWR_TRAD_AGG_STATE_PEN[],E$1,0),"ERROR")</f>
        <v>231</v>
      </c>
      <c r="F100" s="112">
        <f>IFERROR(VLOOKUP($B100,MMWR_TRAD_AGG_STATE_PEN[],F$1,0),"ERROR")</f>
        <v>30</v>
      </c>
      <c r="G100" s="113">
        <f t="shared" si="8"/>
        <v>0.12987012987012986</v>
      </c>
      <c r="H100" s="111">
        <f>IFERROR(VLOOKUP($B100,MMWR_TRAD_AGG_STATE_PEN[],H$1,0),"ERROR")</f>
        <v>379</v>
      </c>
      <c r="I100" s="112">
        <f>IFERROR(VLOOKUP($B100,MMWR_TRAD_AGG_STATE_PEN[],I$1,0),"ERROR")</f>
        <v>25</v>
      </c>
      <c r="J100" s="114">
        <f t="shared" si="9"/>
        <v>6.5963060686015831E-2</v>
      </c>
      <c r="K100" s="111">
        <f>IFERROR(VLOOKUP($B100,MMWR_TRAD_AGG_STATE_PEN[],K$1,0),"ERROR")</f>
        <v>5</v>
      </c>
      <c r="L100" s="112">
        <f>IFERROR(VLOOKUP($B100,MMWR_TRAD_AGG_STATE_PEN[],L$1,0),"ERROR")</f>
        <v>4</v>
      </c>
      <c r="M100" s="114">
        <f t="shared" si="10"/>
        <v>0.8</v>
      </c>
      <c r="N100" s="111">
        <f>IFERROR(VLOOKUP($B100,MMWR_TRAD_AGG_STATE_PEN[],N$1,0),"ERROR")</f>
        <v>25</v>
      </c>
      <c r="O100" s="112">
        <f>IFERROR(VLOOKUP($B100,MMWR_TRAD_AGG_STATE_PEN[],O$1,0),"ERROR")</f>
        <v>5</v>
      </c>
      <c r="P100" s="114">
        <f t="shared" si="11"/>
        <v>0.2</v>
      </c>
      <c r="Q100" s="115">
        <f>IFERROR(VLOOKUP($B100,MMWR_TRAD_AGG_STATE_PEN[],Q$1,0),"ERROR")</f>
        <v>67</v>
      </c>
      <c r="R100" s="115">
        <f>IFERROR(VLOOKUP($B100,MMWR_TRAD_AGG_STATE_PEN[],R$1,0),"ERROR")</f>
        <v>25</v>
      </c>
      <c r="S100" s="115">
        <f>IFERROR(VLOOKUP($B100,MMWR_APP_STATE_PEN[],S$1,0),"ERROR")</f>
        <v>154</v>
      </c>
      <c r="T100" s="28"/>
    </row>
    <row r="101" spans="1:20" s="123" customFormat="1" x14ac:dyDescent="0.2">
      <c r="A101" s="28"/>
      <c r="B101" s="127" t="s">
        <v>404</v>
      </c>
      <c r="C101" s="109">
        <f>IFERROR(VLOOKUP($B101,MMWR_TRAD_AGG_STATE_PEN[],C$1,0),"ERROR")</f>
        <v>222</v>
      </c>
      <c r="D101" s="110">
        <f>IFERROR(VLOOKUP($B101,MMWR_TRAD_AGG_STATE_PEN[],D$1,0),"ERROR")</f>
        <v>47.135135135100001</v>
      </c>
      <c r="E101" s="111">
        <f>IFERROR(VLOOKUP($B101,MMWR_TRAD_AGG_STATE_PEN[],E$1,0),"ERROR")</f>
        <v>256</v>
      </c>
      <c r="F101" s="112">
        <f>IFERROR(VLOOKUP($B101,MMWR_TRAD_AGG_STATE_PEN[],F$1,0),"ERROR")</f>
        <v>11</v>
      </c>
      <c r="G101" s="113">
        <f t="shared" ref="G101:G127" si="12">IFERROR(F101/E101,"0%")</f>
        <v>4.296875E-2</v>
      </c>
      <c r="H101" s="111">
        <f>IFERROR(VLOOKUP($B101,MMWR_TRAD_AGG_STATE_PEN[],H$1,0),"ERROR")</f>
        <v>278</v>
      </c>
      <c r="I101" s="112">
        <f>IFERROR(VLOOKUP($B101,MMWR_TRAD_AGG_STATE_PEN[],I$1,0),"ERROR")</f>
        <v>7</v>
      </c>
      <c r="J101" s="114">
        <f t="shared" ref="J101:J127" si="13">IFERROR(I101/H101,"0%")</f>
        <v>2.5179856115107913E-2</v>
      </c>
      <c r="K101" s="111">
        <f>IFERROR(VLOOKUP($B101,MMWR_TRAD_AGG_STATE_PEN[],K$1,0),"ERROR")</f>
        <v>5</v>
      </c>
      <c r="L101" s="112">
        <f>IFERROR(VLOOKUP($B101,MMWR_TRAD_AGG_STATE_PEN[],L$1,0),"ERROR")</f>
        <v>1</v>
      </c>
      <c r="M101" s="114">
        <f t="shared" ref="M101:M127" si="14">IFERROR(L101/K101,"0%")</f>
        <v>0.2</v>
      </c>
      <c r="N101" s="111">
        <f>IFERROR(VLOOKUP($B101,MMWR_TRAD_AGG_STATE_PEN[],N$1,0),"ERROR")</f>
        <v>12</v>
      </c>
      <c r="O101" s="112">
        <f>IFERROR(VLOOKUP($B101,MMWR_TRAD_AGG_STATE_PEN[],O$1,0),"ERROR")</f>
        <v>6</v>
      </c>
      <c r="P101" s="114">
        <f t="shared" ref="P101:P127" si="15">IFERROR(O101/N101,"0%")</f>
        <v>0.5</v>
      </c>
      <c r="Q101" s="115">
        <f>IFERROR(VLOOKUP($B101,MMWR_TRAD_AGG_STATE_PEN[],Q$1,0),"ERROR")</f>
        <v>375</v>
      </c>
      <c r="R101" s="115">
        <f>IFERROR(VLOOKUP($B101,MMWR_TRAD_AGG_STATE_PEN[],R$1,0),"ERROR")</f>
        <v>41</v>
      </c>
      <c r="S101" s="115">
        <f>IFERROR(VLOOKUP($B101,MMWR_APP_STATE_PEN[],S$1,0),"ERROR")</f>
        <v>90</v>
      </c>
      <c r="T101" s="28"/>
    </row>
    <row r="102" spans="1:20" s="123" customFormat="1" x14ac:dyDescent="0.2">
      <c r="A102" s="28"/>
      <c r="B102" s="127" t="s">
        <v>388</v>
      </c>
      <c r="C102" s="109">
        <f>IFERROR(VLOOKUP($B102,MMWR_TRAD_AGG_STATE_PEN[],C$1,0),"ERROR")</f>
        <v>613</v>
      </c>
      <c r="D102" s="110">
        <f>IFERROR(VLOOKUP($B102,MMWR_TRAD_AGG_STATE_PEN[],D$1,0),"ERROR")</f>
        <v>61.345840130500001</v>
      </c>
      <c r="E102" s="111">
        <f>IFERROR(VLOOKUP($B102,MMWR_TRAD_AGG_STATE_PEN[],E$1,0),"ERROR")</f>
        <v>395</v>
      </c>
      <c r="F102" s="112">
        <f>IFERROR(VLOOKUP($B102,MMWR_TRAD_AGG_STATE_PEN[],F$1,0),"ERROR")</f>
        <v>44</v>
      </c>
      <c r="G102" s="113">
        <f t="shared" si="12"/>
        <v>0.11139240506329114</v>
      </c>
      <c r="H102" s="111">
        <f>IFERROR(VLOOKUP($B102,MMWR_TRAD_AGG_STATE_PEN[],H$1,0),"ERROR")</f>
        <v>722</v>
      </c>
      <c r="I102" s="112">
        <f>IFERROR(VLOOKUP($B102,MMWR_TRAD_AGG_STATE_PEN[],I$1,0),"ERROR")</f>
        <v>51</v>
      </c>
      <c r="J102" s="114">
        <f t="shared" si="13"/>
        <v>7.0637119113573413E-2</v>
      </c>
      <c r="K102" s="111">
        <f>IFERROR(VLOOKUP($B102,MMWR_TRAD_AGG_STATE_PEN[],K$1,0),"ERROR")</f>
        <v>3</v>
      </c>
      <c r="L102" s="112">
        <f>IFERROR(VLOOKUP($B102,MMWR_TRAD_AGG_STATE_PEN[],L$1,0),"ERROR")</f>
        <v>2</v>
      </c>
      <c r="M102" s="114">
        <f t="shared" si="14"/>
        <v>0.66666666666666663</v>
      </c>
      <c r="N102" s="111">
        <f>IFERROR(VLOOKUP($B102,MMWR_TRAD_AGG_STATE_PEN[],N$1,0),"ERROR")</f>
        <v>32</v>
      </c>
      <c r="O102" s="112">
        <f>IFERROR(VLOOKUP($B102,MMWR_TRAD_AGG_STATE_PEN[],O$1,0),"ERROR")</f>
        <v>10</v>
      </c>
      <c r="P102" s="114">
        <f t="shared" si="15"/>
        <v>0.3125</v>
      </c>
      <c r="Q102" s="115">
        <f>IFERROR(VLOOKUP($B102,MMWR_TRAD_AGG_STATE_PEN[],Q$1,0),"ERROR")</f>
        <v>64</v>
      </c>
      <c r="R102" s="115">
        <f>IFERROR(VLOOKUP($B102,MMWR_TRAD_AGG_STATE_PEN[],R$1,0),"ERROR")</f>
        <v>65</v>
      </c>
      <c r="S102" s="115">
        <f>IFERROR(VLOOKUP($B102,MMWR_APP_STATE_PEN[],S$1,0),"ERROR")</f>
        <v>199</v>
      </c>
      <c r="T102" s="28"/>
    </row>
    <row r="103" spans="1:20" s="123" customFormat="1" x14ac:dyDescent="0.2">
      <c r="A103" s="28"/>
      <c r="B103" s="127" t="s">
        <v>390</v>
      </c>
      <c r="C103" s="109">
        <f>IFERROR(VLOOKUP($B103,MMWR_TRAD_AGG_STATE_PEN[],C$1,0),"ERROR")</f>
        <v>337</v>
      </c>
      <c r="D103" s="110">
        <f>IFERROR(VLOOKUP($B103,MMWR_TRAD_AGG_STATE_PEN[],D$1,0),"ERROR")</f>
        <v>58.756676557900001</v>
      </c>
      <c r="E103" s="111">
        <f>IFERROR(VLOOKUP($B103,MMWR_TRAD_AGG_STATE_PEN[],E$1,0),"ERROR")</f>
        <v>267</v>
      </c>
      <c r="F103" s="112">
        <f>IFERROR(VLOOKUP($B103,MMWR_TRAD_AGG_STATE_PEN[],F$1,0),"ERROR")</f>
        <v>28</v>
      </c>
      <c r="G103" s="113">
        <f t="shared" si="12"/>
        <v>0.10486891385767791</v>
      </c>
      <c r="H103" s="111">
        <f>IFERROR(VLOOKUP($B103,MMWR_TRAD_AGG_STATE_PEN[],H$1,0),"ERROR")</f>
        <v>394</v>
      </c>
      <c r="I103" s="112">
        <f>IFERROR(VLOOKUP($B103,MMWR_TRAD_AGG_STATE_PEN[],I$1,0),"ERROR")</f>
        <v>23</v>
      </c>
      <c r="J103" s="114">
        <f t="shared" si="13"/>
        <v>5.8375634517766499E-2</v>
      </c>
      <c r="K103" s="111">
        <f>IFERROR(VLOOKUP($B103,MMWR_TRAD_AGG_STATE_PEN[],K$1,0),"ERROR")</f>
        <v>3</v>
      </c>
      <c r="L103" s="112">
        <f>IFERROR(VLOOKUP($B103,MMWR_TRAD_AGG_STATE_PEN[],L$1,0),"ERROR")</f>
        <v>3</v>
      </c>
      <c r="M103" s="114">
        <f t="shared" si="14"/>
        <v>1</v>
      </c>
      <c r="N103" s="111">
        <f>IFERROR(VLOOKUP($B103,MMWR_TRAD_AGG_STATE_PEN[],N$1,0),"ERROR")</f>
        <v>32</v>
      </c>
      <c r="O103" s="112">
        <f>IFERROR(VLOOKUP($B103,MMWR_TRAD_AGG_STATE_PEN[],O$1,0),"ERROR")</f>
        <v>7</v>
      </c>
      <c r="P103" s="114">
        <f t="shared" si="15"/>
        <v>0.21875</v>
      </c>
      <c r="Q103" s="115">
        <f>IFERROR(VLOOKUP($B103,MMWR_TRAD_AGG_STATE_PEN[],Q$1,0),"ERROR")</f>
        <v>75</v>
      </c>
      <c r="R103" s="115">
        <f>IFERROR(VLOOKUP($B103,MMWR_TRAD_AGG_STATE_PEN[],R$1,0),"ERROR")</f>
        <v>24</v>
      </c>
      <c r="S103" s="115">
        <f>IFERROR(VLOOKUP($B103,MMWR_APP_STATE_PEN[],S$1,0),"ERROR")</f>
        <v>169</v>
      </c>
      <c r="T103" s="28"/>
    </row>
    <row r="104" spans="1:20" s="123" customFormat="1" x14ac:dyDescent="0.2">
      <c r="A104" s="28"/>
      <c r="B104" s="127" t="s">
        <v>419</v>
      </c>
      <c r="C104" s="109">
        <f>IFERROR(VLOOKUP($B104,MMWR_TRAD_AGG_STATE_PEN[],C$1,0),"ERROR")</f>
        <v>55</v>
      </c>
      <c r="D104" s="110">
        <f>IFERROR(VLOOKUP($B104,MMWR_TRAD_AGG_STATE_PEN[],D$1,0),"ERROR")</f>
        <v>43.363636363600001</v>
      </c>
      <c r="E104" s="111">
        <f>IFERROR(VLOOKUP($B104,MMWR_TRAD_AGG_STATE_PEN[],E$1,0),"ERROR")</f>
        <v>90</v>
      </c>
      <c r="F104" s="112">
        <f>IFERROR(VLOOKUP($B104,MMWR_TRAD_AGG_STATE_PEN[],F$1,0),"ERROR")</f>
        <v>4</v>
      </c>
      <c r="G104" s="113">
        <f t="shared" si="12"/>
        <v>4.4444444444444446E-2</v>
      </c>
      <c r="H104" s="111">
        <f>IFERROR(VLOOKUP($B104,MMWR_TRAD_AGG_STATE_PEN[],H$1,0),"ERROR")</f>
        <v>67</v>
      </c>
      <c r="I104" s="112">
        <f>IFERROR(VLOOKUP($B104,MMWR_TRAD_AGG_STATE_PEN[],I$1,0),"ERROR")</f>
        <v>1</v>
      </c>
      <c r="J104" s="114">
        <f t="shared" si="13"/>
        <v>1.4925373134328358E-2</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0</v>
      </c>
      <c r="P104" s="114">
        <f t="shared" si="15"/>
        <v>0</v>
      </c>
      <c r="Q104" s="115">
        <f>IFERROR(VLOOKUP($B104,MMWR_TRAD_AGG_STATE_PEN[],Q$1,0),"ERROR")</f>
        <v>137</v>
      </c>
      <c r="R104" s="115">
        <f>IFERROR(VLOOKUP($B104,MMWR_TRAD_AGG_STATE_PEN[],R$1,0),"ERROR")</f>
        <v>9</v>
      </c>
      <c r="S104" s="115">
        <f>IFERROR(VLOOKUP($B104,MMWR_APP_STATE_PEN[],S$1,0),"ERROR")</f>
        <v>4</v>
      </c>
      <c r="T104" s="28"/>
    </row>
    <row r="105" spans="1:20" s="123" customFormat="1" x14ac:dyDescent="0.2">
      <c r="A105" s="28"/>
      <c r="B105" s="127" t="s">
        <v>413</v>
      </c>
      <c r="C105" s="109">
        <f>IFERROR(VLOOKUP($B105,MMWR_TRAD_AGG_STATE_PEN[],C$1,0),"ERROR")</f>
        <v>283</v>
      </c>
      <c r="D105" s="110">
        <f>IFERROR(VLOOKUP($B105,MMWR_TRAD_AGG_STATE_PEN[],D$1,0),"ERROR")</f>
        <v>51.487632508799997</v>
      </c>
      <c r="E105" s="111">
        <f>IFERROR(VLOOKUP($B105,MMWR_TRAD_AGG_STATE_PEN[],E$1,0),"ERROR")</f>
        <v>261</v>
      </c>
      <c r="F105" s="112">
        <f>IFERROR(VLOOKUP($B105,MMWR_TRAD_AGG_STATE_PEN[],F$1,0),"ERROR")</f>
        <v>13</v>
      </c>
      <c r="G105" s="113">
        <f t="shared" si="12"/>
        <v>4.9808429118773943E-2</v>
      </c>
      <c r="H105" s="111">
        <f>IFERROR(VLOOKUP($B105,MMWR_TRAD_AGG_STATE_PEN[],H$1,0),"ERROR")</f>
        <v>337</v>
      </c>
      <c r="I105" s="112">
        <f>IFERROR(VLOOKUP($B105,MMWR_TRAD_AGG_STATE_PEN[],I$1,0),"ERROR")</f>
        <v>9</v>
      </c>
      <c r="J105" s="114">
        <f t="shared" si="13"/>
        <v>2.6706231454005934E-2</v>
      </c>
      <c r="K105" s="111">
        <f>IFERROR(VLOOKUP($B105,MMWR_TRAD_AGG_STATE_PEN[],K$1,0),"ERROR")</f>
        <v>3</v>
      </c>
      <c r="L105" s="112">
        <f>IFERROR(VLOOKUP($B105,MMWR_TRAD_AGG_STATE_PEN[],L$1,0),"ERROR")</f>
        <v>3</v>
      </c>
      <c r="M105" s="114">
        <f t="shared" si="14"/>
        <v>1</v>
      </c>
      <c r="N105" s="111">
        <f>IFERROR(VLOOKUP($B105,MMWR_TRAD_AGG_STATE_PEN[],N$1,0),"ERROR")</f>
        <v>15</v>
      </c>
      <c r="O105" s="112">
        <f>IFERROR(VLOOKUP($B105,MMWR_TRAD_AGG_STATE_PEN[],O$1,0),"ERROR")</f>
        <v>4</v>
      </c>
      <c r="P105" s="114">
        <f t="shared" si="15"/>
        <v>0.26666666666666666</v>
      </c>
      <c r="Q105" s="115">
        <f>IFERROR(VLOOKUP($B105,MMWR_TRAD_AGG_STATE_PEN[],Q$1,0),"ERROR")</f>
        <v>675</v>
      </c>
      <c r="R105" s="115">
        <f>IFERROR(VLOOKUP($B105,MMWR_TRAD_AGG_STATE_PEN[],R$1,0),"ERROR")</f>
        <v>64</v>
      </c>
      <c r="S105" s="115">
        <f>IFERROR(VLOOKUP($B105,MMWR_APP_STATE_PEN[],S$1,0),"ERROR")</f>
        <v>100</v>
      </c>
      <c r="T105" s="28"/>
    </row>
    <row r="106" spans="1:20" s="123" customFormat="1" x14ac:dyDescent="0.2">
      <c r="A106" s="28"/>
      <c r="B106" s="127" t="s">
        <v>411</v>
      </c>
      <c r="C106" s="109">
        <f>IFERROR(VLOOKUP($B106,MMWR_TRAD_AGG_STATE_PEN[],C$1,0),"ERROR")</f>
        <v>1196</v>
      </c>
      <c r="D106" s="110">
        <f>IFERROR(VLOOKUP($B106,MMWR_TRAD_AGG_STATE_PEN[],D$1,0),"ERROR")</f>
        <v>53.069397993300001</v>
      </c>
      <c r="E106" s="111">
        <f>IFERROR(VLOOKUP($B106,MMWR_TRAD_AGG_STATE_PEN[],E$1,0),"ERROR")</f>
        <v>1426</v>
      </c>
      <c r="F106" s="112">
        <f>IFERROR(VLOOKUP($B106,MMWR_TRAD_AGG_STATE_PEN[],F$1,0),"ERROR")</f>
        <v>65</v>
      </c>
      <c r="G106" s="113">
        <f t="shared" si="12"/>
        <v>4.5582047685834501E-2</v>
      </c>
      <c r="H106" s="111">
        <f>IFERROR(VLOOKUP($B106,MMWR_TRAD_AGG_STATE_PEN[],H$1,0),"ERROR")</f>
        <v>1566</v>
      </c>
      <c r="I106" s="112">
        <f>IFERROR(VLOOKUP($B106,MMWR_TRAD_AGG_STATE_PEN[],I$1,0),"ERROR")</f>
        <v>65</v>
      </c>
      <c r="J106" s="114">
        <f t="shared" si="13"/>
        <v>4.1507024265644954E-2</v>
      </c>
      <c r="K106" s="111">
        <f>IFERROR(VLOOKUP($B106,MMWR_TRAD_AGG_STATE_PEN[],K$1,0),"ERROR")</f>
        <v>8</v>
      </c>
      <c r="L106" s="112">
        <f>IFERROR(VLOOKUP($B106,MMWR_TRAD_AGG_STATE_PEN[],L$1,0),"ERROR")</f>
        <v>8</v>
      </c>
      <c r="M106" s="114">
        <f t="shared" si="14"/>
        <v>1</v>
      </c>
      <c r="N106" s="111">
        <f>IFERROR(VLOOKUP($B106,MMWR_TRAD_AGG_STATE_PEN[],N$1,0),"ERROR")</f>
        <v>67</v>
      </c>
      <c r="O106" s="112">
        <f>IFERROR(VLOOKUP($B106,MMWR_TRAD_AGG_STATE_PEN[],O$1,0),"ERROR")</f>
        <v>28</v>
      </c>
      <c r="P106" s="114">
        <f t="shared" si="15"/>
        <v>0.41791044776119401</v>
      </c>
      <c r="Q106" s="115">
        <f>IFERROR(VLOOKUP($B106,MMWR_TRAD_AGG_STATE_PEN[],Q$1,0),"ERROR")</f>
        <v>1491</v>
      </c>
      <c r="R106" s="115">
        <f>IFERROR(VLOOKUP($B106,MMWR_TRAD_AGG_STATE_PEN[],R$1,0),"ERROR")</f>
        <v>358</v>
      </c>
      <c r="S106" s="115">
        <f>IFERROR(VLOOKUP($B106,MMWR_APP_STATE_PEN[],S$1,0),"ERROR")</f>
        <v>476</v>
      </c>
      <c r="T106" s="28"/>
    </row>
    <row r="107" spans="1:20" s="123" customFormat="1" x14ac:dyDescent="0.2">
      <c r="A107" s="28"/>
      <c r="B107" s="127" t="s">
        <v>407</v>
      </c>
      <c r="C107" s="109">
        <f>IFERROR(VLOOKUP($B107,MMWR_TRAD_AGG_STATE_PEN[],C$1,0),"ERROR")</f>
        <v>97</v>
      </c>
      <c r="D107" s="110">
        <f>IFERROR(VLOOKUP($B107,MMWR_TRAD_AGG_STATE_PEN[],D$1,0),"ERROR")</f>
        <v>55.432989690699998</v>
      </c>
      <c r="E107" s="111">
        <f>IFERROR(VLOOKUP($B107,MMWR_TRAD_AGG_STATE_PEN[],E$1,0),"ERROR")</f>
        <v>164</v>
      </c>
      <c r="F107" s="112">
        <f>IFERROR(VLOOKUP($B107,MMWR_TRAD_AGG_STATE_PEN[],F$1,0),"ERROR")</f>
        <v>8</v>
      </c>
      <c r="G107" s="113">
        <f t="shared" si="12"/>
        <v>4.878048780487805E-2</v>
      </c>
      <c r="H107" s="111">
        <f>IFERROR(VLOOKUP($B107,MMWR_TRAD_AGG_STATE_PEN[],H$1,0),"ERROR")</f>
        <v>119</v>
      </c>
      <c r="I107" s="112">
        <f>IFERROR(VLOOKUP($B107,MMWR_TRAD_AGG_STATE_PEN[],I$1,0),"ERROR")</f>
        <v>8</v>
      </c>
      <c r="J107" s="114">
        <f t="shared" si="13"/>
        <v>6.7226890756302518E-2</v>
      </c>
      <c r="K107" s="111">
        <f>IFERROR(VLOOKUP($B107,MMWR_TRAD_AGG_STATE_PEN[],K$1,0),"ERROR")</f>
        <v>0</v>
      </c>
      <c r="L107" s="112">
        <f>IFERROR(VLOOKUP($B107,MMWR_TRAD_AGG_STATE_PEN[],L$1,0),"ERROR")</f>
        <v>0</v>
      </c>
      <c r="M107" s="114" t="str">
        <f t="shared" si="14"/>
        <v>0%</v>
      </c>
      <c r="N107" s="111">
        <f>IFERROR(VLOOKUP($B107,MMWR_TRAD_AGG_STATE_PEN[],N$1,0),"ERROR")</f>
        <v>1</v>
      </c>
      <c r="O107" s="112">
        <f>IFERROR(VLOOKUP($B107,MMWR_TRAD_AGG_STATE_PEN[],O$1,0),"ERROR")</f>
        <v>0</v>
      </c>
      <c r="P107" s="114">
        <f t="shared" si="15"/>
        <v>0</v>
      </c>
      <c r="Q107" s="115">
        <f>IFERROR(VLOOKUP($B107,MMWR_TRAD_AGG_STATE_PEN[],Q$1,0),"ERROR")</f>
        <v>143</v>
      </c>
      <c r="R107" s="115">
        <f>IFERROR(VLOOKUP($B107,MMWR_TRAD_AGG_STATE_PEN[],R$1,0),"ERROR")</f>
        <v>23</v>
      </c>
      <c r="S107" s="115">
        <f>IFERROR(VLOOKUP($B107,MMWR_APP_STATE_PEN[],S$1,0),"ERROR")</f>
        <v>18</v>
      </c>
      <c r="T107" s="28"/>
    </row>
    <row r="108" spans="1:20" s="123" customFormat="1" x14ac:dyDescent="0.2">
      <c r="A108" s="28"/>
      <c r="B108" s="127" t="s">
        <v>422</v>
      </c>
      <c r="C108" s="109">
        <f>IFERROR(VLOOKUP($B108,MMWR_TRAD_AGG_STATE_PEN[],C$1,0),"ERROR")</f>
        <v>26</v>
      </c>
      <c r="D108" s="110">
        <f>IFERROR(VLOOKUP($B108,MMWR_TRAD_AGG_STATE_PEN[],D$1,0),"ERROR")</f>
        <v>56.153846153800004</v>
      </c>
      <c r="E108" s="111">
        <f>IFERROR(VLOOKUP($B108,MMWR_TRAD_AGG_STATE_PEN[],E$1,0),"ERROR")</f>
        <v>26</v>
      </c>
      <c r="F108" s="112">
        <f>IFERROR(VLOOKUP($B108,MMWR_TRAD_AGG_STATE_PEN[],F$1,0),"ERROR")</f>
        <v>2</v>
      </c>
      <c r="G108" s="113">
        <f t="shared" si="12"/>
        <v>7.6923076923076927E-2</v>
      </c>
      <c r="H108" s="111">
        <f>IFERROR(VLOOKUP($B108,MMWR_TRAD_AGG_STATE_PEN[],H$1,0),"ERROR")</f>
        <v>39</v>
      </c>
      <c r="I108" s="112">
        <f>IFERROR(VLOOKUP($B108,MMWR_TRAD_AGG_STATE_PEN[],I$1,0),"ERROR")</f>
        <v>5</v>
      </c>
      <c r="J108" s="114">
        <f t="shared" si="13"/>
        <v>0.12820512820512819</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0</v>
      </c>
      <c r="P108" s="114">
        <f t="shared" si="15"/>
        <v>0</v>
      </c>
      <c r="Q108" s="115">
        <f>IFERROR(VLOOKUP($B108,MMWR_TRAD_AGG_STATE_PEN[],Q$1,0),"ERROR")</f>
        <v>71</v>
      </c>
      <c r="R108" s="115">
        <f>IFERROR(VLOOKUP($B108,MMWR_TRAD_AGG_STATE_PEN[],R$1,0),"ERROR")</f>
        <v>2</v>
      </c>
      <c r="S108" s="115">
        <f>IFERROR(VLOOKUP($B108,MMWR_APP_STATE_PEN[],S$1,0),"ERROR")</f>
        <v>6</v>
      </c>
      <c r="T108" s="28"/>
    </row>
    <row r="109" spans="1:20" s="123" customFormat="1" x14ac:dyDescent="0.2">
      <c r="A109" s="28"/>
      <c r="B109" s="126" t="s">
        <v>405</v>
      </c>
      <c r="C109" s="102">
        <f>IFERROR(VLOOKUP($B109,MMWR_TRAD_AGG_ST_DISTRICT_PEN[],C$1,0),"ERROR")</f>
        <v>2438</v>
      </c>
      <c r="D109" s="103">
        <f>IFERROR(VLOOKUP($B109,MMWR_TRAD_AGG_ST_DISTRICT_PEN[],D$1,0),"ERROR")</f>
        <v>51.947497949099997</v>
      </c>
      <c r="E109" s="102">
        <f>IFERROR(VLOOKUP($B109,MMWR_TRAD_AGG_ST_DISTRICT_PEN[],E$1,0),"ERROR")</f>
        <v>3270</v>
      </c>
      <c r="F109" s="102">
        <f>IFERROR(VLOOKUP($B109,MMWR_TRAD_AGG_ST_DISTRICT_PEN[],F$1,0),"ERROR")</f>
        <v>139</v>
      </c>
      <c r="G109" s="104">
        <f t="shared" si="12"/>
        <v>4.2507645259938838E-2</v>
      </c>
      <c r="H109" s="102">
        <f>IFERROR(VLOOKUP($B109,MMWR_TRAD_AGG_ST_DISTRICT_PEN[],H$1,0),"ERROR")</f>
        <v>3173</v>
      </c>
      <c r="I109" s="102">
        <f>IFERROR(VLOOKUP($B109,MMWR_TRAD_AGG_ST_DISTRICT_PEN[],I$1,0),"ERROR")</f>
        <v>128</v>
      </c>
      <c r="J109" s="104">
        <f t="shared" si="13"/>
        <v>4.0340371887803338E-2</v>
      </c>
      <c r="K109" s="102">
        <f>IFERROR(VLOOKUP($B109,MMWR_TRAD_AGG_ST_DISTRICT_PEN[],K$1,0),"ERROR")</f>
        <v>20</v>
      </c>
      <c r="L109" s="102">
        <f>IFERROR(VLOOKUP($B109,MMWR_TRAD_AGG_ST_DISTRICT_PEN[],L$1,0),"ERROR")</f>
        <v>11</v>
      </c>
      <c r="M109" s="104">
        <f t="shared" si="14"/>
        <v>0.55000000000000004</v>
      </c>
      <c r="N109" s="102">
        <f>IFERROR(VLOOKUP($B109,MMWR_TRAD_AGG_ST_DISTRICT_PEN[],N$1,0),"ERROR")</f>
        <v>132</v>
      </c>
      <c r="O109" s="102">
        <f>IFERROR(VLOOKUP($B109,MMWR_TRAD_AGG_ST_DISTRICT_PEN[],O$1,0),"ERROR")</f>
        <v>60</v>
      </c>
      <c r="P109" s="104">
        <f t="shared" si="15"/>
        <v>0.45454545454545453</v>
      </c>
      <c r="Q109" s="102">
        <f>IFERROR(VLOOKUP($B109,MMWR_TRAD_AGG_ST_DISTRICT_PEN[],Q$1,0),"ERROR")</f>
        <v>3373</v>
      </c>
      <c r="R109" s="106">
        <f>IFERROR(VLOOKUP($B109,MMWR_TRAD_AGG_ST_DISTRICT_PEN[],R$1,0),"ERROR")</f>
        <v>637</v>
      </c>
      <c r="S109" s="106">
        <f>IFERROR(VLOOKUP($B109,MMWR_APP_STATE_PEN[],S$1,0),"ERROR")</f>
        <v>688</v>
      </c>
      <c r="T109" s="28"/>
    </row>
    <row r="110" spans="1:20" s="123" customFormat="1" x14ac:dyDescent="0.2">
      <c r="A110" s="28"/>
      <c r="B110" s="127" t="s">
        <v>425</v>
      </c>
      <c r="C110" s="109">
        <f>IFERROR(VLOOKUP($B110,MMWR_TRAD_AGG_STATE_PEN[],C$1,0),"ERROR")</f>
        <v>18</v>
      </c>
      <c r="D110" s="110">
        <f>IFERROR(VLOOKUP($B110,MMWR_TRAD_AGG_STATE_PEN[],D$1,0),"ERROR")</f>
        <v>57.444444444399998</v>
      </c>
      <c r="E110" s="111">
        <f>IFERROR(VLOOKUP($B110,MMWR_TRAD_AGG_STATE_PEN[],E$1,0),"ERROR")</f>
        <v>24</v>
      </c>
      <c r="F110" s="112">
        <f>IFERROR(VLOOKUP($B110,MMWR_TRAD_AGG_STATE_PEN[],F$1,0),"ERROR")</f>
        <v>0</v>
      </c>
      <c r="G110" s="113">
        <f t="shared" si="12"/>
        <v>0</v>
      </c>
      <c r="H110" s="111">
        <f>IFERROR(VLOOKUP($B110,MMWR_TRAD_AGG_STATE_PEN[],H$1,0),"ERROR")</f>
        <v>28</v>
      </c>
      <c r="I110" s="112">
        <f>IFERROR(VLOOKUP($B110,MMWR_TRAD_AGG_STATE_PEN[],I$1,0),"ERROR")</f>
        <v>2</v>
      </c>
      <c r="J110" s="114">
        <f t="shared" si="13"/>
        <v>7.1428571428571425E-2</v>
      </c>
      <c r="K110" s="111">
        <f>IFERROR(VLOOKUP($B110,MMWR_TRAD_AGG_STATE_PEN[],K$1,0),"ERROR")</f>
        <v>0</v>
      </c>
      <c r="L110" s="112">
        <f>IFERROR(VLOOKUP($B110,MMWR_TRAD_AGG_STATE_PEN[],L$1,0),"ERROR")</f>
        <v>0</v>
      </c>
      <c r="M110" s="114" t="str">
        <f t="shared" si="14"/>
        <v>0%</v>
      </c>
      <c r="N110" s="111">
        <f>IFERROR(VLOOKUP($B110,MMWR_TRAD_AGG_STATE_PEN[],N$1,0),"ERROR")</f>
        <v>1</v>
      </c>
      <c r="O110" s="112">
        <f>IFERROR(VLOOKUP($B110,MMWR_TRAD_AGG_STATE_PEN[],O$1,0),"ERROR")</f>
        <v>1</v>
      </c>
      <c r="P110" s="114">
        <f t="shared" si="15"/>
        <v>1</v>
      </c>
      <c r="Q110" s="115">
        <f>IFERROR(VLOOKUP($B110,MMWR_TRAD_AGG_STATE_PEN[],Q$1,0),"ERROR")</f>
        <v>42</v>
      </c>
      <c r="R110" s="115">
        <f>IFERROR(VLOOKUP($B110,MMWR_TRAD_AGG_STATE_PEN[],R$1,0),"ERROR")</f>
        <v>7</v>
      </c>
      <c r="S110" s="115">
        <f>IFERROR(VLOOKUP($B110,MMWR_APP_STATE_PEN[],S$1,0),"ERROR")</f>
        <v>5</v>
      </c>
      <c r="T110" s="28"/>
    </row>
    <row r="111" spans="1:20" s="123" customFormat="1" x14ac:dyDescent="0.2">
      <c r="A111" s="28"/>
      <c r="B111" s="127" t="s">
        <v>427</v>
      </c>
      <c r="C111" s="109">
        <f>IFERROR(VLOOKUP($B111,MMWR_TRAD_AGG_STATE_PEN[],C$1,0),"ERROR")</f>
        <v>310</v>
      </c>
      <c r="D111" s="110">
        <f>IFERROR(VLOOKUP($B111,MMWR_TRAD_AGG_STATE_PEN[],D$1,0),"ERROR")</f>
        <v>53.087096774199999</v>
      </c>
      <c r="E111" s="111">
        <f>IFERROR(VLOOKUP($B111,MMWR_TRAD_AGG_STATE_PEN[],E$1,0),"ERROR")</f>
        <v>445</v>
      </c>
      <c r="F111" s="112">
        <f>IFERROR(VLOOKUP($B111,MMWR_TRAD_AGG_STATE_PEN[],F$1,0),"ERROR")</f>
        <v>21</v>
      </c>
      <c r="G111" s="113">
        <f t="shared" si="12"/>
        <v>4.7191011235955059E-2</v>
      </c>
      <c r="H111" s="111">
        <f>IFERROR(VLOOKUP($B111,MMWR_TRAD_AGG_STATE_PEN[],H$1,0),"ERROR")</f>
        <v>385</v>
      </c>
      <c r="I111" s="112">
        <f>IFERROR(VLOOKUP($B111,MMWR_TRAD_AGG_STATE_PEN[],I$1,0),"ERROR")</f>
        <v>14</v>
      </c>
      <c r="J111" s="114">
        <f t="shared" si="13"/>
        <v>3.6363636363636362E-2</v>
      </c>
      <c r="K111" s="111">
        <f>IFERROR(VLOOKUP($B111,MMWR_TRAD_AGG_STATE_PEN[],K$1,0),"ERROR")</f>
        <v>1</v>
      </c>
      <c r="L111" s="112">
        <f>IFERROR(VLOOKUP($B111,MMWR_TRAD_AGG_STATE_PEN[],L$1,0),"ERROR")</f>
        <v>1</v>
      </c>
      <c r="M111" s="114">
        <f t="shared" si="14"/>
        <v>1</v>
      </c>
      <c r="N111" s="111">
        <f>IFERROR(VLOOKUP($B111,MMWR_TRAD_AGG_STATE_PEN[],N$1,0),"ERROR")</f>
        <v>8</v>
      </c>
      <c r="O111" s="112">
        <f>IFERROR(VLOOKUP($B111,MMWR_TRAD_AGG_STATE_PEN[],O$1,0),"ERROR")</f>
        <v>4</v>
      </c>
      <c r="P111" s="114">
        <f t="shared" si="15"/>
        <v>0.5</v>
      </c>
      <c r="Q111" s="115">
        <f>IFERROR(VLOOKUP($B111,MMWR_TRAD_AGG_STATE_PEN[],Q$1,0),"ERROR")</f>
        <v>426</v>
      </c>
      <c r="R111" s="115">
        <f>IFERROR(VLOOKUP($B111,MMWR_TRAD_AGG_STATE_PEN[],R$1,0),"ERROR")</f>
        <v>92</v>
      </c>
      <c r="S111" s="115">
        <f>IFERROR(VLOOKUP($B111,MMWR_APP_STATE_PEN[],S$1,0),"ERROR")</f>
        <v>97</v>
      </c>
      <c r="T111" s="28"/>
    </row>
    <row r="112" spans="1:20" s="123" customFormat="1" x14ac:dyDescent="0.2">
      <c r="A112" s="28"/>
      <c r="B112" s="127" t="s">
        <v>408</v>
      </c>
      <c r="C112" s="109">
        <f>IFERROR(VLOOKUP($B112,MMWR_TRAD_AGG_STATE_PEN[],C$1,0),"ERROR")</f>
        <v>1292</v>
      </c>
      <c r="D112" s="110">
        <f>IFERROR(VLOOKUP($B112,MMWR_TRAD_AGG_STATE_PEN[],D$1,0),"ERROR")</f>
        <v>50.640092879299999</v>
      </c>
      <c r="E112" s="111">
        <f>IFERROR(VLOOKUP($B112,MMWR_TRAD_AGG_STATE_PEN[],E$1,0),"ERROR")</f>
        <v>1691</v>
      </c>
      <c r="F112" s="112">
        <f>IFERROR(VLOOKUP($B112,MMWR_TRAD_AGG_STATE_PEN[],F$1,0),"ERROR")</f>
        <v>63</v>
      </c>
      <c r="G112" s="113">
        <f t="shared" si="12"/>
        <v>3.7256061502069782E-2</v>
      </c>
      <c r="H112" s="111">
        <f>IFERROR(VLOOKUP($B112,MMWR_TRAD_AGG_STATE_PEN[],H$1,0),"ERROR")</f>
        <v>1655</v>
      </c>
      <c r="I112" s="112">
        <f>IFERROR(VLOOKUP($B112,MMWR_TRAD_AGG_STATE_PEN[],I$1,0),"ERROR")</f>
        <v>55</v>
      </c>
      <c r="J112" s="114">
        <f t="shared" si="13"/>
        <v>3.3232628398791542E-2</v>
      </c>
      <c r="K112" s="111">
        <f>IFERROR(VLOOKUP($B112,MMWR_TRAD_AGG_STATE_PEN[],K$1,0),"ERROR")</f>
        <v>14</v>
      </c>
      <c r="L112" s="112">
        <f>IFERROR(VLOOKUP($B112,MMWR_TRAD_AGG_STATE_PEN[],L$1,0),"ERROR")</f>
        <v>6</v>
      </c>
      <c r="M112" s="114">
        <f t="shared" si="14"/>
        <v>0.42857142857142855</v>
      </c>
      <c r="N112" s="111">
        <f>IFERROR(VLOOKUP($B112,MMWR_TRAD_AGG_STATE_PEN[],N$1,0),"ERROR")</f>
        <v>75</v>
      </c>
      <c r="O112" s="112">
        <f>IFERROR(VLOOKUP($B112,MMWR_TRAD_AGG_STATE_PEN[],O$1,0),"ERROR")</f>
        <v>34</v>
      </c>
      <c r="P112" s="114">
        <f t="shared" si="15"/>
        <v>0.45333333333333331</v>
      </c>
      <c r="Q112" s="115">
        <f>IFERROR(VLOOKUP($B112,MMWR_TRAD_AGG_STATE_PEN[],Q$1,0),"ERROR")</f>
        <v>1449</v>
      </c>
      <c r="R112" s="115">
        <f>IFERROR(VLOOKUP($B112,MMWR_TRAD_AGG_STATE_PEN[],R$1,0),"ERROR")</f>
        <v>328</v>
      </c>
      <c r="S112" s="115">
        <f>IFERROR(VLOOKUP($B112,MMWR_APP_STATE_PEN[],S$1,0),"ERROR")</f>
        <v>379</v>
      </c>
      <c r="T112" s="28"/>
    </row>
    <row r="113" spans="1:20" s="123" customFormat="1" x14ac:dyDescent="0.2">
      <c r="A113" s="28"/>
      <c r="B113" s="127" t="s">
        <v>429</v>
      </c>
      <c r="C113" s="109">
        <f>IFERROR(VLOOKUP($B113,MMWR_TRAD_AGG_STATE_PEN[],C$1,0),"ERROR")</f>
        <v>27</v>
      </c>
      <c r="D113" s="110">
        <f>IFERROR(VLOOKUP($B113,MMWR_TRAD_AGG_STATE_PEN[],D$1,0),"ERROR")</f>
        <v>60.629629629599997</v>
      </c>
      <c r="E113" s="111">
        <f>IFERROR(VLOOKUP($B113,MMWR_TRAD_AGG_STATE_PEN[],E$1,0),"ERROR")</f>
        <v>23</v>
      </c>
      <c r="F113" s="112">
        <f>IFERROR(VLOOKUP($B113,MMWR_TRAD_AGG_STATE_PEN[],F$1,0),"ERROR")</f>
        <v>3</v>
      </c>
      <c r="G113" s="113">
        <f t="shared" si="12"/>
        <v>0.13043478260869565</v>
      </c>
      <c r="H113" s="111">
        <f>IFERROR(VLOOKUP($B113,MMWR_TRAD_AGG_STATE_PEN[],H$1,0),"ERROR")</f>
        <v>36</v>
      </c>
      <c r="I113" s="112">
        <f>IFERROR(VLOOKUP($B113,MMWR_TRAD_AGG_STATE_PEN[],I$1,0),"ERROR")</f>
        <v>3</v>
      </c>
      <c r="J113" s="114">
        <f t="shared" si="13"/>
        <v>8.3333333333333329E-2</v>
      </c>
      <c r="K113" s="111">
        <f>IFERROR(VLOOKUP($B113,MMWR_TRAD_AGG_STATE_PEN[],K$1,0),"ERROR")</f>
        <v>1</v>
      </c>
      <c r="L113" s="112">
        <f>IFERROR(VLOOKUP($B113,MMWR_TRAD_AGG_STATE_PEN[],L$1,0),"ERROR")</f>
        <v>1</v>
      </c>
      <c r="M113" s="114">
        <f t="shared" si="14"/>
        <v>1</v>
      </c>
      <c r="N113" s="111">
        <f>IFERROR(VLOOKUP($B113,MMWR_TRAD_AGG_STATE_PEN[],N$1,0),"ERROR")</f>
        <v>2</v>
      </c>
      <c r="O113" s="112">
        <f>IFERROR(VLOOKUP($B113,MMWR_TRAD_AGG_STATE_PEN[],O$1,0),"ERROR")</f>
        <v>0</v>
      </c>
      <c r="P113" s="114">
        <f t="shared" si="15"/>
        <v>0</v>
      </c>
      <c r="Q113" s="115">
        <f>IFERROR(VLOOKUP($B113,MMWR_TRAD_AGG_STATE_PEN[],Q$1,0),"ERROR")</f>
        <v>68</v>
      </c>
      <c r="R113" s="115">
        <f>IFERROR(VLOOKUP($B113,MMWR_TRAD_AGG_STATE_PEN[],R$1,0),"ERROR")</f>
        <v>10</v>
      </c>
      <c r="S113" s="115">
        <f>IFERROR(VLOOKUP($B113,MMWR_APP_STATE_PEN[],S$1,0),"ERROR")</f>
        <v>10</v>
      </c>
      <c r="T113" s="28"/>
    </row>
    <row r="114" spans="1:20" s="123" customFormat="1" x14ac:dyDescent="0.2">
      <c r="A114" s="28"/>
      <c r="B114" s="127" t="s">
        <v>409</v>
      </c>
      <c r="C114" s="109">
        <f>IFERROR(VLOOKUP($B114,MMWR_TRAD_AGG_STATE_PEN[],C$1,0),"ERROR")</f>
        <v>81</v>
      </c>
      <c r="D114" s="110">
        <f>IFERROR(VLOOKUP($B114,MMWR_TRAD_AGG_STATE_PEN[],D$1,0),"ERROR")</f>
        <v>49.950617284000003</v>
      </c>
      <c r="E114" s="111">
        <f>IFERROR(VLOOKUP($B114,MMWR_TRAD_AGG_STATE_PEN[],E$1,0),"ERROR")</f>
        <v>105</v>
      </c>
      <c r="F114" s="112">
        <f>IFERROR(VLOOKUP($B114,MMWR_TRAD_AGG_STATE_PEN[],F$1,0),"ERROR")</f>
        <v>4</v>
      </c>
      <c r="G114" s="113">
        <f t="shared" si="12"/>
        <v>3.8095238095238099E-2</v>
      </c>
      <c r="H114" s="111">
        <f>IFERROR(VLOOKUP($B114,MMWR_TRAD_AGG_STATE_PEN[],H$1,0),"ERROR")</f>
        <v>101</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2</v>
      </c>
      <c r="O114" s="112">
        <f>IFERROR(VLOOKUP($B114,MMWR_TRAD_AGG_STATE_PEN[],O$1,0),"ERROR")</f>
        <v>0</v>
      </c>
      <c r="P114" s="114">
        <f t="shared" si="15"/>
        <v>0</v>
      </c>
      <c r="Q114" s="115">
        <f>IFERROR(VLOOKUP($B114,MMWR_TRAD_AGG_STATE_PEN[],Q$1,0),"ERROR")</f>
        <v>130</v>
      </c>
      <c r="R114" s="115">
        <f>IFERROR(VLOOKUP($B114,MMWR_TRAD_AGG_STATE_PEN[],R$1,0),"ERROR")</f>
        <v>15</v>
      </c>
      <c r="S114" s="115">
        <f>IFERROR(VLOOKUP($B114,MMWR_APP_STATE_PEN[],S$1,0),"ERROR")</f>
        <v>10</v>
      </c>
      <c r="T114" s="28"/>
    </row>
    <row r="115" spans="1:20" s="123" customFormat="1" x14ac:dyDescent="0.2">
      <c r="A115" s="28"/>
      <c r="B115" s="127" t="s">
        <v>414</v>
      </c>
      <c r="C115" s="109">
        <f>IFERROR(VLOOKUP($B115,MMWR_TRAD_AGG_STATE_PEN[],C$1,0),"ERROR")</f>
        <v>109</v>
      </c>
      <c r="D115" s="110">
        <f>IFERROR(VLOOKUP($B115,MMWR_TRAD_AGG_STATE_PEN[],D$1,0),"ERROR")</f>
        <v>56.495412844000001</v>
      </c>
      <c r="E115" s="111">
        <f>IFERROR(VLOOKUP($B115,MMWR_TRAD_AGG_STATE_PEN[],E$1,0),"ERROR")</f>
        <v>192</v>
      </c>
      <c r="F115" s="112">
        <f>IFERROR(VLOOKUP($B115,MMWR_TRAD_AGG_STATE_PEN[],F$1,0),"ERROR")</f>
        <v>5</v>
      </c>
      <c r="G115" s="113">
        <f t="shared" si="12"/>
        <v>2.6041666666666668E-2</v>
      </c>
      <c r="H115" s="111">
        <f>IFERROR(VLOOKUP($B115,MMWR_TRAD_AGG_STATE_PEN[],H$1,0),"ERROR")</f>
        <v>151</v>
      </c>
      <c r="I115" s="112">
        <f>IFERROR(VLOOKUP($B115,MMWR_TRAD_AGG_STATE_PEN[],I$1,0),"ERROR")</f>
        <v>10</v>
      </c>
      <c r="J115" s="114">
        <f t="shared" si="13"/>
        <v>6.6225165562913912E-2</v>
      </c>
      <c r="K115" s="111">
        <f>IFERROR(VLOOKUP($B115,MMWR_TRAD_AGG_STATE_PEN[],K$1,0),"ERROR")</f>
        <v>0</v>
      </c>
      <c r="L115" s="112">
        <f>IFERROR(VLOOKUP($B115,MMWR_TRAD_AGG_STATE_PEN[],L$1,0),"ERROR")</f>
        <v>0</v>
      </c>
      <c r="M115" s="114" t="str">
        <f t="shared" si="14"/>
        <v>0%</v>
      </c>
      <c r="N115" s="111">
        <f>IFERROR(VLOOKUP($B115,MMWR_TRAD_AGG_STATE_PEN[],N$1,0),"ERROR")</f>
        <v>6</v>
      </c>
      <c r="O115" s="112">
        <f>IFERROR(VLOOKUP($B115,MMWR_TRAD_AGG_STATE_PEN[],O$1,0),"ERROR")</f>
        <v>5</v>
      </c>
      <c r="P115" s="114">
        <f t="shared" si="15"/>
        <v>0.83333333333333337</v>
      </c>
      <c r="Q115" s="115">
        <f>IFERROR(VLOOKUP($B115,MMWR_TRAD_AGG_STATE_PEN[],Q$1,0),"ERROR")</f>
        <v>154</v>
      </c>
      <c r="R115" s="115">
        <f>IFERROR(VLOOKUP($B115,MMWR_TRAD_AGG_STATE_PEN[],R$1,0),"ERROR")</f>
        <v>34</v>
      </c>
      <c r="S115" s="115">
        <f>IFERROR(VLOOKUP($B115,MMWR_APP_STATE_PEN[],S$1,0),"ERROR")</f>
        <v>32</v>
      </c>
      <c r="T115" s="28"/>
    </row>
    <row r="116" spans="1:20" s="123" customFormat="1" x14ac:dyDescent="0.2">
      <c r="A116" s="28"/>
      <c r="B116" s="127" t="s">
        <v>406</v>
      </c>
      <c r="C116" s="109">
        <f>IFERROR(VLOOKUP($B116,MMWR_TRAD_AGG_STATE_PEN[],C$1,0),"ERROR")</f>
        <v>83</v>
      </c>
      <c r="D116" s="110">
        <f>IFERROR(VLOOKUP($B116,MMWR_TRAD_AGG_STATE_PEN[],D$1,0),"ERROR")</f>
        <v>52.7951807229</v>
      </c>
      <c r="E116" s="111">
        <f>IFERROR(VLOOKUP($B116,MMWR_TRAD_AGG_STATE_PEN[],E$1,0),"ERROR")</f>
        <v>150</v>
      </c>
      <c r="F116" s="112">
        <f>IFERROR(VLOOKUP($B116,MMWR_TRAD_AGG_STATE_PEN[],F$1,0),"ERROR")</f>
        <v>3</v>
      </c>
      <c r="G116" s="113">
        <f t="shared" si="12"/>
        <v>0.02</v>
      </c>
      <c r="H116" s="111">
        <f>IFERROR(VLOOKUP($B116,MMWR_TRAD_AGG_STATE_PEN[],H$1,0),"ERROR")</f>
        <v>110</v>
      </c>
      <c r="I116" s="112">
        <f>IFERROR(VLOOKUP($B116,MMWR_TRAD_AGG_STATE_PEN[],I$1,0),"ERROR")</f>
        <v>3</v>
      </c>
      <c r="J116" s="114">
        <f t="shared" si="13"/>
        <v>2.7272727272727271E-2</v>
      </c>
      <c r="K116" s="111">
        <f>IFERROR(VLOOKUP($B116,MMWR_TRAD_AGG_STATE_PEN[],K$1,0),"ERROR")</f>
        <v>0</v>
      </c>
      <c r="L116" s="112">
        <f>IFERROR(VLOOKUP($B116,MMWR_TRAD_AGG_STATE_PEN[],L$1,0),"ERROR")</f>
        <v>0</v>
      </c>
      <c r="M116" s="114" t="str">
        <f t="shared" si="14"/>
        <v>0%</v>
      </c>
      <c r="N116" s="111">
        <f>IFERROR(VLOOKUP($B116,MMWR_TRAD_AGG_STATE_PEN[],N$1,0),"ERROR")</f>
        <v>4</v>
      </c>
      <c r="O116" s="112">
        <f>IFERROR(VLOOKUP($B116,MMWR_TRAD_AGG_STATE_PEN[],O$1,0),"ERROR")</f>
        <v>2</v>
      </c>
      <c r="P116" s="114">
        <f t="shared" si="15"/>
        <v>0.5</v>
      </c>
      <c r="Q116" s="115">
        <f>IFERROR(VLOOKUP($B116,MMWR_TRAD_AGG_STATE_PEN[],Q$1,0),"ERROR")</f>
        <v>276</v>
      </c>
      <c r="R116" s="115">
        <f>IFERROR(VLOOKUP($B116,MMWR_TRAD_AGG_STATE_PEN[],R$1,0),"ERROR")</f>
        <v>23</v>
      </c>
      <c r="S116" s="115">
        <f>IFERROR(VLOOKUP($B116,MMWR_APP_STATE_PEN[],S$1,0),"ERROR")</f>
        <v>32</v>
      </c>
      <c r="T116" s="28"/>
    </row>
    <row r="117" spans="1:20" s="123" customFormat="1" x14ac:dyDescent="0.2">
      <c r="A117" s="28"/>
      <c r="B117" s="127" t="s">
        <v>410</v>
      </c>
      <c r="C117" s="109">
        <f>IFERROR(VLOOKUP($B117,MMWR_TRAD_AGG_STATE_PEN[],C$1,0),"ERROR")</f>
        <v>230</v>
      </c>
      <c r="D117" s="110">
        <f>IFERROR(VLOOKUP($B117,MMWR_TRAD_AGG_STATE_PEN[],D$1,0),"ERROR")</f>
        <v>59.191304347799999</v>
      </c>
      <c r="E117" s="111">
        <f>IFERROR(VLOOKUP($B117,MMWR_TRAD_AGG_STATE_PEN[],E$1,0),"ERROR")</f>
        <v>265</v>
      </c>
      <c r="F117" s="112">
        <f>IFERROR(VLOOKUP($B117,MMWR_TRAD_AGG_STATE_PEN[],F$1,0),"ERROR")</f>
        <v>14</v>
      </c>
      <c r="G117" s="113">
        <f t="shared" si="12"/>
        <v>5.2830188679245285E-2</v>
      </c>
      <c r="H117" s="111">
        <f>IFERROR(VLOOKUP($B117,MMWR_TRAD_AGG_STATE_PEN[],H$1,0),"ERROR")</f>
        <v>307</v>
      </c>
      <c r="I117" s="112">
        <f>IFERROR(VLOOKUP($B117,MMWR_TRAD_AGG_STATE_PEN[],I$1,0),"ERROR")</f>
        <v>11</v>
      </c>
      <c r="J117" s="114">
        <f t="shared" si="13"/>
        <v>3.5830618892508145E-2</v>
      </c>
      <c r="K117" s="111">
        <f>IFERROR(VLOOKUP($B117,MMWR_TRAD_AGG_STATE_PEN[],K$1,0),"ERROR")</f>
        <v>1</v>
      </c>
      <c r="L117" s="112">
        <f>IFERROR(VLOOKUP($B117,MMWR_TRAD_AGG_STATE_PEN[],L$1,0),"ERROR")</f>
        <v>1</v>
      </c>
      <c r="M117" s="114">
        <f t="shared" si="14"/>
        <v>1</v>
      </c>
      <c r="N117" s="111">
        <f>IFERROR(VLOOKUP($B117,MMWR_TRAD_AGG_STATE_PEN[],N$1,0),"ERROR")</f>
        <v>14</v>
      </c>
      <c r="O117" s="112">
        <f>IFERROR(VLOOKUP($B117,MMWR_TRAD_AGG_STATE_PEN[],O$1,0),"ERROR")</f>
        <v>6</v>
      </c>
      <c r="P117" s="114">
        <f t="shared" si="15"/>
        <v>0.42857142857142855</v>
      </c>
      <c r="Q117" s="115">
        <f>IFERROR(VLOOKUP($B117,MMWR_TRAD_AGG_STATE_PEN[],Q$1,0),"ERROR")</f>
        <v>377</v>
      </c>
      <c r="R117" s="115">
        <f>IFERROR(VLOOKUP($B117,MMWR_TRAD_AGG_STATE_PEN[],R$1,0),"ERROR")</f>
        <v>51</v>
      </c>
      <c r="S117" s="115">
        <f>IFERROR(VLOOKUP($B117,MMWR_APP_STATE_PEN[],S$1,0),"ERROR")</f>
        <v>38</v>
      </c>
      <c r="T117" s="28"/>
    </row>
    <row r="118" spans="1:20" s="123" customFormat="1" x14ac:dyDescent="0.2">
      <c r="A118" s="28"/>
      <c r="B118" s="127" t="s">
        <v>80</v>
      </c>
      <c r="C118" s="109">
        <f>IFERROR(VLOOKUP($B118,MMWR_TRAD_AGG_STATE_PEN[],C$1,0),"ERROR")</f>
        <v>288</v>
      </c>
      <c r="D118" s="110">
        <f>IFERROR(VLOOKUP($B118,MMWR_TRAD_AGG_STATE_PEN[],D$1,0),"ERROR")</f>
        <v>48.239583333299997</v>
      </c>
      <c r="E118" s="111">
        <f>IFERROR(VLOOKUP($B118,MMWR_TRAD_AGG_STATE_PEN[],E$1,0),"ERROR")</f>
        <v>375</v>
      </c>
      <c r="F118" s="112">
        <f>IFERROR(VLOOKUP($B118,MMWR_TRAD_AGG_STATE_PEN[],F$1,0),"ERROR")</f>
        <v>26</v>
      </c>
      <c r="G118" s="113">
        <f t="shared" si="12"/>
        <v>6.933333333333333E-2</v>
      </c>
      <c r="H118" s="111">
        <f>IFERROR(VLOOKUP($B118,MMWR_TRAD_AGG_STATE_PEN[],H$1,0),"ERROR")</f>
        <v>400</v>
      </c>
      <c r="I118" s="112">
        <f>IFERROR(VLOOKUP($B118,MMWR_TRAD_AGG_STATE_PEN[],I$1,0),"ERROR")</f>
        <v>30</v>
      </c>
      <c r="J118" s="114">
        <f t="shared" si="13"/>
        <v>7.4999999999999997E-2</v>
      </c>
      <c r="K118" s="111">
        <f>IFERROR(VLOOKUP($B118,MMWR_TRAD_AGG_STATE_PEN[],K$1,0),"ERROR")</f>
        <v>2</v>
      </c>
      <c r="L118" s="112">
        <f>IFERROR(VLOOKUP($B118,MMWR_TRAD_AGG_STATE_PEN[],L$1,0),"ERROR")</f>
        <v>1</v>
      </c>
      <c r="M118" s="114">
        <f t="shared" si="14"/>
        <v>0.5</v>
      </c>
      <c r="N118" s="111">
        <f>IFERROR(VLOOKUP($B118,MMWR_TRAD_AGG_STATE_PEN[],N$1,0),"ERROR")</f>
        <v>20</v>
      </c>
      <c r="O118" s="112">
        <f>IFERROR(VLOOKUP($B118,MMWR_TRAD_AGG_STATE_PEN[],O$1,0),"ERROR")</f>
        <v>8</v>
      </c>
      <c r="P118" s="114">
        <f t="shared" si="15"/>
        <v>0.4</v>
      </c>
      <c r="Q118" s="115">
        <f>IFERROR(VLOOKUP($B118,MMWR_TRAD_AGG_STATE_PEN[],Q$1,0),"ERROR")</f>
        <v>451</v>
      </c>
      <c r="R118" s="115">
        <f>IFERROR(VLOOKUP($B118,MMWR_TRAD_AGG_STATE_PEN[],R$1,0),"ERROR")</f>
        <v>77</v>
      </c>
      <c r="S118" s="115">
        <f>IFERROR(VLOOKUP($B118,MMWR_APP_STATE_PEN[],S$1,0),"ERROR")</f>
        <v>85</v>
      </c>
      <c r="T118" s="28"/>
    </row>
    <row r="119" spans="1:20" s="123" customFormat="1" x14ac:dyDescent="0.2">
      <c r="A119" s="28"/>
      <c r="B119" s="126" t="s">
        <v>381</v>
      </c>
      <c r="C119" s="102">
        <f>IFERROR(VLOOKUP($B119,MMWR_TRAD_AGG_ST_DISTRICT_PEN[],C$1,0),"ERROR")</f>
        <v>9032</v>
      </c>
      <c r="D119" s="103">
        <f>IFERROR(VLOOKUP($B119,MMWR_TRAD_AGG_ST_DISTRICT_PEN[],D$1,0),"ERROR")</f>
        <v>84.539083259500003</v>
      </c>
      <c r="E119" s="102">
        <f>IFERROR(VLOOKUP($B119,MMWR_TRAD_AGG_ST_DISTRICT_PEN[],E$1,0),"ERROR")</f>
        <v>8783</v>
      </c>
      <c r="F119" s="102">
        <f>IFERROR(VLOOKUP($B119,MMWR_TRAD_AGG_ST_DISTRICT_PEN[],F$1,0),"ERROR")</f>
        <v>1755</v>
      </c>
      <c r="G119" s="104">
        <f t="shared" si="12"/>
        <v>0.19981782989866789</v>
      </c>
      <c r="H119" s="102">
        <f>IFERROR(VLOOKUP($B119,MMWR_TRAD_AGG_ST_DISTRICT_PEN[],H$1,0),"ERROR")</f>
        <v>11003</v>
      </c>
      <c r="I119" s="102">
        <f>IFERROR(VLOOKUP($B119,MMWR_TRAD_AGG_ST_DISTRICT_PEN[],I$1,0),"ERROR")</f>
        <v>2398</v>
      </c>
      <c r="J119" s="104">
        <f t="shared" si="13"/>
        <v>0.21794056166500045</v>
      </c>
      <c r="K119" s="102">
        <f>IFERROR(VLOOKUP($B119,MMWR_TRAD_AGG_ST_DISTRICT_PEN[],K$1,0),"ERROR")</f>
        <v>62</v>
      </c>
      <c r="L119" s="102">
        <f>IFERROR(VLOOKUP($B119,MMWR_TRAD_AGG_ST_DISTRICT_PEN[],L$1,0),"ERROR")</f>
        <v>52</v>
      </c>
      <c r="M119" s="104">
        <f t="shared" si="14"/>
        <v>0.83870967741935487</v>
      </c>
      <c r="N119" s="102">
        <f>IFERROR(VLOOKUP($B119,MMWR_TRAD_AGG_ST_DISTRICT_PEN[],N$1,0),"ERROR")</f>
        <v>545</v>
      </c>
      <c r="O119" s="102">
        <f>IFERROR(VLOOKUP($B119,MMWR_TRAD_AGG_ST_DISTRICT_PEN[],O$1,0),"ERROR")</f>
        <v>138</v>
      </c>
      <c r="P119" s="104">
        <f t="shared" si="15"/>
        <v>0.25321100917431194</v>
      </c>
      <c r="Q119" s="102">
        <f>IFERROR(VLOOKUP($B119,MMWR_TRAD_AGG_ST_DISTRICT_PEN[],Q$1,0),"ERROR")</f>
        <v>1111</v>
      </c>
      <c r="R119" s="106">
        <f>IFERROR(VLOOKUP($B119,MMWR_TRAD_AGG_ST_DISTRICT_PEN[],R$1,0),"ERROR")</f>
        <v>1897</v>
      </c>
      <c r="S119" s="106">
        <f>IFERROR(VLOOKUP($B119,MMWR_APP_STATE_PEN[],S$1,0),"ERROR")</f>
        <v>1789</v>
      </c>
      <c r="T119" s="28"/>
    </row>
    <row r="120" spans="1:20" s="123" customFormat="1" x14ac:dyDescent="0.2">
      <c r="A120" s="28"/>
      <c r="B120" s="127" t="s">
        <v>389</v>
      </c>
      <c r="C120" s="109">
        <f>IFERROR(VLOOKUP($B120,MMWR_TRAD_AGG_STATE_PEN[],C$1,0),"ERROR")</f>
        <v>1139</v>
      </c>
      <c r="D120" s="110">
        <f>IFERROR(VLOOKUP($B120,MMWR_TRAD_AGG_STATE_PEN[],D$1,0),"ERROR")</f>
        <v>58.5856014047</v>
      </c>
      <c r="E120" s="111">
        <f>IFERROR(VLOOKUP($B120,MMWR_TRAD_AGG_STATE_PEN[],E$1,0),"ERROR")</f>
        <v>743</v>
      </c>
      <c r="F120" s="112">
        <f>IFERROR(VLOOKUP($B120,MMWR_TRAD_AGG_STATE_PEN[],F$1,0),"ERROR")</f>
        <v>99</v>
      </c>
      <c r="G120" s="113">
        <f t="shared" si="12"/>
        <v>0.13324360699865412</v>
      </c>
      <c r="H120" s="111">
        <f>IFERROR(VLOOKUP($B120,MMWR_TRAD_AGG_STATE_PEN[],H$1,0),"ERROR")</f>
        <v>1305</v>
      </c>
      <c r="I120" s="112">
        <f>IFERROR(VLOOKUP($B120,MMWR_TRAD_AGG_STATE_PEN[],I$1,0),"ERROR")</f>
        <v>61</v>
      </c>
      <c r="J120" s="114">
        <f t="shared" si="13"/>
        <v>4.674329501915709E-2</v>
      </c>
      <c r="K120" s="111">
        <f>IFERROR(VLOOKUP($B120,MMWR_TRAD_AGG_STATE_PEN[],K$1,0),"ERROR")</f>
        <v>6</v>
      </c>
      <c r="L120" s="112">
        <f>IFERROR(VLOOKUP($B120,MMWR_TRAD_AGG_STATE_PEN[],L$1,0),"ERROR")</f>
        <v>5</v>
      </c>
      <c r="M120" s="114">
        <f t="shared" si="14"/>
        <v>0.83333333333333337</v>
      </c>
      <c r="N120" s="111">
        <f>IFERROR(VLOOKUP($B120,MMWR_TRAD_AGG_STATE_PEN[],N$1,0),"ERROR")</f>
        <v>52</v>
      </c>
      <c r="O120" s="112">
        <f>IFERROR(VLOOKUP($B120,MMWR_TRAD_AGG_STATE_PEN[],O$1,0),"ERROR")</f>
        <v>12</v>
      </c>
      <c r="P120" s="114">
        <f t="shared" si="15"/>
        <v>0.23076923076923078</v>
      </c>
      <c r="Q120" s="115">
        <f>IFERROR(VLOOKUP($B120,MMWR_TRAD_AGG_STATE_PEN[],Q$1,0),"ERROR")</f>
        <v>121</v>
      </c>
      <c r="R120" s="115">
        <f>IFERROR(VLOOKUP($B120,MMWR_TRAD_AGG_STATE_PEN[],R$1,0),"ERROR")</f>
        <v>84</v>
      </c>
      <c r="S120" s="115">
        <f>IFERROR(VLOOKUP($B120,MMWR_APP_STATE_PEN[],S$1,0),"ERROR")</f>
        <v>281</v>
      </c>
      <c r="T120" s="28"/>
    </row>
    <row r="121" spans="1:20" s="123" customFormat="1" x14ac:dyDescent="0.2">
      <c r="A121" s="28"/>
      <c r="B121" s="127" t="s">
        <v>426</v>
      </c>
      <c r="C121" s="109">
        <f>IFERROR(VLOOKUP($B121,MMWR_TRAD_AGG_STATE_PEN[],C$1,0),"ERROR")</f>
        <v>2605</v>
      </c>
      <c r="D121" s="110">
        <f>IFERROR(VLOOKUP($B121,MMWR_TRAD_AGG_STATE_PEN[],D$1,0),"ERROR")</f>
        <v>95.694817658299996</v>
      </c>
      <c r="E121" s="111">
        <f>IFERROR(VLOOKUP($B121,MMWR_TRAD_AGG_STATE_PEN[],E$1,0),"ERROR")</f>
        <v>3694</v>
      </c>
      <c r="F121" s="112">
        <f>IFERROR(VLOOKUP($B121,MMWR_TRAD_AGG_STATE_PEN[],F$1,0),"ERROR")</f>
        <v>809</v>
      </c>
      <c r="G121" s="113">
        <f t="shared" si="12"/>
        <v>0.21900378992961558</v>
      </c>
      <c r="H121" s="111">
        <f>IFERROR(VLOOKUP($B121,MMWR_TRAD_AGG_STATE_PEN[],H$1,0),"ERROR")</f>
        <v>3287</v>
      </c>
      <c r="I121" s="112">
        <f>IFERROR(VLOOKUP($B121,MMWR_TRAD_AGG_STATE_PEN[],I$1,0),"ERROR")</f>
        <v>962</v>
      </c>
      <c r="J121" s="114">
        <f t="shared" si="13"/>
        <v>0.29266808640097353</v>
      </c>
      <c r="K121" s="111">
        <f>IFERROR(VLOOKUP($B121,MMWR_TRAD_AGG_STATE_PEN[],K$1,0),"ERROR")</f>
        <v>30</v>
      </c>
      <c r="L121" s="112">
        <f>IFERROR(VLOOKUP($B121,MMWR_TRAD_AGG_STATE_PEN[],L$1,0),"ERROR")</f>
        <v>26</v>
      </c>
      <c r="M121" s="114">
        <f t="shared" si="14"/>
        <v>0.8666666666666667</v>
      </c>
      <c r="N121" s="111">
        <f>IFERROR(VLOOKUP($B121,MMWR_TRAD_AGG_STATE_PEN[],N$1,0),"ERROR")</f>
        <v>170</v>
      </c>
      <c r="O121" s="112">
        <f>IFERROR(VLOOKUP($B121,MMWR_TRAD_AGG_STATE_PEN[],O$1,0),"ERROR")</f>
        <v>51</v>
      </c>
      <c r="P121" s="114">
        <f t="shared" si="15"/>
        <v>0.3</v>
      </c>
      <c r="Q121" s="115">
        <f>IFERROR(VLOOKUP($B121,MMWR_TRAD_AGG_STATE_PEN[],Q$1,0),"ERROR")</f>
        <v>425</v>
      </c>
      <c r="R121" s="115">
        <f>IFERROR(VLOOKUP($B121,MMWR_TRAD_AGG_STATE_PEN[],R$1,0),"ERROR")</f>
        <v>772</v>
      </c>
      <c r="S121" s="115">
        <f>IFERROR(VLOOKUP($B121,MMWR_APP_STATE_PEN[],S$1,0),"ERROR")</f>
        <v>533</v>
      </c>
      <c r="T121" s="28"/>
    </row>
    <row r="122" spans="1:20" s="123" customFormat="1" x14ac:dyDescent="0.2">
      <c r="A122" s="28"/>
      <c r="B122" s="127" t="s">
        <v>382</v>
      </c>
      <c r="C122" s="109">
        <f>IFERROR(VLOOKUP($B122,MMWR_TRAD_AGG_STATE_PEN[],C$1,0),"ERROR")</f>
        <v>1361</v>
      </c>
      <c r="D122" s="110">
        <f>IFERROR(VLOOKUP($B122,MMWR_TRAD_AGG_STATE_PEN[],D$1,0),"ERROR")</f>
        <v>100.4805290228</v>
      </c>
      <c r="E122" s="111">
        <f>IFERROR(VLOOKUP($B122,MMWR_TRAD_AGG_STATE_PEN[],E$1,0),"ERROR")</f>
        <v>1697</v>
      </c>
      <c r="F122" s="112">
        <f>IFERROR(VLOOKUP($B122,MMWR_TRAD_AGG_STATE_PEN[],F$1,0),"ERROR")</f>
        <v>389</v>
      </c>
      <c r="G122" s="113">
        <f t="shared" si="12"/>
        <v>0.2292280494991161</v>
      </c>
      <c r="H122" s="111">
        <f>IFERROR(VLOOKUP($B122,MMWR_TRAD_AGG_STATE_PEN[],H$1,0),"ERROR")</f>
        <v>1696</v>
      </c>
      <c r="I122" s="112">
        <f>IFERROR(VLOOKUP($B122,MMWR_TRAD_AGG_STATE_PEN[],I$1,0),"ERROR")</f>
        <v>515</v>
      </c>
      <c r="J122" s="114">
        <f t="shared" si="13"/>
        <v>0.30365566037735847</v>
      </c>
      <c r="K122" s="111">
        <f>IFERROR(VLOOKUP($B122,MMWR_TRAD_AGG_STATE_PEN[],K$1,0),"ERROR")</f>
        <v>11</v>
      </c>
      <c r="L122" s="112">
        <f>IFERROR(VLOOKUP($B122,MMWR_TRAD_AGG_STATE_PEN[],L$1,0),"ERROR")</f>
        <v>9</v>
      </c>
      <c r="M122" s="114">
        <f t="shared" si="14"/>
        <v>0.81818181818181823</v>
      </c>
      <c r="N122" s="111">
        <f>IFERROR(VLOOKUP($B122,MMWR_TRAD_AGG_STATE_PEN[],N$1,0),"ERROR")</f>
        <v>130</v>
      </c>
      <c r="O122" s="112">
        <f>IFERROR(VLOOKUP($B122,MMWR_TRAD_AGG_STATE_PEN[],O$1,0),"ERROR")</f>
        <v>28</v>
      </c>
      <c r="P122" s="114">
        <f t="shared" si="15"/>
        <v>0.2153846153846154</v>
      </c>
      <c r="Q122" s="115">
        <f>IFERROR(VLOOKUP($B122,MMWR_TRAD_AGG_STATE_PEN[],Q$1,0),"ERROR")</f>
        <v>190</v>
      </c>
      <c r="R122" s="115">
        <f>IFERROR(VLOOKUP($B122,MMWR_TRAD_AGG_STATE_PEN[],R$1,0),"ERROR")</f>
        <v>485</v>
      </c>
      <c r="S122" s="115">
        <f>IFERROR(VLOOKUP($B122,MMWR_APP_STATE_PEN[],S$1,0),"ERROR")</f>
        <v>343</v>
      </c>
      <c r="T122" s="28"/>
    </row>
    <row r="123" spans="1:20" s="123" customFormat="1" x14ac:dyDescent="0.2">
      <c r="A123" s="28"/>
      <c r="B123" s="127" t="s">
        <v>394</v>
      </c>
      <c r="C123" s="109">
        <f>IFERROR(VLOOKUP($B123,MMWR_TRAD_AGG_STATE_PEN[],C$1,0),"ERROR")</f>
        <v>363</v>
      </c>
      <c r="D123" s="110">
        <f>IFERROR(VLOOKUP($B123,MMWR_TRAD_AGG_STATE_PEN[],D$1,0),"ERROR")</f>
        <v>63.019283746600003</v>
      </c>
      <c r="E123" s="111">
        <f>IFERROR(VLOOKUP($B123,MMWR_TRAD_AGG_STATE_PEN[],E$1,0),"ERROR")</f>
        <v>353</v>
      </c>
      <c r="F123" s="112">
        <f>IFERROR(VLOOKUP($B123,MMWR_TRAD_AGG_STATE_PEN[],F$1,0),"ERROR")</f>
        <v>33</v>
      </c>
      <c r="G123" s="113">
        <f t="shared" si="12"/>
        <v>9.3484419263456089E-2</v>
      </c>
      <c r="H123" s="111">
        <f>IFERROR(VLOOKUP($B123,MMWR_TRAD_AGG_STATE_PEN[],H$1,0),"ERROR")</f>
        <v>458</v>
      </c>
      <c r="I123" s="112">
        <f>IFERROR(VLOOKUP($B123,MMWR_TRAD_AGG_STATE_PEN[],I$1,0),"ERROR")</f>
        <v>36</v>
      </c>
      <c r="J123" s="114">
        <f t="shared" si="13"/>
        <v>7.8602620087336247E-2</v>
      </c>
      <c r="K123" s="111">
        <f>IFERROR(VLOOKUP($B123,MMWR_TRAD_AGG_STATE_PEN[],K$1,0),"ERROR")</f>
        <v>3</v>
      </c>
      <c r="L123" s="112">
        <f>IFERROR(VLOOKUP($B123,MMWR_TRAD_AGG_STATE_PEN[],L$1,0),"ERROR")</f>
        <v>3</v>
      </c>
      <c r="M123" s="114">
        <f t="shared" si="14"/>
        <v>1</v>
      </c>
      <c r="N123" s="111">
        <f>IFERROR(VLOOKUP($B123,MMWR_TRAD_AGG_STATE_PEN[],N$1,0),"ERROR")</f>
        <v>33</v>
      </c>
      <c r="O123" s="112">
        <f>IFERROR(VLOOKUP($B123,MMWR_TRAD_AGG_STATE_PEN[],O$1,0),"ERROR")</f>
        <v>7</v>
      </c>
      <c r="P123" s="114">
        <f t="shared" si="15"/>
        <v>0.21212121212121213</v>
      </c>
      <c r="Q123" s="115">
        <f>IFERROR(VLOOKUP($B123,MMWR_TRAD_AGG_STATE_PEN[],Q$1,0),"ERROR")</f>
        <v>76</v>
      </c>
      <c r="R123" s="115">
        <f>IFERROR(VLOOKUP($B123,MMWR_TRAD_AGG_STATE_PEN[],R$1,0),"ERROR")</f>
        <v>67</v>
      </c>
      <c r="S123" s="115">
        <f>IFERROR(VLOOKUP($B123,MMWR_APP_STATE_PEN[],S$1,0),"ERROR")</f>
        <v>119</v>
      </c>
      <c r="T123" s="28"/>
    </row>
    <row r="124" spans="1:20" s="123" customFormat="1" x14ac:dyDescent="0.2">
      <c r="A124" s="28"/>
      <c r="B124" s="127" t="s">
        <v>428</v>
      </c>
      <c r="C124" s="109">
        <f>IFERROR(VLOOKUP($B124,MMWR_TRAD_AGG_STATE_PEN[],C$1,0),"ERROR")</f>
        <v>1861</v>
      </c>
      <c r="D124" s="110">
        <f>IFERROR(VLOOKUP($B124,MMWR_TRAD_AGG_STATE_PEN[],D$1,0),"ERROR")</f>
        <v>80.5475550779</v>
      </c>
      <c r="E124" s="111">
        <f>IFERROR(VLOOKUP($B124,MMWR_TRAD_AGG_STATE_PEN[],E$1,0),"ERROR")</f>
        <v>614</v>
      </c>
      <c r="F124" s="112">
        <f>IFERROR(VLOOKUP($B124,MMWR_TRAD_AGG_STATE_PEN[],F$1,0),"ERROR")</f>
        <v>130</v>
      </c>
      <c r="G124" s="113">
        <f t="shared" si="12"/>
        <v>0.21172638436482086</v>
      </c>
      <c r="H124" s="111">
        <f>IFERROR(VLOOKUP($B124,MMWR_TRAD_AGG_STATE_PEN[],H$1,0),"ERROR")</f>
        <v>2183</v>
      </c>
      <c r="I124" s="112">
        <f>IFERROR(VLOOKUP($B124,MMWR_TRAD_AGG_STATE_PEN[],I$1,0),"ERROR")</f>
        <v>432</v>
      </c>
      <c r="J124" s="114">
        <f t="shared" si="13"/>
        <v>0.19789280806229959</v>
      </c>
      <c r="K124" s="111">
        <f>IFERROR(VLOOKUP($B124,MMWR_TRAD_AGG_STATE_PEN[],K$1,0),"ERROR")</f>
        <v>7</v>
      </c>
      <c r="L124" s="112">
        <f>IFERROR(VLOOKUP($B124,MMWR_TRAD_AGG_STATE_PEN[],L$1,0),"ERROR")</f>
        <v>6</v>
      </c>
      <c r="M124" s="114">
        <f t="shared" si="14"/>
        <v>0.8571428571428571</v>
      </c>
      <c r="N124" s="111">
        <f>IFERROR(VLOOKUP($B124,MMWR_TRAD_AGG_STATE_PEN[],N$1,0),"ERROR")</f>
        <v>29</v>
      </c>
      <c r="O124" s="112">
        <f>IFERROR(VLOOKUP($B124,MMWR_TRAD_AGG_STATE_PEN[],O$1,0),"ERROR")</f>
        <v>13</v>
      </c>
      <c r="P124" s="114">
        <f t="shared" si="15"/>
        <v>0.44827586206896552</v>
      </c>
      <c r="Q124" s="115">
        <f>IFERROR(VLOOKUP($B124,MMWR_TRAD_AGG_STATE_PEN[],Q$1,0),"ERROR")</f>
        <v>54</v>
      </c>
      <c r="R124" s="115">
        <f>IFERROR(VLOOKUP($B124,MMWR_TRAD_AGG_STATE_PEN[],R$1,0),"ERROR")</f>
        <v>119</v>
      </c>
      <c r="S124" s="115">
        <f>IFERROR(VLOOKUP($B124,MMWR_APP_STATE_PEN[],S$1,0),"ERROR")</f>
        <v>97</v>
      </c>
      <c r="T124" s="28"/>
    </row>
    <row r="125" spans="1:20" s="123" customFormat="1" x14ac:dyDescent="0.2">
      <c r="A125" s="28"/>
      <c r="B125" s="127" t="s">
        <v>384</v>
      </c>
      <c r="C125" s="109">
        <f>IFERROR(VLOOKUP($B125,MMWR_TRAD_AGG_STATE_PEN[],C$1,0),"ERROR")</f>
        <v>998</v>
      </c>
      <c r="D125" s="110">
        <f>IFERROR(VLOOKUP($B125,MMWR_TRAD_AGG_STATE_PEN[],D$1,0),"ERROR")</f>
        <v>95.273547094199998</v>
      </c>
      <c r="E125" s="111">
        <f>IFERROR(VLOOKUP($B125,MMWR_TRAD_AGG_STATE_PEN[],E$1,0),"ERROR")</f>
        <v>1055</v>
      </c>
      <c r="F125" s="112">
        <f>IFERROR(VLOOKUP($B125,MMWR_TRAD_AGG_STATE_PEN[],F$1,0),"ERROR")</f>
        <v>221</v>
      </c>
      <c r="G125" s="113">
        <f t="shared" si="12"/>
        <v>0.20947867298578199</v>
      </c>
      <c r="H125" s="111">
        <f>IFERROR(VLOOKUP($B125,MMWR_TRAD_AGG_STATE_PEN[],H$1,0),"ERROR")</f>
        <v>1231</v>
      </c>
      <c r="I125" s="112">
        <f>IFERROR(VLOOKUP($B125,MMWR_TRAD_AGG_STATE_PEN[],I$1,0),"ERROR")</f>
        <v>330</v>
      </c>
      <c r="J125" s="114">
        <f t="shared" si="13"/>
        <v>0.26807473598700243</v>
      </c>
      <c r="K125" s="111">
        <f>IFERROR(VLOOKUP($B125,MMWR_TRAD_AGG_STATE_PEN[],K$1,0),"ERROR")</f>
        <v>4</v>
      </c>
      <c r="L125" s="112">
        <f>IFERROR(VLOOKUP($B125,MMWR_TRAD_AGG_STATE_PEN[],L$1,0),"ERROR")</f>
        <v>2</v>
      </c>
      <c r="M125" s="114">
        <f t="shared" si="14"/>
        <v>0.5</v>
      </c>
      <c r="N125" s="111">
        <f>IFERROR(VLOOKUP($B125,MMWR_TRAD_AGG_STATE_PEN[],N$1,0),"ERROR")</f>
        <v>55</v>
      </c>
      <c r="O125" s="112">
        <f>IFERROR(VLOOKUP($B125,MMWR_TRAD_AGG_STATE_PEN[],O$1,0),"ERROR")</f>
        <v>14</v>
      </c>
      <c r="P125" s="114">
        <f t="shared" si="15"/>
        <v>0.25454545454545452</v>
      </c>
      <c r="Q125" s="115">
        <f>IFERROR(VLOOKUP($B125,MMWR_TRAD_AGG_STATE_PEN[],Q$1,0),"ERROR")</f>
        <v>124</v>
      </c>
      <c r="R125" s="115">
        <f>IFERROR(VLOOKUP($B125,MMWR_TRAD_AGG_STATE_PEN[],R$1,0),"ERROR")</f>
        <v>291</v>
      </c>
      <c r="S125" s="115">
        <f>IFERROR(VLOOKUP($B125,MMWR_APP_STATE_PEN[],S$1,0),"ERROR")</f>
        <v>160</v>
      </c>
      <c r="T125" s="28"/>
    </row>
    <row r="126" spans="1:20" s="123" customFormat="1" x14ac:dyDescent="0.2">
      <c r="A126" s="28"/>
      <c r="B126" s="127" t="s">
        <v>385</v>
      </c>
      <c r="C126" s="109">
        <f>IFERROR(VLOOKUP($B126,MMWR_TRAD_AGG_STATE_PEN[],C$1,0),"ERROR")</f>
        <v>705</v>
      </c>
      <c r="D126" s="110">
        <f>IFERROR(VLOOKUP($B126,MMWR_TRAD_AGG_STATE_PEN[],D$1,0),"ERROR")</f>
        <v>60.895035460999999</v>
      </c>
      <c r="E126" s="111">
        <f>IFERROR(VLOOKUP($B126,MMWR_TRAD_AGG_STATE_PEN[],E$1,0),"ERROR")</f>
        <v>627</v>
      </c>
      <c r="F126" s="112">
        <f>IFERROR(VLOOKUP($B126,MMWR_TRAD_AGG_STATE_PEN[],F$1,0),"ERROR")</f>
        <v>74</v>
      </c>
      <c r="G126" s="113">
        <f t="shared" si="12"/>
        <v>0.11802232854864433</v>
      </c>
      <c r="H126" s="111">
        <f>IFERROR(VLOOKUP($B126,MMWR_TRAD_AGG_STATE_PEN[],H$1,0),"ERROR")</f>
        <v>843</v>
      </c>
      <c r="I126" s="112">
        <f>IFERROR(VLOOKUP($B126,MMWR_TRAD_AGG_STATE_PEN[],I$1,0),"ERROR")</f>
        <v>62</v>
      </c>
      <c r="J126" s="114">
        <f t="shared" si="13"/>
        <v>7.354685646500593E-2</v>
      </c>
      <c r="K126" s="111">
        <f>IFERROR(VLOOKUP($B126,MMWR_TRAD_AGG_STATE_PEN[],K$1,0),"ERROR")</f>
        <v>1</v>
      </c>
      <c r="L126" s="112">
        <f>IFERROR(VLOOKUP($B126,MMWR_TRAD_AGG_STATE_PEN[],L$1,0),"ERROR")</f>
        <v>1</v>
      </c>
      <c r="M126" s="114">
        <f t="shared" si="14"/>
        <v>1</v>
      </c>
      <c r="N126" s="111">
        <f>IFERROR(VLOOKUP($B126,MMWR_TRAD_AGG_STATE_PEN[],N$1,0),"ERROR")</f>
        <v>76</v>
      </c>
      <c r="O126" s="112">
        <f>IFERROR(VLOOKUP($B126,MMWR_TRAD_AGG_STATE_PEN[],O$1,0),"ERROR")</f>
        <v>13</v>
      </c>
      <c r="P126" s="114">
        <f t="shared" si="15"/>
        <v>0.17105263157894737</v>
      </c>
      <c r="Q126" s="115">
        <f>IFERROR(VLOOKUP($B126,MMWR_TRAD_AGG_STATE_PEN[],Q$1,0),"ERROR")</f>
        <v>121</v>
      </c>
      <c r="R126" s="115">
        <f>IFERROR(VLOOKUP($B126,MMWR_TRAD_AGG_STATE_PEN[],R$1,0),"ERROR")</f>
        <v>79</v>
      </c>
      <c r="S126" s="115">
        <f>IFERROR(VLOOKUP($B126,MMWR_APP_STATE_PEN[],S$1,0),"ERROR")</f>
        <v>256</v>
      </c>
      <c r="T126" s="28"/>
    </row>
    <row r="127" spans="1:20" s="123" customFormat="1" x14ac:dyDescent="0.2">
      <c r="A127" s="28"/>
      <c r="B127" s="128" t="s">
        <v>8</v>
      </c>
      <c r="C127" s="102">
        <f>IFERROR(VLOOKUP($B127,MMWR_TRAD_AGG_ST_DISTRICT_PEN[],C$1,0),"ERROR")</f>
        <v>217</v>
      </c>
      <c r="D127" s="103">
        <f>IFERROR(VLOOKUP($B127,MMWR_TRAD_AGG_ST_DISTRICT_PEN[],D$1,0),"ERROR")</f>
        <v>76.520737327199996</v>
      </c>
      <c r="E127" s="102">
        <f>IFERROR(VLOOKUP($B127,MMWR_TRAD_AGG_ST_DISTRICT_PEN[],E$1,0),"ERROR")</f>
        <v>224</v>
      </c>
      <c r="F127" s="102">
        <f>IFERROR(VLOOKUP($B127,MMWR_TRAD_AGG_ST_DISTRICT_PEN[],F$1,0),"ERROR")</f>
        <v>98</v>
      </c>
      <c r="G127" s="104">
        <f t="shared" si="12"/>
        <v>0.4375</v>
      </c>
      <c r="H127" s="102">
        <f>IFERROR(VLOOKUP($B127,MMWR_TRAD_AGG_ST_DISTRICT_PEN[],H$1,0),"ERROR")</f>
        <v>408</v>
      </c>
      <c r="I127" s="102">
        <f>IFERROR(VLOOKUP($B127,MMWR_TRAD_AGG_ST_DISTRICT_PEN[],I$1,0),"ERROR")</f>
        <v>164</v>
      </c>
      <c r="J127" s="104">
        <f t="shared" si="13"/>
        <v>0.40196078431372551</v>
      </c>
      <c r="K127" s="102">
        <f>IFERROR(VLOOKUP($B127,MMWR_TRAD_AGG_ST_DISTRICT_PEN[],K$1,0),"ERROR")</f>
        <v>9</v>
      </c>
      <c r="L127" s="102">
        <f>IFERROR(VLOOKUP($B127,MMWR_TRAD_AGG_ST_DISTRICT_PEN[],L$1,0),"ERROR")</f>
        <v>8</v>
      </c>
      <c r="M127" s="104">
        <f t="shared" si="14"/>
        <v>0.88888888888888884</v>
      </c>
      <c r="N127" s="102">
        <f>IFERROR(VLOOKUP($B127,MMWR_TRAD_AGG_ST_DISTRICT_PEN[],N$1,0),"ERROR")</f>
        <v>8</v>
      </c>
      <c r="O127" s="102">
        <f>IFERROR(VLOOKUP($B127,MMWR_TRAD_AGG_ST_DISTRICT_PEN[],O$1,0),"ERROR")</f>
        <v>2</v>
      </c>
      <c r="P127" s="104">
        <f t="shared" si="15"/>
        <v>0.25</v>
      </c>
      <c r="Q127" s="102">
        <f>IFERROR(VLOOKUP($B127,MMWR_TRAD_AGG_ST_DISTRICT_PEN[],Q$1,0),"ERROR")</f>
        <v>42</v>
      </c>
      <c r="R127" s="106">
        <f>IFERROR(VLOOKUP($B127,MMWR_TRAD_AGG_ST_DISTRICT_PEN[],R$1,0),"ERROR")</f>
        <v>28</v>
      </c>
      <c r="S127" s="106">
        <f>IFERROR(VLOOKUP($B127,MMWR_APP_STATE_PEN[],S$1,0),"ERROR")</f>
        <v>2</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654</v>
      </c>
      <c r="C2" t="s">
        <v>457</v>
      </c>
      <c r="D2" t="s">
        <v>459</v>
      </c>
      <c r="F2" t="s">
        <v>653</v>
      </c>
      <c r="G2" t="s">
        <v>306</v>
      </c>
      <c r="H2" t="s">
        <v>133</v>
      </c>
      <c r="I2" t="s">
        <v>214</v>
      </c>
      <c r="J2" t="s">
        <v>215</v>
      </c>
      <c r="K2" t="s">
        <v>216</v>
      </c>
      <c r="L2" t="s">
        <v>217</v>
      </c>
      <c r="M2" t="s">
        <v>218</v>
      </c>
      <c r="N2" t="s">
        <v>219</v>
      </c>
      <c r="O2" t="s">
        <v>220</v>
      </c>
      <c r="P2" t="s">
        <v>221</v>
      </c>
      <c r="Q2" t="s">
        <v>222</v>
      </c>
      <c r="R2" t="s">
        <v>223</v>
      </c>
      <c r="T2" t="s">
        <v>652</v>
      </c>
      <c r="U2" t="s">
        <v>306</v>
      </c>
      <c r="V2" t="s">
        <v>133</v>
      </c>
      <c r="W2" t="s">
        <v>214</v>
      </c>
      <c r="X2" t="s">
        <v>460</v>
      </c>
      <c r="Y2" t="s">
        <v>216</v>
      </c>
      <c r="Z2" t="s">
        <v>217</v>
      </c>
      <c r="AA2" t="s">
        <v>218</v>
      </c>
      <c r="AB2" t="s">
        <v>461</v>
      </c>
      <c r="AC2" t="s">
        <v>220</v>
      </c>
      <c r="AD2" t="s">
        <v>221</v>
      </c>
      <c r="AE2" t="s">
        <v>222</v>
      </c>
      <c r="AF2" t="s">
        <v>223</v>
      </c>
      <c r="AH2" t="s">
        <v>651</v>
      </c>
      <c r="AI2" t="s">
        <v>306</v>
      </c>
      <c r="AJ2" t="s">
        <v>133</v>
      </c>
      <c r="AK2" t="s">
        <v>214</v>
      </c>
      <c r="AL2" t="s">
        <v>215</v>
      </c>
      <c r="AM2" t="s">
        <v>216</v>
      </c>
      <c r="AN2" t="s">
        <v>217</v>
      </c>
      <c r="AO2" t="s">
        <v>218</v>
      </c>
      <c r="AP2" t="s">
        <v>219</v>
      </c>
      <c r="AQ2" t="s">
        <v>220</v>
      </c>
      <c r="AR2" t="s">
        <v>221</v>
      </c>
      <c r="AS2" t="s">
        <v>222</v>
      </c>
      <c r="AT2" t="s">
        <v>223</v>
      </c>
      <c r="AV2" t="s">
        <v>650</v>
      </c>
      <c r="AW2" t="s">
        <v>306</v>
      </c>
      <c r="AX2" t="s">
        <v>133</v>
      </c>
      <c r="AY2" t="s">
        <v>214</v>
      </c>
      <c r="AZ2" t="s">
        <v>460</v>
      </c>
      <c r="BA2" t="s">
        <v>216</v>
      </c>
      <c r="BB2" t="s">
        <v>217</v>
      </c>
      <c r="BC2" t="s">
        <v>218</v>
      </c>
      <c r="BD2" t="s">
        <v>461</v>
      </c>
      <c r="BE2" t="s">
        <v>220</v>
      </c>
      <c r="BF2" t="s">
        <v>221</v>
      </c>
      <c r="BG2" t="s">
        <v>222</v>
      </c>
      <c r="BH2" t="s">
        <v>223</v>
      </c>
      <c r="BJ2" t="s">
        <v>712</v>
      </c>
      <c r="BK2" t="s">
        <v>731</v>
      </c>
      <c r="BL2" t="s">
        <v>700</v>
      </c>
      <c r="BM2" t="s">
        <v>701</v>
      </c>
      <c r="BN2" t="s">
        <v>702</v>
      </c>
      <c r="BO2" t="s">
        <v>703</v>
      </c>
      <c r="BP2" t="s">
        <v>704</v>
      </c>
      <c r="BQ2" t="s">
        <v>713</v>
      </c>
      <c r="BR2" t="s">
        <v>714</v>
      </c>
      <c r="BS2" t="s">
        <v>705</v>
      </c>
      <c r="BT2" t="s">
        <v>706</v>
      </c>
      <c r="BU2" t="s">
        <v>707</v>
      </c>
      <c r="BV2" t="s">
        <v>708</v>
      </c>
      <c r="BW2" t="s">
        <v>709</v>
      </c>
      <c r="BX2" t="s">
        <v>710</v>
      </c>
      <c r="BY2" t="s">
        <v>711</v>
      </c>
      <c r="CA2" t="s">
        <v>1031</v>
      </c>
      <c r="CB2" t="s">
        <v>736</v>
      </c>
      <c r="CC2" t="s">
        <v>737</v>
      </c>
      <c r="CD2" t="s">
        <v>715</v>
      </c>
      <c r="CE2" t="s">
        <v>716</v>
      </c>
      <c r="CF2" t="s">
        <v>717</v>
      </c>
      <c r="CG2" t="s">
        <v>718</v>
      </c>
      <c r="CH2" t="s">
        <v>719</v>
      </c>
      <c r="CI2" t="s">
        <v>720</v>
      </c>
      <c r="CJ2" t="s">
        <v>721</v>
      </c>
      <c r="CL2" t="s">
        <v>1032</v>
      </c>
      <c r="CM2" t="s">
        <v>736</v>
      </c>
      <c r="CN2" t="s">
        <v>737</v>
      </c>
      <c r="CO2" t="s">
        <v>715</v>
      </c>
      <c r="CP2" t="s">
        <v>716</v>
      </c>
      <c r="CQ2" t="s">
        <v>717</v>
      </c>
      <c r="CR2" t="s">
        <v>718</v>
      </c>
      <c r="CS2" t="s">
        <v>719</v>
      </c>
      <c r="CT2" t="s">
        <v>720</v>
      </c>
      <c r="CU2" t="s">
        <v>721</v>
      </c>
      <c r="CW2" t="s">
        <v>1033</v>
      </c>
      <c r="CX2" t="s">
        <v>736</v>
      </c>
      <c r="CY2" t="s">
        <v>737</v>
      </c>
      <c r="CZ2" t="s">
        <v>715</v>
      </c>
      <c r="DA2" t="s">
        <v>716</v>
      </c>
      <c r="DB2" t="s">
        <v>717</v>
      </c>
      <c r="DC2" t="s">
        <v>718</v>
      </c>
      <c r="DD2" t="s">
        <v>719</v>
      </c>
      <c r="DE2" t="s">
        <v>720</v>
      </c>
      <c r="DF2" t="s">
        <v>721</v>
      </c>
      <c r="DH2" t="s">
        <v>1034</v>
      </c>
      <c r="DI2" t="s">
        <v>736</v>
      </c>
      <c r="DJ2" t="s">
        <v>737</v>
      </c>
      <c r="DK2" t="s">
        <v>715</v>
      </c>
      <c r="DL2" t="s">
        <v>716</v>
      </c>
      <c r="DM2" t="s">
        <v>717</v>
      </c>
      <c r="DN2" t="s">
        <v>718</v>
      </c>
      <c r="DO2" t="s">
        <v>719</v>
      </c>
      <c r="DP2" t="s">
        <v>720</v>
      </c>
      <c r="DQ2" t="s">
        <v>721</v>
      </c>
    </row>
    <row r="3" spans="2:121" x14ac:dyDescent="0.2">
      <c r="C3">
        <v>354703</v>
      </c>
      <c r="D3">
        <v>288067</v>
      </c>
      <c r="F3" t="s">
        <v>31</v>
      </c>
      <c r="G3">
        <v>826</v>
      </c>
      <c r="H3">
        <v>137.15859564159999</v>
      </c>
      <c r="I3">
        <v>2620</v>
      </c>
      <c r="J3">
        <v>646</v>
      </c>
      <c r="K3">
        <v>1238</v>
      </c>
      <c r="L3">
        <v>364</v>
      </c>
      <c r="M3">
        <v>282</v>
      </c>
      <c r="N3">
        <v>160</v>
      </c>
      <c r="O3">
        <v>436</v>
      </c>
      <c r="P3">
        <v>278</v>
      </c>
      <c r="Q3">
        <v>0</v>
      </c>
      <c r="R3">
        <v>8</v>
      </c>
      <c r="T3" t="s">
        <v>209</v>
      </c>
      <c r="U3">
        <v>6818</v>
      </c>
      <c r="V3">
        <v>60.590495746599998</v>
      </c>
      <c r="W3">
        <v>6695</v>
      </c>
      <c r="X3">
        <v>871</v>
      </c>
      <c r="Y3">
        <v>8336</v>
      </c>
      <c r="Z3">
        <v>450</v>
      </c>
      <c r="AA3">
        <v>4</v>
      </c>
      <c r="AB3">
        <v>3</v>
      </c>
      <c r="AC3">
        <v>475</v>
      </c>
      <c r="AD3">
        <v>101</v>
      </c>
      <c r="AE3">
        <v>1011</v>
      </c>
      <c r="AF3">
        <v>788</v>
      </c>
      <c r="AH3" t="s">
        <v>389</v>
      </c>
      <c r="AI3">
        <v>11798</v>
      </c>
      <c r="AJ3">
        <v>387.86277335139999</v>
      </c>
      <c r="AK3">
        <v>7297</v>
      </c>
      <c r="AL3">
        <v>1637</v>
      </c>
      <c r="AM3">
        <v>15198</v>
      </c>
      <c r="AN3">
        <v>11115</v>
      </c>
      <c r="AO3">
        <v>5114</v>
      </c>
      <c r="AP3">
        <v>4520</v>
      </c>
      <c r="AQ3">
        <v>3666</v>
      </c>
      <c r="AR3">
        <v>2320</v>
      </c>
      <c r="AS3">
        <v>495</v>
      </c>
      <c r="AT3">
        <v>380</v>
      </c>
      <c r="AV3" t="s">
        <v>414</v>
      </c>
      <c r="AW3">
        <v>109</v>
      </c>
      <c r="AX3">
        <v>56.495412844000001</v>
      </c>
      <c r="AY3">
        <v>192</v>
      </c>
      <c r="AZ3">
        <v>5</v>
      </c>
      <c r="BA3">
        <v>151</v>
      </c>
      <c r="BB3">
        <v>10</v>
      </c>
      <c r="BC3">
        <v>0</v>
      </c>
      <c r="BE3">
        <v>6</v>
      </c>
      <c r="BF3">
        <v>5</v>
      </c>
      <c r="BG3">
        <v>154</v>
      </c>
      <c r="BH3">
        <v>34</v>
      </c>
      <c r="BJ3" t="s">
        <v>729</v>
      </c>
      <c r="BK3" t="s">
        <v>732</v>
      </c>
      <c r="BL3">
        <v>296332</v>
      </c>
      <c r="BM3">
        <v>70385</v>
      </c>
      <c r="BN3">
        <v>92.045324163399997</v>
      </c>
      <c r="BO3">
        <v>538927</v>
      </c>
      <c r="BP3">
        <v>5108</v>
      </c>
      <c r="BQ3">
        <v>131.92353509840001</v>
      </c>
      <c r="BR3">
        <v>117.9115113547</v>
      </c>
      <c r="BS3">
        <v>296333</v>
      </c>
      <c r="BT3">
        <v>70386</v>
      </c>
      <c r="BU3">
        <v>92.046397127600002</v>
      </c>
      <c r="BV3">
        <v>538927</v>
      </c>
      <c r="BW3">
        <v>5108</v>
      </c>
      <c r="BX3">
        <v>131.92353509840001</v>
      </c>
      <c r="BY3">
        <v>117.9115113547</v>
      </c>
      <c r="CA3" t="s">
        <v>1037</v>
      </c>
      <c r="CB3" t="s">
        <v>732</v>
      </c>
      <c r="CC3" t="s">
        <v>918</v>
      </c>
      <c r="CD3">
        <v>9633</v>
      </c>
      <c r="CE3">
        <v>1742</v>
      </c>
      <c r="CF3">
        <v>79.398110661299995</v>
      </c>
      <c r="CG3">
        <v>14043</v>
      </c>
      <c r="CH3">
        <v>92</v>
      </c>
      <c r="CI3">
        <v>138.49675995160001</v>
      </c>
      <c r="CJ3">
        <v>126.6086956522</v>
      </c>
      <c r="CL3" t="s">
        <v>1037</v>
      </c>
      <c r="CM3" t="s">
        <v>732</v>
      </c>
      <c r="CN3" t="s">
        <v>918</v>
      </c>
      <c r="CO3">
        <v>9633</v>
      </c>
      <c r="CP3">
        <v>1742</v>
      </c>
      <c r="CQ3">
        <v>79.398110661299995</v>
      </c>
      <c r="CR3">
        <v>14043</v>
      </c>
      <c r="CS3">
        <v>92</v>
      </c>
      <c r="CT3">
        <v>138.49675995160001</v>
      </c>
      <c r="CU3">
        <v>126.6086956522</v>
      </c>
      <c r="CW3" t="s">
        <v>1037</v>
      </c>
      <c r="CX3" t="s">
        <v>732</v>
      </c>
      <c r="CY3" t="s">
        <v>918</v>
      </c>
      <c r="CZ3">
        <v>9633</v>
      </c>
      <c r="DA3">
        <v>1742</v>
      </c>
      <c r="DB3">
        <v>79.398110661299995</v>
      </c>
      <c r="DC3">
        <v>14043</v>
      </c>
      <c r="DD3">
        <v>92</v>
      </c>
      <c r="DE3">
        <v>138.49675995160001</v>
      </c>
      <c r="DF3">
        <v>126.6086956522</v>
      </c>
      <c r="DH3" t="s">
        <v>1037</v>
      </c>
      <c r="DI3" t="s">
        <v>732</v>
      </c>
      <c r="DJ3" t="s">
        <v>918</v>
      </c>
      <c r="DK3">
        <v>9633</v>
      </c>
      <c r="DL3">
        <v>1742</v>
      </c>
      <c r="DM3">
        <v>79.398110661299995</v>
      </c>
      <c r="DN3">
        <v>14043</v>
      </c>
      <c r="DO3">
        <v>92</v>
      </c>
      <c r="DP3">
        <v>138.49675995160001</v>
      </c>
      <c r="DQ3">
        <v>126.6086956522</v>
      </c>
    </row>
    <row r="4" spans="2:121" x14ac:dyDescent="0.2">
      <c r="B4" t="s">
        <v>98</v>
      </c>
      <c r="C4">
        <v>99473</v>
      </c>
      <c r="D4">
        <v>78334</v>
      </c>
      <c r="F4" t="s">
        <v>77</v>
      </c>
      <c r="G4">
        <v>15768</v>
      </c>
      <c r="H4">
        <v>315.81728817859999</v>
      </c>
      <c r="I4">
        <v>20276</v>
      </c>
      <c r="J4">
        <v>5022</v>
      </c>
      <c r="K4">
        <v>19186</v>
      </c>
      <c r="L4">
        <v>12496</v>
      </c>
      <c r="M4">
        <v>4628</v>
      </c>
      <c r="N4">
        <v>3672</v>
      </c>
      <c r="O4">
        <v>12561</v>
      </c>
      <c r="P4">
        <v>8529</v>
      </c>
      <c r="Q4">
        <v>5</v>
      </c>
      <c r="R4">
        <v>258</v>
      </c>
      <c r="T4" t="s">
        <v>224</v>
      </c>
      <c r="U4">
        <v>0</v>
      </c>
      <c r="W4">
        <v>317</v>
      </c>
      <c r="X4">
        <v>140</v>
      </c>
      <c r="Y4">
        <v>578</v>
      </c>
      <c r="Z4">
        <v>401</v>
      </c>
      <c r="AA4">
        <v>223</v>
      </c>
      <c r="AB4">
        <v>222</v>
      </c>
      <c r="AC4">
        <v>172</v>
      </c>
      <c r="AD4">
        <v>117</v>
      </c>
      <c r="AE4">
        <v>4</v>
      </c>
      <c r="AF4">
        <v>0</v>
      </c>
      <c r="AH4" t="s">
        <v>425</v>
      </c>
      <c r="AI4">
        <v>1922</v>
      </c>
      <c r="AJ4">
        <v>464.00624349639997</v>
      </c>
      <c r="AK4">
        <v>1159</v>
      </c>
      <c r="AL4">
        <v>319</v>
      </c>
      <c r="AM4">
        <v>2718</v>
      </c>
      <c r="AN4">
        <v>2083</v>
      </c>
      <c r="AO4">
        <v>1858</v>
      </c>
      <c r="AP4">
        <v>1528</v>
      </c>
      <c r="AQ4">
        <v>690</v>
      </c>
      <c r="AR4">
        <v>394</v>
      </c>
      <c r="AS4">
        <v>1</v>
      </c>
      <c r="AT4">
        <v>3</v>
      </c>
      <c r="AV4" t="s">
        <v>428</v>
      </c>
      <c r="AW4">
        <v>1861</v>
      </c>
      <c r="AX4">
        <v>80.5475550779</v>
      </c>
      <c r="AY4">
        <v>614</v>
      </c>
      <c r="AZ4">
        <v>130</v>
      </c>
      <c r="BA4">
        <v>2183</v>
      </c>
      <c r="BB4">
        <v>432</v>
      </c>
      <c r="BC4">
        <v>7</v>
      </c>
      <c r="BD4">
        <v>6</v>
      </c>
      <c r="BE4">
        <v>29</v>
      </c>
      <c r="BF4">
        <v>13</v>
      </c>
      <c r="BG4">
        <v>54</v>
      </c>
      <c r="BH4">
        <v>119</v>
      </c>
      <c r="BJ4" t="s">
        <v>638</v>
      </c>
      <c r="BK4" t="s">
        <v>386</v>
      </c>
      <c r="BL4">
        <v>768</v>
      </c>
      <c r="BM4">
        <v>106</v>
      </c>
      <c r="BN4">
        <v>72.048177083300004</v>
      </c>
      <c r="BO4">
        <v>1395</v>
      </c>
      <c r="BP4">
        <v>28</v>
      </c>
      <c r="BQ4">
        <v>129.70896057350001</v>
      </c>
      <c r="BR4">
        <v>88.5</v>
      </c>
      <c r="BS4">
        <v>755</v>
      </c>
      <c r="BT4">
        <v>110</v>
      </c>
      <c r="BU4">
        <v>74.347019867499995</v>
      </c>
      <c r="BV4">
        <v>1473</v>
      </c>
      <c r="BW4">
        <v>29</v>
      </c>
      <c r="BX4">
        <v>137.78954514599999</v>
      </c>
      <c r="BY4">
        <v>96.724137931000001</v>
      </c>
      <c r="CA4" t="s">
        <v>1036</v>
      </c>
      <c r="CB4" t="s">
        <v>732</v>
      </c>
      <c r="CC4" t="s">
        <v>918</v>
      </c>
      <c r="CD4">
        <v>296333</v>
      </c>
      <c r="CE4">
        <v>70386</v>
      </c>
      <c r="CF4">
        <v>92.046397127600002</v>
      </c>
      <c r="CG4">
        <v>538927</v>
      </c>
      <c r="CH4">
        <v>5108</v>
      </c>
      <c r="CI4">
        <v>131.92353509840001</v>
      </c>
      <c r="CJ4">
        <v>117.9115113547</v>
      </c>
      <c r="CL4" t="s">
        <v>1036</v>
      </c>
      <c r="CM4" t="s">
        <v>732</v>
      </c>
      <c r="CN4" t="s">
        <v>918</v>
      </c>
      <c r="CO4">
        <v>296333</v>
      </c>
      <c r="CP4">
        <v>70386</v>
      </c>
      <c r="CQ4">
        <v>92.046397127600002</v>
      </c>
      <c r="CR4">
        <v>538927</v>
      </c>
      <c r="CS4">
        <v>5108</v>
      </c>
      <c r="CT4">
        <v>131.92353509840001</v>
      </c>
      <c r="CU4">
        <v>117.9115113547</v>
      </c>
      <c r="CW4" t="s">
        <v>1036</v>
      </c>
      <c r="CX4" t="s">
        <v>732</v>
      </c>
      <c r="CY4" t="s">
        <v>918</v>
      </c>
      <c r="CZ4">
        <v>296333</v>
      </c>
      <c r="DA4">
        <v>70386</v>
      </c>
      <c r="DB4">
        <v>92.046397127600002</v>
      </c>
      <c r="DC4">
        <v>538927</v>
      </c>
      <c r="DD4">
        <v>5108</v>
      </c>
      <c r="DE4">
        <v>131.92353509840001</v>
      </c>
      <c r="DF4">
        <v>117.9115113547</v>
      </c>
      <c r="DH4" t="s">
        <v>1036</v>
      </c>
      <c r="DI4" t="s">
        <v>732</v>
      </c>
      <c r="DJ4" t="s">
        <v>918</v>
      </c>
      <c r="DK4">
        <v>296333</v>
      </c>
      <c r="DL4">
        <v>70386</v>
      </c>
      <c r="DM4">
        <v>92.046397127600002</v>
      </c>
      <c r="DN4">
        <v>538927</v>
      </c>
      <c r="DO4">
        <v>5108</v>
      </c>
      <c r="DP4">
        <v>131.92353509840001</v>
      </c>
      <c r="DQ4">
        <v>117.9115113547</v>
      </c>
    </row>
    <row r="5" spans="2:121" x14ac:dyDescent="0.2">
      <c r="B5" t="s">
        <v>107</v>
      </c>
      <c r="C5">
        <v>68414</v>
      </c>
      <c r="D5">
        <v>50998</v>
      </c>
      <c r="F5" t="s">
        <v>51</v>
      </c>
      <c r="G5">
        <v>3496</v>
      </c>
      <c r="H5">
        <v>343.6407322654</v>
      </c>
      <c r="I5">
        <v>3042</v>
      </c>
      <c r="J5">
        <v>550</v>
      </c>
      <c r="K5">
        <v>6820</v>
      </c>
      <c r="L5">
        <v>4228</v>
      </c>
      <c r="M5">
        <v>3587</v>
      </c>
      <c r="N5">
        <v>3141</v>
      </c>
      <c r="O5">
        <v>1557</v>
      </c>
      <c r="P5">
        <v>852</v>
      </c>
      <c r="Q5">
        <v>1</v>
      </c>
      <c r="R5">
        <v>91</v>
      </c>
      <c r="T5" t="s">
        <v>210</v>
      </c>
      <c r="U5">
        <v>14526</v>
      </c>
      <c r="V5">
        <v>94.329684703300003</v>
      </c>
      <c r="W5">
        <v>17797</v>
      </c>
      <c r="X5">
        <v>4165</v>
      </c>
      <c r="Y5">
        <v>18398</v>
      </c>
      <c r="Z5">
        <v>5064</v>
      </c>
      <c r="AA5">
        <v>61</v>
      </c>
      <c r="AB5">
        <v>60</v>
      </c>
      <c r="AC5">
        <v>1003</v>
      </c>
      <c r="AD5">
        <v>243</v>
      </c>
      <c r="AE5">
        <v>1796</v>
      </c>
      <c r="AF5">
        <v>4253</v>
      </c>
      <c r="AH5" t="s">
        <v>427</v>
      </c>
      <c r="AI5">
        <v>4752</v>
      </c>
      <c r="AJ5">
        <v>293.0010521886</v>
      </c>
      <c r="AK5">
        <v>5252</v>
      </c>
      <c r="AL5">
        <v>1236</v>
      </c>
      <c r="AM5">
        <v>6638</v>
      </c>
      <c r="AN5">
        <v>4260</v>
      </c>
      <c r="AO5">
        <v>1455</v>
      </c>
      <c r="AP5">
        <v>1156</v>
      </c>
      <c r="AQ5">
        <v>2528</v>
      </c>
      <c r="AR5">
        <v>1471</v>
      </c>
      <c r="AS5">
        <v>9</v>
      </c>
      <c r="AT5">
        <v>78</v>
      </c>
      <c r="AV5" t="s">
        <v>401</v>
      </c>
      <c r="AW5">
        <v>129</v>
      </c>
      <c r="AX5">
        <v>49.069767441899998</v>
      </c>
      <c r="AY5">
        <v>63</v>
      </c>
      <c r="AZ5">
        <v>3</v>
      </c>
      <c r="BA5">
        <v>152</v>
      </c>
      <c r="BB5">
        <v>1</v>
      </c>
      <c r="BC5">
        <v>0</v>
      </c>
      <c r="BE5">
        <v>1</v>
      </c>
      <c r="BG5">
        <v>226</v>
      </c>
      <c r="BH5">
        <v>17</v>
      </c>
      <c r="BJ5" t="s">
        <v>386</v>
      </c>
      <c r="BK5" t="s">
        <v>386</v>
      </c>
      <c r="BL5">
        <v>59326</v>
      </c>
      <c r="BM5">
        <v>14026</v>
      </c>
      <c r="BN5">
        <v>91.193136230299999</v>
      </c>
      <c r="BO5">
        <v>103490</v>
      </c>
      <c r="BP5">
        <v>1087</v>
      </c>
      <c r="BQ5">
        <v>136.69956517540001</v>
      </c>
      <c r="BR5">
        <v>120.69273229069999</v>
      </c>
      <c r="BS5">
        <v>51535</v>
      </c>
      <c r="BT5">
        <v>11314</v>
      </c>
      <c r="BU5">
        <v>86.177394004099995</v>
      </c>
      <c r="BV5">
        <v>103112</v>
      </c>
      <c r="BW5">
        <v>1081</v>
      </c>
      <c r="BX5">
        <v>136.5905714175</v>
      </c>
      <c r="BY5">
        <v>118.5189639223</v>
      </c>
      <c r="CA5" t="s">
        <v>1038</v>
      </c>
      <c r="CB5" t="s">
        <v>732</v>
      </c>
      <c r="CC5" t="s">
        <v>918</v>
      </c>
      <c r="CD5">
        <v>26620</v>
      </c>
      <c r="CE5">
        <v>3219</v>
      </c>
      <c r="CF5">
        <v>67.553343350899993</v>
      </c>
      <c r="CG5">
        <v>73729</v>
      </c>
      <c r="CH5">
        <v>359</v>
      </c>
      <c r="CI5">
        <v>76.831111231700007</v>
      </c>
      <c r="CJ5">
        <v>76.281337047400001</v>
      </c>
      <c r="CL5" t="s">
        <v>1038</v>
      </c>
      <c r="CM5" t="s">
        <v>732</v>
      </c>
      <c r="CN5" t="s">
        <v>918</v>
      </c>
      <c r="CO5">
        <v>26620</v>
      </c>
      <c r="CP5">
        <v>3219</v>
      </c>
      <c r="CQ5">
        <v>67.553343350899993</v>
      </c>
      <c r="CR5">
        <v>73729</v>
      </c>
      <c r="CS5">
        <v>359</v>
      </c>
      <c r="CT5">
        <v>76.831111231700007</v>
      </c>
      <c r="CU5">
        <v>76.281337047400001</v>
      </c>
      <c r="CW5" t="s">
        <v>1038</v>
      </c>
      <c r="CX5" t="s">
        <v>732</v>
      </c>
      <c r="CY5" t="s">
        <v>918</v>
      </c>
      <c r="CZ5">
        <v>26620</v>
      </c>
      <c r="DA5">
        <v>3219</v>
      </c>
      <c r="DB5">
        <v>67.553343350899993</v>
      </c>
      <c r="DC5">
        <v>73729</v>
      </c>
      <c r="DD5">
        <v>359</v>
      </c>
      <c r="DE5">
        <v>76.831111231700007</v>
      </c>
      <c r="DF5">
        <v>76.281337047400001</v>
      </c>
      <c r="DH5" t="s">
        <v>1038</v>
      </c>
      <c r="DI5" t="s">
        <v>732</v>
      </c>
      <c r="DJ5" t="s">
        <v>918</v>
      </c>
      <c r="DK5">
        <v>26620</v>
      </c>
      <c r="DL5">
        <v>3219</v>
      </c>
      <c r="DM5">
        <v>67.553343350899993</v>
      </c>
      <c r="DN5">
        <v>73729</v>
      </c>
      <c r="DO5">
        <v>359</v>
      </c>
      <c r="DP5">
        <v>76.831111231700007</v>
      </c>
      <c r="DQ5">
        <v>76.281337047400001</v>
      </c>
    </row>
    <row r="6" spans="2:121" x14ac:dyDescent="0.2">
      <c r="B6" t="s">
        <v>90</v>
      </c>
      <c r="C6">
        <v>9392</v>
      </c>
      <c r="D6">
        <v>1718</v>
      </c>
      <c r="F6" t="s">
        <v>181</v>
      </c>
      <c r="G6">
        <v>339</v>
      </c>
      <c r="H6">
        <v>145.74041297939999</v>
      </c>
      <c r="I6">
        <v>703</v>
      </c>
      <c r="J6">
        <v>55</v>
      </c>
      <c r="K6">
        <v>520</v>
      </c>
      <c r="L6">
        <v>147</v>
      </c>
      <c r="M6">
        <v>451</v>
      </c>
      <c r="N6">
        <v>257</v>
      </c>
      <c r="O6">
        <v>191</v>
      </c>
      <c r="P6">
        <v>73</v>
      </c>
      <c r="Q6">
        <v>0</v>
      </c>
      <c r="R6">
        <v>4</v>
      </c>
      <c r="T6" t="s">
        <v>212</v>
      </c>
      <c r="U6">
        <v>5237</v>
      </c>
      <c r="V6">
        <v>49.877792629399998</v>
      </c>
      <c r="W6">
        <v>6405</v>
      </c>
      <c r="X6">
        <v>240</v>
      </c>
      <c r="Y6">
        <v>6531</v>
      </c>
      <c r="Z6">
        <v>84</v>
      </c>
      <c r="AA6">
        <v>57</v>
      </c>
      <c r="AB6">
        <v>22</v>
      </c>
      <c r="AC6">
        <v>180</v>
      </c>
      <c r="AD6">
        <v>52</v>
      </c>
      <c r="AE6">
        <v>8021</v>
      </c>
      <c r="AF6">
        <v>1240</v>
      </c>
      <c r="AH6" t="s">
        <v>412</v>
      </c>
      <c r="AI6">
        <v>3603</v>
      </c>
      <c r="AJ6">
        <v>346.47182903139998</v>
      </c>
      <c r="AK6">
        <v>3372</v>
      </c>
      <c r="AL6">
        <v>626</v>
      </c>
      <c r="AM6">
        <v>5025</v>
      </c>
      <c r="AN6">
        <v>3220</v>
      </c>
      <c r="AO6">
        <v>1760</v>
      </c>
      <c r="AP6">
        <v>1492</v>
      </c>
      <c r="AQ6">
        <v>2459</v>
      </c>
      <c r="AR6">
        <v>1469</v>
      </c>
      <c r="AS6">
        <v>352</v>
      </c>
      <c r="AT6">
        <v>95</v>
      </c>
      <c r="AV6" t="s">
        <v>421</v>
      </c>
      <c r="AW6">
        <v>70</v>
      </c>
      <c r="AX6">
        <v>50.5857142857</v>
      </c>
      <c r="AY6">
        <v>54</v>
      </c>
      <c r="BA6">
        <v>84</v>
      </c>
      <c r="BB6">
        <v>3</v>
      </c>
      <c r="BC6">
        <v>0</v>
      </c>
      <c r="BE6">
        <v>1</v>
      </c>
      <c r="BG6">
        <v>88</v>
      </c>
      <c r="BH6">
        <v>3</v>
      </c>
      <c r="BJ6" t="s">
        <v>585</v>
      </c>
      <c r="BK6" t="s">
        <v>386</v>
      </c>
      <c r="BL6">
        <v>5909</v>
      </c>
      <c r="BM6">
        <v>1722</v>
      </c>
      <c r="BN6">
        <v>104.5862244035</v>
      </c>
      <c r="BO6">
        <v>9806</v>
      </c>
      <c r="BP6">
        <v>133</v>
      </c>
      <c r="BQ6">
        <v>151.4672649398</v>
      </c>
      <c r="BR6">
        <v>127.6691729323</v>
      </c>
      <c r="BS6">
        <v>5632</v>
      </c>
      <c r="BT6">
        <v>1596</v>
      </c>
      <c r="BU6">
        <v>103.3254616477</v>
      </c>
      <c r="BV6">
        <v>9506</v>
      </c>
      <c r="BW6">
        <v>129</v>
      </c>
      <c r="BX6">
        <v>149.3584052178</v>
      </c>
      <c r="BY6">
        <v>123.4263565891</v>
      </c>
      <c r="CA6" t="s">
        <v>1039</v>
      </c>
      <c r="CB6" t="s">
        <v>732</v>
      </c>
      <c r="CC6" t="s">
        <v>918</v>
      </c>
      <c r="CD6">
        <v>9343</v>
      </c>
      <c r="CE6">
        <v>2136</v>
      </c>
      <c r="CF6">
        <v>86.319918655699993</v>
      </c>
      <c r="CG6">
        <v>11658</v>
      </c>
      <c r="CH6">
        <v>85</v>
      </c>
      <c r="CI6">
        <v>146.25973580370001</v>
      </c>
      <c r="CJ6">
        <v>132.38823529410001</v>
      </c>
      <c r="CL6" t="s">
        <v>1039</v>
      </c>
      <c r="CM6" t="s">
        <v>732</v>
      </c>
      <c r="CN6" t="s">
        <v>918</v>
      </c>
      <c r="CO6">
        <v>9343</v>
      </c>
      <c r="CP6">
        <v>2136</v>
      </c>
      <c r="CQ6">
        <v>86.319918655699993</v>
      </c>
      <c r="CR6">
        <v>11658</v>
      </c>
      <c r="CS6">
        <v>85</v>
      </c>
      <c r="CT6">
        <v>146.25973580370001</v>
      </c>
      <c r="CU6">
        <v>132.38823529410001</v>
      </c>
      <c r="CW6" t="s">
        <v>1039</v>
      </c>
      <c r="CX6" t="s">
        <v>732</v>
      </c>
      <c r="CY6" t="s">
        <v>918</v>
      </c>
      <c r="CZ6">
        <v>9343</v>
      </c>
      <c r="DA6">
        <v>2136</v>
      </c>
      <c r="DB6">
        <v>86.319918655699993</v>
      </c>
      <c r="DC6">
        <v>11658</v>
      </c>
      <c r="DD6">
        <v>85</v>
      </c>
      <c r="DE6">
        <v>146.25973580370001</v>
      </c>
      <c r="DF6">
        <v>132.38823529410001</v>
      </c>
      <c r="DH6" t="s">
        <v>1039</v>
      </c>
      <c r="DI6" t="s">
        <v>732</v>
      </c>
      <c r="DJ6" t="s">
        <v>918</v>
      </c>
      <c r="DK6">
        <v>9343</v>
      </c>
      <c r="DL6">
        <v>2136</v>
      </c>
      <c r="DM6">
        <v>86.319918655699993</v>
      </c>
      <c r="DN6">
        <v>11658</v>
      </c>
      <c r="DO6">
        <v>85</v>
      </c>
      <c r="DP6">
        <v>146.25973580370001</v>
      </c>
      <c r="DQ6">
        <v>132.38823529410001</v>
      </c>
    </row>
    <row r="7" spans="2:121" x14ac:dyDescent="0.2">
      <c r="B7" t="s">
        <v>91</v>
      </c>
      <c r="C7">
        <v>358</v>
      </c>
      <c r="D7">
        <v>42</v>
      </c>
      <c r="F7" t="s">
        <v>58</v>
      </c>
      <c r="G7">
        <v>3508</v>
      </c>
      <c r="H7">
        <v>226.12457240590001</v>
      </c>
      <c r="I7">
        <v>8397</v>
      </c>
      <c r="J7">
        <v>1845</v>
      </c>
      <c r="K7">
        <v>5953</v>
      </c>
      <c r="L7">
        <v>2856</v>
      </c>
      <c r="M7">
        <v>2841</v>
      </c>
      <c r="N7">
        <v>2280</v>
      </c>
      <c r="O7">
        <v>1522</v>
      </c>
      <c r="P7">
        <v>1053</v>
      </c>
      <c r="Q7">
        <v>1</v>
      </c>
      <c r="R7">
        <v>268</v>
      </c>
      <c r="T7" t="s">
        <v>463</v>
      </c>
      <c r="U7">
        <v>26581</v>
      </c>
      <c r="V7">
        <v>76.917685564899998</v>
      </c>
      <c r="W7">
        <v>31214</v>
      </c>
      <c r="X7">
        <v>5416</v>
      </c>
      <c r="Y7">
        <v>33843</v>
      </c>
      <c r="Z7">
        <v>5999</v>
      </c>
      <c r="AA7">
        <v>345</v>
      </c>
      <c r="AB7">
        <v>307</v>
      </c>
      <c r="AC7">
        <v>1830</v>
      </c>
      <c r="AD7">
        <v>513</v>
      </c>
      <c r="AE7">
        <v>10832</v>
      </c>
      <c r="AF7">
        <v>6281</v>
      </c>
      <c r="AH7" t="s">
        <v>408</v>
      </c>
      <c r="AI7">
        <v>25770</v>
      </c>
      <c r="AJ7">
        <v>400.81140861469999</v>
      </c>
      <c r="AK7">
        <v>30026</v>
      </c>
      <c r="AL7">
        <v>7069</v>
      </c>
      <c r="AM7">
        <v>38159</v>
      </c>
      <c r="AN7">
        <v>27221</v>
      </c>
      <c r="AO7">
        <v>9924</v>
      </c>
      <c r="AP7">
        <v>7962</v>
      </c>
      <c r="AQ7">
        <v>15027</v>
      </c>
      <c r="AR7">
        <v>10064</v>
      </c>
      <c r="AS7">
        <v>59</v>
      </c>
      <c r="AT7">
        <v>150</v>
      </c>
      <c r="AV7" t="s">
        <v>389</v>
      </c>
      <c r="AW7">
        <v>1139</v>
      </c>
      <c r="AX7">
        <v>58.5856014047</v>
      </c>
      <c r="AY7">
        <v>743</v>
      </c>
      <c r="AZ7">
        <v>99</v>
      </c>
      <c r="BA7">
        <v>1305</v>
      </c>
      <c r="BB7">
        <v>61</v>
      </c>
      <c r="BC7">
        <v>6</v>
      </c>
      <c r="BD7">
        <v>5</v>
      </c>
      <c r="BE7">
        <v>52</v>
      </c>
      <c r="BF7">
        <v>12</v>
      </c>
      <c r="BG7">
        <v>121</v>
      </c>
      <c r="BH7">
        <v>84</v>
      </c>
      <c r="BJ7" t="s">
        <v>632</v>
      </c>
      <c r="BK7" t="s">
        <v>386</v>
      </c>
      <c r="BL7">
        <v>714</v>
      </c>
      <c r="BM7">
        <v>53</v>
      </c>
      <c r="BN7">
        <v>58.208683473400001</v>
      </c>
      <c r="BO7">
        <v>1890</v>
      </c>
      <c r="BP7">
        <v>13</v>
      </c>
      <c r="BQ7">
        <v>88.700529100500006</v>
      </c>
      <c r="BR7">
        <v>94.461538461499998</v>
      </c>
      <c r="BS7">
        <v>1595</v>
      </c>
      <c r="BT7">
        <v>248</v>
      </c>
      <c r="BU7">
        <v>89.512852664600004</v>
      </c>
      <c r="BV7">
        <v>3209</v>
      </c>
      <c r="BW7">
        <v>49</v>
      </c>
      <c r="BX7">
        <v>118.148332814</v>
      </c>
      <c r="BY7">
        <v>128.6734693878</v>
      </c>
      <c r="CA7" t="s">
        <v>412</v>
      </c>
      <c r="CB7" t="s">
        <v>768</v>
      </c>
      <c r="CC7" t="s">
        <v>994</v>
      </c>
      <c r="CD7">
        <v>3242</v>
      </c>
      <c r="CE7">
        <v>595</v>
      </c>
      <c r="CF7">
        <v>80.933991363399997</v>
      </c>
      <c r="CG7">
        <v>6871</v>
      </c>
      <c r="CH7">
        <v>84</v>
      </c>
      <c r="CI7">
        <v>120.6520157182</v>
      </c>
      <c r="CJ7">
        <v>91.619047619</v>
      </c>
      <c r="CL7" t="s">
        <v>412</v>
      </c>
      <c r="CM7" t="s">
        <v>749</v>
      </c>
      <c r="CN7" t="s">
        <v>748</v>
      </c>
      <c r="CO7">
        <v>266</v>
      </c>
      <c r="CP7">
        <v>30</v>
      </c>
      <c r="CQ7">
        <v>71.451127819500002</v>
      </c>
      <c r="CR7">
        <v>1067</v>
      </c>
      <c r="CS7">
        <v>5</v>
      </c>
      <c r="CT7">
        <v>65.355201499499998</v>
      </c>
      <c r="CU7">
        <v>71.8</v>
      </c>
      <c r="CW7" t="s">
        <v>412</v>
      </c>
      <c r="CX7" t="s">
        <v>759</v>
      </c>
      <c r="CY7" t="s">
        <v>758</v>
      </c>
      <c r="CZ7">
        <v>59</v>
      </c>
      <c r="DA7">
        <v>10</v>
      </c>
      <c r="DB7">
        <v>85.525423728800007</v>
      </c>
      <c r="DC7">
        <v>64</v>
      </c>
      <c r="DD7">
        <v>1</v>
      </c>
      <c r="DE7">
        <v>141.625</v>
      </c>
      <c r="DF7">
        <v>185</v>
      </c>
      <c r="DH7" t="s">
        <v>412</v>
      </c>
      <c r="DI7" t="s">
        <v>739</v>
      </c>
      <c r="DJ7" t="s">
        <v>738</v>
      </c>
      <c r="DK7">
        <v>38</v>
      </c>
      <c r="DL7">
        <v>7</v>
      </c>
      <c r="DM7">
        <v>71.868421052599999</v>
      </c>
      <c r="DN7">
        <v>62</v>
      </c>
      <c r="DO7">
        <v>0</v>
      </c>
      <c r="DP7">
        <v>133.04838709680001</v>
      </c>
      <c r="DQ7">
        <v>0</v>
      </c>
    </row>
    <row r="8" spans="2:121" x14ac:dyDescent="0.2">
      <c r="B8" t="s">
        <v>100</v>
      </c>
      <c r="C8">
        <v>287</v>
      </c>
      <c r="D8">
        <v>230</v>
      </c>
      <c r="F8" t="s">
        <v>27</v>
      </c>
      <c r="G8">
        <v>1200</v>
      </c>
      <c r="H8">
        <v>83.232500000000002</v>
      </c>
      <c r="I8">
        <v>5288</v>
      </c>
      <c r="J8">
        <v>830</v>
      </c>
      <c r="K8">
        <v>5568</v>
      </c>
      <c r="L8">
        <v>2426</v>
      </c>
      <c r="M8">
        <v>1089</v>
      </c>
      <c r="N8">
        <v>390</v>
      </c>
      <c r="O8">
        <v>1420</v>
      </c>
      <c r="P8">
        <v>756</v>
      </c>
      <c r="Q8">
        <v>0</v>
      </c>
      <c r="R8">
        <v>64</v>
      </c>
      <c r="AH8" t="s">
        <v>404</v>
      </c>
      <c r="AI8">
        <v>6916</v>
      </c>
      <c r="AJ8">
        <v>442.68348756509999</v>
      </c>
      <c r="AK8">
        <v>6478</v>
      </c>
      <c r="AL8">
        <v>1812</v>
      </c>
      <c r="AM8">
        <v>10010</v>
      </c>
      <c r="AN8">
        <v>7114</v>
      </c>
      <c r="AO8">
        <v>3266</v>
      </c>
      <c r="AP8">
        <v>2601</v>
      </c>
      <c r="AQ8">
        <v>1772</v>
      </c>
      <c r="AR8">
        <v>1080</v>
      </c>
      <c r="AS8">
        <v>6</v>
      </c>
      <c r="AT8">
        <v>58</v>
      </c>
      <c r="AV8" t="s">
        <v>410</v>
      </c>
      <c r="AW8">
        <v>230</v>
      </c>
      <c r="AX8">
        <v>59.191304347799999</v>
      </c>
      <c r="AY8">
        <v>265</v>
      </c>
      <c r="AZ8">
        <v>14</v>
      </c>
      <c r="BA8">
        <v>307</v>
      </c>
      <c r="BB8">
        <v>11</v>
      </c>
      <c r="BC8">
        <v>1</v>
      </c>
      <c r="BD8">
        <v>1</v>
      </c>
      <c r="BE8">
        <v>14</v>
      </c>
      <c r="BF8">
        <v>6</v>
      </c>
      <c r="BG8">
        <v>377</v>
      </c>
      <c r="BH8">
        <v>51</v>
      </c>
      <c r="BJ8" t="s">
        <v>620</v>
      </c>
      <c r="BK8" t="s">
        <v>386</v>
      </c>
      <c r="BL8">
        <v>16392</v>
      </c>
      <c r="BM8">
        <v>4240</v>
      </c>
      <c r="BN8">
        <v>97.555026842399997</v>
      </c>
      <c r="BO8">
        <v>25254</v>
      </c>
      <c r="BP8">
        <v>219</v>
      </c>
      <c r="BQ8">
        <v>146.38437475250001</v>
      </c>
      <c r="BR8">
        <v>138.1506849315</v>
      </c>
      <c r="BS8">
        <v>13710</v>
      </c>
      <c r="BT8">
        <v>2897</v>
      </c>
      <c r="BU8">
        <v>83.143763676099994</v>
      </c>
      <c r="BV8">
        <v>17714</v>
      </c>
      <c r="BW8">
        <v>175</v>
      </c>
      <c r="BX8">
        <v>136.2684882014</v>
      </c>
      <c r="BY8">
        <v>117.7028571429</v>
      </c>
      <c r="CA8" t="s">
        <v>404</v>
      </c>
      <c r="CB8" t="s">
        <v>768</v>
      </c>
      <c r="CC8" t="s">
        <v>995</v>
      </c>
      <c r="CD8">
        <v>6003</v>
      </c>
      <c r="CE8">
        <v>1716</v>
      </c>
      <c r="CF8">
        <v>102.7026486757</v>
      </c>
      <c r="CG8">
        <v>10930</v>
      </c>
      <c r="CH8">
        <v>138</v>
      </c>
      <c r="CI8">
        <v>139.0752973468</v>
      </c>
      <c r="CJ8">
        <v>121.3623188406</v>
      </c>
      <c r="CL8" t="s">
        <v>404</v>
      </c>
      <c r="CM8" t="s">
        <v>749</v>
      </c>
      <c r="CN8" t="s">
        <v>750</v>
      </c>
      <c r="CO8">
        <v>352</v>
      </c>
      <c r="CP8">
        <v>17</v>
      </c>
      <c r="CQ8">
        <v>58.65625</v>
      </c>
      <c r="CR8">
        <v>1021</v>
      </c>
      <c r="CS8">
        <v>8</v>
      </c>
      <c r="CT8">
        <v>66.949069539700005</v>
      </c>
      <c r="CU8">
        <v>78.5</v>
      </c>
      <c r="CW8" t="s">
        <v>404</v>
      </c>
      <c r="CX8" t="s">
        <v>759</v>
      </c>
      <c r="CY8" t="s">
        <v>760</v>
      </c>
      <c r="CZ8">
        <v>256</v>
      </c>
      <c r="DA8">
        <v>57</v>
      </c>
      <c r="DB8">
        <v>87.9296875</v>
      </c>
      <c r="DC8">
        <v>357</v>
      </c>
      <c r="DD8">
        <v>4</v>
      </c>
      <c r="DE8">
        <v>137.6722689076</v>
      </c>
      <c r="DF8">
        <v>63</v>
      </c>
      <c r="DH8" t="s">
        <v>404</v>
      </c>
      <c r="DI8" t="s">
        <v>739</v>
      </c>
      <c r="DJ8" t="s">
        <v>740</v>
      </c>
      <c r="DK8">
        <v>340</v>
      </c>
      <c r="DL8">
        <v>41</v>
      </c>
      <c r="DM8">
        <v>63.8735294118</v>
      </c>
      <c r="DN8">
        <v>597</v>
      </c>
      <c r="DO8">
        <v>4</v>
      </c>
      <c r="DP8">
        <v>124.8140703518</v>
      </c>
      <c r="DQ8">
        <v>96</v>
      </c>
    </row>
    <row r="9" spans="2:121" x14ac:dyDescent="0.2">
      <c r="B9" t="s">
        <v>92</v>
      </c>
      <c r="C9">
        <v>10</v>
      </c>
      <c r="D9">
        <v>5</v>
      </c>
      <c r="F9" t="s">
        <v>24</v>
      </c>
      <c r="G9">
        <v>834</v>
      </c>
      <c r="H9">
        <v>156.72062350120001</v>
      </c>
      <c r="I9">
        <v>3981</v>
      </c>
      <c r="J9">
        <v>709</v>
      </c>
      <c r="K9">
        <v>1946</v>
      </c>
      <c r="L9">
        <v>768</v>
      </c>
      <c r="M9">
        <v>989</v>
      </c>
      <c r="N9">
        <v>591</v>
      </c>
      <c r="O9">
        <v>302</v>
      </c>
      <c r="P9">
        <v>132</v>
      </c>
      <c r="Q9">
        <v>0</v>
      </c>
      <c r="R9">
        <v>0</v>
      </c>
      <c r="AH9" t="s">
        <v>374</v>
      </c>
      <c r="AI9">
        <v>1014</v>
      </c>
      <c r="AJ9">
        <v>322.4023668639</v>
      </c>
      <c r="AK9">
        <v>1696</v>
      </c>
      <c r="AL9">
        <v>449</v>
      </c>
      <c r="AM9">
        <v>2596</v>
      </c>
      <c r="AN9">
        <v>1683</v>
      </c>
      <c r="AO9">
        <v>596</v>
      </c>
      <c r="AP9">
        <v>407</v>
      </c>
      <c r="AQ9">
        <v>1065</v>
      </c>
      <c r="AR9">
        <v>787</v>
      </c>
      <c r="AS9">
        <v>297</v>
      </c>
      <c r="AT9">
        <v>5</v>
      </c>
      <c r="AV9" t="s">
        <v>418</v>
      </c>
      <c r="AW9">
        <v>37</v>
      </c>
      <c r="AX9">
        <v>87.405405405400003</v>
      </c>
      <c r="AY9">
        <v>59</v>
      </c>
      <c r="AZ9">
        <v>9</v>
      </c>
      <c r="BA9">
        <v>43</v>
      </c>
      <c r="BB9">
        <v>8</v>
      </c>
      <c r="BC9">
        <v>0</v>
      </c>
      <c r="BE9">
        <v>4</v>
      </c>
      <c r="BG9">
        <v>8</v>
      </c>
      <c r="BH9">
        <v>14</v>
      </c>
      <c r="BJ9" t="s">
        <v>556</v>
      </c>
      <c r="BK9" t="s">
        <v>386</v>
      </c>
      <c r="BL9">
        <v>4231</v>
      </c>
      <c r="BM9">
        <v>1425</v>
      </c>
      <c r="BN9">
        <v>109.11486646180001</v>
      </c>
      <c r="BO9">
        <v>5242</v>
      </c>
      <c r="BP9">
        <v>54</v>
      </c>
      <c r="BQ9">
        <v>146.13658908810001</v>
      </c>
      <c r="BR9">
        <v>126.2777777778</v>
      </c>
      <c r="BS9">
        <v>1900</v>
      </c>
      <c r="BT9">
        <v>574</v>
      </c>
      <c r="BU9">
        <v>106.3936842105</v>
      </c>
      <c r="BV9">
        <v>6547</v>
      </c>
      <c r="BW9">
        <v>89</v>
      </c>
      <c r="BX9">
        <v>149.55536887119999</v>
      </c>
      <c r="BY9">
        <v>129.9662921348</v>
      </c>
      <c r="CA9" t="s">
        <v>388</v>
      </c>
      <c r="CB9" t="s">
        <v>768</v>
      </c>
      <c r="CC9" t="s">
        <v>996</v>
      </c>
      <c r="CD9">
        <v>5406</v>
      </c>
      <c r="CE9">
        <v>1373</v>
      </c>
      <c r="CF9">
        <v>93.583425823200002</v>
      </c>
      <c r="CG9">
        <v>9759</v>
      </c>
      <c r="CH9">
        <v>133</v>
      </c>
      <c r="CI9">
        <v>136.6747617584</v>
      </c>
      <c r="CJ9">
        <v>126.53383458650001</v>
      </c>
      <c r="CL9" t="s">
        <v>388</v>
      </c>
      <c r="CM9" t="s">
        <v>749</v>
      </c>
      <c r="CN9" t="s">
        <v>751</v>
      </c>
      <c r="CO9">
        <v>352</v>
      </c>
      <c r="CP9">
        <v>56</v>
      </c>
      <c r="CQ9">
        <v>75.028409090899999</v>
      </c>
      <c r="CR9">
        <v>1423</v>
      </c>
      <c r="CS9">
        <v>6</v>
      </c>
      <c r="CT9">
        <v>67.459592410400006</v>
      </c>
      <c r="CU9">
        <v>60.833333333299997</v>
      </c>
      <c r="CW9" t="s">
        <v>388</v>
      </c>
      <c r="CX9" t="s">
        <v>759</v>
      </c>
      <c r="CY9" t="s">
        <v>761</v>
      </c>
      <c r="CZ9">
        <v>97</v>
      </c>
      <c r="DA9">
        <v>14</v>
      </c>
      <c r="DB9">
        <v>76.4845360825</v>
      </c>
      <c r="DC9">
        <v>88</v>
      </c>
      <c r="DD9">
        <v>0</v>
      </c>
      <c r="DE9">
        <v>150.6818181818</v>
      </c>
      <c r="DF9">
        <v>0</v>
      </c>
      <c r="DH9" t="s">
        <v>388</v>
      </c>
      <c r="DI9" t="s">
        <v>739</v>
      </c>
      <c r="DJ9" t="s">
        <v>741</v>
      </c>
      <c r="DK9">
        <v>129</v>
      </c>
      <c r="DL9">
        <v>17</v>
      </c>
      <c r="DM9">
        <v>69.403100775200002</v>
      </c>
      <c r="DN9">
        <v>220</v>
      </c>
      <c r="DO9">
        <v>2</v>
      </c>
      <c r="DP9">
        <v>121.8409090909</v>
      </c>
      <c r="DQ9">
        <v>118</v>
      </c>
    </row>
    <row r="10" spans="2:121" x14ac:dyDescent="0.2">
      <c r="B10" t="s">
        <v>314</v>
      </c>
      <c r="C10">
        <v>1</v>
      </c>
      <c r="D10">
        <v>1</v>
      </c>
      <c r="F10" t="s">
        <v>59</v>
      </c>
      <c r="G10">
        <v>4195</v>
      </c>
      <c r="H10">
        <v>439.81573301549997</v>
      </c>
      <c r="I10">
        <v>5331</v>
      </c>
      <c r="J10">
        <v>1391</v>
      </c>
      <c r="K10">
        <v>5554</v>
      </c>
      <c r="L10">
        <v>3768</v>
      </c>
      <c r="M10">
        <v>966</v>
      </c>
      <c r="N10">
        <v>681</v>
      </c>
      <c r="O10">
        <v>1485</v>
      </c>
      <c r="P10">
        <v>996</v>
      </c>
      <c r="Q10">
        <v>2</v>
      </c>
      <c r="R10">
        <v>265</v>
      </c>
      <c r="AH10" t="s">
        <v>424</v>
      </c>
      <c r="AI10">
        <v>804</v>
      </c>
      <c r="AJ10">
        <v>424.88308457710002</v>
      </c>
      <c r="AK10">
        <v>845</v>
      </c>
      <c r="AL10">
        <v>207</v>
      </c>
      <c r="AM10">
        <v>1052</v>
      </c>
      <c r="AN10">
        <v>771</v>
      </c>
      <c r="AO10">
        <v>234</v>
      </c>
      <c r="AP10">
        <v>190</v>
      </c>
      <c r="AQ10">
        <v>355</v>
      </c>
      <c r="AR10">
        <v>222</v>
      </c>
      <c r="AS10">
        <v>80</v>
      </c>
      <c r="AT10">
        <v>1</v>
      </c>
      <c r="AV10" t="s">
        <v>372</v>
      </c>
      <c r="AW10">
        <v>366</v>
      </c>
      <c r="AX10">
        <v>98.125683060100002</v>
      </c>
      <c r="AY10">
        <v>607</v>
      </c>
      <c r="AZ10">
        <v>134</v>
      </c>
      <c r="BA10">
        <v>485</v>
      </c>
      <c r="BB10">
        <v>142</v>
      </c>
      <c r="BC10">
        <v>4</v>
      </c>
      <c r="BD10">
        <v>3</v>
      </c>
      <c r="BE10">
        <v>60</v>
      </c>
      <c r="BF10">
        <v>12</v>
      </c>
      <c r="BG10">
        <v>54</v>
      </c>
      <c r="BH10">
        <v>177</v>
      </c>
      <c r="BJ10" t="s">
        <v>608</v>
      </c>
      <c r="BK10" t="s">
        <v>386</v>
      </c>
      <c r="BL10">
        <v>3114</v>
      </c>
      <c r="BM10">
        <v>557</v>
      </c>
      <c r="BN10">
        <v>79.555234425199998</v>
      </c>
      <c r="BO10">
        <v>6661</v>
      </c>
      <c r="BP10">
        <v>87</v>
      </c>
      <c r="BQ10">
        <v>121.5201921633</v>
      </c>
      <c r="BR10">
        <v>94.666666666699996</v>
      </c>
      <c r="BS10">
        <v>3150</v>
      </c>
      <c r="BT10">
        <v>528</v>
      </c>
      <c r="BU10">
        <v>78.236507936500004</v>
      </c>
      <c r="BV10">
        <v>7464</v>
      </c>
      <c r="BW10">
        <v>84</v>
      </c>
      <c r="BX10">
        <v>130.11562165059999</v>
      </c>
      <c r="BY10">
        <v>92.416666666699996</v>
      </c>
      <c r="CA10" t="s">
        <v>390</v>
      </c>
      <c r="CB10" t="s">
        <v>768</v>
      </c>
      <c r="CC10" t="s">
        <v>997</v>
      </c>
      <c r="CD10">
        <v>4297</v>
      </c>
      <c r="CE10">
        <v>1409</v>
      </c>
      <c r="CF10">
        <v>107.8447754247</v>
      </c>
      <c r="CG10">
        <v>5773</v>
      </c>
      <c r="CH10">
        <v>61</v>
      </c>
      <c r="CI10">
        <v>140.73081586699999</v>
      </c>
      <c r="CJ10">
        <v>121.7868852459</v>
      </c>
      <c r="CL10" t="s">
        <v>390</v>
      </c>
      <c r="CM10" t="s">
        <v>749</v>
      </c>
      <c r="CN10" t="s">
        <v>752</v>
      </c>
      <c r="CO10">
        <v>305</v>
      </c>
      <c r="CP10">
        <v>51</v>
      </c>
      <c r="CQ10">
        <v>76.3836065574</v>
      </c>
      <c r="CR10">
        <v>1033</v>
      </c>
      <c r="CS10">
        <v>4</v>
      </c>
      <c r="CT10">
        <v>76.286544046499998</v>
      </c>
      <c r="CU10">
        <v>36</v>
      </c>
      <c r="CW10" t="s">
        <v>390</v>
      </c>
      <c r="CX10" t="s">
        <v>759</v>
      </c>
      <c r="CY10" t="s">
        <v>762</v>
      </c>
      <c r="CZ10">
        <v>74</v>
      </c>
      <c r="DA10">
        <v>20</v>
      </c>
      <c r="DB10">
        <v>92.067567567599994</v>
      </c>
      <c r="DC10">
        <v>96</v>
      </c>
      <c r="DD10">
        <v>2</v>
      </c>
      <c r="DE10">
        <v>153.46875</v>
      </c>
      <c r="DF10">
        <v>153</v>
      </c>
      <c r="DH10" t="s">
        <v>390</v>
      </c>
      <c r="DI10" t="s">
        <v>739</v>
      </c>
      <c r="DJ10" t="s">
        <v>742</v>
      </c>
      <c r="DK10">
        <v>69</v>
      </c>
      <c r="DL10">
        <v>15</v>
      </c>
      <c r="DM10">
        <v>84.594202898600003</v>
      </c>
      <c r="DN10">
        <v>109</v>
      </c>
      <c r="DO10">
        <v>0</v>
      </c>
      <c r="DP10">
        <v>140.97247706420001</v>
      </c>
      <c r="DQ10">
        <v>0</v>
      </c>
    </row>
    <row r="11" spans="2:121" x14ac:dyDescent="0.2">
      <c r="B11" t="s">
        <v>111</v>
      </c>
      <c r="C11">
        <v>7837</v>
      </c>
      <c r="D11">
        <v>497</v>
      </c>
      <c r="F11" t="s">
        <v>33</v>
      </c>
      <c r="G11">
        <v>8598</v>
      </c>
      <c r="H11">
        <v>767.79413817169996</v>
      </c>
      <c r="I11">
        <v>4286</v>
      </c>
      <c r="J11">
        <v>1152</v>
      </c>
      <c r="K11">
        <v>10145</v>
      </c>
      <c r="L11">
        <v>8319</v>
      </c>
      <c r="M11">
        <v>2602</v>
      </c>
      <c r="N11">
        <v>2376</v>
      </c>
      <c r="O11">
        <v>1433</v>
      </c>
      <c r="P11">
        <v>1096</v>
      </c>
      <c r="Q11">
        <v>0</v>
      </c>
      <c r="R11">
        <v>5</v>
      </c>
      <c r="AH11" t="s">
        <v>415</v>
      </c>
      <c r="AI11">
        <v>433</v>
      </c>
      <c r="AJ11">
        <v>537.688221709</v>
      </c>
      <c r="AK11">
        <v>429</v>
      </c>
      <c r="AL11">
        <v>84</v>
      </c>
      <c r="AM11">
        <v>615</v>
      </c>
      <c r="AN11">
        <v>456</v>
      </c>
      <c r="AO11">
        <v>205</v>
      </c>
      <c r="AP11">
        <v>182</v>
      </c>
      <c r="AQ11">
        <v>358</v>
      </c>
      <c r="AR11">
        <v>266</v>
      </c>
      <c r="AS11">
        <v>37</v>
      </c>
      <c r="AT11">
        <v>0</v>
      </c>
      <c r="AV11" t="s">
        <v>426</v>
      </c>
      <c r="AW11">
        <v>2605</v>
      </c>
      <c r="AX11">
        <v>95.694817658299996</v>
      </c>
      <c r="AY11">
        <v>3694</v>
      </c>
      <c r="AZ11">
        <v>809</v>
      </c>
      <c r="BA11">
        <v>3287</v>
      </c>
      <c r="BB11">
        <v>962</v>
      </c>
      <c r="BC11">
        <v>30</v>
      </c>
      <c r="BD11">
        <v>26</v>
      </c>
      <c r="BE11">
        <v>170</v>
      </c>
      <c r="BF11">
        <v>51</v>
      </c>
      <c r="BG11">
        <v>425</v>
      </c>
      <c r="BH11">
        <v>772</v>
      </c>
      <c r="BJ11" t="s">
        <v>610</v>
      </c>
      <c r="BK11" t="s">
        <v>386</v>
      </c>
      <c r="BL11">
        <v>5019</v>
      </c>
      <c r="BM11">
        <v>782</v>
      </c>
      <c r="BN11">
        <v>70.324566646700006</v>
      </c>
      <c r="BO11">
        <v>13181</v>
      </c>
      <c r="BP11">
        <v>109</v>
      </c>
      <c r="BQ11">
        <v>116.8598740611</v>
      </c>
      <c r="BR11">
        <v>95.238532110099996</v>
      </c>
      <c r="BS11">
        <v>5992</v>
      </c>
      <c r="BT11">
        <v>1333</v>
      </c>
      <c r="BU11">
        <v>83.024365821100005</v>
      </c>
      <c r="BV11">
        <v>17850</v>
      </c>
      <c r="BW11">
        <v>127</v>
      </c>
      <c r="BX11">
        <v>127.1242577031</v>
      </c>
      <c r="BY11">
        <v>110.5669291339</v>
      </c>
      <c r="CA11" t="s">
        <v>419</v>
      </c>
      <c r="CB11" t="s">
        <v>768</v>
      </c>
      <c r="CC11" t="s">
        <v>998</v>
      </c>
      <c r="CD11">
        <v>759</v>
      </c>
      <c r="CE11">
        <v>55</v>
      </c>
      <c r="CF11">
        <v>58.3372859025</v>
      </c>
      <c r="CG11">
        <v>2075</v>
      </c>
      <c r="CH11">
        <v>14</v>
      </c>
      <c r="CI11">
        <v>90.029879518100003</v>
      </c>
      <c r="CJ11">
        <v>92.285714285699996</v>
      </c>
      <c r="CL11" t="s">
        <v>419</v>
      </c>
      <c r="CM11" t="s">
        <v>749</v>
      </c>
      <c r="CN11" t="s">
        <v>753</v>
      </c>
      <c r="CO11">
        <v>89</v>
      </c>
      <c r="CP11">
        <v>6</v>
      </c>
      <c r="CQ11">
        <v>48.157303370800001</v>
      </c>
      <c r="CR11">
        <v>326</v>
      </c>
      <c r="CS11">
        <v>0</v>
      </c>
      <c r="CT11">
        <v>59.107361963199999</v>
      </c>
      <c r="CU11">
        <v>0</v>
      </c>
      <c r="CW11" t="s">
        <v>419</v>
      </c>
      <c r="CX11" t="s">
        <v>759</v>
      </c>
      <c r="CY11" t="s">
        <v>763</v>
      </c>
      <c r="CZ11">
        <v>28</v>
      </c>
      <c r="DA11">
        <v>10</v>
      </c>
      <c r="DB11">
        <v>102.8571428571</v>
      </c>
      <c r="DC11">
        <v>29</v>
      </c>
      <c r="DD11">
        <v>0</v>
      </c>
      <c r="DE11">
        <v>134.13793103450001</v>
      </c>
      <c r="DF11">
        <v>0</v>
      </c>
      <c r="DH11" t="s">
        <v>419</v>
      </c>
      <c r="DI11" t="s">
        <v>739</v>
      </c>
      <c r="DJ11" t="s">
        <v>743</v>
      </c>
      <c r="DK11">
        <v>13</v>
      </c>
      <c r="DL11">
        <v>0</v>
      </c>
      <c r="DM11">
        <v>66.153846153800004</v>
      </c>
      <c r="DN11">
        <v>26</v>
      </c>
      <c r="DO11">
        <v>0</v>
      </c>
      <c r="DP11">
        <v>125.4230769231</v>
      </c>
      <c r="DQ11">
        <v>0</v>
      </c>
    </row>
    <row r="12" spans="2:121" x14ac:dyDescent="0.2">
      <c r="B12" t="s">
        <v>121</v>
      </c>
      <c r="C12">
        <v>758</v>
      </c>
      <c r="D12">
        <v>352</v>
      </c>
      <c r="F12" t="s">
        <v>57</v>
      </c>
      <c r="G12">
        <v>11073</v>
      </c>
      <c r="H12">
        <v>383.44071164090002</v>
      </c>
      <c r="I12">
        <v>6831</v>
      </c>
      <c r="J12">
        <v>1457</v>
      </c>
      <c r="K12">
        <v>12319</v>
      </c>
      <c r="L12">
        <v>9219</v>
      </c>
      <c r="M12">
        <v>4537</v>
      </c>
      <c r="N12">
        <v>4194</v>
      </c>
      <c r="O12">
        <v>1824</v>
      </c>
      <c r="P12">
        <v>1124</v>
      </c>
      <c r="Q12">
        <v>0</v>
      </c>
      <c r="R12">
        <v>383</v>
      </c>
      <c r="T12" t="s">
        <v>649</v>
      </c>
      <c r="U12" t="s">
        <v>306</v>
      </c>
      <c r="V12" t="s">
        <v>133</v>
      </c>
      <c r="W12" t="s">
        <v>214</v>
      </c>
      <c r="X12" t="s">
        <v>215</v>
      </c>
      <c r="Y12" t="s">
        <v>216</v>
      </c>
      <c r="Z12" t="s">
        <v>217</v>
      </c>
      <c r="AA12" t="s">
        <v>218</v>
      </c>
      <c r="AB12" t="s">
        <v>219</v>
      </c>
      <c r="AC12" t="s">
        <v>220</v>
      </c>
      <c r="AD12" t="s">
        <v>221</v>
      </c>
      <c r="AE12" t="s">
        <v>222</v>
      </c>
      <c r="AF12" t="s">
        <v>223</v>
      </c>
      <c r="AH12" t="s">
        <v>426</v>
      </c>
      <c r="AI12">
        <v>19283</v>
      </c>
      <c r="AJ12">
        <v>329.65430690250002</v>
      </c>
      <c r="AK12">
        <v>23257</v>
      </c>
      <c r="AL12">
        <v>5461</v>
      </c>
      <c r="AM12">
        <v>26869</v>
      </c>
      <c r="AN12">
        <v>17444</v>
      </c>
      <c r="AO12">
        <v>7233</v>
      </c>
      <c r="AP12">
        <v>5579</v>
      </c>
      <c r="AQ12">
        <v>17529</v>
      </c>
      <c r="AR12">
        <v>11729</v>
      </c>
      <c r="AS12">
        <v>2149</v>
      </c>
      <c r="AT12">
        <v>282</v>
      </c>
      <c r="AV12" t="s">
        <v>388</v>
      </c>
      <c r="AW12">
        <v>613</v>
      </c>
      <c r="AX12">
        <v>61.345840130500001</v>
      </c>
      <c r="AY12">
        <v>395</v>
      </c>
      <c r="AZ12">
        <v>44</v>
      </c>
      <c r="BA12">
        <v>722</v>
      </c>
      <c r="BB12">
        <v>51</v>
      </c>
      <c r="BC12">
        <v>3</v>
      </c>
      <c r="BD12">
        <v>2</v>
      </c>
      <c r="BE12">
        <v>32</v>
      </c>
      <c r="BF12">
        <v>10</v>
      </c>
      <c r="BG12">
        <v>64</v>
      </c>
      <c r="BH12">
        <v>65</v>
      </c>
      <c r="BJ12" t="s">
        <v>552</v>
      </c>
      <c r="BK12" t="s">
        <v>386</v>
      </c>
      <c r="BL12">
        <v>5328</v>
      </c>
      <c r="BM12">
        <v>1373</v>
      </c>
      <c r="BN12">
        <v>94.015765765799998</v>
      </c>
      <c r="BO12">
        <v>9118</v>
      </c>
      <c r="BP12">
        <v>129</v>
      </c>
      <c r="BQ12">
        <v>141.46007896469999</v>
      </c>
      <c r="BR12">
        <v>127.7751937984</v>
      </c>
      <c r="BS12">
        <v>1609</v>
      </c>
      <c r="BT12">
        <v>413</v>
      </c>
      <c r="BU12">
        <v>91.449968924800004</v>
      </c>
      <c r="BV12">
        <v>6913</v>
      </c>
      <c r="BW12">
        <v>113</v>
      </c>
      <c r="BX12">
        <v>137.73585997399999</v>
      </c>
      <c r="BY12">
        <v>137.2300884956</v>
      </c>
      <c r="CA12" t="s">
        <v>413</v>
      </c>
      <c r="CB12" t="s">
        <v>768</v>
      </c>
      <c r="CC12" t="s">
        <v>999</v>
      </c>
      <c r="CD12">
        <v>5191</v>
      </c>
      <c r="CE12">
        <v>802</v>
      </c>
      <c r="CF12">
        <v>70.625890965099998</v>
      </c>
      <c r="CG12">
        <v>13527</v>
      </c>
      <c r="CH12">
        <v>108</v>
      </c>
      <c r="CI12">
        <v>102.5399571228</v>
      </c>
      <c r="CJ12">
        <v>90.555555555599994</v>
      </c>
      <c r="CL12" t="s">
        <v>413</v>
      </c>
      <c r="CM12" t="s">
        <v>749</v>
      </c>
      <c r="CN12" t="s">
        <v>754</v>
      </c>
      <c r="CO12">
        <v>445</v>
      </c>
      <c r="CP12">
        <v>29</v>
      </c>
      <c r="CQ12">
        <v>56.0943820225</v>
      </c>
      <c r="CR12">
        <v>1557</v>
      </c>
      <c r="CS12">
        <v>6</v>
      </c>
      <c r="CT12">
        <v>66.243416827199994</v>
      </c>
      <c r="CU12">
        <v>37.5</v>
      </c>
      <c r="CW12" t="s">
        <v>413</v>
      </c>
      <c r="CX12" t="s">
        <v>759</v>
      </c>
      <c r="CY12" t="s">
        <v>764</v>
      </c>
      <c r="CZ12">
        <v>118</v>
      </c>
      <c r="DA12">
        <v>17</v>
      </c>
      <c r="DB12">
        <v>74.771186440700006</v>
      </c>
      <c r="DC12">
        <v>152</v>
      </c>
      <c r="DD12">
        <v>0</v>
      </c>
      <c r="DE12">
        <v>139.7105263158</v>
      </c>
      <c r="DF12">
        <v>0</v>
      </c>
      <c r="DH12" t="s">
        <v>413</v>
      </c>
      <c r="DI12" t="s">
        <v>739</v>
      </c>
      <c r="DJ12" t="s">
        <v>744</v>
      </c>
      <c r="DK12">
        <v>200</v>
      </c>
      <c r="DL12">
        <v>34</v>
      </c>
      <c r="DM12">
        <v>72.355000000000004</v>
      </c>
      <c r="DN12">
        <v>267</v>
      </c>
      <c r="DO12">
        <v>4</v>
      </c>
      <c r="DP12">
        <v>125.2397003745</v>
      </c>
      <c r="DQ12">
        <v>115</v>
      </c>
    </row>
    <row r="13" spans="2:121" x14ac:dyDescent="0.2">
      <c r="B13" t="s">
        <v>97</v>
      </c>
      <c r="C13">
        <v>171</v>
      </c>
      <c r="D13">
        <v>113</v>
      </c>
      <c r="F13" t="s">
        <v>34</v>
      </c>
      <c r="G13">
        <v>218</v>
      </c>
      <c r="H13">
        <v>51.931192660599997</v>
      </c>
      <c r="I13">
        <v>1382</v>
      </c>
      <c r="J13">
        <v>308</v>
      </c>
      <c r="K13">
        <v>381</v>
      </c>
      <c r="L13">
        <v>37</v>
      </c>
      <c r="M13">
        <v>207</v>
      </c>
      <c r="N13">
        <v>164</v>
      </c>
      <c r="O13">
        <v>179</v>
      </c>
      <c r="P13">
        <v>64</v>
      </c>
      <c r="Q13">
        <v>0</v>
      </c>
      <c r="R13">
        <v>2</v>
      </c>
      <c r="T13" t="s">
        <v>386</v>
      </c>
      <c r="U13">
        <v>47948</v>
      </c>
      <c r="V13">
        <v>361.58842913159998</v>
      </c>
      <c r="W13">
        <v>62226</v>
      </c>
      <c r="X13">
        <v>15269</v>
      </c>
      <c r="Y13">
        <v>72614</v>
      </c>
      <c r="Z13">
        <v>47686</v>
      </c>
      <c r="AA13">
        <v>19185</v>
      </c>
      <c r="AB13">
        <v>14290</v>
      </c>
      <c r="AC13">
        <v>16828</v>
      </c>
      <c r="AD13">
        <v>9648</v>
      </c>
      <c r="AE13">
        <v>50</v>
      </c>
      <c r="AF13">
        <v>1139</v>
      </c>
      <c r="AH13" t="s">
        <v>382</v>
      </c>
      <c r="AI13">
        <v>14185</v>
      </c>
      <c r="AJ13">
        <v>357.0989072964</v>
      </c>
      <c r="AK13">
        <v>17019</v>
      </c>
      <c r="AL13">
        <v>4624</v>
      </c>
      <c r="AM13">
        <v>21145</v>
      </c>
      <c r="AN13">
        <v>14634</v>
      </c>
      <c r="AO13">
        <v>8101</v>
      </c>
      <c r="AP13">
        <v>6745</v>
      </c>
      <c r="AQ13">
        <v>12775</v>
      </c>
      <c r="AR13">
        <v>10490</v>
      </c>
      <c r="AS13">
        <v>1046</v>
      </c>
      <c r="AT13">
        <v>31</v>
      </c>
      <c r="AV13" t="s">
        <v>409</v>
      </c>
      <c r="AW13">
        <v>81</v>
      </c>
      <c r="AX13">
        <v>49.950617284000003</v>
      </c>
      <c r="AY13">
        <v>105</v>
      </c>
      <c r="AZ13">
        <v>4</v>
      </c>
      <c r="BA13">
        <v>101</v>
      </c>
      <c r="BC13">
        <v>1</v>
      </c>
      <c r="BD13">
        <v>1</v>
      </c>
      <c r="BE13">
        <v>2</v>
      </c>
      <c r="BG13">
        <v>130</v>
      </c>
      <c r="BH13">
        <v>15</v>
      </c>
      <c r="BJ13" t="s">
        <v>589</v>
      </c>
      <c r="BK13" t="s">
        <v>386</v>
      </c>
      <c r="BL13">
        <v>2081</v>
      </c>
      <c r="BM13">
        <v>611</v>
      </c>
      <c r="BN13">
        <v>97.375780874599997</v>
      </c>
      <c r="BO13">
        <v>3072</v>
      </c>
      <c r="BP13">
        <v>18</v>
      </c>
      <c r="BQ13">
        <v>139.4306640625</v>
      </c>
      <c r="BR13">
        <v>107.05555555559999</v>
      </c>
      <c r="BS13">
        <v>2441</v>
      </c>
      <c r="BT13">
        <v>1069</v>
      </c>
      <c r="BU13">
        <v>115.40475215079999</v>
      </c>
      <c r="BV13">
        <v>5822</v>
      </c>
      <c r="BW13">
        <v>18</v>
      </c>
      <c r="BX13">
        <v>156.35503263480001</v>
      </c>
      <c r="BY13">
        <v>117.05555555559999</v>
      </c>
      <c r="CA13" t="s">
        <v>411</v>
      </c>
      <c r="CB13" t="s">
        <v>768</v>
      </c>
      <c r="CC13" t="s">
        <v>1000</v>
      </c>
      <c r="CD13">
        <v>33309</v>
      </c>
      <c r="CE13">
        <v>7576</v>
      </c>
      <c r="CF13">
        <v>90.228046473899994</v>
      </c>
      <c r="CG13">
        <v>57534</v>
      </c>
      <c r="CH13">
        <v>561</v>
      </c>
      <c r="CI13">
        <v>133.88326902349999</v>
      </c>
      <c r="CJ13">
        <v>123.7486631016</v>
      </c>
      <c r="CL13" t="s">
        <v>411</v>
      </c>
      <c r="CM13" t="s">
        <v>749</v>
      </c>
      <c r="CN13" t="s">
        <v>755</v>
      </c>
      <c r="CO13">
        <v>1872</v>
      </c>
      <c r="CP13">
        <v>165</v>
      </c>
      <c r="CQ13">
        <v>58.433226495699998</v>
      </c>
      <c r="CR13">
        <v>5997</v>
      </c>
      <c r="CS13">
        <v>37</v>
      </c>
      <c r="CT13">
        <v>67.416208104099994</v>
      </c>
      <c r="CU13">
        <v>65.702702702699995</v>
      </c>
      <c r="CW13" t="s">
        <v>411</v>
      </c>
      <c r="CX13" t="s">
        <v>759</v>
      </c>
      <c r="CY13" t="s">
        <v>765</v>
      </c>
      <c r="CZ13">
        <v>1193</v>
      </c>
      <c r="DA13">
        <v>267</v>
      </c>
      <c r="DB13">
        <v>83.086336965599997</v>
      </c>
      <c r="DC13">
        <v>1358</v>
      </c>
      <c r="DD13">
        <v>9</v>
      </c>
      <c r="DE13">
        <v>140.90353460969999</v>
      </c>
      <c r="DF13">
        <v>88.333333333300004</v>
      </c>
      <c r="DH13" t="s">
        <v>411</v>
      </c>
      <c r="DI13" t="s">
        <v>739</v>
      </c>
      <c r="DJ13" t="s">
        <v>745</v>
      </c>
      <c r="DK13">
        <v>1069</v>
      </c>
      <c r="DL13">
        <v>185</v>
      </c>
      <c r="DM13">
        <v>73.404115996300007</v>
      </c>
      <c r="DN13">
        <v>1543</v>
      </c>
      <c r="DO13">
        <v>10</v>
      </c>
      <c r="DP13">
        <v>133.1510045366</v>
      </c>
      <c r="DQ13">
        <v>95.5</v>
      </c>
    </row>
    <row r="14" spans="2:121" x14ac:dyDescent="0.2">
      <c r="B14" t="s">
        <v>128</v>
      </c>
      <c r="C14">
        <v>1655</v>
      </c>
      <c r="D14">
        <v>283</v>
      </c>
      <c r="F14" t="s">
        <v>38</v>
      </c>
      <c r="G14">
        <v>4526</v>
      </c>
      <c r="H14">
        <v>460.91184268670003</v>
      </c>
      <c r="I14">
        <v>6813</v>
      </c>
      <c r="J14">
        <v>1607</v>
      </c>
      <c r="K14">
        <v>6707</v>
      </c>
      <c r="L14">
        <v>4390</v>
      </c>
      <c r="M14">
        <v>1600</v>
      </c>
      <c r="N14">
        <v>1446</v>
      </c>
      <c r="O14">
        <v>2736</v>
      </c>
      <c r="P14">
        <v>2099</v>
      </c>
      <c r="Q14">
        <v>1</v>
      </c>
      <c r="R14">
        <v>325</v>
      </c>
      <c r="T14" t="s">
        <v>391</v>
      </c>
      <c r="U14">
        <v>34877</v>
      </c>
      <c r="V14">
        <v>347.95254752419999</v>
      </c>
      <c r="W14">
        <v>54064</v>
      </c>
      <c r="X14">
        <v>11352</v>
      </c>
      <c r="Y14">
        <v>59323</v>
      </c>
      <c r="Z14">
        <v>33006</v>
      </c>
      <c r="AA14">
        <v>14406</v>
      </c>
      <c r="AB14">
        <v>10661</v>
      </c>
      <c r="AC14">
        <v>13674</v>
      </c>
      <c r="AD14">
        <v>9008</v>
      </c>
      <c r="AE14">
        <v>7167</v>
      </c>
      <c r="AF14">
        <v>1027</v>
      </c>
      <c r="AH14" t="s">
        <v>429</v>
      </c>
      <c r="AI14">
        <v>1443</v>
      </c>
      <c r="AJ14">
        <v>296.41164241159998</v>
      </c>
      <c r="AK14">
        <v>1699</v>
      </c>
      <c r="AL14">
        <v>360</v>
      </c>
      <c r="AM14">
        <v>2042</v>
      </c>
      <c r="AN14">
        <v>1335</v>
      </c>
      <c r="AO14">
        <v>1060</v>
      </c>
      <c r="AP14">
        <v>648</v>
      </c>
      <c r="AQ14">
        <v>603</v>
      </c>
      <c r="AR14">
        <v>328</v>
      </c>
      <c r="AS14">
        <v>3</v>
      </c>
      <c r="AT14">
        <v>5</v>
      </c>
      <c r="AV14" t="s">
        <v>394</v>
      </c>
      <c r="AW14">
        <v>363</v>
      </c>
      <c r="AX14">
        <v>63.019283746600003</v>
      </c>
      <c r="AY14">
        <v>353</v>
      </c>
      <c r="AZ14">
        <v>33</v>
      </c>
      <c r="BA14">
        <v>458</v>
      </c>
      <c r="BB14">
        <v>36</v>
      </c>
      <c r="BC14">
        <v>3</v>
      </c>
      <c r="BD14">
        <v>3</v>
      </c>
      <c r="BE14">
        <v>33</v>
      </c>
      <c r="BF14">
        <v>7</v>
      </c>
      <c r="BG14">
        <v>76</v>
      </c>
      <c r="BH14">
        <v>67</v>
      </c>
      <c r="BJ14" t="s">
        <v>606</v>
      </c>
      <c r="BK14" t="s">
        <v>386</v>
      </c>
      <c r="BL14">
        <v>15770</v>
      </c>
      <c r="BM14">
        <v>3157</v>
      </c>
      <c r="BN14">
        <v>84.349651236499994</v>
      </c>
      <c r="BO14">
        <v>27871</v>
      </c>
      <c r="BP14">
        <v>297</v>
      </c>
      <c r="BQ14">
        <v>135.71034408520001</v>
      </c>
      <c r="BR14">
        <v>122.5791245791</v>
      </c>
      <c r="BS14">
        <v>14751</v>
      </c>
      <c r="BT14">
        <v>2546</v>
      </c>
      <c r="BU14">
        <v>77.655480984299999</v>
      </c>
      <c r="BV14">
        <v>26614</v>
      </c>
      <c r="BW14">
        <v>268</v>
      </c>
      <c r="BX14">
        <v>134.75640640259999</v>
      </c>
      <c r="BY14">
        <v>117.5485074627</v>
      </c>
      <c r="CA14" t="s">
        <v>407</v>
      </c>
      <c r="CB14" t="s">
        <v>768</v>
      </c>
      <c r="CC14" t="s">
        <v>1001</v>
      </c>
      <c r="CD14">
        <v>1988</v>
      </c>
      <c r="CE14">
        <v>608</v>
      </c>
      <c r="CF14">
        <v>99.542756539199999</v>
      </c>
      <c r="CG14">
        <v>2640</v>
      </c>
      <c r="CH14">
        <v>19</v>
      </c>
      <c r="CI14">
        <v>138.90530303029999</v>
      </c>
      <c r="CJ14">
        <v>128.7894736842</v>
      </c>
      <c r="CL14" t="s">
        <v>407</v>
      </c>
      <c r="CM14" t="s">
        <v>749</v>
      </c>
      <c r="CN14" t="s">
        <v>756</v>
      </c>
      <c r="CO14">
        <v>188</v>
      </c>
      <c r="CP14">
        <v>12</v>
      </c>
      <c r="CQ14">
        <v>56.638297872300001</v>
      </c>
      <c r="CR14">
        <v>530</v>
      </c>
      <c r="CS14">
        <v>6</v>
      </c>
      <c r="CT14">
        <v>66.741509433999994</v>
      </c>
      <c r="CU14">
        <v>41.833333333299997</v>
      </c>
      <c r="CW14" t="s">
        <v>407</v>
      </c>
      <c r="CX14" t="s">
        <v>759</v>
      </c>
      <c r="CY14" t="s">
        <v>766</v>
      </c>
      <c r="CZ14">
        <v>60</v>
      </c>
      <c r="DA14">
        <v>19</v>
      </c>
      <c r="DB14">
        <v>102.1666666667</v>
      </c>
      <c r="DC14">
        <v>78</v>
      </c>
      <c r="DD14">
        <v>1</v>
      </c>
      <c r="DE14">
        <v>144.92307692310001</v>
      </c>
      <c r="DF14">
        <v>184</v>
      </c>
      <c r="DH14" t="s">
        <v>407</v>
      </c>
      <c r="DI14" t="s">
        <v>739</v>
      </c>
      <c r="DJ14" t="s">
        <v>746</v>
      </c>
      <c r="DK14">
        <v>48</v>
      </c>
      <c r="DL14">
        <v>17</v>
      </c>
      <c r="DM14">
        <v>103.9375</v>
      </c>
      <c r="DN14">
        <v>98</v>
      </c>
      <c r="DO14">
        <v>1</v>
      </c>
      <c r="DP14">
        <v>117.806122449</v>
      </c>
      <c r="DQ14">
        <v>61</v>
      </c>
    </row>
    <row r="15" spans="2:121" x14ac:dyDescent="0.2">
      <c r="B15" t="s">
        <v>118</v>
      </c>
      <c r="C15">
        <v>36</v>
      </c>
      <c r="D15">
        <v>18</v>
      </c>
      <c r="F15" t="s">
        <v>36</v>
      </c>
      <c r="G15">
        <v>300</v>
      </c>
      <c r="H15">
        <v>257.4033333333</v>
      </c>
      <c r="I15">
        <v>752</v>
      </c>
      <c r="J15">
        <v>104</v>
      </c>
      <c r="K15">
        <v>506</v>
      </c>
      <c r="L15">
        <v>282</v>
      </c>
      <c r="M15">
        <v>163</v>
      </c>
      <c r="N15">
        <v>106</v>
      </c>
      <c r="O15">
        <v>109</v>
      </c>
      <c r="P15">
        <v>42</v>
      </c>
      <c r="Q15">
        <v>2</v>
      </c>
      <c r="R15">
        <v>5</v>
      </c>
      <c r="T15" t="s">
        <v>370</v>
      </c>
      <c r="U15">
        <v>80448</v>
      </c>
      <c r="V15">
        <v>447.56849144789999</v>
      </c>
      <c r="W15">
        <v>75993</v>
      </c>
      <c r="X15">
        <v>18858</v>
      </c>
      <c r="Y15">
        <v>111513</v>
      </c>
      <c r="Z15">
        <v>80299</v>
      </c>
      <c r="AA15">
        <v>39731</v>
      </c>
      <c r="AB15">
        <v>32392</v>
      </c>
      <c r="AC15">
        <v>28135</v>
      </c>
      <c r="AD15">
        <v>20076</v>
      </c>
      <c r="AE15">
        <v>13089</v>
      </c>
      <c r="AF15">
        <v>53</v>
      </c>
      <c r="AH15" t="s">
        <v>409</v>
      </c>
      <c r="AI15">
        <v>599</v>
      </c>
      <c r="AJ15">
        <v>276.4257095159</v>
      </c>
      <c r="AK15">
        <v>1533</v>
      </c>
      <c r="AL15">
        <v>352</v>
      </c>
      <c r="AM15">
        <v>934</v>
      </c>
      <c r="AN15">
        <v>469</v>
      </c>
      <c r="AO15">
        <v>350</v>
      </c>
      <c r="AP15">
        <v>270</v>
      </c>
      <c r="AQ15">
        <v>464</v>
      </c>
      <c r="AR15">
        <v>262</v>
      </c>
      <c r="AS15">
        <v>1</v>
      </c>
      <c r="AT15">
        <v>3</v>
      </c>
      <c r="AV15" t="s">
        <v>413</v>
      </c>
      <c r="AW15">
        <v>283</v>
      </c>
      <c r="AX15">
        <v>51.487632508799997</v>
      </c>
      <c r="AY15">
        <v>261</v>
      </c>
      <c r="AZ15">
        <v>13</v>
      </c>
      <c r="BA15">
        <v>337</v>
      </c>
      <c r="BB15">
        <v>9</v>
      </c>
      <c r="BC15">
        <v>3</v>
      </c>
      <c r="BD15">
        <v>3</v>
      </c>
      <c r="BE15">
        <v>15</v>
      </c>
      <c r="BF15">
        <v>4</v>
      </c>
      <c r="BG15">
        <v>675</v>
      </c>
      <c r="BH15">
        <v>64</v>
      </c>
      <c r="BJ15" t="s">
        <v>568</v>
      </c>
      <c r="BK15" t="s">
        <v>391</v>
      </c>
      <c r="BL15">
        <v>5860</v>
      </c>
      <c r="BM15">
        <v>1638</v>
      </c>
      <c r="BN15">
        <v>102.92372013649999</v>
      </c>
      <c r="BO15">
        <v>10796</v>
      </c>
      <c r="BP15">
        <v>108</v>
      </c>
      <c r="BQ15">
        <v>148.3856984068</v>
      </c>
      <c r="BR15">
        <v>139.24074074070001</v>
      </c>
      <c r="BS15">
        <v>4221</v>
      </c>
      <c r="BT15">
        <v>732</v>
      </c>
      <c r="BU15">
        <v>81.2127457948</v>
      </c>
      <c r="BV15">
        <v>6382</v>
      </c>
      <c r="BW15">
        <v>76</v>
      </c>
      <c r="BX15">
        <v>127.5042306487</v>
      </c>
      <c r="BY15">
        <v>110.7105263158</v>
      </c>
      <c r="CA15" t="s">
        <v>422</v>
      </c>
      <c r="CB15" t="s">
        <v>768</v>
      </c>
      <c r="CC15" t="s">
        <v>1002</v>
      </c>
      <c r="CD15">
        <v>811</v>
      </c>
      <c r="CE15">
        <v>116</v>
      </c>
      <c r="CF15">
        <v>72.374845869300003</v>
      </c>
      <c r="CG15">
        <v>1481</v>
      </c>
      <c r="CH15">
        <v>28</v>
      </c>
      <c r="CI15">
        <v>131.7197839298</v>
      </c>
      <c r="CJ15">
        <v>88.5</v>
      </c>
      <c r="CL15" t="s">
        <v>422</v>
      </c>
      <c r="CM15" t="s">
        <v>749</v>
      </c>
      <c r="CN15" t="s">
        <v>757</v>
      </c>
      <c r="CO15">
        <v>26</v>
      </c>
      <c r="CP15">
        <v>1</v>
      </c>
      <c r="CQ15">
        <v>46.5</v>
      </c>
      <c r="CR15">
        <v>92</v>
      </c>
      <c r="CS15">
        <v>1</v>
      </c>
      <c r="CT15">
        <v>59.576086956499999</v>
      </c>
      <c r="CU15">
        <v>52</v>
      </c>
      <c r="CW15" t="s">
        <v>422</v>
      </c>
      <c r="CX15" t="s">
        <v>759</v>
      </c>
      <c r="CY15" t="s">
        <v>767</v>
      </c>
      <c r="CZ15">
        <v>17</v>
      </c>
      <c r="DA15">
        <v>6</v>
      </c>
      <c r="DB15">
        <v>107.76470588239999</v>
      </c>
      <c r="DC15">
        <v>23</v>
      </c>
      <c r="DD15">
        <v>0</v>
      </c>
      <c r="DE15">
        <v>153.52173913039999</v>
      </c>
      <c r="DF15">
        <v>0</v>
      </c>
      <c r="DH15" t="s">
        <v>422</v>
      </c>
      <c r="DI15" t="s">
        <v>739</v>
      </c>
      <c r="DJ15" t="s">
        <v>747</v>
      </c>
      <c r="DK15">
        <v>9</v>
      </c>
      <c r="DL15">
        <v>1</v>
      </c>
      <c r="DM15">
        <v>39.333333333299997</v>
      </c>
      <c r="DN15">
        <v>28</v>
      </c>
      <c r="DO15">
        <v>0</v>
      </c>
      <c r="DP15">
        <v>125.7142857143</v>
      </c>
      <c r="DQ15">
        <v>0</v>
      </c>
    </row>
    <row r="16" spans="2:121" x14ac:dyDescent="0.2">
      <c r="B16" t="s">
        <v>1062</v>
      </c>
      <c r="C16">
        <v>5</v>
      </c>
      <c r="F16" t="s">
        <v>61</v>
      </c>
      <c r="G16">
        <v>652</v>
      </c>
      <c r="H16">
        <v>180.7346625767</v>
      </c>
      <c r="I16">
        <v>2697</v>
      </c>
      <c r="J16">
        <v>516</v>
      </c>
      <c r="K16">
        <v>1271</v>
      </c>
      <c r="L16">
        <v>580</v>
      </c>
      <c r="M16">
        <v>739</v>
      </c>
      <c r="N16">
        <v>695</v>
      </c>
      <c r="O16">
        <v>1542</v>
      </c>
      <c r="P16">
        <v>1170</v>
      </c>
      <c r="Q16">
        <v>0</v>
      </c>
      <c r="R16">
        <v>0</v>
      </c>
      <c r="T16" t="s">
        <v>8</v>
      </c>
      <c r="U16">
        <v>192</v>
      </c>
      <c r="V16">
        <v>534.64583333329995</v>
      </c>
      <c r="W16">
        <v>373</v>
      </c>
      <c r="X16">
        <v>4</v>
      </c>
      <c r="Y16">
        <v>223</v>
      </c>
      <c r="Z16">
        <v>170</v>
      </c>
      <c r="AA16">
        <v>32</v>
      </c>
      <c r="AB16">
        <v>19</v>
      </c>
      <c r="AC16">
        <v>56439</v>
      </c>
      <c r="AD16">
        <v>33332</v>
      </c>
      <c r="AE16">
        <v>0</v>
      </c>
      <c r="AF16">
        <v>1</v>
      </c>
      <c r="AH16" t="s">
        <v>395</v>
      </c>
      <c r="AI16">
        <v>6137</v>
      </c>
      <c r="AJ16">
        <v>476.98794199119999</v>
      </c>
      <c r="AK16">
        <v>6383</v>
      </c>
      <c r="AL16">
        <v>1731</v>
      </c>
      <c r="AM16">
        <v>9009</v>
      </c>
      <c r="AN16">
        <v>6017</v>
      </c>
      <c r="AO16">
        <v>2227</v>
      </c>
      <c r="AP16">
        <v>1989</v>
      </c>
      <c r="AQ16">
        <v>3273</v>
      </c>
      <c r="AR16">
        <v>1688</v>
      </c>
      <c r="AS16">
        <v>833</v>
      </c>
      <c r="AT16">
        <v>215</v>
      </c>
      <c r="AV16" t="s">
        <v>376</v>
      </c>
      <c r="AW16">
        <v>1583</v>
      </c>
      <c r="AX16">
        <v>94.765003158599995</v>
      </c>
      <c r="AY16">
        <v>2718</v>
      </c>
      <c r="AZ16">
        <v>701</v>
      </c>
      <c r="BA16">
        <v>2196</v>
      </c>
      <c r="BB16">
        <v>608</v>
      </c>
      <c r="BC16">
        <v>4</v>
      </c>
      <c r="BD16">
        <v>4</v>
      </c>
      <c r="BE16">
        <v>132</v>
      </c>
      <c r="BF16">
        <v>28</v>
      </c>
      <c r="BG16">
        <v>137</v>
      </c>
      <c r="BH16">
        <v>471</v>
      </c>
      <c r="BJ16" t="s">
        <v>560</v>
      </c>
      <c r="BK16" t="s">
        <v>391</v>
      </c>
      <c r="BL16">
        <v>6966</v>
      </c>
      <c r="BM16">
        <v>1601</v>
      </c>
      <c r="BN16">
        <v>97.546942291099995</v>
      </c>
      <c r="BO16">
        <v>15328</v>
      </c>
      <c r="BP16">
        <v>165</v>
      </c>
      <c r="BQ16">
        <v>133.07548277660001</v>
      </c>
      <c r="BR16">
        <v>109.0909090909</v>
      </c>
      <c r="BS16">
        <v>6886</v>
      </c>
      <c r="BT16">
        <v>1621</v>
      </c>
      <c r="BU16">
        <v>98.877722916099998</v>
      </c>
      <c r="BV16">
        <v>16769</v>
      </c>
      <c r="BW16">
        <v>164</v>
      </c>
      <c r="BX16">
        <v>143.30121056709999</v>
      </c>
      <c r="BY16">
        <v>108.243902439</v>
      </c>
      <c r="CA16" t="s">
        <v>386</v>
      </c>
      <c r="CB16" t="s">
        <v>768</v>
      </c>
      <c r="CD16">
        <v>61006</v>
      </c>
      <c r="CE16">
        <v>14250</v>
      </c>
      <c r="CF16">
        <v>90.501311346400001</v>
      </c>
      <c r="CG16">
        <v>110590</v>
      </c>
      <c r="CH16">
        <v>1146</v>
      </c>
      <c r="CI16">
        <v>129.61242426979999</v>
      </c>
      <c r="CJ16">
        <v>117.03490401400001</v>
      </c>
      <c r="CL16" t="s">
        <v>386</v>
      </c>
      <c r="CM16" t="s">
        <v>749</v>
      </c>
      <c r="CO16">
        <v>3895</v>
      </c>
      <c r="CP16">
        <v>367</v>
      </c>
      <c r="CQ16">
        <v>61.579460847199996</v>
      </c>
      <c r="CR16">
        <v>13046</v>
      </c>
      <c r="CS16">
        <v>73</v>
      </c>
      <c r="CT16">
        <v>67.487889008099998</v>
      </c>
      <c r="CU16">
        <v>61.027397260299999</v>
      </c>
      <c r="CW16" t="s">
        <v>386</v>
      </c>
      <c r="CX16" t="s">
        <v>759</v>
      </c>
      <c r="CZ16">
        <v>1902</v>
      </c>
      <c r="DA16">
        <v>420</v>
      </c>
      <c r="DB16">
        <v>84.424290220800003</v>
      </c>
      <c r="DC16">
        <v>2245</v>
      </c>
      <c r="DD16">
        <v>17</v>
      </c>
      <c r="DE16">
        <v>141.43162583520001</v>
      </c>
      <c r="DF16">
        <v>101.29411764709999</v>
      </c>
      <c r="DH16" t="s">
        <v>386</v>
      </c>
      <c r="DI16" t="s">
        <v>739</v>
      </c>
      <c r="DK16">
        <v>1915</v>
      </c>
      <c r="DL16">
        <v>317</v>
      </c>
      <c r="DM16">
        <v>72.261618799000004</v>
      </c>
      <c r="DN16">
        <v>2950</v>
      </c>
      <c r="DO16">
        <v>21</v>
      </c>
      <c r="DP16">
        <v>129.54271186439999</v>
      </c>
      <c r="DQ16">
        <v>99.809523809500007</v>
      </c>
    </row>
    <row r="17" spans="2:121" x14ac:dyDescent="0.2">
      <c r="B17" t="s">
        <v>94</v>
      </c>
      <c r="C17">
        <v>199</v>
      </c>
      <c r="D17">
        <v>39</v>
      </c>
      <c r="F17" t="s">
        <v>83</v>
      </c>
      <c r="G17">
        <v>17957</v>
      </c>
      <c r="H17">
        <v>320.25561062539998</v>
      </c>
      <c r="I17">
        <v>18246</v>
      </c>
      <c r="J17">
        <v>4760</v>
      </c>
      <c r="K17">
        <v>28711</v>
      </c>
      <c r="L17">
        <v>19758</v>
      </c>
      <c r="M17">
        <v>12103</v>
      </c>
      <c r="N17">
        <v>9018</v>
      </c>
      <c r="O17">
        <v>3838</v>
      </c>
      <c r="P17">
        <v>2750</v>
      </c>
      <c r="Q17">
        <v>0</v>
      </c>
      <c r="R17">
        <v>18</v>
      </c>
      <c r="T17" t="s">
        <v>405</v>
      </c>
      <c r="U17">
        <v>52657</v>
      </c>
      <c r="V17">
        <v>386.64967620639999</v>
      </c>
      <c r="W17">
        <v>57381</v>
      </c>
      <c r="X17">
        <v>13069</v>
      </c>
      <c r="Y17">
        <v>77499</v>
      </c>
      <c r="Z17">
        <v>54046</v>
      </c>
      <c r="AA17">
        <v>23743</v>
      </c>
      <c r="AB17">
        <v>18999</v>
      </c>
      <c r="AC17">
        <v>20058</v>
      </c>
      <c r="AD17">
        <v>14402</v>
      </c>
      <c r="AE17">
        <v>425</v>
      </c>
      <c r="AF17">
        <v>737</v>
      </c>
      <c r="AH17" t="s">
        <v>393</v>
      </c>
      <c r="AI17">
        <v>5912</v>
      </c>
      <c r="AJ17">
        <v>625.3070027064</v>
      </c>
      <c r="AK17">
        <v>4851</v>
      </c>
      <c r="AL17">
        <v>1122</v>
      </c>
      <c r="AM17">
        <v>9058</v>
      </c>
      <c r="AN17">
        <v>6943</v>
      </c>
      <c r="AO17">
        <v>2139</v>
      </c>
      <c r="AP17">
        <v>1819</v>
      </c>
      <c r="AQ17">
        <v>2991</v>
      </c>
      <c r="AR17">
        <v>2129</v>
      </c>
      <c r="AS17">
        <v>630</v>
      </c>
      <c r="AT17">
        <v>214</v>
      </c>
      <c r="AV17" t="s">
        <v>429</v>
      </c>
      <c r="AW17">
        <v>27</v>
      </c>
      <c r="AX17">
        <v>60.629629629599997</v>
      </c>
      <c r="AY17">
        <v>23</v>
      </c>
      <c r="AZ17">
        <v>3</v>
      </c>
      <c r="BA17">
        <v>36</v>
      </c>
      <c r="BB17">
        <v>3</v>
      </c>
      <c r="BC17">
        <v>1</v>
      </c>
      <c r="BD17">
        <v>1</v>
      </c>
      <c r="BE17">
        <v>2</v>
      </c>
      <c r="BG17">
        <v>68</v>
      </c>
      <c r="BH17">
        <v>10</v>
      </c>
      <c r="BJ17" t="s">
        <v>577</v>
      </c>
      <c r="BK17" t="s">
        <v>391</v>
      </c>
      <c r="BL17">
        <v>2621</v>
      </c>
      <c r="BM17">
        <v>391</v>
      </c>
      <c r="BN17">
        <v>75.939336131199994</v>
      </c>
      <c r="BO17">
        <v>4151</v>
      </c>
      <c r="BP17">
        <v>29</v>
      </c>
      <c r="BQ17">
        <v>113.8848470248</v>
      </c>
      <c r="BR17">
        <v>110.10344827590001</v>
      </c>
      <c r="BS17">
        <v>2981</v>
      </c>
      <c r="BT17">
        <v>648</v>
      </c>
      <c r="BU17">
        <v>92.461254612499999</v>
      </c>
      <c r="BV17">
        <v>5834</v>
      </c>
      <c r="BW17">
        <v>33</v>
      </c>
      <c r="BX17">
        <v>130.42423722999999</v>
      </c>
      <c r="BY17">
        <v>116.36363636359999</v>
      </c>
      <c r="CA17" t="s">
        <v>395</v>
      </c>
      <c r="CB17" t="s">
        <v>808</v>
      </c>
      <c r="CC17" t="s">
        <v>1003</v>
      </c>
      <c r="CD17">
        <v>6071</v>
      </c>
      <c r="CE17">
        <v>1670</v>
      </c>
      <c r="CF17">
        <v>102.7112502059</v>
      </c>
      <c r="CG17">
        <v>11422</v>
      </c>
      <c r="CH17">
        <v>110</v>
      </c>
      <c r="CI17">
        <v>144.63911749260001</v>
      </c>
      <c r="CJ17">
        <v>130.63636363640001</v>
      </c>
      <c r="CL17" t="s">
        <v>395</v>
      </c>
      <c r="CM17" t="s">
        <v>783</v>
      </c>
      <c r="CN17" t="s">
        <v>782</v>
      </c>
      <c r="CO17">
        <v>587</v>
      </c>
      <c r="CP17">
        <v>111</v>
      </c>
      <c r="CQ17">
        <v>78.224872231700004</v>
      </c>
      <c r="CR17">
        <v>2349</v>
      </c>
      <c r="CS17">
        <v>6</v>
      </c>
      <c r="CT17">
        <v>73.926351639000004</v>
      </c>
      <c r="CU17">
        <v>77.833333333300004</v>
      </c>
      <c r="CW17" t="s">
        <v>395</v>
      </c>
      <c r="CX17" t="s">
        <v>796</v>
      </c>
      <c r="CY17" t="s">
        <v>795</v>
      </c>
      <c r="CZ17">
        <v>214</v>
      </c>
      <c r="DA17">
        <v>56</v>
      </c>
      <c r="DB17">
        <v>91.037383177600006</v>
      </c>
      <c r="DC17">
        <v>264</v>
      </c>
      <c r="DD17">
        <v>1</v>
      </c>
      <c r="DE17">
        <v>148.33712121209999</v>
      </c>
      <c r="DF17">
        <v>81</v>
      </c>
      <c r="DH17" t="s">
        <v>395</v>
      </c>
      <c r="DI17" t="s">
        <v>770</v>
      </c>
      <c r="DJ17" t="s">
        <v>769</v>
      </c>
      <c r="DK17">
        <v>160</v>
      </c>
      <c r="DL17">
        <v>30</v>
      </c>
      <c r="DM17">
        <v>86.056250000000006</v>
      </c>
      <c r="DN17">
        <v>272</v>
      </c>
      <c r="DO17">
        <v>2</v>
      </c>
      <c r="DP17">
        <v>129.7573529412</v>
      </c>
      <c r="DQ17">
        <v>76.5</v>
      </c>
    </row>
    <row r="18" spans="2:121" x14ac:dyDescent="0.2">
      <c r="B18" t="s">
        <v>119</v>
      </c>
      <c r="C18">
        <v>70</v>
      </c>
      <c r="D18">
        <v>51</v>
      </c>
      <c r="F18" t="s">
        <v>70</v>
      </c>
      <c r="G18">
        <v>4206</v>
      </c>
      <c r="H18">
        <v>267.87018544940003</v>
      </c>
      <c r="I18">
        <v>2120</v>
      </c>
      <c r="J18">
        <v>623</v>
      </c>
      <c r="K18">
        <v>8582</v>
      </c>
      <c r="L18">
        <v>5708</v>
      </c>
      <c r="M18">
        <v>995</v>
      </c>
      <c r="N18">
        <v>602</v>
      </c>
      <c r="O18">
        <v>251</v>
      </c>
      <c r="P18">
        <v>117</v>
      </c>
      <c r="Q18">
        <v>0</v>
      </c>
      <c r="R18">
        <v>2</v>
      </c>
      <c r="T18" t="s">
        <v>381</v>
      </c>
      <c r="U18">
        <v>59868</v>
      </c>
      <c r="V18">
        <v>349.8360559898</v>
      </c>
      <c r="W18">
        <v>65566</v>
      </c>
      <c r="X18">
        <v>16818</v>
      </c>
      <c r="Y18">
        <v>81749</v>
      </c>
      <c r="Z18">
        <v>55735</v>
      </c>
      <c r="AA18">
        <v>26345</v>
      </c>
      <c r="AB18">
        <v>22267</v>
      </c>
      <c r="AC18">
        <v>30270</v>
      </c>
      <c r="AD18">
        <v>22141</v>
      </c>
      <c r="AE18">
        <v>156</v>
      </c>
      <c r="AF18">
        <v>1261</v>
      </c>
      <c r="AH18" t="s">
        <v>400</v>
      </c>
      <c r="AI18">
        <v>1025</v>
      </c>
      <c r="AJ18">
        <v>173.66341463410001</v>
      </c>
      <c r="AK18">
        <v>2731</v>
      </c>
      <c r="AL18">
        <v>440</v>
      </c>
      <c r="AM18">
        <v>1487</v>
      </c>
      <c r="AN18">
        <v>561</v>
      </c>
      <c r="AO18">
        <v>402</v>
      </c>
      <c r="AP18">
        <v>290</v>
      </c>
      <c r="AQ18">
        <v>515</v>
      </c>
      <c r="AR18">
        <v>298</v>
      </c>
      <c r="AS18">
        <v>5</v>
      </c>
      <c r="AT18">
        <v>9</v>
      </c>
      <c r="AV18" t="s">
        <v>400</v>
      </c>
      <c r="AW18">
        <v>215</v>
      </c>
      <c r="AX18">
        <v>49.3069767442</v>
      </c>
      <c r="AY18">
        <v>298</v>
      </c>
      <c r="AZ18">
        <v>12</v>
      </c>
      <c r="BA18">
        <v>288</v>
      </c>
      <c r="BB18">
        <v>8</v>
      </c>
      <c r="BC18">
        <v>0</v>
      </c>
      <c r="BE18">
        <v>6</v>
      </c>
      <c r="BF18">
        <v>3</v>
      </c>
      <c r="BG18">
        <v>335</v>
      </c>
      <c r="BH18">
        <v>31</v>
      </c>
      <c r="BJ18" t="s">
        <v>570</v>
      </c>
      <c r="BK18" t="s">
        <v>391</v>
      </c>
      <c r="BL18">
        <v>7355</v>
      </c>
      <c r="BM18">
        <v>1864</v>
      </c>
      <c r="BN18">
        <v>96.049218218899995</v>
      </c>
      <c r="BO18">
        <v>11271</v>
      </c>
      <c r="BP18">
        <v>125</v>
      </c>
      <c r="BQ18">
        <v>140.76896459939999</v>
      </c>
      <c r="BR18">
        <v>108.744</v>
      </c>
      <c r="BS18">
        <v>2724</v>
      </c>
      <c r="BT18">
        <v>658</v>
      </c>
      <c r="BU18">
        <v>85.965124816400007</v>
      </c>
      <c r="BV18">
        <v>11374</v>
      </c>
      <c r="BW18">
        <v>141</v>
      </c>
      <c r="BX18">
        <v>137.96843678569999</v>
      </c>
      <c r="BY18">
        <v>115.1489361702</v>
      </c>
      <c r="CA18" t="s">
        <v>393</v>
      </c>
      <c r="CB18" t="s">
        <v>808</v>
      </c>
      <c r="CC18" t="s">
        <v>1004</v>
      </c>
      <c r="CD18">
        <v>4581</v>
      </c>
      <c r="CE18">
        <v>1037</v>
      </c>
      <c r="CF18">
        <v>88.502073783</v>
      </c>
      <c r="CG18">
        <v>8989</v>
      </c>
      <c r="CH18">
        <v>84</v>
      </c>
      <c r="CI18">
        <v>121.7432417399</v>
      </c>
      <c r="CJ18">
        <v>102.2142857143</v>
      </c>
      <c r="CL18" t="s">
        <v>393</v>
      </c>
      <c r="CM18" t="s">
        <v>783</v>
      </c>
      <c r="CN18" t="s">
        <v>784</v>
      </c>
      <c r="CO18">
        <v>377</v>
      </c>
      <c r="CP18">
        <v>50</v>
      </c>
      <c r="CQ18">
        <v>74.286472148499996</v>
      </c>
      <c r="CR18">
        <v>1401</v>
      </c>
      <c r="CS18">
        <v>7</v>
      </c>
      <c r="CT18">
        <v>72.993576017099997</v>
      </c>
      <c r="CU18">
        <v>43.571428571399998</v>
      </c>
      <c r="CW18" t="s">
        <v>393</v>
      </c>
      <c r="CX18" t="s">
        <v>796</v>
      </c>
      <c r="CY18" t="s">
        <v>797</v>
      </c>
      <c r="CZ18">
        <v>96</v>
      </c>
      <c r="DA18">
        <v>25</v>
      </c>
      <c r="DB18">
        <v>99.989583333300004</v>
      </c>
      <c r="DC18">
        <v>129</v>
      </c>
      <c r="DD18">
        <v>1</v>
      </c>
      <c r="DE18">
        <v>142.96124031010001</v>
      </c>
      <c r="DF18">
        <v>70</v>
      </c>
      <c r="DH18" t="s">
        <v>393</v>
      </c>
      <c r="DI18" t="s">
        <v>770</v>
      </c>
      <c r="DJ18" t="s">
        <v>771</v>
      </c>
      <c r="DK18">
        <v>71</v>
      </c>
      <c r="DL18">
        <v>26</v>
      </c>
      <c r="DM18">
        <v>100.0985915493</v>
      </c>
      <c r="DN18">
        <v>125</v>
      </c>
      <c r="DO18">
        <v>0</v>
      </c>
      <c r="DP18">
        <v>140.512</v>
      </c>
      <c r="DQ18">
        <v>0</v>
      </c>
    </row>
    <row r="19" spans="2:121" x14ac:dyDescent="0.2">
      <c r="B19" t="s">
        <v>123</v>
      </c>
      <c r="C19">
        <v>45</v>
      </c>
      <c r="D19">
        <v>31</v>
      </c>
      <c r="F19" t="s">
        <v>68</v>
      </c>
      <c r="G19">
        <v>2885</v>
      </c>
      <c r="H19">
        <v>406.08838821490002</v>
      </c>
      <c r="I19">
        <v>3586</v>
      </c>
      <c r="J19">
        <v>894</v>
      </c>
      <c r="K19">
        <v>3515</v>
      </c>
      <c r="L19">
        <v>2435</v>
      </c>
      <c r="M19">
        <v>600</v>
      </c>
      <c r="N19">
        <v>475</v>
      </c>
      <c r="O19">
        <v>1202</v>
      </c>
      <c r="P19">
        <v>905</v>
      </c>
      <c r="Q19">
        <v>0</v>
      </c>
      <c r="R19">
        <v>120</v>
      </c>
      <c r="T19" t="s">
        <v>462</v>
      </c>
      <c r="U19">
        <v>275990</v>
      </c>
      <c r="V19">
        <v>387.28005362509998</v>
      </c>
      <c r="W19">
        <v>315603</v>
      </c>
      <c r="X19">
        <v>75370</v>
      </c>
      <c r="Y19">
        <v>402921</v>
      </c>
      <c r="Z19">
        <v>270942</v>
      </c>
      <c r="AA19">
        <v>123442</v>
      </c>
      <c r="AB19">
        <v>98628</v>
      </c>
      <c r="AC19">
        <v>165404</v>
      </c>
      <c r="AD19">
        <v>108607</v>
      </c>
      <c r="AE19">
        <v>20887</v>
      </c>
      <c r="AF19">
        <v>4218</v>
      </c>
      <c r="AH19" t="s">
        <v>423</v>
      </c>
      <c r="AI19">
        <v>1788</v>
      </c>
      <c r="AJ19">
        <v>220.0967561521</v>
      </c>
      <c r="AK19">
        <v>2244</v>
      </c>
      <c r="AL19">
        <v>398</v>
      </c>
      <c r="AM19">
        <v>2672</v>
      </c>
      <c r="AN19">
        <v>1400</v>
      </c>
      <c r="AO19">
        <v>1021</v>
      </c>
      <c r="AP19">
        <v>555</v>
      </c>
      <c r="AQ19">
        <v>709</v>
      </c>
      <c r="AR19">
        <v>414</v>
      </c>
      <c r="AS19">
        <v>9</v>
      </c>
      <c r="AT19">
        <v>13</v>
      </c>
      <c r="AV19" t="s">
        <v>383</v>
      </c>
      <c r="AW19">
        <v>1702</v>
      </c>
      <c r="AX19">
        <v>87.658049353699994</v>
      </c>
      <c r="AY19">
        <v>1603</v>
      </c>
      <c r="AZ19">
        <v>350</v>
      </c>
      <c r="BA19">
        <v>2093</v>
      </c>
      <c r="BB19">
        <v>519</v>
      </c>
      <c r="BC19">
        <v>31</v>
      </c>
      <c r="BD19">
        <v>28</v>
      </c>
      <c r="BE19">
        <v>130</v>
      </c>
      <c r="BF19">
        <v>43</v>
      </c>
      <c r="BG19">
        <v>238</v>
      </c>
      <c r="BH19">
        <v>458</v>
      </c>
      <c r="BJ19" t="s">
        <v>634</v>
      </c>
      <c r="BK19" t="s">
        <v>391</v>
      </c>
      <c r="BL19">
        <v>838</v>
      </c>
      <c r="BM19">
        <v>141</v>
      </c>
      <c r="BN19">
        <v>74.0584725537</v>
      </c>
      <c r="BO19">
        <v>1792</v>
      </c>
      <c r="BP19">
        <v>30</v>
      </c>
      <c r="BQ19">
        <v>101.2857142857</v>
      </c>
      <c r="BR19">
        <v>89.133333333300001</v>
      </c>
      <c r="BS19">
        <v>1011</v>
      </c>
      <c r="BT19">
        <v>260</v>
      </c>
      <c r="BU19">
        <v>93.399604352099999</v>
      </c>
      <c r="BV19">
        <v>2422</v>
      </c>
      <c r="BW19">
        <v>31</v>
      </c>
      <c r="BX19">
        <v>131.86870355080001</v>
      </c>
      <c r="BY19">
        <v>95.838709677400004</v>
      </c>
      <c r="CA19" t="s">
        <v>400</v>
      </c>
      <c r="CB19" t="s">
        <v>808</v>
      </c>
      <c r="CC19" t="s">
        <v>1005</v>
      </c>
      <c r="CD19">
        <v>2662</v>
      </c>
      <c r="CE19">
        <v>418</v>
      </c>
      <c r="CF19">
        <v>76.714124718299999</v>
      </c>
      <c r="CG19">
        <v>4336</v>
      </c>
      <c r="CH19">
        <v>30</v>
      </c>
      <c r="CI19">
        <v>112.8420202952</v>
      </c>
      <c r="CJ19">
        <v>111.1</v>
      </c>
      <c r="CL19" t="s">
        <v>400</v>
      </c>
      <c r="CM19" t="s">
        <v>783</v>
      </c>
      <c r="CN19" t="s">
        <v>785</v>
      </c>
      <c r="CO19">
        <v>257</v>
      </c>
      <c r="CP19">
        <v>15</v>
      </c>
      <c r="CQ19">
        <v>50.805447470799997</v>
      </c>
      <c r="CR19">
        <v>864</v>
      </c>
      <c r="CS19">
        <v>3</v>
      </c>
      <c r="CT19">
        <v>64.785879629600004</v>
      </c>
      <c r="CU19">
        <v>61.666666666700003</v>
      </c>
      <c r="CW19" t="s">
        <v>400</v>
      </c>
      <c r="CX19" t="s">
        <v>796</v>
      </c>
      <c r="CY19" t="s">
        <v>798</v>
      </c>
      <c r="CZ19">
        <v>44</v>
      </c>
      <c r="DA19">
        <v>9</v>
      </c>
      <c r="DB19">
        <v>83.954545454500007</v>
      </c>
      <c r="DC19">
        <v>69</v>
      </c>
      <c r="DD19">
        <v>0</v>
      </c>
      <c r="DE19">
        <v>142.3333333333</v>
      </c>
      <c r="DF19">
        <v>0</v>
      </c>
      <c r="DH19" t="s">
        <v>400</v>
      </c>
      <c r="DI19" t="s">
        <v>770</v>
      </c>
      <c r="DJ19" t="s">
        <v>772</v>
      </c>
      <c r="DK19">
        <v>18</v>
      </c>
      <c r="DL19">
        <v>5</v>
      </c>
      <c r="DM19">
        <v>100.94444444440001</v>
      </c>
      <c r="DN19">
        <v>59</v>
      </c>
      <c r="DO19">
        <v>2</v>
      </c>
      <c r="DP19">
        <v>130.57627118639999</v>
      </c>
      <c r="DQ19">
        <v>138</v>
      </c>
    </row>
    <row r="20" spans="2:121" x14ac:dyDescent="0.2">
      <c r="B20" t="s">
        <v>116</v>
      </c>
      <c r="C20">
        <v>18266</v>
      </c>
      <c r="D20">
        <v>2805</v>
      </c>
      <c r="F20" t="s">
        <v>74</v>
      </c>
      <c r="G20">
        <v>192</v>
      </c>
      <c r="H20">
        <v>129.5677083333</v>
      </c>
      <c r="I20">
        <v>924</v>
      </c>
      <c r="J20">
        <v>199</v>
      </c>
      <c r="K20">
        <v>392</v>
      </c>
      <c r="L20">
        <v>96</v>
      </c>
      <c r="M20">
        <v>306</v>
      </c>
      <c r="N20">
        <v>121</v>
      </c>
      <c r="O20">
        <v>38</v>
      </c>
      <c r="P20">
        <v>16</v>
      </c>
      <c r="Q20">
        <v>0</v>
      </c>
      <c r="R20">
        <v>0</v>
      </c>
      <c r="AH20" t="s">
        <v>394</v>
      </c>
      <c r="AI20">
        <v>6196</v>
      </c>
      <c r="AJ20">
        <v>549.23886378309999</v>
      </c>
      <c r="AK20">
        <v>3156</v>
      </c>
      <c r="AL20">
        <v>653</v>
      </c>
      <c r="AM20">
        <v>8663</v>
      </c>
      <c r="AN20">
        <v>6449</v>
      </c>
      <c r="AO20">
        <v>2447</v>
      </c>
      <c r="AP20">
        <v>2093</v>
      </c>
      <c r="AQ20">
        <v>2181</v>
      </c>
      <c r="AR20">
        <v>1116</v>
      </c>
      <c r="AS20">
        <v>566</v>
      </c>
      <c r="AT20">
        <v>150</v>
      </c>
      <c r="AV20" t="s">
        <v>8</v>
      </c>
      <c r="AW20">
        <v>217</v>
      </c>
      <c r="AX20">
        <v>76.520737327199996</v>
      </c>
      <c r="AY20">
        <v>224</v>
      </c>
      <c r="AZ20">
        <v>98</v>
      </c>
      <c r="BA20">
        <v>408</v>
      </c>
      <c r="BB20">
        <v>164</v>
      </c>
      <c r="BC20">
        <v>9</v>
      </c>
      <c r="BD20">
        <v>8</v>
      </c>
      <c r="BE20">
        <v>8</v>
      </c>
      <c r="BF20">
        <v>2</v>
      </c>
      <c r="BG20">
        <v>42</v>
      </c>
      <c r="BH20">
        <v>28</v>
      </c>
      <c r="BJ20" t="s">
        <v>562</v>
      </c>
      <c r="BK20" t="s">
        <v>391</v>
      </c>
      <c r="BL20">
        <v>4470</v>
      </c>
      <c r="BM20">
        <v>1026</v>
      </c>
      <c r="BN20">
        <v>89.240939597299999</v>
      </c>
      <c r="BO20">
        <v>8575</v>
      </c>
      <c r="BP20">
        <v>80</v>
      </c>
      <c r="BQ20">
        <v>124.5979008746</v>
      </c>
      <c r="BR20">
        <v>103.71250000000001</v>
      </c>
      <c r="BS20">
        <v>1585</v>
      </c>
      <c r="BT20">
        <v>388</v>
      </c>
      <c r="BU20">
        <v>86.093375394299997</v>
      </c>
      <c r="BV20">
        <v>9260</v>
      </c>
      <c r="BW20">
        <v>80</v>
      </c>
      <c r="BX20">
        <v>128.24308855289999</v>
      </c>
      <c r="BY20">
        <v>114.16249999999999</v>
      </c>
      <c r="CA20" t="s">
        <v>423</v>
      </c>
      <c r="CB20" t="s">
        <v>808</v>
      </c>
      <c r="CC20" t="s">
        <v>1006</v>
      </c>
      <c r="CD20">
        <v>1983</v>
      </c>
      <c r="CE20">
        <v>337</v>
      </c>
      <c r="CF20">
        <v>75.604135148799998</v>
      </c>
      <c r="CG20">
        <v>5215</v>
      </c>
      <c r="CH20">
        <v>47</v>
      </c>
      <c r="CI20">
        <v>119.8638542665</v>
      </c>
      <c r="CJ20">
        <v>79.489361702099998</v>
      </c>
      <c r="CL20" t="s">
        <v>423</v>
      </c>
      <c r="CM20" t="s">
        <v>783</v>
      </c>
      <c r="CN20" t="s">
        <v>786</v>
      </c>
      <c r="CO20">
        <v>246</v>
      </c>
      <c r="CP20">
        <v>22</v>
      </c>
      <c r="CQ20">
        <v>59.357723577199998</v>
      </c>
      <c r="CR20">
        <v>740</v>
      </c>
      <c r="CS20">
        <v>5</v>
      </c>
      <c r="CT20">
        <v>67.066216216200004</v>
      </c>
      <c r="CU20">
        <v>33.799999999999997</v>
      </c>
      <c r="CW20" t="s">
        <v>423</v>
      </c>
      <c r="CX20" t="s">
        <v>796</v>
      </c>
      <c r="CY20" t="s">
        <v>799</v>
      </c>
      <c r="CZ20">
        <v>107</v>
      </c>
      <c r="DA20">
        <v>17</v>
      </c>
      <c r="DB20">
        <v>79.990654205599995</v>
      </c>
      <c r="DC20">
        <v>95</v>
      </c>
      <c r="DD20">
        <v>0</v>
      </c>
      <c r="DE20">
        <v>119.4315789474</v>
      </c>
      <c r="DF20">
        <v>0</v>
      </c>
      <c r="DH20" t="s">
        <v>423</v>
      </c>
      <c r="DI20" t="s">
        <v>770</v>
      </c>
      <c r="DJ20" t="s">
        <v>773</v>
      </c>
      <c r="DK20">
        <v>134</v>
      </c>
      <c r="DL20">
        <v>22</v>
      </c>
      <c r="DM20">
        <v>67.597014925400003</v>
      </c>
      <c r="DN20">
        <v>211</v>
      </c>
      <c r="DO20">
        <v>1</v>
      </c>
      <c r="DP20">
        <v>123.644549763</v>
      </c>
      <c r="DQ20">
        <v>184</v>
      </c>
    </row>
    <row r="21" spans="2:121" x14ac:dyDescent="0.2">
      <c r="B21" t="s">
        <v>315</v>
      </c>
      <c r="C21">
        <v>2</v>
      </c>
      <c r="D21">
        <v>1</v>
      </c>
      <c r="F21" t="s">
        <v>8</v>
      </c>
      <c r="G21">
        <v>192</v>
      </c>
      <c r="H21">
        <v>534.64583333329995</v>
      </c>
      <c r="I21">
        <v>373</v>
      </c>
      <c r="J21">
        <v>4</v>
      </c>
      <c r="K21">
        <v>223</v>
      </c>
      <c r="L21">
        <v>170</v>
      </c>
      <c r="M21">
        <v>32</v>
      </c>
      <c r="N21">
        <v>19</v>
      </c>
      <c r="O21">
        <v>56439</v>
      </c>
      <c r="P21">
        <v>33332</v>
      </c>
      <c r="Q21">
        <v>0</v>
      </c>
      <c r="R21">
        <v>1</v>
      </c>
      <c r="AH21" t="s">
        <v>388</v>
      </c>
      <c r="AI21">
        <v>4629</v>
      </c>
      <c r="AJ21">
        <v>434.37783538560001</v>
      </c>
      <c r="AK21">
        <v>5496</v>
      </c>
      <c r="AL21">
        <v>1418</v>
      </c>
      <c r="AM21">
        <v>7044</v>
      </c>
      <c r="AN21">
        <v>4691</v>
      </c>
      <c r="AO21">
        <v>1623</v>
      </c>
      <c r="AP21">
        <v>1229</v>
      </c>
      <c r="AQ21">
        <v>2477</v>
      </c>
      <c r="AR21">
        <v>1622</v>
      </c>
      <c r="AS21">
        <v>260</v>
      </c>
      <c r="AT21">
        <v>262</v>
      </c>
      <c r="AV21" t="s">
        <v>423</v>
      </c>
      <c r="AW21">
        <v>162</v>
      </c>
      <c r="AX21">
        <v>54.512345678999999</v>
      </c>
      <c r="AY21">
        <v>233</v>
      </c>
      <c r="AZ21">
        <v>7</v>
      </c>
      <c r="BA21">
        <v>220</v>
      </c>
      <c r="BB21">
        <v>5</v>
      </c>
      <c r="BC21">
        <v>0</v>
      </c>
      <c r="BE21">
        <v>8</v>
      </c>
      <c r="BF21">
        <v>2</v>
      </c>
      <c r="BG21">
        <v>191</v>
      </c>
      <c r="BH21">
        <v>34</v>
      </c>
      <c r="BJ21" t="s">
        <v>579</v>
      </c>
      <c r="BK21" t="s">
        <v>391</v>
      </c>
      <c r="BL21">
        <v>2292</v>
      </c>
      <c r="BM21">
        <v>277</v>
      </c>
      <c r="BN21">
        <v>76.446335078499999</v>
      </c>
      <c r="BO21">
        <v>3183</v>
      </c>
      <c r="BP21">
        <v>32</v>
      </c>
      <c r="BQ21">
        <v>125.32485076970001</v>
      </c>
      <c r="BR21">
        <v>132.71875</v>
      </c>
      <c r="BS21">
        <v>5183</v>
      </c>
      <c r="BT21">
        <v>1326</v>
      </c>
      <c r="BU21">
        <v>109.3148755547</v>
      </c>
      <c r="BV21">
        <v>9269</v>
      </c>
      <c r="BW21">
        <v>88</v>
      </c>
      <c r="BX21">
        <v>151.09860826409999</v>
      </c>
      <c r="BY21">
        <v>170.4772727273</v>
      </c>
      <c r="CA21" t="s">
        <v>396</v>
      </c>
      <c r="CB21" t="s">
        <v>808</v>
      </c>
      <c r="CC21" t="s">
        <v>1007</v>
      </c>
      <c r="CD21">
        <v>7426</v>
      </c>
      <c r="CE21">
        <v>1864</v>
      </c>
      <c r="CF21">
        <v>95.507675733900001</v>
      </c>
      <c r="CG21">
        <v>11679</v>
      </c>
      <c r="CH21">
        <v>133</v>
      </c>
      <c r="CI21">
        <v>138.84399349259999</v>
      </c>
      <c r="CJ21">
        <v>105.4887218045</v>
      </c>
      <c r="CL21" t="s">
        <v>396</v>
      </c>
      <c r="CM21" t="s">
        <v>783</v>
      </c>
      <c r="CN21" t="s">
        <v>787</v>
      </c>
      <c r="CO21">
        <v>671</v>
      </c>
      <c r="CP21">
        <v>115</v>
      </c>
      <c r="CQ21">
        <v>77.888226527599997</v>
      </c>
      <c r="CR21">
        <v>2633</v>
      </c>
      <c r="CS21">
        <v>14</v>
      </c>
      <c r="CT21">
        <v>71.935055070299995</v>
      </c>
      <c r="CU21">
        <v>50.857142857100001</v>
      </c>
      <c r="CW21" t="s">
        <v>396</v>
      </c>
      <c r="CX21" t="s">
        <v>796</v>
      </c>
      <c r="CY21" t="s">
        <v>800</v>
      </c>
      <c r="CZ21">
        <v>167</v>
      </c>
      <c r="DA21">
        <v>43</v>
      </c>
      <c r="DB21">
        <v>92.688622754500003</v>
      </c>
      <c r="DC21">
        <v>194</v>
      </c>
      <c r="DD21">
        <v>3</v>
      </c>
      <c r="DE21">
        <v>148.8762886598</v>
      </c>
      <c r="DF21">
        <v>151.3333333333</v>
      </c>
      <c r="DH21" t="s">
        <v>396</v>
      </c>
      <c r="DI21" t="s">
        <v>770</v>
      </c>
      <c r="DJ21" t="s">
        <v>774</v>
      </c>
      <c r="DK21">
        <v>109</v>
      </c>
      <c r="DL21">
        <v>24</v>
      </c>
      <c r="DM21">
        <v>79.908256880699994</v>
      </c>
      <c r="DN21">
        <v>179</v>
      </c>
      <c r="DO21">
        <v>0</v>
      </c>
      <c r="DP21">
        <v>130.01675977650001</v>
      </c>
      <c r="DQ21">
        <v>0</v>
      </c>
    </row>
    <row r="22" spans="2:121" x14ac:dyDescent="0.2">
      <c r="B22" t="s">
        <v>109</v>
      </c>
      <c r="C22">
        <v>19523</v>
      </c>
      <c r="D22">
        <v>12065</v>
      </c>
      <c r="F22" t="s">
        <v>44</v>
      </c>
      <c r="G22">
        <v>915</v>
      </c>
      <c r="H22">
        <v>300.0469945355</v>
      </c>
      <c r="I22">
        <v>1673</v>
      </c>
      <c r="J22">
        <v>434</v>
      </c>
      <c r="K22">
        <v>2478</v>
      </c>
      <c r="L22">
        <v>1635</v>
      </c>
      <c r="M22">
        <v>430</v>
      </c>
      <c r="N22">
        <v>275</v>
      </c>
      <c r="O22">
        <v>830</v>
      </c>
      <c r="P22">
        <v>624</v>
      </c>
      <c r="Q22">
        <v>0</v>
      </c>
      <c r="R22">
        <v>5</v>
      </c>
      <c r="AH22" t="s">
        <v>417</v>
      </c>
      <c r="AI22">
        <v>1109</v>
      </c>
      <c r="AJ22">
        <v>309.76825969340001</v>
      </c>
      <c r="AK22">
        <v>1462</v>
      </c>
      <c r="AL22">
        <v>196</v>
      </c>
      <c r="AM22">
        <v>1878</v>
      </c>
      <c r="AN22">
        <v>920</v>
      </c>
      <c r="AO22">
        <v>976</v>
      </c>
      <c r="AP22">
        <v>758</v>
      </c>
      <c r="AQ22">
        <v>405</v>
      </c>
      <c r="AR22">
        <v>247</v>
      </c>
      <c r="AS22">
        <v>359</v>
      </c>
      <c r="AT22">
        <v>2</v>
      </c>
      <c r="AV22" t="s">
        <v>377</v>
      </c>
      <c r="AW22">
        <v>351</v>
      </c>
      <c r="AX22">
        <v>100.207977208</v>
      </c>
      <c r="AY22">
        <v>609</v>
      </c>
      <c r="AZ22">
        <v>132</v>
      </c>
      <c r="BA22">
        <v>495</v>
      </c>
      <c r="BB22">
        <v>170</v>
      </c>
      <c r="BC22">
        <v>11</v>
      </c>
      <c r="BD22">
        <v>11</v>
      </c>
      <c r="BE22">
        <v>47</v>
      </c>
      <c r="BF22">
        <v>17</v>
      </c>
      <c r="BG22">
        <v>55</v>
      </c>
      <c r="BH22">
        <v>173</v>
      </c>
      <c r="BJ22" t="s">
        <v>391</v>
      </c>
      <c r="BK22" t="s">
        <v>391</v>
      </c>
      <c r="BL22">
        <v>49308</v>
      </c>
      <c r="BM22">
        <v>10579</v>
      </c>
      <c r="BN22">
        <v>88.678267218299993</v>
      </c>
      <c r="BO22">
        <v>92031</v>
      </c>
      <c r="BP22">
        <v>944</v>
      </c>
      <c r="BQ22">
        <v>127.8167247993</v>
      </c>
      <c r="BR22">
        <v>112.1980932203</v>
      </c>
      <c r="BS22">
        <v>39461</v>
      </c>
      <c r="BT22">
        <v>8861</v>
      </c>
      <c r="BU22">
        <v>91.812650465000004</v>
      </c>
      <c r="BV22">
        <v>103218</v>
      </c>
      <c r="BW22">
        <v>1036</v>
      </c>
      <c r="BX22">
        <v>135.10136797850001</v>
      </c>
      <c r="BY22">
        <v>116.6833976834</v>
      </c>
      <c r="CA22" t="s">
        <v>402</v>
      </c>
      <c r="CB22" t="s">
        <v>808</v>
      </c>
      <c r="CC22" t="s">
        <v>1008</v>
      </c>
      <c r="CD22">
        <v>4264</v>
      </c>
      <c r="CE22">
        <v>735</v>
      </c>
      <c r="CF22">
        <v>77.446060037500004</v>
      </c>
      <c r="CG22">
        <v>10587</v>
      </c>
      <c r="CH22">
        <v>115</v>
      </c>
      <c r="CI22">
        <v>108.3372060074</v>
      </c>
      <c r="CJ22">
        <v>94.243478260900005</v>
      </c>
      <c r="CL22" t="s">
        <v>402</v>
      </c>
      <c r="CM22" t="s">
        <v>783</v>
      </c>
      <c r="CN22" t="s">
        <v>788</v>
      </c>
      <c r="CO22">
        <v>272</v>
      </c>
      <c r="CP22">
        <v>16</v>
      </c>
      <c r="CQ22">
        <v>54.720588235299999</v>
      </c>
      <c r="CR22">
        <v>1044</v>
      </c>
      <c r="CS22">
        <v>10</v>
      </c>
      <c r="CT22">
        <v>64.927203065100002</v>
      </c>
      <c r="CU22">
        <v>43</v>
      </c>
      <c r="CW22" t="s">
        <v>402</v>
      </c>
      <c r="CX22" t="s">
        <v>796</v>
      </c>
      <c r="CY22" t="s">
        <v>801</v>
      </c>
      <c r="CZ22">
        <v>49</v>
      </c>
      <c r="DA22">
        <v>13</v>
      </c>
      <c r="DB22">
        <v>85.244897959200003</v>
      </c>
      <c r="DC22">
        <v>104</v>
      </c>
      <c r="DD22">
        <v>0</v>
      </c>
      <c r="DE22">
        <v>130.875</v>
      </c>
      <c r="DF22">
        <v>0</v>
      </c>
      <c r="DH22" t="s">
        <v>402</v>
      </c>
      <c r="DI22" t="s">
        <v>770</v>
      </c>
      <c r="DJ22" t="s">
        <v>775</v>
      </c>
      <c r="DK22">
        <v>24</v>
      </c>
      <c r="DL22">
        <v>10</v>
      </c>
      <c r="DM22">
        <v>104.5</v>
      </c>
      <c r="DN22">
        <v>61</v>
      </c>
      <c r="DO22">
        <v>1</v>
      </c>
      <c r="DP22">
        <v>126.2786885246</v>
      </c>
      <c r="DQ22">
        <v>85</v>
      </c>
    </row>
    <row r="23" spans="2:121" x14ac:dyDescent="0.2">
      <c r="B23" t="s">
        <v>110</v>
      </c>
      <c r="C23">
        <v>1053</v>
      </c>
      <c r="D23">
        <v>298</v>
      </c>
      <c r="F23" t="s">
        <v>43</v>
      </c>
      <c r="G23">
        <v>80</v>
      </c>
      <c r="H23">
        <v>97.4375</v>
      </c>
      <c r="I23">
        <v>790</v>
      </c>
      <c r="J23">
        <v>144</v>
      </c>
      <c r="K23">
        <v>208</v>
      </c>
      <c r="L23">
        <v>15</v>
      </c>
      <c r="M23">
        <v>98</v>
      </c>
      <c r="N23">
        <v>38</v>
      </c>
      <c r="O23">
        <v>78</v>
      </c>
      <c r="P23">
        <v>42</v>
      </c>
      <c r="Q23">
        <v>0</v>
      </c>
      <c r="R23">
        <v>1</v>
      </c>
      <c r="AH23" t="s">
        <v>377</v>
      </c>
      <c r="AI23">
        <v>8604</v>
      </c>
      <c r="AJ23">
        <v>690.80660158069998</v>
      </c>
      <c r="AK23">
        <v>5175</v>
      </c>
      <c r="AL23">
        <v>1401</v>
      </c>
      <c r="AM23">
        <v>11521</v>
      </c>
      <c r="AN23">
        <v>8826</v>
      </c>
      <c r="AO23">
        <v>3849</v>
      </c>
      <c r="AP23">
        <v>3375</v>
      </c>
      <c r="AQ23">
        <v>3011</v>
      </c>
      <c r="AR23">
        <v>2057</v>
      </c>
      <c r="AS23">
        <v>398</v>
      </c>
      <c r="AT23">
        <v>6</v>
      </c>
      <c r="AV23" t="s">
        <v>404</v>
      </c>
      <c r="AW23">
        <v>222</v>
      </c>
      <c r="AX23">
        <v>47.135135135100001</v>
      </c>
      <c r="AY23">
        <v>256</v>
      </c>
      <c r="AZ23">
        <v>11</v>
      </c>
      <c r="BA23">
        <v>278</v>
      </c>
      <c r="BB23">
        <v>7</v>
      </c>
      <c r="BC23">
        <v>5</v>
      </c>
      <c r="BD23">
        <v>1</v>
      </c>
      <c r="BE23">
        <v>12</v>
      </c>
      <c r="BF23">
        <v>6</v>
      </c>
      <c r="BG23">
        <v>375</v>
      </c>
      <c r="BH23">
        <v>41</v>
      </c>
      <c r="BJ23" t="s">
        <v>572</v>
      </c>
      <c r="BK23" t="s">
        <v>391</v>
      </c>
      <c r="BL23">
        <v>4109</v>
      </c>
      <c r="BM23">
        <v>669</v>
      </c>
      <c r="BN23">
        <v>78.132879045999999</v>
      </c>
      <c r="BO23">
        <v>7203</v>
      </c>
      <c r="BP23">
        <v>93</v>
      </c>
      <c r="BQ23">
        <v>121.4146883243</v>
      </c>
      <c r="BR23">
        <v>108.5806451613</v>
      </c>
      <c r="BS23">
        <v>4149</v>
      </c>
      <c r="BT23">
        <v>746</v>
      </c>
      <c r="BU23">
        <v>82.725958062199993</v>
      </c>
      <c r="BV23">
        <v>8336</v>
      </c>
      <c r="BW23">
        <v>94</v>
      </c>
      <c r="BX23">
        <v>139.8234165067</v>
      </c>
      <c r="BY23">
        <v>109.5319148936</v>
      </c>
      <c r="CA23" t="s">
        <v>398</v>
      </c>
      <c r="CB23" t="s">
        <v>808</v>
      </c>
      <c r="CC23" t="s">
        <v>1009</v>
      </c>
      <c r="CD23">
        <v>5451</v>
      </c>
      <c r="CE23">
        <v>1262</v>
      </c>
      <c r="CF23">
        <v>87.499908273700001</v>
      </c>
      <c r="CG23">
        <v>10613</v>
      </c>
      <c r="CH23">
        <v>81</v>
      </c>
      <c r="CI23">
        <v>118.2854989164</v>
      </c>
      <c r="CJ23">
        <v>137.85185185189999</v>
      </c>
      <c r="CL23" t="s">
        <v>398</v>
      </c>
      <c r="CM23" t="s">
        <v>783</v>
      </c>
      <c r="CN23" t="s">
        <v>789</v>
      </c>
      <c r="CO23">
        <v>471</v>
      </c>
      <c r="CP23">
        <v>75</v>
      </c>
      <c r="CQ23">
        <v>74.762208067900005</v>
      </c>
      <c r="CR23">
        <v>1818</v>
      </c>
      <c r="CS23">
        <v>5</v>
      </c>
      <c r="CT23">
        <v>70.264026402599995</v>
      </c>
      <c r="CU23">
        <v>67.400000000000006</v>
      </c>
      <c r="CW23" t="s">
        <v>398</v>
      </c>
      <c r="CX23" t="s">
        <v>796</v>
      </c>
      <c r="CY23" t="s">
        <v>802</v>
      </c>
      <c r="CZ23">
        <v>165</v>
      </c>
      <c r="DA23">
        <v>30</v>
      </c>
      <c r="DB23">
        <v>78.090909090899999</v>
      </c>
      <c r="DC23">
        <v>235</v>
      </c>
      <c r="DD23">
        <v>5</v>
      </c>
      <c r="DE23">
        <v>133.35744680849999</v>
      </c>
      <c r="DF23">
        <v>93.8</v>
      </c>
      <c r="DH23" t="s">
        <v>398</v>
      </c>
      <c r="DI23" t="s">
        <v>770</v>
      </c>
      <c r="DJ23" t="s">
        <v>776</v>
      </c>
      <c r="DK23">
        <v>146</v>
      </c>
      <c r="DL23">
        <v>25</v>
      </c>
      <c r="DM23">
        <v>72.417808219199998</v>
      </c>
      <c r="DN23">
        <v>221</v>
      </c>
      <c r="DO23">
        <v>1</v>
      </c>
      <c r="DP23">
        <v>134.25791855200001</v>
      </c>
      <c r="DQ23">
        <v>153</v>
      </c>
    </row>
    <row r="24" spans="2:121" x14ac:dyDescent="0.2">
      <c r="B24" t="s">
        <v>1059</v>
      </c>
      <c r="C24">
        <v>1395</v>
      </c>
      <c r="D24">
        <v>653</v>
      </c>
      <c r="F24" t="s">
        <v>39</v>
      </c>
      <c r="G24">
        <v>8372</v>
      </c>
      <c r="H24">
        <v>295.21309125660002</v>
      </c>
      <c r="I24">
        <v>8350</v>
      </c>
      <c r="J24">
        <v>2279</v>
      </c>
      <c r="K24">
        <v>13316</v>
      </c>
      <c r="L24">
        <v>9111</v>
      </c>
      <c r="M24">
        <v>2814</v>
      </c>
      <c r="N24">
        <v>2323</v>
      </c>
      <c r="O24">
        <v>1484</v>
      </c>
      <c r="P24">
        <v>642</v>
      </c>
      <c r="Q24">
        <v>1</v>
      </c>
      <c r="R24">
        <v>53</v>
      </c>
      <c r="T24" t="s">
        <v>648</v>
      </c>
      <c r="U24" t="s">
        <v>306</v>
      </c>
      <c r="V24" t="s">
        <v>133</v>
      </c>
      <c r="W24" t="s">
        <v>214</v>
      </c>
      <c r="X24" t="s">
        <v>215</v>
      </c>
      <c r="Y24" t="s">
        <v>216</v>
      </c>
      <c r="Z24" t="s">
        <v>217</v>
      </c>
      <c r="AA24" t="s">
        <v>218</v>
      </c>
      <c r="AB24" t="s">
        <v>219</v>
      </c>
      <c r="AC24" t="s">
        <v>220</v>
      </c>
      <c r="AD24" t="s">
        <v>221</v>
      </c>
      <c r="AE24" t="s">
        <v>222</v>
      </c>
      <c r="AF24" t="s">
        <v>223</v>
      </c>
      <c r="AH24" t="s">
        <v>372</v>
      </c>
      <c r="AI24">
        <v>4194</v>
      </c>
      <c r="AJ24">
        <v>586.52551263709995</v>
      </c>
      <c r="AK24">
        <v>4501</v>
      </c>
      <c r="AL24">
        <v>1012</v>
      </c>
      <c r="AM24">
        <v>6110</v>
      </c>
      <c r="AN24">
        <v>4578</v>
      </c>
      <c r="AO24">
        <v>2887</v>
      </c>
      <c r="AP24">
        <v>2318</v>
      </c>
      <c r="AQ24">
        <v>1340</v>
      </c>
      <c r="AR24">
        <v>987</v>
      </c>
      <c r="AS24">
        <v>776</v>
      </c>
      <c r="AT24">
        <v>12</v>
      </c>
      <c r="AV24" t="s">
        <v>408</v>
      </c>
      <c r="AW24">
        <v>1292</v>
      </c>
      <c r="AX24">
        <v>50.640092879299999</v>
      </c>
      <c r="AY24">
        <v>1691</v>
      </c>
      <c r="AZ24">
        <v>63</v>
      </c>
      <c r="BA24">
        <v>1655</v>
      </c>
      <c r="BB24">
        <v>55</v>
      </c>
      <c r="BC24">
        <v>14</v>
      </c>
      <c r="BD24">
        <v>6</v>
      </c>
      <c r="BE24">
        <v>75</v>
      </c>
      <c r="BF24">
        <v>34</v>
      </c>
      <c r="BG24">
        <v>1449</v>
      </c>
      <c r="BH24">
        <v>328</v>
      </c>
      <c r="BJ24" t="s">
        <v>636</v>
      </c>
      <c r="BK24" t="s">
        <v>391</v>
      </c>
      <c r="BL24">
        <v>975</v>
      </c>
      <c r="BM24">
        <v>198</v>
      </c>
      <c r="BN24">
        <v>82.078974359</v>
      </c>
      <c r="BO24">
        <v>1528</v>
      </c>
      <c r="BP24">
        <v>12</v>
      </c>
      <c r="BQ24">
        <v>105.8442408377</v>
      </c>
      <c r="BR24">
        <v>93.416666666699996</v>
      </c>
      <c r="BS24">
        <v>1376</v>
      </c>
      <c r="BT24">
        <v>491</v>
      </c>
      <c r="BU24">
        <v>114.6620639535</v>
      </c>
      <c r="BV24">
        <v>2790</v>
      </c>
      <c r="BW24">
        <v>15</v>
      </c>
      <c r="BX24">
        <v>138.65985663079999</v>
      </c>
      <c r="BY24">
        <v>96</v>
      </c>
      <c r="CA24" t="s">
        <v>401</v>
      </c>
      <c r="CB24" t="s">
        <v>808</v>
      </c>
      <c r="CC24" t="s">
        <v>1010</v>
      </c>
      <c r="CD24">
        <v>2238</v>
      </c>
      <c r="CE24">
        <v>262</v>
      </c>
      <c r="CF24">
        <v>75.129133154599998</v>
      </c>
      <c r="CG24">
        <v>3311</v>
      </c>
      <c r="CH24">
        <v>34</v>
      </c>
      <c r="CI24">
        <v>122.1108426457</v>
      </c>
      <c r="CJ24">
        <v>130.23529411760001</v>
      </c>
      <c r="CL24" t="s">
        <v>401</v>
      </c>
      <c r="CM24" t="s">
        <v>783</v>
      </c>
      <c r="CN24" t="s">
        <v>790</v>
      </c>
      <c r="CO24">
        <v>89</v>
      </c>
      <c r="CP24">
        <v>9</v>
      </c>
      <c r="CQ24">
        <v>68.157303370799994</v>
      </c>
      <c r="CR24">
        <v>328</v>
      </c>
      <c r="CS24">
        <v>2</v>
      </c>
      <c r="CT24">
        <v>72.213414634100005</v>
      </c>
      <c r="CU24">
        <v>53.5</v>
      </c>
      <c r="CW24" t="s">
        <v>401</v>
      </c>
      <c r="CX24" t="s">
        <v>796</v>
      </c>
      <c r="CY24" t="s">
        <v>803</v>
      </c>
      <c r="CZ24">
        <v>44</v>
      </c>
      <c r="DA24">
        <v>12</v>
      </c>
      <c r="DB24">
        <v>94.318181818200003</v>
      </c>
      <c r="DC24">
        <v>55</v>
      </c>
      <c r="DD24">
        <v>0</v>
      </c>
      <c r="DE24">
        <v>128.36363636359999</v>
      </c>
      <c r="DF24">
        <v>0</v>
      </c>
      <c r="DH24" t="s">
        <v>401</v>
      </c>
      <c r="DI24" t="s">
        <v>770</v>
      </c>
      <c r="DJ24" t="s">
        <v>777</v>
      </c>
      <c r="DK24">
        <v>70</v>
      </c>
      <c r="DL24">
        <v>9</v>
      </c>
      <c r="DM24">
        <v>71.471428571399997</v>
      </c>
      <c r="DN24">
        <v>113</v>
      </c>
      <c r="DO24">
        <v>1</v>
      </c>
      <c r="DP24">
        <v>123.4424778761</v>
      </c>
      <c r="DQ24">
        <v>184</v>
      </c>
    </row>
    <row r="25" spans="2:121" x14ac:dyDescent="0.2">
      <c r="B25" t="s">
        <v>104</v>
      </c>
      <c r="C25">
        <v>36368</v>
      </c>
      <c r="D25">
        <v>25796</v>
      </c>
      <c r="F25" t="s">
        <v>79</v>
      </c>
      <c r="G25">
        <v>10771</v>
      </c>
      <c r="H25">
        <v>336.63773094419997</v>
      </c>
      <c r="I25">
        <v>16613</v>
      </c>
      <c r="J25">
        <v>3262</v>
      </c>
      <c r="K25">
        <v>13052</v>
      </c>
      <c r="L25">
        <v>8224</v>
      </c>
      <c r="M25">
        <v>3438</v>
      </c>
      <c r="N25">
        <v>2128</v>
      </c>
      <c r="O25">
        <v>5527</v>
      </c>
      <c r="P25">
        <v>2030</v>
      </c>
      <c r="Q25">
        <v>3</v>
      </c>
      <c r="R25">
        <v>199</v>
      </c>
      <c r="T25" t="s">
        <v>386</v>
      </c>
      <c r="U25">
        <v>50485</v>
      </c>
      <c r="V25">
        <v>368.96648509459999</v>
      </c>
      <c r="W25">
        <v>64584</v>
      </c>
      <c r="X25">
        <v>14964</v>
      </c>
      <c r="Y25">
        <v>72121</v>
      </c>
      <c r="Z25">
        <v>47313</v>
      </c>
      <c r="AA25">
        <v>18659</v>
      </c>
      <c r="AB25">
        <v>13760</v>
      </c>
      <c r="AC25">
        <v>28291</v>
      </c>
      <c r="AD25">
        <v>16794</v>
      </c>
      <c r="AE25">
        <v>1015</v>
      </c>
      <c r="AF25">
        <v>1091</v>
      </c>
      <c r="AH25" t="s">
        <v>396</v>
      </c>
      <c r="AI25">
        <v>3501</v>
      </c>
      <c r="AJ25">
        <v>314.60439874320002</v>
      </c>
      <c r="AK25">
        <v>7683</v>
      </c>
      <c r="AL25">
        <v>1985</v>
      </c>
      <c r="AM25">
        <v>6475</v>
      </c>
      <c r="AN25">
        <v>4145</v>
      </c>
      <c r="AO25">
        <v>1305</v>
      </c>
      <c r="AP25">
        <v>1019</v>
      </c>
      <c r="AQ25">
        <v>2401</v>
      </c>
      <c r="AR25">
        <v>1289</v>
      </c>
      <c r="AS25">
        <v>887</v>
      </c>
      <c r="AT25">
        <v>205</v>
      </c>
      <c r="AV25" t="s">
        <v>80</v>
      </c>
      <c r="AW25">
        <v>288</v>
      </c>
      <c r="AX25">
        <v>48.239583333299997</v>
      </c>
      <c r="AY25">
        <v>375</v>
      </c>
      <c r="AZ25">
        <v>26</v>
      </c>
      <c r="BA25">
        <v>400</v>
      </c>
      <c r="BB25">
        <v>30</v>
      </c>
      <c r="BC25">
        <v>2</v>
      </c>
      <c r="BD25">
        <v>1</v>
      </c>
      <c r="BE25">
        <v>20</v>
      </c>
      <c r="BF25">
        <v>8</v>
      </c>
      <c r="BG25">
        <v>451</v>
      </c>
      <c r="BH25">
        <v>77</v>
      </c>
      <c r="BJ25" t="s">
        <v>575</v>
      </c>
      <c r="BK25" t="s">
        <v>391</v>
      </c>
      <c r="BL25">
        <v>5419</v>
      </c>
      <c r="BM25">
        <v>1256</v>
      </c>
      <c r="BN25">
        <v>86.486805683699998</v>
      </c>
      <c r="BO25">
        <v>9913</v>
      </c>
      <c r="BP25">
        <v>76</v>
      </c>
      <c r="BQ25">
        <v>120.5485725815</v>
      </c>
      <c r="BR25">
        <v>142.57894736840001</v>
      </c>
      <c r="BS25">
        <v>5440</v>
      </c>
      <c r="BT25">
        <v>1291</v>
      </c>
      <c r="BU25">
        <v>88.222426470599999</v>
      </c>
      <c r="BV25">
        <v>11176</v>
      </c>
      <c r="BW25">
        <v>77</v>
      </c>
      <c r="BX25">
        <v>125.69425554759999</v>
      </c>
      <c r="BY25">
        <v>144.01298701299999</v>
      </c>
      <c r="CA25" t="s">
        <v>420</v>
      </c>
      <c r="CB25" t="s">
        <v>808</v>
      </c>
      <c r="CC25" t="s">
        <v>1011</v>
      </c>
      <c r="CD25">
        <v>602</v>
      </c>
      <c r="CE25">
        <v>102</v>
      </c>
      <c r="CF25">
        <v>72.848837209300001</v>
      </c>
      <c r="CG25">
        <v>1338</v>
      </c>
      <c r="CH25">
        <v>23</v>
      </c>
      <c r="CI25">
        <v>100.44095665170001</v>
      </c>
      <c r="CJ25">
        <v>84.304347826099999</v>
      </c>
      <c r="CL25" t="s">
        <v>420</v>
      </c>
      <c r="CM25" t="s">
        <v>783</v>
      </c>
      <c r="CN25" t="s">
        <v>791</v>
      </c>
      <c r="CO25">
        <v>41</v>
      </c>
      <c r="CP25">
        <v>5</v>
      </c>
      <c r="CQ25">
        <v>61.902439024400003</v>
      </c>
      <c r="CR25">
        <v>126</v>
      </c>
      <c r="CS25">
        <v>0</v>
      </c>
      <c r="CT25">
        <v>59.611111111100001</v>
      </c>
      <c r="CU25">
        <v>0</v>
      </c>
      <c r="CW25" t="s">
        <v>420</v>
      </c>
      <c r="CX25" t="s">
        <v>796</v>
      </c>
      <c r="CY25" t="s">
        <v>804</v>
      </c>
      <c r="CZ25">
        <v>13</v>
      </c>
      <c r="DA25">
        <v>3</v>
      </c>
      <c r="DB25">
        <v>89.461538461499998</v>
      </c>
      <c r="DC25">
        <v>24</v>
      </c>
      <c r="DD25">
        <v>1</v>
      </c>
      <c r="DE25">
        <v>111.5416666667</v>
      </c>
      <c r="DF25">
        <v>26</v>
      </c>
      <c r="DH25" t="s">
        <v>420</v>
      </c>
      <c r="DI25" t="s">
        <v>770</v>
      </c>
      <c r="DJ25" t="s">
        <v>778</v>
      </c>
      <c r="DK25">
        <v>4</v>
      </c>
      <c r="DL25">
        <v>0</v>
      </c>
      <c r="DM25">
        <v>45.75</v>
      </c>
      <c r="DN25">
        <v>7</v>
      </c>
      <c r="DO25">
        <v>0</v>
      </c>
      <c r="DP25">
        <v>121.7142857143</v>
      </c>
      <c r="DQ25">
        <v>0</v>
      </c>
    </row>
    <row r="26" spans="2:121" x14ac:dyDescent="0.2">
      <c r="B26" t="s">
        <v>103</v>
      </c>
      <c r="C26">
        <v>40</v>
      </c>
      <c r="D26">
        <v>39</v>
      </c>
      <c r="F26" t="s">
        <v>35</v>
      </c>
      <c r="G26">
        <v>4146</v>
      </c>
      <c r="H26">
        <v>628.97298601060004</v>
      </c>
      <c r="I26">
        <v>3498</v>
      </c>
      <c r="J26">
        <v>787</v>
      </c>
      <c r="K26">
        <v>5610</v>
      </c>
      <c r="L26">
        <v>4300</v>
      </c>
      <c r="M26">
        <v>2739</v>
      </c>
      <c r="N26">
        <v>2142</v>
      </c>
      <c r="O26">
        <v>649</v>
      </c>
      <c r="P26">
        <v>565</v>
      </c>
      <c r="Q26">
        <v>0</v>
      </c>
      <c r="R26">
        <v>1</v>
      </c>
      <c r="T26" t="s">
        <v>391</v>
      </c>
      <c r="U26">
        <v>34539</v>
      </c>
      <c r="V26">
        <v>383.19297026549998</v>
      </c>
      <c r="W26">
        <v>49170</v>
      </c>
      <c r="X26">
        <v>10844</v>
      </c>
      <c r="Y26">
        <v>55180</v>
      </c>
      <c r="Z26">
        <v>33959</v>
      </c>
      <c r="AA26">
        <v>13849</v>
      </c>
      <c r="AB26">
        <v>10762</v>
      </c>
      <c r="AC26">
        <v>23383</v>
      </c>
      <c r="AD26">
        <v>15154</v>
      </c>
      <c r="AE26">
        <v>4545</v>
      </c>
      <c r="AF26">
        <v>1056</v>
      </c>
      <c r="AH26" t="s">
        <v>402</v>
      </c>
      <c r="AI26">
        <v>1529</v>
      </c>
      <c r="AJ26">
        <v>187.48986265529999</v>
      </c>
      <c r="AK26">
        <v>4266</v>
      </c>
      <c r="AL26">
        <v>765</v>
      </c>
      <c r="AM26">
        <v>2628</v>
      </c>
      <c r="AN26">
        <v>1077</v>
      </c>
      <c r="AO26">
        <v>752</v>
      </c>
      <c r="AP26">
        <v>311</v>
      </c>
      <c r="AQ26">
        <v>1168</v>
      </c>
      <c r="AR26">
        <v>711</v>
      </c>
      <c r="AS26">
        <v>8</v>
      </c>
      <c r="AT26">
        <v>4</v>
      </c>
      <c r="AV26" t="s">
        <v>375</v>
      </c>
      <c r="AW26">
        <v>438</v>
      </c>
      <c r="AX26">
        <v>103.0570776256</v>
      </c>
      <c r="AY26">
        <v>766</v>
      </c>
      <c r="AZ26">
        <v>207</v>
      </c>
      <c r="BA26">
        <v>562</v>
      </c>
      <c r="BB26">
        <v>176</v>
      </c>
      <c r="BC26">
        <v>4</v>
      </c>
      <c r="BD26">
        <v>3</v>
      </c>
      <c r="BE26">
        <v>48</v>
      </c>
      <c r="BF26">
        <v>13</v>
      </c>
      <c r="BG26">
        <v>69</v>
      </c>
      <c r="BH26">
        <v>203</v>
      </c>
      <c r="BJ26" t="s">
        <v>581</v>
      </c>
      <c r="BK26" t="s">
        <v>391</v>
      </c>
      <c r="BL26">
        <v>6397</v>
      </c>
      <c r="BM26">
        <v>1172</v>
      </c>
      <c r="BN26">
        <v>81.4547444114</v>
      </c>
      <c r="BO26">
        <v>13386</v>
      </c>
      <c r="BP26">
        <v>150</v>
      </c>
      <c r="BQ26">
        <v>115.9979829673</v>
      </c>
      <c r="BR26">
        <v>101.5866666667</v>
      </c>
      <c r="BS26">
        <v>2132</v>
      </c>
      <c r="BT26">
        <v>505</v>
      </c>
      <c r="BU26">
        <v>89.846622889299994</v>
      </c>
      <c r="BV26">
        <v>15904</v>
      </c>
      <c r="BW26">
        <v>199</v>
      </c>
      <c r="BX26">
        <v>128.50609909459999</v>
      </c>
      <c r="BY26">
        <v>110.51256281409999</v>
      </c>
      <c r="CA26" t="s">
        <v>392</v>
      </c>
      <c r="CB26" t="s">
        <v>808</v>
      </c>
      <c r="CC26" t="s">
        <v>1012</v>
      </c>
      <c r="CD26">
        <v>7226</v>
      </c>
      <c r="CE26">
        <v>1643</v>
      </c>
      <c r="CF26">
        <v>97.038472183799996</v>
      </c>
      <c r="CG26">
        <v>15876</v>
      </c>
      <c r="CH26">
        <v>168</v>
      </c>
      <c r="CI26">
        <v>130.42642983120001</v>
      </c>
      <c r="CJ26">
        <v>111.2202380952</v>
      </c>
      <c r="CL26" t="s">
        <v>392</v>
      </c>
      <c r="CM26" t="s">
        <v>783</v>
      </c>
      <c r="CN26" t="s">
        <v>792</v>
      </c>
      <c r="CO26">
        <v>674</v>
      </c>
      <c r="CP26">
        <v>113</v>
      </c>
      <c r="CQ26">
        <v>80.324925816000004</v>
      </c>
      <c r="CR26">
        <v>2996</v>
      </c>
      <c r="CS26">
        <v>9</v>
      </c>
      <c r="CT26">
        <v>71.553738317799997</v>
      </c>
      <c r="CU26">
        <v>64.777777777799997</v>
      </c>
      <c r="CW26" t="s">
        <v>392</v>
      </c>
      <c r="CX26" t="s">
        <v>796</v>
      </c>
      <c r="CY26" t="s">
        <v>805</v>
      </c>
      <c r="CZ26">
        <v>231</v>
      </c>
      <c r="DA26">
        <v>57</v>
      </c>
      <c r="DB26">
        <v>89.675324675300004</v>
      </c>
      <c r="DC26">
        <v>289</v>
      </c>
      <c r="DD26">
        <v>0</v>
      </c>
      <c r="DE26">
        <v>147.78546712799999</v>
      </c>
      <c r="DF26">
        <v>0</v>
      </c>
      <c r="DH26" t="s">
        <v>392</v>
      </c>
      <c r="DI26" t="s">
        <v>770</v>
      </c>
      <c r="DJ26" t="s">
        <v>779</v>
      </c>
      <c r="DK26">
        <v>150</v>
      </c>
      <c r="DL26">
        <v>32</v>
      </c>
      <c r="DM26">
        <v>85.066666666700002</v>
      </c>
      <c r="DN26">
        <v>211</v>
      </c>
      <c r="DO26">
        <v>0</v>
      </c>
      <c r="DP26">
        <v>139.8720379147</v>
      </c>
      <c r="DQ26">
        <v>0</v>
      </c>
    </row>
    <row r="27" spans="2:121" x14ac:dyDescent="0.2">
      <c r="B27" t="s">
        <v>88</v>
      </c>
      <c r="C27">
        <v>74787</v>
      </c>
      <c r="D27">
        <v>20106</v>
      </c>
      <c r="F27" t="s">
        <v>55</v>
      </c>
      <c r="G27">
        <v>734</v>
      </c>
      <c r="H27">
        <v>184.64577656680001</v>
      </c>
      <c r="I27">
        <v>904</v>
      </c>
      <c r="J27">
        <v>228</v>
      </c>
      <c r="K27">
        <v>855</v>
      </c>
      <c r="L27">
        <v>453</v>
      </c>
      <c r="M27">
        <v>254</v>
      </c>
      <c r="N27">
        <v>235</v>
      </c>
      <c r="O27">
        <v>663</v>
      </c>
      <c r="P27">
        <v>392</v>
      </c>
      <c r="Q27">
        <v>418</v>
      </c>
      <c r="R27">
        <v>165</v>
      </c>
      <c r="T27" t="s">
        <v>370</v>
      </c>
      <c r="U27">
        <v>65540</v>
      </c>
      <c r="V27">
        <v>423.73661885870001</v>
      </c>
      <c r="W27">
        <v>69818</v>
      </c>
      <c r="X27">
        <v>17030</v>
      </c>
      <c r="Y27">
        <v>94367</v>
      </c>
      <c r="Z27">
        <v>64245</v>
      </c>
      <c r="AA27">
        <v>36292</v>
      </c>
      <c r="AB27">
        <v>29898</v>
      </c>
      <c r="AC27">
        <v>36781</v>
      </c>
      <c r="AD27">
        <v>24410</v>
      </c>
      <c r="AE27">
        <v>8831</v>
      </c>
      <c r="AF27">
        <v>134</v>
      </c>
      <c r="AH27" t="s">
        <v>390</v>
      </c>
      <c r="AI27">
        <v>4072</v>
      </c>
      <c r="AJ27">
        <v>398.80255402749998</v>
      </c>
      <c r="AK27">
        <v>4557</v>
      </c>
      <c r="AL27">
        <v>1476</v>
      </c>
      <c r="AM27">
        <v>6174</v>
      </c>
      <c r="AN27">
        <v>4666</v>
      </c>
      <c r="AO27">
        <v>1473</v>
      </c>
      <c r="AP27">
        <v>1173</v>
      </c>
      <c r="AQ27">
        <v>2671</v>
      </c>
      <c r="AR27">
        <v>2023</v>
      </c>
      <c r="AS27">
        <v>364</v>
      </c>
      <c r="AT27">
        <v>179</v>
      </c>
      <c r="AV27" t="s">
        <v>398</v>
      </c>
      <c r="AW27">
        <v>663</v>
      </c>
      <c r="AX27">
        <v>57.832579185500002</v>
      </c>
      <c r="AY27">
        <v>603</v>
      </c>
      <c r="AZ27">
        <v>80</v>
      </c>
      <c r="BA27">
        <v>815</v>
      </c>
      <c r="BB27">
        <v>42</v>
      </c>
      <c r="BC27">
        <v>3</v>
      </c>
      <c r="BD27">
        <v>2</v>
      </c>
      <c r="BE27">
        <v>28</v>
      </c>
      <c r="BF27">
        <v>10</v>
      </c>
      <c r="BG27">
        <v>101</v>
      </c>
      <c r="BH27">
        <v>56</v>
      </c>
      <c r="BJ27" t="s">
        <v>640</v>
      </c>
      <c r="BK27" t="s">
        <v>391</v>
      </c>
      <c r="BL27">
        <v>2006</v>
      </c>
      <c r="BM27">
        <v>346</v>
      </c>
      <c r="BN27">
        <v>78.478564307100001</v>
      </c>
      <c r="BO27">
        <v>4905</v>
      </c>
      <c r="BP27">
        <v>44</v>
      </c>
      <c r="BQ27">
        <v>128.26462793069999</v>
      </c>
      <c r="BR27">
        <v>81.363636363599994</v>
      </c>
      <c r="BS27">
        <v>1773</v>
      </c>
      <c r="BT27">
        <v>195</v>
      </c>
      <c r="BU27">
        <v>67.456288776099996</v>
      </c>
      <c r="BV27">
        <v>3702</v>
      </c>
      <c r="BW27">
        <v>38</v>
      </c>
      <c r="BX27">
        <v>132.25175580769999</v>
      </c>
      <c r="BY27">
        <v>71.552631578900005</v>
      </c>
      <c r="CA27" t="s">
        <v>421</v>
      </c>
      <c r="CB27" t="s">
        <v>808</v>
      </c>
      <c r="CC27" t="s">
        <v>1013</v>
      </c>
      <c r="CD27">
        <v>1003</v>
      </c>
      <c r="CE27">
        <v>197</v>
      </c>
      <c r="CF27">
        <v>81.495513459600005</v>
      </c>
      <c r="CG27">
        <v>1646</v>
      </c>
      <c r="CH27">
        <v>12</v>
      </c>
      <c r="CI27">
        <v>107.5376670717</v>
      </c>
      <c r="CJ27">
        <v>93.416666666699996</v>
      </c>
      <c r="CL27" t="s">
        <v>421</v>
      </c>
      <c r="CM27" t="s">
        <v>783</v>
      </c>
      <c r="CN27" t="s">
        <v>793</v>
      </c>
      <c r="CO27">
        <v>51</v>
      </c>
      <c r="CP27">
        <v>1</v>
      </c>
      <c r="CQ27">
        <v>40.529411764700001</v>
      </c>
      <c r="CR27">
        <v>223</v>
      </c>
      <c r="CS27">
        <v>3</v>
      </c>
      <c r="CT27">
        <v>64.686098654700004</v>
      </c>
      <c r="CU27">
        <v>41.666666666700003</v>
      </c>
      <c r="CW27" t="s">
        <v>421</v>
      </c>
      <c r="CX27" t="s">
        <v>796</v>
      </c>
      <c r="CY27" t="s">
        <v>806</v>
      </c>
      <c r="CZ27">
        <v>8</v>
      </c>
      <c r="DA27">
        <v>2</v>
      </c>
      <c r="DB27">
        <v>108</v>
      </c>
      <c r="DC27">
        <v>21</v>
      </c>
      <c r="DD27">
        <v>1</v>
      </c>
      <c r="DE27">
        <v>143.90476190480001</v>
      </c>
      <c r="DF27">
        <v>185</v>
      </c>
      <c r="DH27" t="s">
        <v>421</v>
      </c>
      <c r="DI27" t="s">
        <v>770</v>
      </c>
      <c r="DJ27" t="s">
        <v>780</v>
      </c>
      <c r="DK27">
        <v>10</v>
      </c>
      <c r="DL27">
        <v>0</v>
      </c>
      <c r="DM27">
        <v>65.8</v>
      </c>
      <c r="DN27">
        <v>18</v>
      </c>
      <c r="DO27">
        <v>0</v>
      </c>
      <c r="DP27">
        <v>154.7222222222</v>
      </c>
      <c r="DQ27">
        <v>0</v>
      </c>
    </row>
    <row r="28" spans="2:121" x14ac:dyDescent="0.2">
      <c r="B28" t="s">
        <v>96</v>
      </c>
      <c r="C28">
        <v>113652</v>
      </c>
      <c r="D28">
        <v>68597</v>
      </c>
      <c r="F28" t="s">
        <v>69</v>
      </c>
      <c r="G28">
        <v>16416</v>
      </c>
      <c r="H28">
        <v>411.04672270959998</v>
      </c>
      <c r="I28">
        <v>10931</v>
      </c>
      <c r="J28">
        <v>2633</v>
      </c>
      <c r="K28">
        <v>18959</v>
      </c>
      <c r="L28">
        <v>13097</v>
      </c>
      <c r="M28">
        <v>8787</v>
      </c>
      <c r="N28">
        <v>8032</v>
      </c>
      <c r="O28">
        <v>4521</v>
      </c>
      <c r="P28">
        <v>3880</v>
      </c>
      <c r="Q28">
        <v>5</v>
      </c>
      <c r="R28">
        <v>6</v>
      </c>
      <c r="T28" t="s">
        <v>8</v>
      </c>
      <c r="U28">
        <v>3689</v>
      </c>
      <c r="V28">
        <v>367.14367037139999</v>
      </c>
      <c r="W28">
        <v>4462</v>
      </c>
      <c r="X28">
        <v>1929</v>
      </c>
      <c r="Y28">
        <v>4982</v>
      </c>
      <c r="Z28">
        <v>3445</v>
      </c>
      <c r="AA28">
        <v>1426</v>
      </c>
      <c r="AB28">
        <v>968</v>
      </c>
      <c r="AC28">
        <v>1543</v>
      </c>
      <c r="AD28">
        <v>971</v>
      </c>
      <c r="AE28">
        <v>454</v>
      </c>
      <c r="AF28">
        <v>159</v>
      </c>
      <c r="AH28" t="s">
        <v>398</v>
      </c>
      <c r="AI28">
        <v>4214</v>
      </c>
      <c r="AJ28">
        <v>247.21120075939999</v>
      </c>
      <c r="AK28">
        <v>5825</v>
      </c>
      <c r="AL28">
        <v>1325</v>
      </c>
      <c r="AM28">
        <v>6372</v>
      </c>
      <c r="AN28">
        <v>3488</v>
      </c>
      <c r="AO28">
        <v>2202</v>
      </c>
      <c r="AP28">
        <v>1858</v>
      </c>
      <c r="AQ28">
        <v>6458</v>
      </c>
      <c r="AR28">
        <v>4770</v>
      </c>
      <c r="AS28">
        <v>770</v>
      </c>
      <c r="AT28">
        <v>49</v>
      </c>
      <c r="AV28" t="s">
        <v>382</v>
      </c>
      <c r="AW28">
        <v>1361</v>
      </c>
      <c r="AX28">
        <v>100.4805290228</v>
      </c>
      <c r="AY28">
        <v>1697</v>
      </c>
      <c r="AZ28">
        <v>389</v>
      </c>
      <c r="BA28">
        <v>1696</v>
      </c>
      <c r="BB28">
        <v>515</v>
      </c>
      <c r="BC28">
        <v>11</v>
      </c>
      <c r="BD28">
        <v>9</v>
      </c>
      <c r="BE28">
        <v>130</v>
      </c>
      <c r="BF28">
        <v>28</v>
      </c>
      <c r="BG28">
        <v>190</v>
      </c>
      <c r="BH28">
        <v>485</v>
      </c>
      <c r="BJ28" t="s">
        <v>534</v>
      </c>
      <c r="BK28" t="s">
        <v>370</v>
      </c>
      <c r="BL28">
        <v>4345</v>
      </c>
      <c r="BM28">
        <v>1176</v>
      </c>
      <c r="BN28">
        <v>105.2262370541</v>
      </c>
      <c r="BO28">
        <v>7480</v>
      </c>
      <c r="BP28">
        <v>113</v>
      </c>
      <c r="BQ28">
        <v>146.0131016043</v>
      </c>
      <c r="BR28">
        <v>134.017699115</v>
      </c>
      <c r="BS28">
        <v>927</v>
      </c>
      <c r="BT28">
        <v>289</v>
      </c>
      <c r="BU28">
        <v>108.7303128371</v>
      </c>
      <c r="BV28">
        <v>4656</v>
      </c>
      <c r="BW28">
        <v>69</v>
      </c>
      <c r="BX28">
        <v>135.72852233680001</v>
      </c>
      <c r="BY28">
        <v>131.6086956522</v>
      </c>
      <c r="CA28" t="s">
        <v>397</v>
      </c>
      <c r="CB28" t="s">
        <v>808</v>
      </c>
      <c r="CC28" t="s">
        <v>1014</v>
      </c>
      <c r="CD28">
        <v>3712</v>
      </c>
      <c r="CE28">
        <v>637</v>
      </c>
      <c r="CF28">
        <v>79.622036637899996</v>
      </c>
      <c r="CG28">
        <v>6942</v>
      </c>
      <c r="CH28">
        <v>83</v>
      </c>
      <c r="CI28">
        <v>118.0985306828</v>
      </c>
      <c r="CJ28">
        <v>106.6746987952</v>
      </c>
      <c r="CL28" t="s">
        <v>397</v>
      </c>
      <c r="CM28" t="s">
        <v>783</v>
      </c>
      <c r="CN28" t="s">
        <v>794</v>
      </c>
      <c r="CO28">
        <v>260</v>
      </c>
      <c r="CP28">
        <v>32</v>
      </c>
      <c r="CQ28">
        <v>69.830769230800001</v>
      </c>
      <c r="CR28">
        <v>1103</v>
      </c>
      <c r="CS28">
        <v>6</v>
      </c>
      <c r="CT28">
        <v>59.013599274699999</v>
      </c>
      <c r="CU28">
        <v>88.166666666699996</v>
      </c>
      <c r="CW28" t="s">
        <v>397</v>
      </c>
      <c r="CX28" t="s">
        <v>796</v>
      </c>
      <c r="CY28" t="s">
        <v>807</v>
      </c>
      <c r="CZ28">
        <v>95</v>
      </c>
      <c r="DA28">
        <v>15</v>
      </c>
      <c r="DB28">
        <v>73.178947368400003</v>
      </c>
      <c r="DC28">
        <v>114</v>
      </c>
      <c r="DD28">
        <v>0</v>
      </c>
      <c r="DE28">
        <v>139.64035087720001</v>
      </c>
      <c r="DF28">
        <v>0</v>
      </c>
      <c r="DH28" t="s">
        <v>397</v>
      </c>
      <c r="DI28" t="s">
        <v>770</v>
      </c>
      <c r="DJ28" t="s">
        <v>781</v>
      </c>
      <c r="DK28">
        <v>51</v>
      </c>
      <c r="DL28">
        <v>10</v>
      </c>
      <c r="DM28">
        <v>76.098039215699998</v>
      </c>
      <c r="DN28">
        <v>84</v>
      </c>
      <c r="DO28">
        <v>1</v>
      </c>
      <c r="DP28">
        <v>128.20238095240001</v>
      </c>
      <c r="DQ28">
        <v>86</v>
      </c>
    </row>
    <row r="29" spans="2:121" x14ac:dyDescent="0.2">
      <c r="B29" t="s">
        <v>106</v>
      </c>
      <c r="C29">
        <v>66892</v>
      </c>
      <c r="D29">
        <v>38166</v>
      </c>
      <c r="F29" t="s">
        <v>41</v>
      </c>
      <c r="G29">
        <v>781</v>
      </c>
      <c r="H29">
        <v>109.26248399489999</v>
      </c>
      <c r="I29">
        <v>2558</v>
      </c>
      <c r="J29">
        <v>390</v>
      </c>
      <c r="K29">
        <v>1127</v>
      </c>
      <c r="L29">
        <v>291</v>
      </c>
      <c r="M29">
        <v>323</v>
      </c>
      <c r="N29">
        <v>242</v>
      </c>
      <c r="O29">
        <v>211</v>
      </c>
      <c r="P29">
        <v>105</v>
      </c>
      <c r="Q29">
        <v>0</v>
      </c>
      <c r="R29">
        <v>7</v>
      </c>
      <c r="T29" t="s">
        <v>405</v>
      </c>
      <c r="U29">
        <v>55568</v>
      </c>
      <c r="V29">
        <v>393.45662971489998</v>
      </c>
      <c r="W29">
        <v>56984</v>
      </c>
      <c r="X29">
        <v>13120</v>
      </c>
      <c r="Y29">
        <v>80707</v>
      </c>
      <c r="Z29">
        <v>57278</v>
      </c>
      <c r="AA29">
        <v>23431</v>
      </c>
      <c r="AB29">
        <v>18603</v>
      </c>
      <c r="AC29">
        <v>31299</v>
      </c>
      <c r="AD29">
        <v>20586</v>
      </c>
      <c r="AE29">
        <v>99</v>
      </c>
      <c r="AF29">
        <v>603</v>
      </c>
      <c r="AH29" t="s">
        <v>419</v>
      </c>
      <c r="AI29">
        <v>560</v>
      </c>
      <c r="AJ29">
        <v>265.70357142860001</v>
      </c>
      <c r="AK29">
        <v>793</v>
      </c>
      <c r="AL29">
        <v>69</v>
      </c>
      <c r="AM29">
        <v>932</v>
      </c>
      <c r="AN29">
        <v>506</v>
      </c>
      <c r="AO29">
        <v>440</v>
      </c>
      <c r="AP29">
        <v>268</v>
      </c>
      <c r="AQ29">
        <v>380</v>
      </c>
      <c r="AR29">
        <v>196</v>
      </c>
      <c r="AS29">
        <v>1</v>
      </c>
      <c r="AT29">
        <v>7</v>
      </c>
      <c r="AV29" t="s">
        <v>419</v>
      </c>
      <c r="AW29">
        <v>55</v>
      </c>
      <c r="AX29">
        <v>43.363636363600001</v>
      </c>
      <c r="AY29">
        <v>90</v>
      </c>
      <c r="AZ29">
        <v>4</v>
      </c>
      <c r="BA29">
        <v>67</v>
      </c>
      <c r="BB29">
        <v>1</v>
      </c>
      <c r="BC29">
        <v>0</v>
      </c>
      <c r="BE29">
        <v>1</v>
      </c>
      <c r="BG29">
        <v>137</v>
      </c>
      <c r="BH29">
        <v>9</v>
      </c>
      <c r="BJ29" t="s">
        <v>513</v>
      </c>
      <c r="BK29" t="s">
        <v>370</v>
      </c>
      <c r="BL29">
        <v>3648</v>
      </c>
      <c r="BM29">
        <v>788</v>
      </c>
      <c r="BN29">
        <v>88.265076754399999</v>
      </c>
      <c r="BO29">
        <v>5529</v>
      </c>
      <c r="BP29">
        <v>39</v>
      </c>
      <c r="BQ29">
        <v>135.94103816239999</v>
      </c>
      <c r="BR29">
        <v>131.25641025639999</v>
      </c>
      <c r="BS29">
        <v>3221</v>
      </c>
      <c r="BT29">
        <v>707</v>
      </c>
      <c r="BU29">
        <v>85.048432163900003</v>
      </c>
      <c r="BV29">
        <v>5150</v>
      </c>
      <c r="BW29">
        <v>37</v>
      </c>
      <c r="BX29">
        <v>128.02776699029999</v>
      </c>
      <c r="BY29">
        <v>141.67567567570001</v>
      </c>
      <c r="CA29" t="s">
        <v>391</v>
      </c>
      <c r="CB29" t="s">
        <v>808</v>
      </c>
      <c r="CD29">
        <v>47219</v>
      </c>
      <c r="CE29">
        <v>10164</v>
      </c>
      <c r="CF29">
        <v>88.736462017400001</v>
      </c>
      <c r="CG29">
        <v>91954</v>
      </c>
      <c r="CH29">
        <v>920</v>
      </c>
      <c r="CI29">
        <v>124.9633077408</v>
      </c>
      <c r="CJ29">
        <v>109.8760869565</v>
      </c>
      <c r="CL29" t="s">
        <v>391</v>
      </c>
      <c r="CM29" t="s">
        <v>783</v>
      </c>
      <c r="CO29">
        <v>3996</v>
      </c>
      <c r="CP29">
        <v>564</v>
      </c>
      <c r="CQ29">
        <v>71.799049049000004</v>
      </c>
      <c r="CR29">
        <v>15625</v>
      </c>
      <c r="CS29">
        <v>70</v>
      </c>
      <c r="CT29">
        <v>69.858496000000002</v>
      </c>
      <c r="CU29">
        <v>56.4142857143</v>
      </c>
      <c r="CW29" t="s">
        <v>391</v>
      </c>
      <c r="CX29" t="s">
        <v>796</v>
      </c>
      <c r="CZ29">
        <v>1233</v>
      </c>
      <c r="DA29">
        <v>282</v>
      </c>
      <c r="DB29">
        <v>87.363341443600007</v>
      </c>
      <c r="DC29">
        <v>1593</v>
      </c>
      <c r="DD29">
        <v>12</v>
      </c>
      <c r="DE29">
        <v>140.60891399869999</v>
      </c>
      <c r="DF29">
        <v>107.0833333333</v>
      </c>
      <c r="DH29" t="s">
        <v>391</v>
      </c>
      <c r="DI29" t="s">
        <v>770</v>
      </c>
      <c r="DK29">
        <v>947</v>
      </c>
      <c r="DL29">
        <v>193</v>
      </c>
      <c r="DM29">
        <v>80.2819429778</v>
      </c>
      <c r="DN29">
        <v>1561</v>
      </c>
      <c r="DO29">
        <v>9</v>
      </c>
      <c r="DP29">
        <v>131.43241511849999</v>
      </c>
      <c r="DQ29">
        <v>124.55555555559999</v>
      </c>
    </row>
    <row r="30" spans="2:121" x14ac:dyDescent="0.2">
      <c r="B30" t="s">
        <v>20</v>
      </c>
      <c r="C30">
        <v>298</v>
      </c>
      <c r="D30">
        <v>155</v>
      </c>
      <c r="F30" t="s">
        <v>45</v>
      </c>
      <c r="G30">
        <v>1518</v>
      </c>
      <c r="H30">
        <v>255.16469038209999</v>
      </c>
      <c r="I30">
        <v>1932</v>
      </c>
      <c r="J30">
        <v>343</v>
      </c>
      <c r="K30">
        <v>1892</v>
      </c>
      <c r="L30">
        <v>1191</v>
      </c>
      <c r="M30">
        <v>1025</v>
      </c>
      <c r="N30">
        <v>621</v>
      </c>
      <c r="O30">
        <v>247</v>
      </c>
      <c r="P30">
        <v>110</v>
      </c>
      <c r="Q30">
        <v>0</v>
      </c>
      <c r="R30">
        <v>1</v>
      </c>
      <c r="T30" t="s">
        <v>381</v>
      </c>
      <c r="U30">
        <v>66169</v>
      </c>
      <c r="V30">
        <v>363.21174568150002</v>
      </c>
      <c r="W30">
        <v>70585</v>
      </c>
      <c r="X30">
        <v>17483</v>
      </c>
      <c r="Y30">
        <v>95564</v>
      </c>
      <c r="Z30">
        <v>64702</v>
      </c>
      <c r="AA30">
        <v>29785</v>
      </c>
      <c r="AB30">
        <v>24637</v>
      </c>
      <c r="AC30">
        <v>44107</v>
      </c>
      <c r="AD30">
        <v>30692</v>
      </c>
      <c r="AE30">
        <v>5943</v>
      </c>
      <c r="AF30">
        <v>1175</v>
      </c>
      <c r="AH30" t="s">
        <v>401</v>
      </c>
      <c r="AI30">
        <v>1028</v>
      </c>
      <c r="AJ30">
        <v>211.75194552529999</v>
      </c>
      <c r="AK30">
        <v>2242</v>
      </c>
      <c r="AL30">
        <v>292</v>
      </c>
      <c r="AM30">
        <v>1838</v>
      </c>
      <c r="AN30">
        <v>899</v>
      </c>
      <c r="AO30">
        <v>799</v>
      </c>
      <c r="AP30">
        <v>581</v>
      </c>
      <c r="AQ30">
        <v>620</v>
      </c>
      <c r="AR30">
        <v>349</v>
      </c>
      <c r="AS30">
        <v>1</v>
      </c>
      <c r="AT30">
        <v>12</v>
      </c>
      <c r="AV30" t="s">
        <v>406</v>
      </c>
      <c r="AW30">
        <v>83</v>
      </c>
      <c r="AX30">
        <v>52.7951807229</v>
      </c>
      <c r="AY30">
        <v>150</v>
      </c>
      <c r="AZ30">
        <v>3</v>
      </c>
      <c r="BA30">
        <v>110</v>
      </c>
      <c r="BB30">
        <v>3</v>
      </c>
      <c r="BC30">
        <v>0</v>
      </c>
      <c r="BE30">
        <v>4</v>
      </c>
      <c r="BF30">
        <v>2</v>
      </c>
      <c r="BG30">
        <v>276</v>
      </c>
      <c r="BH30">
        <v>23</v>
      </c>
      <c r="BJ30" t="s">
        <v>521</v>
      </c>
      <c r="BK30" t="s">
        <v>370</v>
      </c>
      <c r="BL30">
        <v>3811</v>
      </c>
      <c r="BM30">
        <v>656</v>
      </c>
      <c r="BN30">
        <v>84.612175282099997</v>
      </c>
      <c r="BO30">
        <v>6394</v>
      </c>
      <c r="BP30">
        <v>71</v>
      </c>
      <c r="BQ30">
        <v>142.87159837350001</v>
      </c>
      <c r="BR30">
        <v>134.8169014085</v>
      </c>
      <c r="BS30">
        <v>3292</v>
      </c>
      <c r="BT30">
        <v>438</v>
      </c>
      <c r="BU30">
        <v>79.163122721700006</v>
      </c>
      <c r="BV30">
        <v>5061</v>
      </c>
      <c r="BW30">
        <v>68</v>
      </c>
      <c r="BX30">
        <v>137.59395376410001</v>
      </c>
      <c r="BY30">
        <v>133.6176470588</v>
      </c>
      <c r="CA30" t="s">
        <v>374</v>
      </c>
      <c r="CB30" t="s">
        <v>857</v>
      </c>
      <c r="CC30" t="s">
        <v>980</v>
      </c>
      <c r="CD30">
        <v>1599</v>
      </c>
      <c r="CE30">
        <v>414</v>
      </c>
      <c r="CF30">
        <v>94.350844277700006</v>
      </c>
      <c r="CG30">
        <v>3396</v>
      </c>
      <c r="CH30">
        <v>38</v>
      </c>
      <c r="CI30">
        <v>114.7770906949</v>
      </c>
      <c r="CJ30">
        <v>116.3947368421</v>
      </c>
      <c r="CL30" t="s">
        <v>374</v>
      </c>
      <c r="CM30" t="s">
        <v>826</v>
      </c>
      <c r="CN30" t="s">
        <v>825</v>
      </c>
      <c r="CO30">
        <v>212</v>
      </c>
      <c r="CP30">
        <v>33</v>
      </c>
      <c r="CQ30">
        <v>72.202830188700005</v>
      </c>
      <c r="CR30">
        <v>436</v>
      </c>
      <c r="CS30">
        <v>0</v>
      </c>
      <c r="CT30">
        <v>91.155963302800004</v>
      </c>
      <c r="CU30">
        <v>0</v>
      </c>
      <c r="CW30" t="s">
        <v>374</v>
      </c>
      <c r="CX30" t="s">
        <v>842</v>
      </c>
      <c r="CY30" t="s">
        <v>841</v>
      </c>
      <c r="CZ30">
        <v>51</v>
      </c>
      <c r="DA30">
        <v>12</v>
      </c>
      <c r="DB30">
        <v>73.941176470599999</v>
      </c>
      <c r="DC30">
        <v>67</v>
      </c>
      <c r="DD30">
        <v>0</v>
      </c>
      <c r="DE30">
        <v>143.0149253731</v>
      </c>
      <c r="DF30">
        <v>0</v>
      </c>
      <c r="DH30" t="s">
        <v>374</v>
      </c>
      <c r="DI30" t="s">
        <v>810</v>
      </c>
      <c r="DJ30" t="s">
        <v>809</v>
      </c>
      <c r="DK30">
        <v>46</v>
      </c>
      <c r="DL30">
        <v>10</v>
      </c>
      <c r="DM30">
        <v>85.282608695700006</v>
      </c>
      <c r="DN30">
        <v>80</v>
      </c>
      <c r="DO30">
        <v>0</v>
      </c>
      <c r="DP30">
        <v>147.22499999999999</v>
      </c>
      <c r="DQ30">
        <v>0</v>
      </c>
    </row>
    <row r="31" spans="2:121" x14ac:dyDescent="0.2">
      <c r="B31" t="s">
        <v>22</v>
      </c>
      <c r="C31">
        <v>191679</v>
      </c>
      <c r="D31">
        <v>40277</v>
      </c>
      <c r="F31" t="s">
        <v>65</v>
      </c>
      <c r="G31">
        <v>3972</v>
      </c>
      <c r="H31">
        <v>457.37336354479999</v>
      </c>
      <c r="I31">
        <v>5036</v>
      </c>
      <c r="J31">
        <v>1611</v>
      </c>
      <c r="K31">
        <v>5407</v>
      </c>
      <c r="L31">
        <v>3969</v>
      </c>
      <c r="M31">
        <v>679</v>
      </c>
      <c r="N31">
        <v>574</v>
      </c>
      <c r="O31">
        <v>808</v>
      </c>
      <c r="P31">
        <v>528</v>
      </c>
      <c r="Q31">
        <v>0</v>
      </c>
      <c r="R31">
        <v>2</v>
      </c>
      <c r="T31" t="s">
        <v>462</v>
      </c>
      <c r="U31">
        <v>275990</v>
      </c>
      <c r="V31">
        <v>387.28005362509998</v>
      </c>
      <c r="W31">
        <v>315603</v>
      </c>
      <c r="X31">
        <v>75370</v>
      </c>
      <c r="Y31">
        <v>402921</v>
      </c>
      <c r="Z31">
        <v>270942</v>
      </c>
      <c r="AA31">
        <v>123442</v>
      </c>
      <c r="AB31">
        <v>98628</v>
      </c>
      <c r="AC31">
        <v>165404</v>
      </c>
      <c r="AD31">
        <v>108607</v>
      </c>
      <c r="AE31">
        <v>20887</v>
      </c>
      <c r="AF31">
        <v>4218</v>
      </c>
      <c r="AH31" t="s">
        <v>414</v>
      </c>
      <c r="AI31">
        <v>3362</v>
      </c>
      <c r="AJ31">
        <v>403.8685306365</v>
      </c>
      <c r="AK31">
        <v>3816</v>
      </c>
      <c r="AL31">
        <v>947</v>
      </c>
      <c r="AM31">
        <v>4559</v>
      </c>
      <c r="AN31">
        <v>3213</v>
      </c>
      <c r="AO31">
        <v>1013</v>
      </c>
      <c r="AP31">
        <v>824</v>
      </c>
      <c r="AQ31">
        <v>1978</v>
      </c>
      <c r="AR31">
        <v>1397</v>
      </c>
      <c r="AS31">
        <v>5</v>
      </c>
      <c r="AT31">
        <v>123</v>
      </c>
      <c r="AV31" t="s">
        <v>385</v>
      </c>
      <c r="AW31">
        <v>705</v>
      </c>
      <c r="AX31">
        <v>60.895035460999999</v>
      </c>
      <c r="AY31">
        <v>627</v>
      </c>
      <c r="AZ31">
        <v>74</v>
      </c>
      <c r="BA31">
        <v>843</v>
      </c>
      <c r="BB31">
        <v>62</v>
      </c>
      <c r="BC31">
        <v>1</v>
      </c>
      <c r="BD31">
        <v>1</v>
      </c>
      <c r="BE31">
        <v>76</v>
      </c>
      <c r="BF31">
        <v>13</v>
      </c>
      <c r="BG31">
        <v>121</v>
      </c>
      <c r="BH31">
        <v>79</v>
      </c>
      <c r="BJ31" t="s">
        <v>523</v>
      </c>
      <c r="BK31" t="s">
        <v>370</v>
      </c>
      <c r="BL31">
        <v>1660</v>
      </c>
      <c r="BM31">
        <v>411</v>
      </c>
      <c r="BN31">
        <v>91.819879518099995</v>
      </c>
      <c r="BO31">
        <v>3287</v>
      </c>
      <c r="BP31">
        <v>42</v>
      </c>
      <c r="BQ31">
        <v>115.9692728932</v>
      </c>
      <c r="BR31">
        <v>118.619047619</v>
      </c>
      <c r="BS31">
        <v>2264</v>
      </c>
      <c r="BT31">
        <v>754</v>
      </c>
      <c r="BU31">
        <v>116.0318021201</v>
      </c>
      <c r="BV31">
        <v>4758</v>
      </c>
      <c r="BW31">
        <v>51</v>
      </c>
      <c r="BX31">
        <v>134.0533837747</v>
      </c>
      <c r="BY31">
        <v>125.92156862749999</v>
      </c>
      <c r="CA31" t="s">
        <v>424</v>
      </c>
      <c r="CB31" t="s">
        <v>857</v>
      </c>
      <c r="CC31" t="s">
        <v>981</v>
      </c>
      <c r="CD31">
        <v>803</v>
      </c>
      <c r="CE31">
        <v>199</v>
      </c>
      <c r="CF31">
        <v>98.574097135700001</v>
      </c>
      <c r="CG31">
        <v>1526</v>
      </c>
      <c r="CH31">
        <v>6</v>
      </c>
      <c r="CI31">
        <v>140.8571428571</v>
      </c>
      <c r="CJ31">
        <v>141.5</v>
      </c>
      <c r="CL31" t="s">
        <v>424</v>
      </c>
      <c r="CM31" t="s">
        <v>826</v>
      </c>
      <c r="CN31" t="s">
        <v>827</v>
      </c>
      <c r="CO31">
        <v>88</v>
      </c>
      <c r="CP31">
        <v>15</v>
      </c>
      <c r="CQ31">
        <v>76.488636363599994</v>
      </c>
      <c r="CR31">
        <v>138</v>
      </c>
      <c r="CS31">
        <v>0</v>
      </c>
      <c r="CT31">
        <v>91.811594202899997</v>
      </c>
      <c r="CU31">
        <v>0</v>
      </c>
      <c r="CW31" t="s">
        <v>424</v>
      </c>
      <c r="CX31" t="s">
        <v>842</v>
      </c>
      <c r="CY31" t="s">
        <v>843</v>
      </c>
      <c r="CZ31">
        <v>18</v>
      </c>
      <c r="DA31">
        <v>6</v>
      </c>
      <c r="DB31">
        <v>116.2222222222</v>
      </c>
      <c r="DC31">
        <v>20</v>
      </c>
      <c r="DD31">
        <v>0</v>
      </c>
      <c r="DE31">
        <v>142.4</v>
      </c>
      <c r="DF31">
        <v>0</v>
      </c>
      <c r="DH31" t="s">
        <v>424</v>
      </c>
      <c r="DI31" t="s">
        <v>810</v>
      </c>
      <c r="DJ31" t="s">
        <v>811</v>
      </c>
      <c r="DK31">
        <v>19</v>
      </c>
      <c r="DL31">
        <v>4</v>
      </c>
      <c r="DM31">
        <v>78.421052631600006</v>
      </c>
      <c r="DN31">
        <v>30</v>
      </c>
      <c r="DO31">
        <v>0</v>
      </c>
      <c r="DP31">
        <v>157.80000000000001</v>
      </c>
      <c r="DQ31">
        <v>0</v>
      </c>
    </row>
    <row r="32" spans="2:121" x14ac:dyDescent="0.2">
      <c r="B32" t="s">
        <v>157</v>
      </c>
      <c r="C32">
        <v>3928</v>
      </c>
      <c r="D32">
        <v>3734</v>
      </c>
      <c r="F32" t="s">
        <v>73</v>
      </c>
      <c r="G32">
        <v>10457</v>
      </c>
      <c r="H32">
        <v>395.2231997705</v>
      </c>
      <c r="I32">
        <v>7306</v>
      </c>
      <c r="J32">
        <v>1160</v>
      </c>
      <c r="K32">
        <v>15348</v>
      </c>
      <c r="L32">
        <v>11036</v>
      </c>
      <c r="M32">
        <v>4647</v>
      </c>
      <c r="N32">
        <v>3560</v>
      </c>
      <c r="O32">
        <v>4360</v>
      </c>
      <c r="P32">
        <v>3577</v>
      </c>
      <c r="Q32">
        <v>2</v>
      </c>
      <c r="R32">
        <v>151</v>
      </c>
      <c r="AH32" t="s">
        <v>416</v>
      </c>
      <c r="AI32">
        <v>1244</v>
      </c>
      <c r="AJ32">
        <v>335.6511254019</v>
      </c>
      <c r="AK32">
        <v>1116</v>
      </c>
      <c r="AL32">
        <v>220</v>
      </c>
      <c r="AM32">
        <v>1867</v>
      </c>
      <c r="AN32">
        <v>1174</v>
      </c>
      <c r="AO32">
        <v>420</v>
      </c>
      <c r="AP32">
        <v>355</v>
      </c>
      <c r="AQ32">
        <v>243</v>
      </c>
      <c r="AR32">
        <v>149</v>
      </c>
      <c r="AS32">
        <v>159</v>
      </c>
      <c r="AT32">
        <v>4</v>
      </c>
      <c r="AV32" t="s">
        <v>416</v>
      </c>
      <c r="AW32">
        <v>103</v>
      </c>
      <c r="AX32">
        <v>102.3689320388</v>
      </c>
      <c r="AY32">
        <v>155</v>
      </c>
      <c r="AZ32">
        <v>28</v>
      </c>
      <c r="BA32">
        <v>137</v>
      </c>
      <c r="BB32">
        <v>49</v>
      </c>
      <c r="BC32">
        <v>1</v>
      </c>
      <c r="BE32">
        <v>15</v>
      </c>
      <c r="BF32">
        <v>1</v>
      </c>
      <c r="BG32">
        <v>8</v>
      </c>
      <c r="BH32">
        <v>35</v>
      </c>
      <c r="BJ32" t="s">
        <v>538</v>
      </c>
      <c r="BK32" t="s">
        <v>370</v>
      </c>
      <c r="BL32">
        <v>2535</v>
      </c>
      <c r="BM32">
        <v>501</v>
      </c>
      <c r="BN32">
        <v>82.178303747499996</v>
      </c>
      <c r="BO32">
        <v>4323</v>
      </c>
      <c r="BP32">
        <v>26</v>
      </c>
      <c r="BQ32">
        <v>120.39278278969999</v>
      </c>
      <c r="BR32">
        <v>80.461538461499998</v>
      </c>
      <c r="BS32">
        <v>2480</v>
      </c>
      <c r="BT32">
        <v>400</v>
      </c>
      <c r="BU32">
        <v>76.065725806499998</v>
      </c>
      <c r="BV32">
        <v>8915</v>
      </c>
      <c r="BW32">
        <v>52</v>
      </c>
      <c r="BX32">
        <v>136.61772293889999</v>
      </c>
      <c r="BY32">
        <v>99.807692307699995</v>
      </c>
      <c r="CA32" t="s">
        <v>415</v>
      </c>
      <c r="CB32" t="s">
        <v>857</v>
      </c>
      <c r="CC32" t="s">
        <v>982</v>
      </c>
      <c r="CD32">
        <v>376</v>
      </c>
      <c r="CE32">
        <v>79</v>
      </c>
      <c r="CF32">
        <v>89.587765957399995</v>
      </c>
      <c r="CG32">
        <v>697</v>
      </c>
      <c r="CH32">
        <v>8</v>
      </c>
      <c r="CI32">
        <v>145.16929698710001</v>
      </c>
      <c r="CJ32">
        <v>84.25</v>
      </c>
      <c r="CL32" t="s">
        <v>415</v>
      </c>
      <c r="CM32" t="s">
        <v>826</v>
      </c>
      <c r="CN32" t="s">
        <v>828</v>
      </c>
      <c r="CO32">
        <v>62</v>
      </c>
      <c r="CP32">
        <v>11</v>
      </c>
      <c r="CQ32">
        <v>79.435483871000002</v>
      </c>
      <c r="CR32">
        <v>140</v>
      </c>
      <c r="CS32">
        <v>1</v>
      </c>
      <c r="CT32">
        <v>99.842857142900002</v>
      </c>
      <c r="CU32">
        <v>110</v>
      </c>
      <c r="CW32" t="s">
        <v>415</v>
      </c>
      <c r="CX32" t="s">
        <v>842</v>
      </c>
      <c r="CY32" t="s">
        <v>844</v>
      </c>
      <c r="CZ32">
        <v>15</v>
      </c>
      <c r="DA32">
        <v>3</v>
      </c>
      <c r="DB32">
        <v>99.266666666700004</v>
      </c>
      <c r="DC32">
        <v>21</v>
      </c>
      <c r="DD32">
        <v>0</v>
      </c>
      <c r="DE32">
        <v>163.19047619049999</v>
      </c>
      <c r="DF32">
        <v>0</v>
      </c>
      <c r="DH32" t="s">
        <v>415</v>
      </c>
      <c r="DI32" t="s">
        <v>810</v>
      </c>
      <c r="DJ32" t="s">
        <v>812</v>
      </c>
      <c r="DK32">
        <v>24</v>
      </c>
      <c r="DL32">
        <v>2</v>
      </c>
      <c r="DM32">
        <v>70.916666666699996</v>
      </c>
      <c r="DN32">
        <v>30</v>
      </c>
      <c r="DO32">
        <v>0</v>
      </c>
      <c r="DP32">
        <v>141.3333333333</v>
      </c>
      <c r="DQ32">
        <v>0</v>
      </c>
    </row>
    <row r="33" spans="2:121" x14ac:dyDescent="0.2">
      <c r="B33" t="s">
        <v>114</v>
      </c>
      <c r="C33">
        <v>5164</v>
      </c>
      <c r="D33">
        <v>1301</v>
      </c>
      <c r="F33" t="s">
        <v>67</v>
      </c>
      <c r="G33">
        <v>780</v>
      </c>
      <c r="H33">
        <v>202.3897435897</v>
      </c>
      <c r="I33">
        <v>2017</v>
      </c>
      <c r="J33">
        <v>401</v>
      </c>
      <c r="K33">
        <v>3208</v>
      </c>
      <c r="L33">
        <v>1328</v>
      </c>
      <c r="M33">
        <v>2352</v>
      </c>
      <c r="N33">
        <v>2284</v>
      </c>
      <c r="O33">
        <v>418</v>
      </c>
      <c r="P33">
        <v>227</v>
      </c>
      <c r="Q33">
        <v>0</v>
      </c>
      <c r="R33">
        <v>1</v>
      </c>
      <c r="AH33" t="s">
        <v>375</v>
      </c>
      <c r="AI33">
        <v>1970</v>
      </c>
      <c r="AJ33">
        <v>338.02639593909998</v>
      </c>
      <c r="AK33">
        <v>4158</v>
      </c>
      <c r="AL33">
        <v>946</v>
      </c>
      <c r="AM33">
        <v>3504</v>
      </c>
      <c r="AN33">
        <v>2077</v>
      </c>
      <c r="AO33">
        <v>1383</v>
      </c>
      <c r="AP33">
        <v>1204</v>
      </c>
      <c r="AQ33">
        <v>2315</v>
      </c>
      <c r="AR33">
        <v>1636</v>
      </c>
      <c r="AS33">
        <v>748</v>
      </c>
      <c r="AT33">
        <v>3</v>
      </c>
      <c r="AV33" t="s">
        <v>427</v>
      </c>
      <c r="AW33">
        <v>310</v>
      </c>
      <c r="AX33">
        <v>53.087096774199999</v>
      </c>
      <c r="AY33">
        <v>445</v>
      </c>
      <c r="AZ33">
        <v>21</v>
      </c>
      <c r="BA33">
        <v>385</v>
      </c>
      <c r="BB33">
        <v>14</v>
      </c>
      <c r="BC33">
        <v>1</v>
      </c>
      <c r="BD33">
        <v>1</v>
      </c>
      <c r="BE33">
        <v>8</v>
      </c>
      <c r="BF33">
        <v>4</v>
      </c>
      <c r="BG33">
        <v>426</v>
      </c>
      <c r="BH33">
        <v>92</v>
      </c>
      <c r="BJ33" t="s">
        <v>623</v>
      </c>
      <c r="BK33" t="s">
        <v>370</v>
      </c>
      <c r="BL33">
        <v>1015</v>
      </c>
      <c r="BM33">
        <v>175</v>
      </c>
      <c r="BN33">
        <v>78.791133004900004</v>
      </c>
      <c r="BO33">
        <v>2030</v>
      </c>
      <c r="BP33">
        <v>23</v>
      </c>
      <c r="BQ33">
        <v>137.29802955669999</v>
      </c>
      <c r="BR33">
        <v>126</v>
      </c>
      <c r="BS33">
        <v>940</v>
      </c>
      <c r="BT33">
        <v>169</v>
      </c>
      <c r="BU33">
        <v>86.072340425500002</v>
      </c>
      <c r="BV33">
        <v>2064</v>
      </c>
      <c r="BW33">
        <v>23</v>
      </c>
      <c r="BX33">
        <v>141.64341085269999</v>
      </c>
      <c r="BY33">
        <v>113.3913043478</v>
      </c>
      <c r="CA33" t="s">
        <v>417</v>
      </c>
      <c r="CB33" t="s">
        <v>857</v>
      </c>
      <c r="CC33" t="s">
        <v>983</v>
      </c>
      <c r="CD33">
        <v>1489</v>
      </c>
      <c r="CE33">
        <v>180</v>
      </c>
      <c r="CF33">
        <v>72.7803895232</v>
      </c>
      <c r="CG33">
        <v>2309</v>
      </c>
      <c r="CH33">
        <v>24</v>
      </c>
      <c r="CI33">
        <v>113.24166305759999</v>
      </c>
      <c r="CJ33">
        <v>143</v>
      </c>
      <c r="CL33" t="s">
        <v>417</v>
      </c>
      <c r="CM33" t="s">
        <v>826</v>
      </c>
      <c r="CN33" t="s">
        <v>829</v>
      </c>
      <c r="CO33">
        <v>128</v>
      </c>
      <c r="CP33">
        <v>20</v>
      </c>
      <c r="CQ33">
        <v>66.65625</v>
      </c>
      <c r="CR33">
        <v>278</v>
      </c>
      <c r="CS33">
        <v>0</v>
      </c>
      <c r="CT33">
        <v>81.115107913700001</v>
      </c>
      <c r="CU33">
        <v>0</v>
      </c>
      <c r="CW33" t="s">
        <v>417</v>
      </c>
      <c r="CX33" t="s">
        <v>842</v>
      </c>
      <c r="CY33" t="s">
        <v>845</v>
      </c>
      <c r="CZ33">
        <v>21</v>
      </c>
      <c r="DA33">
        <v>8</v>
      </c>
      <c r="DB33">
        <v>100.1428571429</v>
      </c>
      <c r="DC33">
        <v>29</v>
      </c>
      <c r="DD33">
        <v>0</v>
      </c>
      <c r="DE33">
        <v>150.4137931034</v>
      </c>
      <c r="DF33">
        <v>0</v>
      </c>
      <c r="DH33" t="s">
        <v>417</v>
      </c>
      <c r="DI33" t="s">
        <v>810</v>
      </c>
      <c r="DJ33" t="s">
        <v>813</v>
      </c>
      <c r="DK33">
        <v>12</v>
      </c>
      <c r="DL33">
        <v>3</v>
      </c>
      <c r="DM33">
        <v>82.5</v>
      </c>
      <c r="DN33">
        <v>29</v>
      </c>
      <c r="DO33">
        <v>1</v>
      </c>
      <c r="DP33">
        <v>158.4137931034</v>
      </c>
      <c r="DQ33">
        <v>153</v>
      </c>
    </row>
    <row r="34" spans="2:121" x14ac:dyDescent="0.2">
      <c r="B34" t="s">
        <v>122</v>
      </c>
      <c r="C34">
        <v>681</v>
      </c>
      <c r="D34">
        <v>19</v>
      </c>
      <c r="F34" t="s">
        <v>71</v>
      </c>
      <c r="G34">
        <v>6168</v>
      </c>
      <c r="H34">
        <v>342.01864461740001</v>
      </c>
      <c r="I34">
        <v>10734</v>
      </c>
      <c r="J34">
        <v>2232</v>
      </c>
      <c r="K34">
        <v>16586</v>
      </c>
      <c r="L34">
        <v>10505</v>
      </c>
      <c r="M34">
        <v>5642</v>
      </c>
      <c r="N34">
        <v>3893</v>
      </c>
      <c r="O34">
        <v>2468</v>
      </c>
      <c r="P34">
        <v>1559</v>
      </c>
      <c r="Q34">
        <v>0</v>
      </c>
      <c r="R34">
        <v>60</v>
      </c>
      <c r="AH34" t="s">
        <v>406</v>
      </c>
      <c r="AI34">
        <v>1140</v>
      </c>
      <c r="AJ34">
        <v>231.98333333330001</v>
      </c>
      <c r="AK34">
        <v>2568</v>
      </c>
      <c r="AL34">
        <v>574</v>
      </c>
      <c r="AM34">
        <v>1891</v>
      </c>
      <c r="AN34">
        <v>854</v>
      </c>
      <c r="AO34">
        <v>565</v>
      </c>
      <c r="AP34">
        <v>366</v>
      </c>
      <c r="AQ34">
        <v>888</v>
      </c>
      <c r="AR34">
        <v>548</v>
      </c>
      <c r="AS34">
        <v>5</v>
      </c>
      <c r="AT34">
        <v>12</v>
      </c>
      <c r="AV34" t="s">
        <v>396</v>
      </c>
      <c r="AW34">
        <v>707</v>
      </c>
      <c r="AX34">
        <v>66.100424328100004</v>
      </c>
      <c r="AY34">
        <v>918</v>
      </c>
      <c r="AZ34">
        <v>124</v>
      </c>
      <c r="BA34">
        <v>892</v>
      </c>
      <c r="BB34">
        <v>76</v>
      </c>
      <c r="BC34">
        <v>1</v>
      </c>
      <c r="BD34">
        <v>1</v>
      </c>
      <c r="BE34">
        <v>55</v>
      </c>
      <c r="BF34">
        <v>8</v>
      </c>
      <c r="BG34">
        <v>105</v>
      </c>
      <c r="BH34">
        <v>91</v>
      </c>
      <c r="BJ34" t="s">
        <v>519</v>
      </c>
      <c r="BK34" t="s">
        <v>370</v>
      </c>
      <c r="BL34">
        <v>4617</v>
      </c>
      <c r="BM34">
        <v>1335</v>
      </c>
      <c r="BN34">
        <v>102.20706086200001</v>
      </c>
      <c r="BO34">
        <v>7332</v>
      </c>
      <c r="BP34">
        <v>97</v>
      </c>
      <c r="BQ34">
        <v>136.089198036</v>
      </c>
      <c r="BR34">
        <v>125.23711340209999</v>
      </c>
      <c r="BS34">
        <v>3647</v>
      </c>
      <c r="BT34">
        <v>875</v>
      </c>
      <c r="BU34">
        <v>91.710172744700003</v>
      </c>
      <c r="BV34">
        <v>5953</v>
      </c>
      <c r="BW34">
        <v>89</v>
      </c>
      <c r="BX34">
        <v>129.94254997479999</v>
      </c>
      <c r="BY34">
        <v>123.50561797749999</v>
      </c>
      <c r="CA34" t="s">
        <v>377</v>
      </c>
      <c r="CB34" t="s">
        <v>857</v>
      </c>
      <c r="CC34" t="s">
        <v>984</v>
      </c>
      <c r="CD34">
        <v>4774</v>
      </c>
      <c r="CE34">
        <v>1317</v>
      </c>
      <c r="CF34">
        <v>105.6744868035</v>
      </c>
      <c r="CG34">
        <v>8810</v>
      </c>
      <c r="CH34">
        <v>118</v>
      </c>
      <c r="CI34">
        <v>138.68569807040001</v>
      </c>
      <c r="CJ34">
        <v>130.73728813560001</v>
      </c>
      <c r="CL34" t="s">
        <v>377</v>
      </c>
      <c r="CM34" t="s">
        <v>826</v>
      </c>
      <c r="CN34" t="s">
        <v>830</v>
      </c>
      <c r="CO34">
        <v>474</v>
      </c>
      <c r="CP34">
        <v>67</v>
      </c>
      <c r="CQ34">
        <v>69.143459915600005</v>
      </c>
      <c r="CR34">
        <v>967</v>
      </c>
      <c r="CS34">
        <v>6</v>
      </c>
      <c r="CT34">
        <v>95.130299896599993</v>
      </c>
      <c r="CU34">
        <v>124.3333333333</v>
      </c>
      <c r="CW34" t="s">
        <v>377</v>
      </c>
      <c r="CX34" t="s">
        <v>842</v>
      </c>
      <c r="CY34" t="s">
        <v>846</v>
      </c>
      <c r="CZ34">
        <v>218</v>
      </c>
      <c r="DA34">
        <v>47</v>
      </c>
      <c r="DB34">
        <v>83.587155963300006</v>
      </c>
      <c r="DC34">
        <v>292</v>
      </c>
      <c r="DD34">
        <v>1</v>
      </c>
      <c r="DE34">
        <v>151.5171232877</v>
      </c>
      <c r="DF34">
        <v>153</v>
      </c>
      <c r="DH34" t="s">
        <v>377</v>
      </c>
      <c r="DI34" t="s">
        <v>810</v>
      </c>
      <c r="DJ34" t="s">
        <v>814</v>
      </c>
      <c r="DK34">
        <v>296</v>
      </c>
      <c r="DL34">
        <v>53</v>
      </c>
      <c r="DM34">
        <v>83.25</v>
      </c>
      <c r="DN34">
        <v>400</v>
      </c>
      <c r="DO34">
        <v>2</v>
      </c>
      <c r="DP34">
        <v>150.2225</v>
      </c>
      <c r="DQ34">
        <v>119.5</v>
      </c>
    </row>
    <row r="35" spans="2:121" x14ac:dyDescent="0.2">
      <c r="B35" t="s">
        <v>93</v>
      </c>
      <c r="C35">
        <v>235</v>
      </c>
      <c r="D35">
        <v>173</v>
      </c>
      <c r="F35" t="s">
        <v>37</v>
      </c>
      <c r="G35">
        <v>5276</v>
      </c>
      <c r="H35">
        <v>499.63191811979999</v>
      </c>
      <c r="I35">
        <v>5717</v>
      </c>
      <c r="J35">
        <v>1568</v>
      </c>
      <c r="K35">
        <v>6821</v>
      </c>
      <c r="L35">
        <v>4969</v>
      </c>
      <c r="M35">
        <v>1804</v>
      </c>
      <c r="N35">
        <v>1676</v>
      </c>
      <c r="O35">
        <v>1532</v>
      </c>
      <c r="P35">
        <v>731</v>
      </c>
      <c r="Q35">
        <v>0</v>
      </c>
      <c r="R35">
        <v>214</v>
      </c>
      <c r="AH35" t="s">
        <v>60</v>
      </c>
      <c r="AI35">
        <v>4284</v>
      </c>
      <c r="AJ35">
        <v>297.56769374420003</v>
      </c>
      <c r="AK35">
        <v>8797</v>
      </c>
      <c r="AL35">
        <v>2063</v>
      </c>
      <c r="AM35">
        <v>7941</v>
      </c>
      <c r="AN35">
        <v>4262</v>
      </c>
      <c r="AO35">
        <v>3988</v>
      </c>
      <c r="AP35">
        <v>3135</v>
      </c>
      <c r="AQ35">
        <v>5228</v>
      </c>
      <c r="AR35">
        <v>1672</v>
      </c>
      <c r="AS35">
        <v>1638</v>
      </c>
      <c r="AT35">
        <v>11</v>
      </c>
      <c r="AV35" t="s">
        <v>373</v>
      </c>
      <c r="AW35">
        <v>101</v>
      </c>
      <c r="AX35">
        <v>87.0198019802</v>
      </c>
      <c r="AY35">
        <v>172</v>
      </c>
      <c r="AZ35">
        <v>51</v>
      </c>
      <c r="BA35">
        <v>142</v>
      </c>
      <c r="BB35">
        <v>33</v>
      </c>
      <c r="BC35">
        <v>0</v>
      </c>
      <c r="BE35">
        <v>17</v>
      </c>
      <c r="BF35">
        <v>6</v>
      </c>
      <c r="BG35">
        <v>10</v>
      </c>
      <c r="BH35">
        <v>32</v>
      </c>
      <c r="BJ35" t="s">
        <v>525</v>
      </c>
      <c r="BK35" t="s">
        <v>370</v>
      </c>
      <c r="BL35">
        <v>2916</v>
      </c>
      <c r="BM35">
        <v>521</v>
      </c>
      <c r="BN35">
        <v>83.720850480099998</v>
      </c>
      <c r="BO35">
        <v>3859</v>
      </c>
      <c r="BP35">
        <v>34</v>
      </c>
      <c r="BQ35">
        <v>143.76677895829999</v>
      </c>
      <c r="BR35">
        <v>189.23529411760001</v>
      </c>
      <c r="BS35">
        <v>2649</v>
      </c>
      <c r="BT35">
        <v>357</v>
      </c>
      <c r="BU35">
        <v>76.7259343148</v>
      </c>
      <c r="BV35">
        <v>2981</v>
      </c>
      <c r="BW35">
        <v>25</v>
      </c>
      <c r="BX35">
        <v>138.76618584369999</v>
      </c>
      <c r="BY35">
        <v>198.4</v>
      </c>
      <c r="CA35" t="s">
        <v>372</v>
      </c>
      <c r="CB35" t="s">
        <v>857</v>
      </c>
      <c r="CC35" t="s">
        <v>985</v>
      </c>
      <c r="CD35">
        <v>4400</v>
      </c>
      <c r="CE35">
        <v>961</v>
      </c>
      <c r="CF35">
        <v>89.038636363600006</v>
      </c>
      <c r="CG35">
        <v>6831</v>
      </c>
      <c r="CH35">
        <v>45</v>
      </c>
      <c r="CI35">
        <v>132.53198653199999</v>
      </c>
      <c r="CJ35">
        <v>141</v>
      </c>
      <c r="CL35" t="s">
        <v>372</v>
      </c>
      <c r="CM35" t="s">
        <v>826</v>
      </c>
      <c r="CN35" t="s">
        <v>831</v>
      </c>
      <c r="CO35">
        <v>458</v>
      </c>
      <c r="CP35">
        <v>64</v>
      </c>
      <c r="CQ35">
        <v>72.875545851499993</v>
      </c>
      <c r="CR35">
        <v>933</v>
      </c>
      <c r="CS35">
        <v>5</v>
      </c>
      <c r="CT35">
        <v>87.864951768500006</v>
      </c>
      <c r="CU35">
        <v>117</v>
      </c>
      <c r="CW35" t="s">
        <v>372</v>
      </c>
      <c r="CX35" t="s">
        <v>842</v>
      </c>
      <c r="CY35" t="s">
        <v>847</v>
      </c>
      <c r="CZ35">
        <v>72</v>
      </c>
      <c r="DA35">
        <v>17</v>
      </c>
      <c r="DB35">
        <v>85.361111111100001</v>
      </c>
      <c r="DC35">
        <v>116</v>
      </c>
      <c r="DD35">
        <v>0</v>
      </c>
      <c r="DE35">
        <v>146.80172413790001</v>
      </c>
      <c r="DF35">
        <v>0</v>
      </c>
      <c r="DH35" t="s">
        <v>372</v>
      </c>
      <c r="DI35" t="s">
        <v>810</v>
      </c>
      <c r="DJ35" t="s">
        <v>815</v>
      </c>
      <c r="DK35">
        <v>36</v>
      </c>
      <c r="DL35">
        <v>6</v>
      </c>
      <c r="DM35">
        <v>73.111111111100001</v>
      </c>
      <c r="DN35">
        <v>72</v>
      </c>
      <c r="DO35">
        <v>0</v>
      </c>
      <c r="DP35">
        <v>135.05555555559999</v>
      </c>
      <c r="DQ35">
        <v>0</v>
      </c>
    </row>
    <row r="36" spans="2:121" x14ac:dyDescent="0.2">
      <c r="B36" t="s">
        <v>89</v>
      </c>
      <c r="C36">
        <v>25</v>
      </c>
      <c r="F36" t="s">
        <v>47</v>
      </c>
      <c r="G36">
        <v>1911</v>
      </c>
      <c r="H36">
        <v>243.72998430140001</v>
      </c>
      <c r="I36">
        <v>2306</v>
      </c>
      <c r="J36">
        <v>500</v>
      </c>
      <c r="K36">
        <v>3140</v>
      </c>
      <c r="L36">
        <v>2080</v>
      </c>
      <c r="M36">
        <v>488</v>
      </c>
      <c r="N36">
        <v>435</v>
      </c>
      <c r="O36">
        <v>1254</v>
      </c>
      <c r="P36">
        <v>921</v>
      </c>
      <c r="Q36">
        <v>0</v>
      </c>
      <c r="R36">
        <v>9</v>
      </c>
      <c r="T36" t="s">
        <v>647</v>
      </c>
      <c r="U36" t="s">
        <v>306</v>
      </c>
      <c r="V36" t="s">
        <v>133</v>
      </c>
      <c r="W36" t="s">
        <v>214</v>
      </c>
      <c r="X36" t="s">
        <v>460</v>
      </c>
      <c r="Y36" t="s">
        <v>216</v>
      </c>
      <c r="Z36" t="s">
        <v>217</v>
      </c>
      <c r="AA36" t="s">
        <v>218</v>
      </c>
      <c r="AB36" t="s">
        <v>461</v>
      </c>
      <c r="AC36" t="s">
        <v>220</v>
      </c>
      <c r="AD36" t="s">
        <v>221</v>
      </c>
      <c r="AE36" t="s">
        <v>222</v>
      </c>
      <c r="AF36" t="s">
        <v>223</v>
      </c>
      <c r="AH36" t="s">
        <v>383</v>
      </c>
      <c r="AI36">
        <v>15156</v>
      </c>
      <c r="AJ36">
        <v>312.98568223810003</v>
      </c>
      <c r="AK36">
        <v>17260</v>
      </c>
      <c r="AL36">
        <v>4405</v>
      </c>
      <c r="AM36">
        <v>20299</v>
      </c>
      <c r="AN36">
        <v>13628</v>
      </c>
      <c r="AO36">
        <v>9440</v>
      </c>
      <c r="AP36">
        <v>7303</v>
      </c>
      <c r="AQ36">
        <v>6983</v>
      </c>
      <c r="AR36">
        <v>4599</v>
      </c>
      <c r="AS36">
        <v>1198</v>
      </c>
      <c r="AT36">
        <v>46</v>
      </c>
      <c r="AV36" t="s">
        <v>384</v>
      </c>
      <c r="AW36">
        <v>998</v>
      </c>
      <c r="AX36">
        <v>95.273547094199998</v>
      </c>
      <c r="AY36">
        <v>1055</v>
      </c>
      <c r="AZ36">
        <v>221</v>
      </c>
      <c r="BA36">
        <v>1231</v>
      </c>
      <c r="BB36">
        <v>330</v>
      </c>
      <c r="BC36">
        <v>4</v>
      </c>
      <c r="BD36">
        <v>2</v>
      </c>
      <c r="BE36">
        <v>55</v>
      </c>
      <c r="BF36">
        <v>14</v>
      </c>
      <c r="BG36">
        <v>124</v>
      </c>
      <c r="BH36">
        <v>291</v>
      </c>
      <c r="BJ36" t="s">
        <v>370</v>
      </c>
      <c r="BK36" t="s">
        <v>370</v>
      </c>
      <c r="BL36">
        <v>67838</v>
      </c>
      <c r="BM36">
        <v>16720</v>
      </c>
      <c r="BN36">
        <v>94.265750759200003</v>
      </c>
      <c r="BO36">
        <v>117027</v>
      </c>
      <c r="BP36">
        <v>1154</v>
      </c>
      <c r="BQ36">
        <v>134.2871986806</v>
      </c>
      <c r="BR36">
        <v>125.6603119584</v>
      </c>
      <c r="BS36">
        <v>46790</v>
      </c>
      <c r="BT36">
        <v>11322</v>
      </c>
      <c r="BU36">
        <v>93.250651848700002</v>
      </c>
      <c r="BV36">
        <v>114975</v>
      </c>
      <c r="BW36">
        <v>1138</v>
      </c>
      <c r="BX36">
        <v>132.8163165906</v>
      </c>
      <c r="BY36">
        <v>125.2390158172</v>
      </c>
      <c r="CA36" t="s">
        <v>416</v>
      </c>
      <c r="CB36" t="s">
        <v>857</v>
      </c>
      <c r="CC36" t="s">
        <v>986</v>
      </c>
      <c r="CD36">
        <v>1109</v>
      </c>
      <c r="CE36">
        <v>201</v>
      </c>
      <c r="CF36">
        <v>81.190261496800005</v>
      </c>
      <c r="CG36">
        <v>2133</v>
      </c>
      <c r="CH36">
        <v>23</v>
      </c>
      <c r="CI36">
        <v>135.6300984529</v>
      </c>
      <c r="CJ36">
        <v>123.652173913</v>
      </c>
      <c r="CL36" t="s">
        <v>416</v>
      </c>
      <c r="CM36" t="s">
        <v>826</v>
      </c>
      <c r="CN36" t="s">
        <v>832</v>
      </c>
      <c r="CO36">
        <v>111</v>
      </c>
      <c r="CP36">
        <v>12</v>
      </c>
      <c r="CQ36">
        <v>66.369369369400005</v>
      </c>
      <c r="CR36">
        <v>219</v>
      </c>
      <c r="CS36">
        <v>2</v>
      </c>
      <c r="CT36">
        <v>94.630136986300002</v>
      </c>
      <c r="CU36">
        <v>80.5</v>
      </c>
      <c r="CW36" t="s">
        <v>416</v>
      </c>
      <c r="CX36" t="s">
        <v>842</v>
      </c>
      <c r="CY36" t="s">
        <v>848</v>
      </c>
      <c r="CZ36">
        <v>17</v>
      </c>
      <c r="DA36">
        <v>5</v>
      </c>
      <c r="DB36">
        <v>96.294117647099995</v>
      </c>
      <c r="DC36">
        <v>30</v>
      </c>
      <c r="DD36">
        <v>1</v>
      </c>
      <c r="DE36">
        <v>152.9</v>
      </c>
      <c r="DF36">
        <v>113</v>
      </c>
      <c r="DH36" t="s">
        <v>416</v>
      </c>
      <c r="DI36" t="s">
        <v>810</v>
      </c>
      <c r="DJ36" t="s">
        <v>816</v>
      </c>
      <c r="DK36">
        <v>17</v>
      </c>
      <c r="DL36">
        <v>4</v>
      </c>
      <c r="DM36">
        <v>80.882352941199997</v>
      </c>
      <c r="DN36">
        <v>31</v>
      </c>
      <c r="DO36">
        <v>0</v>
      </c>
      <c r="DP36">
        <v>135.03225806450001</v>
      </c>
      <c r="DQ36">
        <v>0</v>
      </c>
    </row>
    <row r="37" spans="2:121" x14ac:dyDescent="0.2">
      <c r="B37" t="s">
        <v>95</v>
      </c>
      <c r="C37">
        <v>1260</v>
      </c>
      <c r="D37">
        <v>872</v>
      </c>
      <c r="F37" t="s">
        <v>82</v>
      </c>
      <c r="G37">
        <v>621</v>
      </c>
      <c r="H37">
        <v>407.90821256039999</v>
      </c>
      <c r="I37">
        <v>670</v>
      </c>
      <c r="J37">
        <v>162</v>
      </c>
      <c r="K37">
        <v>687</v>
      </c>
      <c r="L37">
        <v>522</v>
      </c>
      <c r="M37">
        <v>53</v>
      </c>
      <c r="N37">
        <v>50</v>
      </c>
      <c r="O37">
        <v>130</v>
      </c>
      <c r="P37">
        <v>71</v>
      </c>
      <c r="Q37">
        <v>0</v>
      </c>
      <c r="R37">
        <v>0</v>
      </c>
      <c r="T37" t="s">
        <v>391</v>
      </c>
      <c r="U37">
        <v>4329</v>
      </c>
      <c r="V37">
        <v>60.3594363594</v>
      </c>
      <c r="W37">
        <v>5097</v>
      </c>
      <c r="X37">
        <v>612</v>
      </c>
      <c r="Y37">
        <v>5536</v>
      </c>
      <c r="Z37">
        <v>348</v>
      </c>
      <c r="AA37">
        <v>16</v>
      </c>
      <c r="AB37">
        <v>13</v>
      </c>
      <c r="AC37">
        <v>276</v>
      </c>
      <c r="AD37">
        <v>71</v>
      </c>
      <c r="AE37">
        <v>2187</v>
      </c>
      <c r="AF37">
        <v>618</v>
      </c>
      <c r="AH37" t="s">
        <v>420</v>
      </c>
      <c r="AI37">
        <v>142</v>
      </c>
      <c r="AJ37">
        <v>229.34507042249999</v>
      </c>
      <c r="AK37">
        <v>596</v>
      </c>
      <c r="AL37">
        <v>108</v>
      </c>
      <c r="AM37">
        <v>303</v>
      </c>
      <c r="AN37">
        <v>113</v>
      </c>
      <c r="AO37">
        <v>116</v>
      </c>
      <c r="AP37">
        <v>59</v>
      </c>
      <c r="AQ37">
        <v>159</v>
      </c>
      <c r="AR37">
        <v>97</v>
      </c>
      <c r="AS37">
        <v>2</v>
      </c>
      <c r="AT37">
        <v>1</v>
      </c>
      <c r="AV37" t="s">
        <v>392</v>
      </c>
      <c r="AW37">
        <v>745</v>
      </c>
      <c r="AX37">
        <v>61.771812080499998</v>
      </c>
      <c r="AY37">
        <v>997</v>
      </c>
      <c r="AZ37">
        <v>144</v>
      </c>
      <c r="BA37">
        <v>1036</v>
      </c>
      <c r="BB37">
        <v>84</v>
      </c>
      <c r="BC37">
        <v>6</v>
      </c>
      <c r="BD37">
        <v>5</v>
      </c>
      <c r="BE37">
        <v>67</v>
      </c>
      <c r="BF37">
        <v>19</v>
      </c>
      <c r="BG37">
        <v>104</v>
      </c>
      <c r="BH37">
        <v>108</v>
      </c>
      <c r="BJ37" t="s">
        <v>527</v>
      </c>
      <c r="BK37" t="s">
        <v>370</v>
      </c>
      <c r="BL37">
        <v>7106</v>
      </c>
      <c r="BM37">
        <v>2123</v>
      </c>
      <c r="BN37">
        <v>107.4354066986</v>
      </c>
      <c r="BO37">
        <v>12524</v>
      </c>
      <c r="BP37">
        <v>99</v>
      </c>
      <c r="BQ37">
        <v>149.84893005430001</v>
      </c>
      <c r="BR37">
        <v>134.51515151519999</v>
      </c>
      <c r="BS37">
        <v>6490</v>
      </c>
      <c r="BT37">
        <v>1762</v>
      </c>
      <c r="BU37">
        <v>95.965177195699994</v>
      </c>
      <c r="BV37">
        <v>12939</v>
      </c>
      <c r="BW37">
        <v>98</v>
      </c>
      <c r="BX37">
        <v>149.79542468509999</v>
      </c>
      <c r="BY37">
        <v>128.6428571429</v>
      </c>
      <c r="CA37" t="s">
        <v>375</v>
      </c>
      <c r="CB37" t="s">
        <v>857</v>
      </c>
      <c r="CC37" t="s">
        <v>987</v>
      </c>
      <c r="CD37">
        <v>4011</v>
      </c>
      <c r="CE37">
        <v>875</v>
      </c>
      <c r="CF37">
        <v>92.053103964100004</v>
      </c>
      <c r="CG37">
        <v>6332</v>
      </c>
      <c r="CH37">
        <v>48</v>
      </c>
      <c r="CI37">
        <v>141.0979153506</v>
      </c>
      <c r="CJ37">
        <v>174.875</v>
      </c>
      <c r="CL37" t="s">
        <v>375</v>
      </c>
      <c r="CM37" t="s">
        <v>826</v>
      </c>
      <c r="CN37" t="s">
        <v>833</v>
      </c>
      <c r="CO37">
        <v>520</v>
      </c>
      <c r="CP37">
        <v>71</v>
      </c>
      <c r="CQ37">
        <v>70.434615384599994</v>
      </c>
      <c r="CR37">
        <v>998</v>
      </c>
      <c r="CS37">
        <v>6</v>
      </c>
      <c r="CT37">
        <v>92.113226452899994</v>
      </c>
      <c r="CU37">
        <v>82.333333333300004</v>
      </c>
      <c r="CW37" t="s">
        <v>375</v>
      </c>
      <c r="CX37" t="s">
        <v>842</v>
      </c>
      <c r="CY37" t="s">
        <v>849</v>
      </c>
      <c r="CZ37">
        <v>114</v>
      </c>
      <c r="DA37">
        <v>32</v>
      </c>
      <c r="DB37">
        <v>91.763157894700001</v>
      </c>
      <c r="DC37">
        <v>112</v>
      </c>
      <c r="DD37">
        <v>1</v>
      </c>
      <c r="DE37">
        <v>149.25892857139999</v>
      </c>
      <c r="DF37">
        <v>147</v>
      </c>
      <c r="DH37" t="s">
        <v>375</v>
      </c>
      <c r="DI37" t="s">
        <v>810</v>
      </c>
      <c r="DJ37" t="s">
        <v>817</v>
      </c>
      <c r="DK37">
        <v>66</v>
      </c>
      <c r="DL37">
        <v>11</v>
      </c>
      <c r="DM37">
        <v>81.136363636400006</v>
      </c>
      <c r="DN37">
        <v>111</v>
      </c>
      <c r="DO37">
        <v>0</v>
      </c>
      <c r="DP37">
        <v>141.2792792793</v>
      </c>
      <c r="DQ37">
        <v>0</v>
      </c>
    </row>
    <row r="38" spans="2:121" x14ac:dyDescent="0.2">
      <c r="B38" t="s">
        <v>1060</v>
      </c>
      <c r="C38">
        <v>116</v>
      </c>
      <c r="D38">
        <v>111</v>
      </c>
      <c r="F38" t="s">
        <v>49</v>
      </c>
      <c r="G38">
        <v>3663</v>
      </c>
      <c r="H38">
        <v>406.42424242419997</v>
      </c>
      <c r="I38">
        <v>4346</v>
      </c>
      <c r="J38">
        <v>1480</v>
      </c>
      <c r="K38">
        <v>5806</v>
      </c>
      <c r="L38">
        <v>4496</v>
      </c>
      <c r="M38">
        <v>2191</v>
      </c>
      <c r="N38">
        <v>1850</v>
      </c>
      <c r="O38">
        <v>2075</v>
      </c>
      <c r="P38">
        <v>1725</v>
      </c>
      <c r="Q38">
        <v>41</v>
      </c>
      <c r="R38">
        <v>220</v>
      </c>
      <c r="T38" t="s">
        <v>381</v>
      </c>
      <c r="U38">
        <v>9032</v>
      </c>
      <c r="V38">
        <v>84.539083259500003</v>
      </c>
      <c r="W38">
        <v>8783</v>
      </c>
      <c r="X38">
        <v>1755</v>
      </c>
      <c r="Y38">
        <v>11003</v>
      </c>
      <c r="Z38">
        <v>2398</v>
      </c>
      <c r="AA38">
        <v>62</v>
      </c>
      <c r="AB38">
        <v>52</v>
      </c>
      <c r="AC38">
        <v>545</v>
      </c>
      <c r="AD38">
        <v>138</v>
      </c>
      <c r="AE38">
        <v>1111</v>
      </c>
      <c r="AF38">
        <v>1897</v>
      </c>
      <c r="AH38" t="s">
        <v>392</v>
      </c>
      <c r="AI38">
        <v>5377</v>
      </c>
      <c r="AJ38">
        <v>440.97452110839998</v>
      </c>
      <c r="AK38">
        <v>7612</v>
      </c>
      <c r="AL38">
        <v>1803</v>
      </c>
      <c r="AM38">
        <v>9728</v>
      </c>
      <c r="AN38">
        <v>6161</v>
      </c>
      <c r="AO38">
        <v>1891</v>
      </c>
      <c r="AP38">
        <v>1620</v>
      </c>
      <c r="AQ38">
        <v>3928</v>
      </c>
      <c r="AR38">
        <v>2768</v>
      </c>
      <c r="AS38">
        <v>932</v>
      </c>
      <c r="AT38">
        <v>327</v>
      </c>
      <c r="AV38" t="s">
        <v>397</v>
      </c>
      <c r="AW38">
        <v>389</v>
      </c>
      <c r="AX38">
        <v>59.655526992299997</v>
      </c>
      <c r="AY38">
        <v>348</v>
      </c>
      <c r="AZ38">
        <v>40</v>
      </c>
      <c r="BA38">
        <v>498</v>
      </c>
      <c r="BB38">
        <v>26</v>
      </c>
      <c r="BC38">
        <v>1</v>
      </c>
      <c r="BD38">
        <v>1</v>
      </c>
      <c r="BE38">
        <v>31</v>
      </c>
      <c r="BF38">
        <v>7</v>
      </c>
      <c r="BG38">
        <v>61</v>
      </c>
      <c r="BH38">
        <v>44</v>
      </c>
      <c r="BJ38" t="s">
        <v>530</v>
      </c>
      <c r="BK38" t="s">
        <v>370</v>
      </c>
      <c r="BL38">
        <v>4711</v>
      </c>
      <c r="BM38">
        <v>1545</v>
      </c>
      <c r="BN38">
        <v>111.53003608580001</v>
      </c>
      <c r="BO38">
        <v>6736</v>
      </c>
      <c r="BP38">
        <v>49</v>
      </c>
      <c r="BQ38">
        <v>158.4591745843</v>
      </c>
      <c r="BR38">
        <v>151.6734693878</v>
      </c>
      <c r="BS38">
        <v>3887</v>
      </c>
      <c r="BT38">
        <v>1526</v>
      </c>
      <c r="BU38">
        <v>126.0707486493</v>
      </c>
      <c r="BV38">
        <v>5322</v>
      </c>
      <c r="BW38">
        <v>34</v>
      </c>
      <c r="BX38">
        <v>173.45189778279999</v>
      </c>
      <c r="BY38">
        <v>172.20588235290001</v>
      </c>
      <c r="CA38" t="s">
        <v>60</v>
      </c>
      <c r="CB38" t="s">
        <v>857</v>
      </c>
      <c r="CC38" t="s">
        <v>519</v>
      </c>
      <c r="CD38">
        <v>8289</v>
      </c>
      <c r="CE38">
        <v>1939</v>
      </c>
      <c r="CF38">
        <v>93.5653275425</v>
      </c>
      <c r="CG38">
        <v>14322</v>
      </c>
      <c r="CH38">
        <v>171</v>
      </c>
      <c r="CI38">
        <v>133.38500209470001</v>
      </c>
      <c r="CJ38">
        <v>125.3216374269</v>
      </c>
      <c r="CL38" t="s">
        <v>60</v>
      </c>
      <c r="CM38" t="s">
        <v>826</v>
      </c>
      <c r="CN38" t="s">
        <v>834</v>
      </c>
      <c r="CO38">
        <v>1323</v>
      </c>
      <c r="CP38">
        <v>190</v>
      </c>
      <c r="CQ38">
        <v>72.256991685599999</v>
      </c>
      <c r="CR38">
        <v>2537</v>
      </c>
      <c r="CS38">
        <v>15</v>
      </c>
      <c r="CT38">
        <v>94.575088687399997</v>
      </c>
      <c r="CU38">
        <v>121</v>
      </c>
      <c r="CW38" t="s">
        <v>60</v>
      </c>
      <c r="CX38" t="s">
        <v>842</v>
      </c>
      <c r="CY38" t="s">
        <v>850</v>
      </c>
      <c r="CZ38">
        <v>232</v>
      </c>
      <c r="DA38">
        <v>51</v>
      </c>
      <c r="DB38">
        <v>82.452586206899994</v>
      </c>
      <c r="DC38">
        <v>283</v>
      </c>
      <c r="DD38">
        <v>3</v>
      </c>
      <c r="DE38">
        <v>140.777385159</v>
      </c>
      <c r="DF38">
        <v>150.3333333333</v>
      </c>
      <c r="DH38" t="s">
        <v>60</v>
      </c>
      <c r="DI38" t="s">
        <v>810</v>
      </c>
      <c r="DJ38" t="s">
        <v>818</v>
      </c>
      <c r="DK38">
        <v>151</v>
      </c>
      <c r="DL38">
        <v>26</v>
      </c>
      <c r="DM38">
        <v>86.543046357600005</v>
      </c>
      <c r="DN38">
        <v>210</v>
      </c>
      <c r="DO38">
        <v>3</v>
      </c>
      <c r="DP38">
        <v>138.25714285710001</v>
      </c>
      <c r="DQ38">
        <v>154</v>
      </c>
    </row>
    <row r="39" spans="2:121" x14ac:dyDescent="0.2">
      <c r="B39" t="s">
        <v>115</v>
      </c>
      <c r="C39">
        <v>3451</v>
      </c>
      <c r="D39">
        <v>778</v>
      </c>
      <c r="F39" t="s">
        <v>60</v>
      </c>
      <c r="G39">
        <v>3005</v>
      </c>
      <c r="H39">
        <v>304.72911813640002</v>
      </c>
      <c r="I39">
        <v>4532</v>
      </c>
      <c r="J39">
        <v>1297</v>
      </c>
      <c r="K39">
        <v>4369</v>
      </c>
      <c r="L39">
        <v>2814</v>
      </c>
      <c r="M39">
        <v>2987</v>
      </c>
      <c r="N39">
        <v>2534</v>
      </c>
      <c r="O39">
        <v>3349</v>
      </c>
      <c r="P39">
        <v>257</v>
      </c>
      <c r="Q39">
        <v>0</v>
      </c>
      <c r="R39">
        <v>3</v>
      </c>
      <c r="T39" t="s">
        <v>370</v>
      </c>
      <c r="U39">
        <v>7424</v>
      </c>
      <c r="V39">
        <v>94.531115301699998</v>
      </c>
      <c r="W39">
        <v>10724</v>
      </c>
      <c r="X39">
        <v>2607</v>
      </c>
      <c r="Y39">
        <v>9822</v>
      </c>
      <c r="Z39">
        <v>2767</v>
      </c>
      <c r="AA39">
        <v>211</v>
      </c>
      <c r="AB39">
        <v>202</v>
      </c>
      <c r="AC39">
        <v>683</v>
      </c>
      <c r="AD39">
        <v>182</v>
      </c>
      <c r="AE39">
        <v>1021</v>
      </c>
      <c r="AF39">
        <v>2490</v>
      </c>
      <c r="AH39" t="s">
        <v>413</v>
      </c>
      <c r="AI39">
        <v>2117</v>
      </c>
      <c r="AJ39">
        <v>268.820028342</v>
      </c>
      <c r="AK39">
        <v>5656</v>
      </c>
      <c r="AL39">
        <v>882</v>
      </c>
      <c r="AM39">
        <v>3333</v>
      </c>
      <c r="AN39">
        <v>1283</v>
      </c>
      <c r="AO39">
        <v>1130</v>
      </c>
      <c r="AP39">
        <v>516</v>
      </c>
      <c r="AQ39">
        <v>2732</v>
      </c>
      <c r="AR39">
        <v>1532</v>
      </c>
      <c r="AS39">
        <v>6</v>
      </c>
      <c r="AT39">
        <v>63</v>
      </c>
      <c r="AV39" t="s">
        <v>415</v>
      </c>
      <c r="AW39">
        <v>34</v>
      </c>
      <c r="AX39">
        <v>107.1176470588</v>
      </c>
      <c r="AY39">
        <v>53</v>
      </c>
      <c r="AZ39">
        <v>13</v>
      </c>
      <c r="BA39">
        <v>54</v>
      </c>
      <c r="BB39">
        <v>18</v>
      </c>
      <c r="BC39">
        <v>2</v>
      </c>
      <c r="BD39">
        <v>2</v>
      </c>
      <c r="BE39">
        <v>0</v>
      </c>
      <c r="BG39">
        <v>9</v>
      </c>
      <c r="BH39">
        <v>20</v>
      </c>
      <c r="BJ39" t="s">
        <v>515</v>
      </c>
      <c r="BK39" t="s">
        <v>370</v>
      </c>
      <c r="BL39">
        <v>2417</v>
      </c>
      <c r="BM39">
        <v>405</v>
      </c>
      <c r="BN39">
        <v>70.109226313600004</v>
      </c>
      <c r="BO39">
        <v>10642</v>
      </c>
      <c r="BP39">
        <v>75</v>
      </c>
      <c r="BQ39">
        <v>58.905844766000001</v>
      </c>
      <c r="BR39">
        <v>42.186666666699999</v>
      </c>
      <c r="BS39">
        <v>4026</v>
      </c>
      <c r="BT39">
        <v>1018</v>
      </c>
      <c r="BU39">
        <v>91.215598608999997</v>
      </c>
      <c r="BV39">
        <v>12920</v>
      </c>
      <c r="BW39">
        <v>86</v>
      </c>
      <c r="BX39">
        <v>80.433513931899995</v>
      </c>
      <c r="BY39">
        <v>56.465116279100002</v>
      </c>
      <c r="CA39" t="s">
        <v>383</v>
      </c>
      <c r="CB39" t="s">
        <v>857</v>
      </c>
      <c r="CC39" t="s">
        <v>988</v>
      </c>
      <c r="CD39">
        <v>15938</v>
      </c>
      <c r="CE39">
        <v>4007</v>
      </c>
      <c r="CF39">
        <v>94.371753042999998</v>
      </c>
      <c r="CG39">
        <v>25630</v>
      </c>
      <c r="CH39">
        <v>280</v>
      </c>
      <c r="CI39">
        <v>140.5097151775</v>
      </c>
      <c r="CJ39">
        <v>134.03571428570001</v>
      </c>
      <c r="CL39" t="s">
        <v>383</v>
      </c>
      <c r="CM39" t="s">
        <v>826</v>
      </c>
      <c r="CN39" t="s">
        <v>835</v>
      </c>
      <c r="CO39">
        <v>1461</v>
      </c>
      <c r="CP39">
        <v>188</v>
      </c>
      <c r="CQ39">
        <v>70.525667351099997</v>
      </c>
      <c r="CR39">
        <v>2526</v>
      </c>
      <c r="CS39">
        <v>16</v>
      </c>
      <c r="CT39">
        <v>93.511084718899994</v>
      </c>
      <c r="CU39">
        <v>117.1875</v>
      </c>
      <c r="CW39" t="s">
        <v>383</v>
      </c>
      <c r="CX39" t="s">
        <v>842</v>
      </c>
      <c r="CY39" t="s">
        <v>851</v>
      </c>
      <c r="CZ39">
        <v>522</v>
      </c>
      <c r="DA39">
        <v>146</v>
      </c>
      <c r="DB39">
        <v>94.737547892699993</v>
      </c>
      <c r="DC39">
        <v>644</v>
      </c>
      <c r="DD39">
        <v>5</v>
      </c>
      <c r="DE39">
        <v>154.38819875780001</v>
      </c>
      <c r="DF39">
        <v>190.6</v>
      </c>
      <c r="DH39" t="s">
        <v>383</v>
      </c>
      <c r="DI39" t="s">
        <v>810</v>
      </c>
      <c r="DJ39" t="s">
        <v>819</v>
      </c>
      <c r="DK39">
        <v>970</v>
      </c>
      <c r="DL39">
        <v>172</v>
      </c>
      <c r="DM39">
        <v>83.744329896899998</v>
      </c>
      <c r="DN39">
        <v>1166</v>
      </c>
      <c r="DO39">
        <v>6</v>
      </c>
      <c r="DP39">
        <v>147.07718696399999</v>
      </c>
      <c r="DQ39">
        <v>127</v>
      </c>
    </row>
    <row r="40" spans="2:121" x14ac:dyDescent="0.2">
      <c r="B40" t="s">
        <v>99</v>
      </c>
      <c r="C40">
        <v>12878</v>
      </c>
      <c r="D40">
        <v>2121</v>
      </c>
      <c r="F40" t="s">
        <v>52</v>
      </c>
      <c r="G40">
        <v>7442</v>
      </c>
      <c r="H40">
        <v>398.00094060740003</v>
      </c>
      <c r="I40">
        <v>9364</v>
      </c>
      <c r="J40">
        <v>2033</v>
      </c>
      <c r="K40">
        <v>8894</v>
      </c>
      <c r="L40">
        <v>6789</v>
      </c>
      <c r="M40">
        <v>1035</v>
      </c>
      <c r="N40">
        <v>895</v>
      </c>
      <c r="O40">
        <v>4056</v>
      </c>
      <c r="P40">
        <v>3321</v>
      </c>
      <c r="Q40">
        <v>4</v>
      </c>
      <c r="R40">
        <v>32</v>
      </c>
      <c r="T40" t="s">
        <v>8</v>
      </c>
      <c r="U40">
        <v>217</v>
      </c>
      <c r="V40">
        <v>76.520737327199996</v>
      </c>
      <c r="W40">
        <v>224</v>
      </c>
      <c r="X40">
        <v>98</v>
      </c>
      <c r="Y40">
        <v>408</v>
      </c>
      <c r="Z40">
        <v>164</v>
      </c>
      <c r="AA40">
        <v>9</v>
      </c>
      <c r="AB40">
        <v>8</v>
      </c>
      <c r="AC40">
        <v>8</v>
      </c>
      <c r="AD40">
        <v>2</v>
      </c>
      <c r="AE40">
        <v>42</v>
      </c>
      <c r="AF40">
        <v>28</v>
      </c>
      <c r="AH40" t="s">
        <v>410</v>
      </c>
      <c r="AI40">
        <v>6395</v>
      </c>
      <c r="AJ40">
        <v>465.995308835</v>
      </c>
      <c r="AK40">
        <v>4655</v>
      </c>
      <c r="AL40">
        <v>1123</v>
      </c>
      <c r="AM40">
        <v>8727</v>
      </c>
      <c r="AN40">
        <v>6740</v>
      </c>
      <c r="AO40">
        <v>3018</v>
      </c>
      <c r="AP40">
        <v>2727</v>
      </c>
      <c r="AQ40">
        <v>3144</v>
      </c>
      <c r="AR40">
        <v>1876</v>
      </c>
      <c r="AS40">
        <v>8</v>
      </c>
      <c r="AT40">
        <v>87</v>
      </c>
      <c r="AV40" t="s">
        <v>60</v>
      </c>
      <c r="AW40">
        <v>1173</v>
      </c>
      <c r="AX40">
        <v>97.335038363199999</v>
      </c>
      <c r="AY40">
        <v>2224</v>
      </c>
      <c r="AZ40">
        <v>572</v>
      </c>
      <c r="BA40">
        <v>1637</v>
      </c>
      <c r="BB40">
        <v>485</v>
      </c>
      <c r="BC40">
        <v>11</v>
      </c>
      <c r="BD40">
        <v>10</v>
      </c>
      <c r="BE40">
        <v>96</v>
      </c>
      <c r="BF40">
        <v>23</v>
      </c>
      <c r="BG40">
        <v>156</v>
      </c>
      <c r="BH40">
        <v>368</v>
      </c>
      <c r="BJ40" t="s">
        <v>536</v>
      </c>
      <c r="BK40" t="s">
        <v>370</v>
      </c>
      <c r="BL40">
        <v>9919</v>
      </c>
      <c r="BM40">
        <v>2461</v>
      </c>
      <c r="BN40">
        <v>89.488960580699995</v>
      </c>
      <c r="BO40">
        <v>17130</v>
      </c>
      <c r="BP40">
        <v>187</v>
      </c>
      <c r="BQ40">
        <v>137.6753064799</v>
      </c>
      <c r="BR40">
        <v>108.8395721925</v>
      </c>
      <c r="BS40">
        <v>3267</v>
      </c>
      <c r="BT40">
        <v>717</v>
      </c>
      <c r="BU40">
        <v>81.624426079000003</v>
      </c>
      <c r="BV40">
        <v>16908</v>
      </c>
      <c r="BW40">
        <v>176</v>
      </c>
      <c r="BX40">
        <v>134.26496333099999</v>
      </c>
      <c r="BY40">
        <v>106.07954545450001</v>
      </c>
      <c r="CA40" t="s">
        <v>376</v>
      </c>
      <c r="CB40" t="s">
        <v>857</v>
      </c>
      <c r="CC40" t="s">
        <v>989</v>
      </c>
      <c r="CD40">
        <v>8438</v>
      </c>
      <c r="CE40">
        <v>2355</v>
      </c>
      <c r="CF40">
        <v>101.444773643</v>
      </c>
      <c r="CG40">
        <v>15222</v>
      </c>
      <c r="CH40">
        <v>114</v>
      </c>
      <c r="CI40">
        <v>142.40336355279999</v>
      </c>
      <c r="CJ40">
        <v>127.649122807</v>
      </c>
      <c r="CL40" t="s">
        <v>376</v>
      </c>
      <c r="CM40" t="s">
        <v>826</v>
      </c>
      <c r="CN40" t="s">
        <v>836</v>
      </c>
      <c r="CO40">
        <v>1541</v>
      </c>
      <c r="CP40">
        <v>220</v>
      </c>
      <c r="CQ40">
        <v>71.371187540600005</v>
      </c>
      <c r="CR40">
        <v>3004</v>
      </c>
      <c r="CS40">
        <v>16</v>
      </c>
      <c r="CT40">
        <v>91.4041278296</v>
      </c>
      <c r="CU40">
        <v>105.6875</v>
      </c>
      <c r="CW40" t="s">
        <v>376</v>
      </c>
      <c r="CX40" t="s">
        <v>842</v>
      </c>
      <c r="CY40" t="s">
        <v>852</v>
      </c>
      <c r="CZ40">
        <v>172</v>
      </c>
      <c r="DA40">
        <v>40</v>
      </c>
      <c r="DB40">
        <v>89.174418604699994</v>
      </c>
      <c r="DC40">
        <v>235</v>
      </c>
      <c r="DD40">
        <v>1</v>
      </c>
      <c r="DE40">
        <v>145.2638297872</v>
      </c>
      <c r="DF40">
        <v>210</v>
      </c>
      <c r="DH40" t="s">
        <v>376</v>
      </c>
      <c r="DI40" t="s">
        <v>810</v>
      </c>
      <c r="DJ40" t="s">
        <v>820</v>
      </c>
      <c r="DK40">
        <v>110</v>
      </c>
      <c r="DL40">
        <v>16</v>
      </c>
      <c r="DM40">
        <v>79.3818181818</v>
      </c>
      <c r="DN40">
        <v>213</v>
      </c>
      <c r="DO40">
        <v>0</v>
      </c>
      <c r="DP40">
        <v>135.56338028170001</v>
      </c>
      <c r="DQ40">
        <v>0</v>
      </c>
    </row>
    <row r="41" spans="2:121" x14ac:dyDescent="0.2">
      <c r="B41" t="s">
        <v>124</v>
      </c>
      <c r="C41">
        <v>346</v>
      </c>
      <c r="D41">
        <v>111</v>
      </c>
      <c r="F41" t="s">
        <v>25</v>
      </c>
      <c r="G41">
        <v>12234</v>
      </c>
      <c r="H41">
        <v>352.35687428480003</v>
      </c>
      <c r="I41">
        <v>15811</v>
      </c>
      <c r="J41">
        <v>4460</v>
      </c>
      <c r="K41">
        <v>17897</v>
      </c>
      <c r="L41">
        <v>12694</v>
      </c>
      <c r="M41">
        <v>7468</v>
      </c>
      <c r="N41">
        <v>6002</v>
      </c>
      <c r="O41">
        <v>10003</v>
      </c>
      <c r="P41">
        <v>9165</v>
      </c>
      <c r="Q41">
        <v>68</v>
      </c>
      <c r="R41">
        <v>12</v>
      </c>
      <c r="T41" t="s">
        <v>386</v>
      </c>
      <c r="U41">
        <v>3141</v>
      </c>
      <c r="V41">
        <v>55.601400827799999</v>
      </c>
      <c r="W41">
        <v>3116</v>
      </c>
      <c r="X41">
        <v>205</v>
      </c>
      <c r="Y41">
        <v>3901</v>
      </c>
      <c r="Z41">
        <v>194</v>
      </c>
      <c r="AA41">
        <v>27</v>
      </c>
      <c r="AB41">
        <v>21</v>
      </c>
      <c r="AC41">
        <v>186</v>
      </c>
      <c r="AD41">
        <v>60</v>
      </c>
      <c r="AE41">
        <v>3098</v>
      </c>
      <c r="AF41">
        <v>611</v>
      </c>
      <c r="AH41" t="s">
        <v>8</v>
      </c>
      <c r="AI41">
        <v>3689</v>
      </c>
      <c r="AJ41">
        <v>367.14367037139999</v>
      </c>
      <c r="AK41">
        <v>4462</v>
      </c>
      <c r="AL41">
        <v>1929</v>
      </c>
      <c r="AM41">
        <v>4982</v>
      </c>
      <c r="AN41">
        <v>3445</v>
      </c>
      <c r="AO41">
        <v>1426</v>
      </c>
      <c r="AP41">
        <v>968</v>
      </c>
      <c r="AQ41">
        <v>1543</v>
      </c>
      <c r="AR41">
        <v>971</v>
      </c>
      <c r="AS41">
        <v>454</v>
      </c>
      <c r="AT41">
        <v>159</v>
      </c>
      <c r="AV41" t="s">
        <v>411</v>
      </c>
      <c r="AW41">
        <v>1196</v>
      </c>
      <c r="AX41">
        <v>53.069397993300001</v>
      </c>
      <c r="AY41">
        <v>1426</v>
      </c>
      <c r="AZ41">
        <v>65</v>
      </c>
      <c r="BA41">
        <v>1566</v>
      </c>
      <c r="BB41">
        <v>65</v>
      </c>
      <c r="BC41">
        <v>8</v>
      </c>
      <c r="BD41">
        <v>8</v>
      </c>
      <c r="BE41">
        <v>67</v>
      </c>
      <c r="BF41">
        <v>28</v>
      </c>
      <c r="BG41">
        <v>1491</v>
      </c>
      <c r="BH41">
        <v>358</v>
      </c>
      <c r="BJ41" t="s">
        <v>628</v>
      </c>
      <c r="BK41" t="s">
        <v>370</v>
      </c>
      <c r="BL41">
        <v>1491</v>
      </c>
      <c r="BM41">
        <v>171</v>
      </c>
      <c r="BN41">
        <v>71.819584171700001</v>
      </c>
      <c r="BO41">
        <v>2220</v>
      </c>
      <c r="BP41">
        <v>22</v>
      </c>
      <c r="BQ41">
        <v>113.42027027029999</v>
      </c>
      <c r="BR41">
        <v>136.2727272727</v>
      </c>
      <c r="BS41">
        <v>3994</v>
      </c>
      <c r="BT41">
        <v>1333</v>
      </c>
      <c r="BU41">
        <v>117.17426139209999</v>
      </c>
      <c r="BV41">
        <v>8866</v>
      </c>
      <c r="BW41">
        <v>107</v>
      </c>
      <c r="BX41">
        <v>140.40142115949999</v>
      </c>
      <c r="BY41">
        <v>162.2897196262</v>
      </c>
      <c r="CA41" t="s">
        <v>373</v>
      </c>
      <c r="CB41" t="s">
        <v>857</v>
      </c>
      <c r="CC41" t="s">
        <v>990</v>
      </c>
      <c r="CD41">
        <v>891</v>
      </c>
      <c r="CE41">
        <v>165</v>
      </c>
      <c r="CF41">
        <v>81.570145903500006</v>
      </c>
      <c r="CG41">
        <v>1602</v>
      </c>
      <c r="CH41">
        <v>4</v>
      </c>
      <c r="CI41">
        <v>115.9837702871</v>
      </c>
      <c r="CJ41">
        <v>40.75</v>
      </c>
      <c r="CL41" t="s">
        <v>373</v>
      </c>
      <c r="CM41" t="s">
        <v>826</v>
      </c>
      <c r="CN41" t="s">
        <v>837</v>
      </c>
      <c r="CO41">
        <v>110</v>
      </c>
      <c r="CP41">
        <v>12</v>
      </c>
      <c r="CQ41">
        <v>66.863636363599994</v>
      </c>
      <c r="CR41">
        <v>243</v>
      </c>
      <c r="CS41">
        <v>1</v>
      </c>
      <c r="CT41">
        <v>93.432098765399999</v>
      </c>
      <c r="CU41">
        <v>134</v>
      </c>
      <c r="CW41" t="s">
        <v>373</v>
      </c>
      <c r="CX41" t="s">
        <v>842</v>
      </c>
      <c r="CY41" t="s">
        <v>853</v>
      </c>
      <c r="CZ41">
        <v>12</v>
      </c>
      <c r="DA41">
        <v>3</v>
      </c>
      <c r="DB41">
        <v>81.25</v>
      </c>
      <c r="DC41">
        <v>14</v>
      </c>
      <c r="DD41">
        <v>0</v>
      </c>
      <c r="DE41">
        <v>173.07142857139999</v>
      </c>
      <c r="DF41">
        <v>0</v>
      </c>
      <c r="DH41" t="s">
        <v>373</v>
      </c>
      <c r="DI41" t="s">
        <v>810</v>
      </c>
      <c r="DJ41" t="s">
        <v>821</v>
      </c>
      <c r="DK41">
        <v>5</v>
      </c>
      <c r="DL41">
        <v>1</v>
      </c>
      <c r="DM41">
        <v>78.599999999999994</v>
      </c>
      <c r="DN41">
        <v>17</v>
      </c>
      <c r="DO41">
        <v>0</v>
      </c>
      <c r="DP41">
        <v>133.6470588235</v>
      </c>
      <c r="DQ41">
        <v>0</v>
      </c>
    </row>
    <row r="42" spans="2:121" x14ac:dyDescent="0.2">
      <c r="B42" t="s">
        <v>105</v>
      </c>
      <c r="C42">
        <v>7500</v>
      </c>
      <c r="D42">
        <v>5883</v>
      </c>
      <c r="F42" t="s">
        <v>66</v>
      </c>
      <c r="G42">
        <v>6153</v>
      </c>
      <c r="H42">
        <v>468.79879733460001</v>
      </c>
      <c r="I42">
        <v>4584</v>
      </c>
      <c r="J42">
        <v>1070</v>
      </c>
      <c r="K42">
        <v>7551</v>
      </c>
      <c r="L42">
        <v>5783</v>
      </c>
      <c r="M42">
        <v>2937</v>
      </c>
      <c r="N42">
        <v>2761</v>
      </c>
      <c r="O42">
        <v>2212</v>
      </c>
      <c r="P42">
        <v>1317</v>
      </c>
      <c r="Q42">
        <v>1</v>
      </c>
      <c r="R42">
        <v>87</v>
      </c>
      <c r="T42" t="s">
        <v>405</v>
      </c>
      <c r="U42">
        <v>2438</v>
      </c>
      <c r="V42">
        <v>51.947497949099997</v>
      </c>
      <c r="W42">
        <v>3270</v>
      </c>
      <c r="X42">
        <v>139</v>
      </c>
      <c r="Y42">
        <v>3173</v>
      </c>
      <c r="Z42">
        <v>128</v>
      </c>
      <c r="AA42">
        <v>20</v>
      </c>
      <c r="AB42">
        <v>11</v>
      </c>
      <c r="AC42">
        <v>132</v>
      </c>
      <c r="AD42">
        <v>60</v>
      </c>
      <c r="AE42">
        <v>3373</v>
      </c>
      <c r="AF42">
        <v>637</v>
      </c>
      <c r="AH42" t="s">
        <v>376</v>
      </c>
      <c r="AI42">
        <v>6622</v>
      </c>
      <c r="AJ42">
        <v>460.27831470849998</v>
      </c>
      <c r="AK42">
        <v>8954</v>
      </c>
      <c r="AL42">
        <v>2475</v>
      </c>
      <c r="AM42">
        <v>10354</v>
      </c>
      <c r="AN42">
        <v>7709</v>
      </c>
      <c r="AO42">
        <v>1948</v>
      </c>
      <c r="AP42">
        <v>1646</v>
      </c>
      <c r="AQ42">
        <v>6403</v>
      </c>
      <c r="AR42">
        <v>5100</v>
      </c>
      <c r="AS42">
        <v>1569</v>
      </c>
      <c r="AT42">
        <v>13</v>
      </c>
      <c r="AV42" t="s">
        <v>412</v>
      </c>
      <c r="AW42">
        <v>312</v>
      </c>
      <c r="AX42">
        <v>62.532051282099999</v>
      </c>
      <c r="AY42">
        <v>231</v>
      </c>
      <c r="AZ42">
        <v>30</v>
      </c>
      <c r="BA42">
        <v>379</v>
      </c>
      <c r="BB42">
        <v>25</v>
      </c>
      <c r="BC42">
        <v>5</v>
      </c>
      <c r="BD42">
        <v>4</v>
      </c>
      <c r="BE42">
        <v>25</v>
      </c>
      <c r="BF42">
        <v>5</v>
      </c>
      <c r="BG42">
        <v>67</v>
      </c>
      <c r="BH42">
        <v>25</v>
      </c>
      <c r="BJ42" t="s">
        <v>630</v>
      </c>
      <c r="BK42" t="s">
        <v>370</v>
      </c>
      <c r="BL42">
        <v>492</v>
      </c>
      <c r="BM42">
        <v>147</v>
      </c>
      <c r="BN42">
        <v>96.621951219500005</v>
      </c>
      <c r="BO42">
        <v>761</v>
      </c>
      <c r="BP42">
        <v>8</v>
      </c>
      <c r="BQ42">
        <v>136.27595269380001</v>
      </c>
      <c r="BR42">
        <v>116.875</v>
      </c>
      <c r="BS42">
        <v>636</v>
      </c>
      <c r="BT42">
        <v>160</v>
      </c>
      <c r="BU42">
        <v>98.976415094299995</v>
      </c>
      <c r="BV42">
        <v>1047</v>
      </c>
      <c r="BW42">
        <v>10</v>
      </c>
      <c r="BX42">
        <v>157.83190066860001</v>
      </c>
      <c r="BY42">
        <v>106.4</v>
      </c>
      <c r="CA42" t="s">
        <v>418</v>
      </c>
      <c r="CB42" t="s">
        <v>857</v>
      </c>
      <c r="CC42" t="s">
        <v>991</v>
      </c>
      <c r="CD42">
        <v>475</v>
      </c>
      <c r="CE42">
        <v>134</v>
      </c>
      <c r="CF42">
        <v>92.517894736800002</v>
      </c>
      <c r="CG42">
        <v>746</v>
      </c>
      <c r="CH42">
        <v>6</v>
      </c>
      <c r="CI42">
        <v>133.07908847179999</v>
      </c>
      <c r="CJ42">
        <v>123.3333333333</v>
      </c>
      <c r="CL42" t="s">
        <v>418</v>
      </c>
      <c r="CM42" t="s">
        <v>826</v>
      </c>
      <c r="CN42" t="s">
        <v>838</v>
      </c>
      <c r="CO42">
        <v>56</v>
      </c>
      <c r="CP42">
        <v>6</v>
      </c>
      <c r="CQ42">
        <v>76.410714285699996</v>
      </c>
      <c r="CR42">
        <v>80</v>
      </c>
      <c r="CS42">
        <v>0</v>
      </c>
      <c r="CT42">
        <v>92.174999999999997</v>
      </c>
      <c r="CU42">
        <v>0</v>
      </c>
      <c r="CW42" t="s">
        <v>418</v>
      </c>
      <c r="CX42" t="s">
        <v>842</v>
      </c>
      <c r="CY42" t="s">
        <v>854</v>
      </c>
      <c r="CZ42">
        <v>5</v>
      </c>
      <c r="DA42">
        <v>1</v>
      </c>
      <c r="DB42">
        <v>48.8</v>
      </c>
      <c r="DC42">
        <v>6</v>
      </c>
      <c r="DD42">
        <v>0</v>
      </c>
      <c r="DE42">
        <v>135.1666666667</v>
      </c>
      <c r="DF42">
        <v>0</v>
      </c>
      <c r="DH42" t="s">
        <v>418</v>
      </c>
      <c r="DI42" t="s">
        <v>810</v>
      </c>
      <c r="DJ42" t="s">
        <v>822</v>
      </c>
      <c r="DK42">
        <v>4</v>
      </c>
      <c r="DL42">
        <v>0</v>
      </c>
      <c r="DM42">
        <v>87.75</v>
      </c>
      <c r="DN42">
        <v>10</v>
      </c>
      <c r="DO42">
        <v>0</v>
      </c>
      <c r="DP42">
        <v>112.9</v>
      </c>
      <c r="DQ42">
        <v>0</v>
      </c>
    </row>
    <row r="43" spans="2:121" x14ac:dyDescent="0.2">
      <c r="B43" t="s">
        <v>112</v>
      </c>
      <c r="C43">
        <v>7404</v>
      </c>
      <c r="D43">
        <v>695</v>
      </c>
      <c r="F43" t="s">
        <v>75</v>
      </c>
      <c r="G43">
        <v>3712</v>
      </c>
      <c r="H43">
        <v>209.88496767239999</v>
      </c>
      <c r="I43">
        <v>5662</v>
      </c>
      <c r="J43">
        <v>1239</v>
      </c>
      <c r="K43">
        <v>5166</v>
      </c>
      <c r="L43">
        <v>2752</v>
      </c>
      <c r="M43">
        <v>2103</v>
      </c>
      <c r="N43">
        <v>1843</v>
      </c>
      <c r="O43">
        <v>3074</v>
      </c>
      <c r="P43">
        <v>2776</v>
      </c>
      <c r="Q43">
        <v>0</v>
      </c>
      <c r="R43">
        <v>35</v>
      </c>
      <c r="AH43" t="s">
        <v>428</v>
      </c>
      <c r="AI43">
        <v>1482</v>
      </c>
      <c r="AJ43">
        <v>303.34885290149998</v>
      </c>
      <c r="AK43">
        <v>2550</v>
      </c>
      <c r="AL43">
        <v>834</v>
      </c>
      <c r="AM43">
        <v>3902</v>
      </c>
      <c r="AN43">
        <v>2200</v>
      </c>
      <c r="AO43">
        <v>915</v>
      </c>
      <c r="AP43">
        <v>779</v>
      </c>
      <c r="AQ43">
        <v>1700</v>
      </c>
      <c r="AR43">
        <v>1255</v>
      </c>
      <c r="AS43">
        <v>388</v>
      </c>
      <c r="AT43">
        <v>2</v>
      </c>
      <c r="AV43" t="s">
        <v>417</v>
      </c>
      <c r="AW43">
        <v>134</v>
      </c>
      <c r="AX43">
        <v>103.2164179104</v>
      </c>
      <c r="AY43">
        <v>142</v>
      </c>
      <c r="AZ43">
        <v>32</v>
      </c>
      <c r="BA43">
        <v>177</v>
      </c>
      <c r="BB43">
        <v>57</v>
      </c>
      <c r="BC43">
        <v>1</v>
      </c>
      <c r="BD43">
        <v>1</v>
      </c>
      <c r="BE43">
        <v>16</v>
      </c>
      <c r="BF43">
        <v>3</v>
      </c>
      <c r="BG43">
        <v>28</v>
      </c>
      <c r="BH43">
        <v>31</v>
      </c>
      <c r="BJ43" t="s">
        <v>644</v>
      </c>
      <c r="BK43" t="s">
        <v>370</v>
      </c>
      <c r="BL43">
        <v>682</v>
      </c>
      <c r="BM43">
        <v>167</v>
      </c>
      <c r="BN43">
        <v>96.932551319599995</v>
      </c>
      <c r="BO43">
        <v>1282</v>
      </c>
      <c r="BP43">
        <v>5</v>
      </c>
      <c r="BQ43">
        <v>142.0530421217</v>
      </c>
      <c r="BR43">
        <v>163.4</v>
      </c>
      <c r="BS43">
        <v>536</v>
      </c>
      <c r="BT43">
        <v>102</v>
      </c>
      <c r="BU43">
        <v>82.707089552200003</v>
      </c>
      <c r="BV43">
        <v>768</v>
      </c>
      <c r="BW43">
        <v>5</v>
      </c>
      <c r="BX43">
        <v>119.0846354167</v>
      </c>
      <c r="BY43">
        <v>163.4</v>
      </c>
      <c r="CA43" t="s">
        <v>379</v>
      </c>
      <c r="CB43" t="s">
        <v>857</v>
      </c>
      <c r="CC43" t="s">
        <v>992</v>
      </c>
      <c r="CD43">
        <v>9741</v>
      </c>
      <c r="CE43">
        <v>2356</v>
      </c>
      <c r="CF43">
        <v>88.385278718799995</v>
      </c>
      <c r="CG43">
        <v>17879</v>
      </c>
      <c r="CH43">
        <v>195</v>
      </c>
      <c r="CI43">
        <v>133.1087309134</v>
      </c>
      <c r="CJ43">
        <v>106.81538461540001</v>
      </c>
      <c r="CL43" t="s">
        <v>379</v>
      </c>
      <c r="CM43" t="s">
        <v>826</v>
      </c>
      <c r="CN43" t="s">
        <v>839</v>
      </c>
      <c r="CO43">
        <v>850</v>
      </c>
      <c r="CP43">
        <v>119</v>
      </c>
      <c r="CQ43">
        <v>68.243529411799997</v>
      </c>
      <c r="CR43">
        <v>1597</v>
      </c>
      <c r="CS43">
        <v>5</v>
      </c>
      <c r="CT43">
        <v>99.734502191600001</v>
      </c>
      <c r="CU43">
        <v>97</v>
      </c>
      <c r="CW43" t="s">
        <v>379</v>
      </c>
      <c r="CX43" t="s">
        <v>842</v>
      </c>
      <c r="CY43" t="s">
        <v>855</v>
      </c>
      <c r="CZ43">
        <v>606</v>
      </c>
      <c r="DA43">
        <v>136</v>
      </c>
      <c r="DB43">
        <v>87.141914191400005</v>
      </c>
      <c r="DC43">
        <v>743</v>
      </c>
      <c r="DD43">
        <v>3</v>
      </c>
      <c r="DE43">
        <v>162.52220726780001</v>
      </c>
      <c r="DF43">
        <v>113</v>
      </c>
      <c r="DH43" t="s">
        <v>379</v>
      </c>
      <c r="DI43" t="s">
        <v>810</v>
      </c>
      <c r="DJ43" t="s">
        <v>823</v>
      </c>
      <c r="DK43">
        <v>1007</v>
      </c>
      <c r="DL43">
        <v>220</v>
      </c>
      <c r="DM43">
        <v>87.196623634600002</v>
      </c>
      <c r="DN43">
        <v>1214</v>
      </c>
      <c r="DO43">
        <v>13</v>
      </c>
      <c r="DP43">
        <v>157.2973640857</v>
      </c>
      <c r="DQ43">
        <v>151.4615384615</v>
      </c>
    </row>
    <row r="44" spans="2:121" x14ac:dyDescent="0.2">
      <c r="B44" t="s">
        <v>113</v>
      </c>
      <c r="C44">
        <v>15973</v>
      </c>
      <c r="D44">
        <v>4224</v>
      </c>
      <c r="F44" t="s">
        <v>32</v>
      </c>
      <c r="G44">
        <v>2067</v>
      </c>
      <c r="H44">
        <v>475.22835026609999</v>
      </c>
      <c r="I44">
        <v>1121</v>
      </c>
      <c r="J44">
        <v>330</v>
      </c>
      <c r="K44">
        <v>2764</v>
      </c>
      <c r="L44">
        <v>2171</v>
      </c>
      <c r="M44">
        <v>2087</v>
      </c>
      <c r="N44">
        <v>1772</v>
      </c>
      <c r="O44">
        <v>565</v>
      </c>
      <c r="P44">
        <v>284</v>
      </c>
      <c r="Q44">
        <v>0</v>
      </c>
      <c r="R44">
        <v>4</v>
      </c>
      <c r="AH44" t="s">
        <v>373</v>
      </c>
      <c r="AI44">
        <v>273</v>
      </c>
      <c r="AJ44">
        <v>235.60805860810001</v>
      </c>
      <c r="AK44">
        <v>900</v>
      </c>
      <c r="AL44">
        <v>173</v>
      </c>
      <c r="AM44">
        <v>557</v>
      </c>
      <c r="AN44">
        <v>268</v>
      </c>
      <c r="AO44">
        <v>245</v>
      </c>
      <c r="AP44">
        <v>203</v>
      </c>
      <c r="AQ44">
        <v>198</v>
      </c>
      <c r="AR44">
        <v>111</v>
      </c>
      <c r="AS44">
        <v>204</v>
      </c>
      <c r="AT44">
        <v>2</v>
      </c>
      <c r="AV44" t="s">
        <v>395</v>
      </c>
      <c r="AW44">
        <v>547</v>
      </c>
      <c r="AX44">
        <v>65.063985374799998</v>
      </c>
      <c r="AY44">
        <v>725</v>
      </c>
      <c r="AZ44">
        <v>112</v>
      </c>
      <c r="BA44">
        <v>674</v>
      </c>
      <c r="BB44">
        <v>49</v>
      </c>
      <c r="BC44">
        <v>2</v>
      </c>
      <c r="BD44">
        <v>1</v>
      </c>
      <c r="BE44">
        <v>41</v>
      </c>
      <c r="BF44">
        <v>13</v>
      </c>
      <c r="BG44">
        <v>103</v>
      </c>
      <c r="BH44">
        <v>122</v>
      </c>
      <c r="BJ44" t="s">
        <v>544</v>
      </c>
      <c r="BK44" t="s">
        <v>370</v>
      </c>
      <c r="BL44">
        <v>16473</v>
      </c>
      <c r="BM44">
        <v>4138</v>
      </c>
      <c r="BN44">
        <v>95.291082377199999</v>
      </c>
      <c r="BO44">
        <v>25498</v>
      </c>
      <c r="BP44">
        <v>264</v>
      </c>
      <c r="BQ44">
        <v>147.38375558870001</v>
      </c>
      <c r="BR44">
        <v>142.4507575758</v>
      </c>
      <c r="BS44">
        <v>4534</v>
      </c>
      <c r="BT44">
        <v>715</v>
      </c>
      <c r="BU44">
        <v>74.078517864999995</v>
      </c>
      <c r="BV44">
        <v>16667</v>
      </c>
      <c r="BW44">
        <v>208</v>
      </c>
      <c r="BX44">
        <v>136.52066958660001</v>
      </c>
      <c r="BY44">
        <v>133.20673076919999</v>
      </c>
      <c r="CA44" t="s">
        <v>380</v>
      </c>
      <c r="CB44" t="s">
        <v>857</v>
      </c>
      <c r="CC44" t="s">
        <v>993</v>
      </c>
      <c r="CD44">
        <v>2615</v>
      </c>
      <c r="CE44">
        <v>514</v>
      </c>
      <c r="CF44">
        <v>82.0608030593</v>
      </c>
      <c r="CG44">
        <v>4398</v>
      </c>
      <c r="CH44">
        <v>29</v>
      </c>
      <c r="CI44">
        <v>122.4824920418</v>
      </c>
      <c r="CJ44">
        <v>81.172413793100006</v>
      </c>
      <c r="CL44" t="s">
        <v>380</v>
      </c>
      <c r="CM44" t="s">
        <v>826</v>
      </c>
      <c r="CN44" t="s">
        <v>840</v>
      </c>
      <c r="CO44">
        <v>263</v>
      </c>
      <c r="CP44">
        <v>39</v>
      </c>
      <c r="CQ44">
        <v>72.368821292800007</v>
      </c>
      <c r="CR44">
        <v>539</v>
      </c>
      <c r="CS44">
        <v>2</v>
      </c>
      <c r="CT44">
        <v>94.788497217100002</v>
      </c>
      <c r="CU44">
        <v>101</v>
      </c>
      <c r="CW44" t="s">
        <v>380</v>
      </c>
      <c r="CX44" t="s">
        <v>842</v>
      </c>
      <c r="CY44" t="s">
        <v>856</v>
      </c>
      <c r="CZ44">
        <v>21</v>
      </c>
      <c r="DA44">
        <v>3</v>
      </c>
      <c r="DB44">
        <v>83.047619047599994</v>
      </c>
      <c r="DC44">
        <v>26</v>
      </c>
      <c r="DD44">
        <v>0</v>
      </c>
      <c r="DE44">
        <v>146</v>
      </c>
      <c r="DF44">
        <v>0</v>
      </c>
      <c r="DH44" t="s">
        <v>380</v>
      </c>
      <c r="DI44" t="s">
        <v>810</v>
      </c>
      <c r="DJ44" t="s">
        <v>824</v>
      </c>
      <c r="DK44">
        <v>20</v>
      </c>
      <c r="DL44">
        <v>4</v>
      </c>
      <c r="DM44">
        <v>82.75</v>
      </c>
      <c r="DN44">
        <v>44</v>
      </c>
      <c r="DO44">
        <v>0</v>
      </c>
      <c r="DP44">
        <v>148.5</v>
      </c>
      <c r="DQ44">
        <v>0</v>
      </c>
    </row>
    <row r="45" spans="2:121" x14ac:dyDescent="0.2">
      <c r="B45" t="s">
        <v>127</v>
      </c>
      <c r="C45">
        <v>62558</v>
      </c>
      <c r="D45">
        <v>54166</v>
      </c>
      <c r="F45" t="s">
        <v>63</v>
      </c>
      <c r="G45">
        <v>5184</v>
      </c>
      <c r="H45">
        <v>422.02623456790002</v>
      </c>
      <c r="I45">
        <v>12287</v>
      </c>
      <c r="J45">
        <v>3086</v>
      </c>
      <c r="K45">
        <v>8264</v>
      </c>
      <c r="L45">
        <v>6248</v>
      </c>
      <c r="M45">
        <v>2244</v>
      </c>
      <c r="N45">
        <v>1469</v>
      </c>
      <c r="O45">
        <v>7214</v>
      </c>
      <c r="P45">
        <v>6363</v>
      </c>
      <c r="Q45">
        <v>13083</v>
      </c>
      <c r="R45">
        <v>0</v>
      </c>
      <c r="AH45" t="s">
        <v>384</v>
      </c>
      <c r="AI45">
        <v>8474</v>
      </c>
      <c r="AJ45">
        <v>339.74179844230002</v>
      </c>
      <c r="AK45">
        <v>8875</v>
      </c>
      <c r="AL45">
        <v>2446</v>
      </c>
      <c r="AM45">
        <v>11768</v>
      </c>
      <c r="AN45">
        <v>8340</v>
      </c>
      <c r="AO45">
        <v>2830</v>
      </c>
      <c r="AP45">
        <v>2256</v>
      </c>
      <c r="AQ45">
        <v>3505</v>
      </c>
      <c r="AR45">
        <v>2026</v>
      </c>
      <c r="AS45">
        <v>658</v>
      </c>
      <c r="AT45">
        <v>59</v>
      </c>
      <c r="AV45" t="s">
        <v>422</v>
      </c>
      <c r="AW45">
        <v>26</v>
      </c>
      <c r="AX45">
        <v>56.153846153800004</v>
      </c>
      <c r="AY45">
        <v>26</v>
      </c>
      <c r="AZ45">
        <v>2</v>
      </c>
      <c r="BA45">
        <v>39</v>
      </c>
      <c r="BB45">
        <v>5</v>
      </c>
      <c r="BC45">
        <v>0</v>
      </c>
      <c r="BE45">
        <v>1</v>
      </c>
      <c r="BG45">
        <v>71</v>
      </c>
      <c r="BH45">
        <v>2</v>
      </c>
      <c r="BJ45" t="s">
        <v>8</v>
      </c>
      <c r="BK45" t="s">
        <v>8</v>
      </c>
      <c r="BL45">
        <v>448</v>
      </c>
      <c r="BM45">
        <v>69</v>
      </c>
      <c r="BN45">
        <v>63.133928571399998</v>
      </c>
      <c r="BO45">
        <v>486</v>
      </c>
      <c r="BP45">
        <v>1</v>
      </c>
      <c r="BQ45">
        <v>219.01234567899999</v>
      </c>
      <c r="BR45">
        <v>12</v>
      </c>
      <c r="BS45">
        <v>57000</v>
      </c>
      <c r="BT45">
        <v>17125</v>
      </c>
      <c r="BU45">
        <v>107.8213859649</v>
      </c>
      <c r="BV45">
        <v>9</v>
      </c>
      <c r="BX45">
        <v>115</v>
      </c>
      <c r="CA45" t="s">
        <v>370</v>
      </c>
      <c r="CB45" t="s">
        <v>857</v>
      </c>
      <c r="CD45">
        <v>64948</v>
      </c>
      <c r="CE45">
        <v>15696</v>
      </c>
      <c r="CF45">
        <v>93.235018784299996</v>
      </c>
      <c r="CG45">
        <v>111833</v>
      </c>
      <c r="CH45">
        <v>1109</v>
      </c>
      <c r="CI45">
        <v>135.56058587359999</v>
      </c>
      <c r="CJ45">
        <v>126.2272317403</v>
      </c>
      <c r="CL45" t="s">
        <v>370</v>
      </c>
      <c r="CM45" t="s">
        <v>826</v>
      </c>
      <c r="CO45">
        <v>7657</v>
      </c>
      <c r="CP45">
        <v>1067</v>
      </c>
      <c r="CQ45">
        <v>70.906360193300003</v>
      </c>
      <c r="CR45">
        <v>14635</v>
      </c>
      <c r="CS45">
        <v>75</v>
      </c>
      <c r="CT45">
        <v>93.387974034799996</v>
      </c>
      <c r="CU45">
        <v>110.64</v>
      </c>
      <c r="CW45" t="s">
        <v>370</v>
      </c>
      <c r="CX45" t="s">
        <v>842</v>
      </c>
      <c r="CZ45">
        <v>2096</v>
      </c>
      <c r="DA45">
        <v>510</v>
      </c>
      <c r="DB45">
        <v>88.555343511499998</v>
      </c>
      <c r="DC45">
        <v>2638</v>
      </c>
      <c r="DD45">
        <v>15</v>
      </c>
      <c r="DE45">
        <v>153.13949962090001</v>
      </c>
      <c r="DF45">
        <v>157.73333333330001</v>
      </c>
      <c r="DH45" t="s">
        <v>370</v>
      </c>
      <c r="DI45" t="s">
        <v>810</v>
      </c>
      <c r="DK45">
        <v>2783</v>
      </c>
      <c r="DL45">
        <v>532</v>
      </c>
      <c r="DM45">
        <v>84.5659360402</v>
      </c>
      <c r="DN45">
        <v>3657</v>
      </c>
      <c r="DO45">
        <v>25</v>
      </c>
      <c r="DP45">
        <v>149.11730926990001</v>
      </c>
      <c r="DQ45">
        <v>143.4</v>
      </c>
    </row>
    <row r="46" spans="2:121" x14ac:dyDescent="0.2">
      <c r="B46" t="s">
        <v>126</v>
      </c>
      <c r="C46">
        <v>10499</v>
      </c>
      <c r="D46">
        <v>7381</v>
      </c>
      <c r="F46" t="s">
        <v>81</v>
      </c>
      <c r="G46">
        <v>1601</v>
      </c>
      <c r="H46">
        <v>185.658963148</v>
      </c>
      <c r="I46">
        <v>2252</v>
      </c>
      <c r="J46">
        <v>389</v>
      </c>
      <c r="K46">
        <v>2235</v>
      </c>
      <c r="L46">
        <v>1127</v>
      </c>
      <c r="M46">
        <v>1018</v>
      </c>
      <c r="N46">
        <v>512</v>
      </c>
      <c r="O46">
        <v>223</v>
      </c>
      <c r="P46">
        <v>97</v>
      </c>
      <c r="Q46">
        <v>0</v>
      </c>
      <c r="R46">
        <v>6</v>
      </c>
      <c r="AH46" t="s">
        <v>421</v>
      </c>
      <c r="AI46">
        <v>298</v>
      </c>
      <c r="AJ46">
        <v>263.45637583889999</v>
      </c>
      <c r="AK46">
        <v>980</v>
      </c>
      <c r="AL46">
        <v>201</v>
      </c>
      <c r="AM46">
        <v>535</v>
      </c>
      <c r="AN46">
        <v>237</v>
      </c>
      <c r="AO46">
        <v>296</v>
      </c>
      <c r="AP46">
        <v>125</v>
      </c>
      <c r="AQ46">
        <v>134</v>
      </c>
      <c r="AR46">
        <v>82</v>
      </c>
      <c r="AS46">
        <v>1</v>
      </c>
      <c r="AT46">
        <v>1</v>
      </c>
      <c r="AV46" t="s">
        <v>390</v>
      </c>
      <c r="AW46">
        <v>337</v>
      </c>
      <c r="AX46">
        <v>58.756676557900001</v>
      </c>
      <c r="AY46">
        <v>267</v>
      </c>
      <c r="AZ46">
        <v>28</v>
      </c>
      <c r="BA46">
        <v>394</v>
      </c>
      <c r="BB46">
        <v>23</v>
      </c>
      <c r="BC46">
        <v>3</v>
      </c>
      <c r="BD46">
        <v>3</v>
      </c>
      <c r="BE46">
        <v>32</v>
      </c>
      <c r="BF46">
        <v>7</v>
      </c>
      <c r="BG46">
        <v>75</v>
      </c>
      <c r="BH46">
        <v>24</v>
      </c>
      <c r="BJ46" t="s">
        <v>687</v>
      </c>
      <c r="BK46" t="s">
        <v>8</v>
      </c>
      <c r="BL46">
        <v>448</v>
      </c>
      <c r="BM46">
        <v>69</v>
      </c>
      <c r="BN46">
        <v>63.133928571399998</v>
      </c>
      <c r="BO46">
        <v>486</v>
      </c>
      <c r="BP46">
        <v>1</v>
      </c>
      <c r="BQ46">
        <v>219.01234567899999</v>
      </c>
      <c r="BR46">
        <v>12</v>
      </c>
      <c r="BS46">
        <v>57000</v>
      </c>
      <c r="BT46">
        <v>17125</v>
      </c>
      <c r="BU46">
        <v>107.8213859649</v>
      </c>
      <c r="BV46">
        <v>9</v>
      </c>
      <c r="BX46">
        <v>115</v>
      </c>
      <c r="CA46" t="s">
        <v>8</v>
      </c>
      <c r="CB46" t="s">
        <v>687</v>
      </c>
      <c r="CC46" t="s">
        <v>687</v>
      </c>
      <c r="CD46">
        <v>3607</v>
      </c>
      <c r="CE46">
        <v>1390</v>
      </c>
      <c r="CF46">
        <v>124.85833102300001</v>
      </c>
      <c r="CG46">
        <v>4664</v>
      </c>
      <c r="CH46">
        <v>37</v>
      </c>
      <c r="CI46">
        <v>172.9837049743</v>
      </c>
      <c r="CJ46">
        <v>155.45945945950001</v>
      </c>
      <c r="CL46" t="s">
        <v>8</v>
      </c>
      <c r="CM46" t="s">
        <v>859</v>
      </c>
      <c r="CN46" t="s">
        <v>859</v>
      </c>
      <c r="CO46">
        <v>212</v>
      </c>
      <c r="CP46">
        <v>27</v>
      </c>
      <c r="CQ46">
        <v>70.971698113200006</v>
      </c>
      <c r="CR46">
        <v>447</v>
      </c>
      <c r="CS46">
        <v>5</v>
      </c>
      <c r="CT46">
        <v>96.9239373602</v>
      </c>
      <c r="CU46">
        <v>63.4</v>
      </c>
      <c r="CW46" t="s">
        <v>8</v>
      </c>
      <c r="CX46" t="s">
        <v>860</v>
      </c>
      <c r="CY46" t="s">
        <v>860</v>
      </c>
      <c r="CZ46">
        <v>24</v>
      </c>
      <c r="DA46">
        <v>5</v>
      </c>
      <c r="DB46">
        <v>87.708333333300004</v>
      </c>
      <c r="DC46">
        <v>28</v>
      </c>
      <c r="DD46">
        <v>0</v>
      </c>
      <c r="DE46">
        <v>141.5</v>
      </c>
      <c r="DF46">
        <v>0</v>
      </c>
      <c r="DH46" t="s">
        <v>8</v>
      </c>
      <c r="DI46" t="s">
        <v>858</v>
      </c>
      <c r="DJ46" t="s">
        <v>858</v>
      </c>
      <c r="DK46">
        <v>78</v>
      </c>
      <c r="DL46">
        <v>9</v>
      </c>
      <c r="DM46">
        <v>65.935897435900003</v>
      </c>
      <c r="DN46">
        <v>84</v>
      </c>
      <c r="DO46">
        <v>0</v>
      </c>
      <c r="DP46">
        <v>123.55952380950001</v>
      </c>
      <c r="DQ46">
        <v>0</v>
      </c>
    </row>
    <row r="47" spans="2:121" x14ac:dyDescent="0.2">
      <c r="B47" t="s">
        <v>108</v>
      </c>
      <c r="C47">
        <v>511</v>
      </c>
      <c r="D47">
        <v>433</v>
      </c>
      <c r="F47" t="s">
        <v>78</v>
      </c>
      <c r="G47">
        <v>1136</v>
      </c>
      <c r="H47">
        <v>273.89348591549998</v>
      </c>
      <c r="I47">
        <v>1367</v>
      </c>
      <c r="J47">
        <v>170</v>
      </c>
      <c r="K47">
        <v>1882</v>
      </c>
      <c r="L47">
        <v>1027</v>
      </c>
      <c r="M47">
        <v>967</v>
      </c>
      <c r="N47">
        <v>789</v>
      </c>
      <c r="O47">
        <v>326</v>
      </c>
      <c r="P47">
        <v>164</v>
      </c>
      <c r="Q47">
        <v>1</v>
      </c>
      <c r="R47">
        <v>0</v>
      </c>
      <c r="AH47" t="s">
        <v>385</v>
      </c>
      <c r="AI47">
        <v>4751</v>
      </c>
      <c r="AJ47">
        <v>274.37634182279999</v>
      </c>
      <c r="AK47">
        <v>8431</v>
      </c>
      <c r="AL47">
        <v>1828</v>
      </c>
      <c r="AM47">
        <v>8019</v>
      </c>
      <c r="AN47">
        <v>4520</v>
      </c>
      <c r="AO47">
        <v>3145</v>
      </c>
      <c r="AP47">
        <v>2665</v>
      </c>
      <c r="AQ47">
        <v>2751</v>
      </c>
      <c r="AR47">
        <v>1756</v>
      </c>
      <c r="AS47">
        <v>641</v>
      </c>
      <c r="AT47">
        <v>271</v>
      </c>
      <c r="AV47" t="s">
        <v>424</v>
      </c>
      <c r="AW47">
        <v>56</v>
      </c>
      <c r="AX47">
        <v>109.2857142857</v>
      </c>
      <c r="AY47">
        <v>104</v>
      </c>
      <c r="AZ47">
        <v>27</v>
      </c>
      <c r="BA47">
        <v>75</v>
      </c>
      <c r="BB47">
        <v>30</v>
      </c>
      <c r="BC47">
        <v>2</v>
      </c>
      <c r="BD47">
        <v>2</v>
      </c>
      <c r="BE47">
        <v>5</v>
      </c>
      <c r="BF47">
        <v>1</v>
      </c>
      <c r="BG47">
        <v>12</v>
      </c>
      <c r="BH47">
        <v>24</v>
      </c>
      <c r="BJ47" t="s">
        <v>587</v>
      </c>
      <c r="BK47" t="s">
        <v>405</v>
      </c>
      <c r="BL47">
        <v>2687</v>
      </c>
      <c r="BM47">
        <v>635</v>
      </c>
      <c r="BN47">
        <v>88.458503907700006</v>
      </c>
      <c r="BO47">
        <v>4773</v>
      </c>
      <c r="BP47">
        <v>72</v>
      </c>
      <c r="BQ47">
        <v>139.88581604859999</v>
      </c>
      <c r="BR47">
        <v>116.1111111111</v>
      </c>
      <c r="BS47">
        <v>1081</v>
      </c>
      <c r="BT47">
        <v>200</v>
      </c>
      <c r="BU47">
        <v>74.008325624400001</v>
      </c>
      <c r="BV47">
        <v>4184</v>
      </c>
      <c r="BW47">
        <v>70</v>
      </c>
      <c r="BX47">
        <v>140.45697896749999</v>
      </c>
      <c r="BY47">
        <v>120.3428571429</v>
      </c>
      <c r="CA47" t="s">
        <v>8</v>
      </c>
      <c r="CB47" t="s">
        <v>687</v>
      </c>
      <c r="CC47" t="s">
        <v>687</v>
      </c>
      <c r="CD47">
        <v>3607</v>
      </c>
      <c r="CE47">
        <v>1390</v>
      </c>
      <c r="CF47">
        <v>124.85833102300001</v>
      </c>
      <c r="CG47">
        <v>4664</v>
      </c>
      <c r="CH47">
        <v>37</v>
      </c>
      <c r="CI47">
        <v>172.9837049743</v>
      </c>
      <c r="CJ47">
        <v>155.45945945950001</v>
      </c>
      <c r="CL47" t="s">
        <v>8</v>
      </c>
      <c r="CM47" t="s">
        <v>859</v>
      </c>
      <c r="CN47" t="s">
        <v>859</v>
      </c>
      <c r="CO47">
        <v>212</v>
      </c>
      <c r="CP47">
        <v>27</v>
      </c>
      <c r="CQ47">
        <v>70.971698113200006</v>
      </c>
      <c r="CR47">
        <v>447</v>
      </c>
      <c r="CS47">
        <v>5</v>
      </c>
      <c r="CT47">
        <v>96.9239373602</v>
      </c>
      <c r="CU47">
        <v>63.4</v>
      </c>
      <c r="CW47" t="s">
        <v>8</v>
      </c>
      <c r="CX47" t="s">
        <v>860</v>
      </c>
      <c r="CY47" t="s">
        <v>860</v>
      </c>
      <c r="CZ47">
        <v>24</v>
      </c>
      <c r="DA47">
        <v>5</v>
      </c>
      <c r="DB47">
        <v>87.708333333300004</v>
      </c>
      <c r="DC47">
        <v>28</v>
      </c>
      <c r="DD47">
        <v>0</v>
      </c>
      <c r="DE47">
        <v>141.5</v>
      </c>
      <c r="DF47">
        <v>0</v>
      </c>
      <c r="DH47" t="s">
        <v>8</v>
      </c>
      <c r="DI47" t="s">
        <v>858</v>
      </c>
      <c r="DJ47" t="s">
        <v>858</v>
      </c>
      <c r="DK47">
        <v>78</v>
      </c>
      <c r="DL47">
        <v>9</v>
      </c>
      <c r="DM47">
        <v>65.935897435900003</v>
      </c>
      <c r="DN47">
        <v>84</v>
      </c>
      <c r="DO47">
        <v>0</v>
      </c>
      <c r="DP47">
        <v>123.55952380950001</v>
      </c>
      <c r="DQ47">
        <v>0</v>
      </c>
    </row>
    <row r="48" spans="2:121" x14ac:dyDescent="0.2">
      <c r="B48" t="s">
        <v>21</v>
      </c>
      <c r="C48">
        <v>37553</v>
      </c>
      <c r="D48">
        <v>12021</v>
      </c>
      <c r="F48" t="s">
        <v>40</v>
      </c>
      <c r="G48">
        <v>6894</v>
      </c>
      <c r="H48">
        <v>473.66304032490001</v>
      </c>
      <c r="I48">
        <v>7802</v>
      </c>
      <c r="J48">
        <v>2837</v>
      </c>
      <c r="K48">
        <v>9087</v>
      </c>
      <c r="L48">
        <v>6514</v>
      </c>
      <c r="M48">
        <v>3235</v>
      </c>
      <c r="N48">
        <v>2636</v>
      </c>
      <c r="O48">
        <v>764</v>
      </c>
      <c r="P48">
        <v>462</v>
      </c>
      <c r="Q48">
        <v>0</v>
      </c>
      <c r="R48">
        <v>55</v>
      </c>
      <c r="AH48" t="s">
        <v>411</v>
      </c>
      <c r="AI48">
        <v>26866</v>
      </c>
      <c r="AJ48">
        <v>353.19277153280001</v>
      </c>
      <c r="AK48">
        <v>35297</v>
      </c>
      <c r="AL48">
        <v>7917</v>
      </c>
      <c r="AM48">
        <v>37110</v>
      </c>
      <c r="AN48">
        <v>24384</v>
      </c>
      <c r="AO48">
        <v>8313</v>
      </c>
      <c r="AP48">
        <v>6060</v>
      </c>
      <c r="AQ48">
        <v>15164</v>
      </c>
      <c r="AR48">
        <v>8524</v>
      </c>
      <c r="AS48">
        <v>23</v>
      </c>
      <c r="AT48">
        <v>423</v>
      </c>
      <c r="AV48" t="s">
        <v>420</v>
      </c>
      <c r="AW48">
        <v>42</v>
      </c>
      <c r="AX48">
        <v>56.261904761899999</v>
      </c>
      <c r="AY48">
        <v>32</v>
      </c>
      <c r="AZ48">
        <v>2</v>
      </c>
      <c r="BA48">
        <v>54</v>
      </c>
      <c r="BC48">
        <v>0</v>
      </c>
      <c r="BE48">
        <v>1</v>
      </c>
      <c r="BG48">
        <v>60</v>
      </c>
      <c r="BH48">
        <v>5</v>
      </c>
      <c r="BJ48" t="s">
        <v>646</v>
      </c>
      <c r="BK48" t="s">
        <v>405</v>
      </c>
      <c r="BL48">
        <v>1212</v>
      </c>
      <c r="BM48">
        <v>336</v>
      </c>
      <c r="BN48">
        <v>97.667491749199996</v>
      </c>
      <c r="BO48">
        <v>1498</v>
      </c>
      <c r="BP48">
        <v>34</v>
      </c>
      <c r="BQ48">
        <v>142.99732977299999</v>
      </c>
      <c r="BR48">
        <v>118.73529411760001</v>
      </c>
      <c r="BS48">
        <v>959</v>
      </c>
      <c r="BT48">
        <v>315</v>
      </c>
      <c r="BU48">
        <v>96.935349322199997</v>
      </c>
      <c r="BV48">
        <v>1359</v>
      </c>
      <c r="BW48">
        <v>29</v>
      </c>
      <c r="BX48">
        <v>151.38263428990001</v>
      </c>
      <c r="BY48">
        <v>122.2068965517</v>
      </c>
      <c r="CA48" t="s">
        <v>8</v>
      </c>
      <c r="CB48" t="s">
        <v>687</v>
      </c>
      <c r="CC48" t="s">
        <v>687</v>
      </c>
      <c r="CD48">
        <v>3607</v>
      </c>
      <c r="CE48">
        <v>1390</v>
      </c>
      <c r="CF48">
        <v>124.85833102300001</v>
      </c>
      <c r="CG48">
        <v>4664</v>
      </c>
      <c r="CH48">
        <v>37</v>
      </c>
      <c r="CI48">
        <v>172.9837049743</v>
      </c>
      <c r="CJ48">
        <v>155.45945945950001</v>
      </c>
      <c r="CL48" t="s">
        <v>8</v>
      </c>
      <c r="CM48" t="s">
        <v>859</v>
      </c>
      <c r="CN48" t="s">
        <v>859</v>
      </c>
      <c r="CO48">
        <v>212</v>
      </c>
      <c r="CP48">
        <v>27</v>
      </c>
      <c r="CQ48">
        <v>70.971698113200006</v>
      </c>
      <c r="CR48">
        <v>447</v>
      </c>
      <c r="CS48">
        <v>5</v>
      </c>
      <c r="CT48">
        <v>96.9239373602</v>
      </c>
      <c r="CU48">
        <v>63.4</v>
      </c>
      <c r="CW48" t="s">
        <v>8</v>
      </c>
      <c r="CX48" t="s">
        <v>860</v>
      </c>
      <c r="CY48" t="s">
        <v>860</v>
      </c>
      <c r="CZ48">
        <v>24</v>
      </c>
      <c r="DA48">
        <v>5</v>
      </c>
      <c r="DB48">
        <v>87.708333333300004</v>
      </c>
      <c r="DC48">
        <v>28</v>
      </c>
      <c r="DD48">
        <v>0</v>
      </c>
      <c r="DE48">
        <v>141.5</v>
      </c>
      <c r="DF48">
        <v>0</v>
      </c>
      <c r="DH48" t="s">
        <v>8</v>
      </c>
      <c r="DI48" t="s">
        <v>858</v>
      </c>
      <c r="DJ48" t="s">
        <v>858</v>
      </c>
      <c r="DK48">
        <v>78</v>
      </c>
      <c r="DL48">
        <v>9</v>
      </c>
      <c r="DM48">
        <v>65.935897435900003</v>
      </c>
      <c r="DN48">
        <v>84</v>
      </c>
      <c r="DO48">
        <v>0</v>
      </c>
      <c r="DP48">
        <v>123.55952380950001</v>
      </c>
      <c r="DQ48">
        <v>0</v>
      </c>
    </row>
    <row r="49" spans="2:121" x14ac:dyDescent="0.2">
      <c r="B49" t="s">
        <v>102</v>
      </c>
      <c r="C49">
        <v>20548</v>
      </c>
      <c r="D49">
        <v>14893</v>
      </c>
      <c r="F49" t="s">
        <v>76</v>
      </c>
      <c r="G49">
        <v>3070</v>
      </c>
      <c r="H49">
        <v>158.36710097720001</v>
      </c>
      <c r="I49">
        <v>9469</v>
      </c>
      <c r="J49">
        <v>1565</v>
      </c>
      <c r="K49">
        <v>9711</v>
      </c>
      <c r="L49">
        <v>4274</v>
      </c>
      <c r="M49">
        <v>1665</v>
      </c>
      <c r="N49">
        <v>573</v>
      </c>
      <c r="O49">
        <v>1078</v>
      </c>
      <c r="P49">
        <v>549</v>
      </c>
      <c r="Q49">
        <v>44</v>
      </c>
      <c r="R49">
        <v>0</v>
      </c>
      <c r="AH49" t="s">
        <v>407</v>
      </c>
      <c r="AI49">
        <v>1321</v>
      </c>
      <c r="AJ49">
        <v>265.49432248300002</v>
      </c>
      <c r="AK49">
        <v>2113</v>
      </c>
      <c r="AL49">
        <v>642</v>
      </c>
      <c r="AM49">
        <v>1775</v>
      </c>
      <c r="AN49">
        <v>1014</v>
      </c>
      <c r="AO49">
        <v>461</v>
      </c>
      <c r="AP49">
        <v>293</v>
      </c>
      <c r="AQ49">
        <v>443</v>
      </c>
      <c r="AR49">
        <v>241</v>
      </c>
      <c r="AS49">
        <v>1</v>
      </c>
      <c r="AT49">
        <v>2</v>
      </c>
      <c r="AV49" t="s">
        <v>379</v>
      </c>
      <c r="AW49">
        <v>844</v>
      </c>
      <c r="AX49">
        <v>94.898104265399994</v>
      </c>
      <c r="AY49">
        <v>857</v>
      </c>
      <c r="AZ49">
        <v>184</v>
      </c>
      <c r="BA49">
        <v>1075</v>
      </c>
      <c r="BB49">
        <v>310</v>
      </c>
      <c r="BC49">
        <v>138</v>
      </c>
      <c r="BD49">
        <v>136</v>
      </c>
      <c r="BE49">
        <v>73</v>
      </c>
      <c r="BF49">
        <v>26</v>
      </c>
      <c r="BG49">
        <v>163</v>
      </c>
      <c r="BH49">
        <v>328</v>
      </c>
      <c r="BJ49" t="s">
        <v>602</v>
      </c>
      <c r="BK49" t="s">
        <v>405</v>
      </c>
      <c r="BL49">
        <v>1382</v>
      </c>
      <c r="BM49">
        <v>311</v>
      </c>
      <c r="BN49">
        <v>86.639652677300006</v>
      </c>
      <c r="BO49">
        <v>2563</v>
      </c>
      <c r="BP49">
        <v>10</v>
      </c>
      <c r="BQ49">
        <v>114.12251268049999</v>
      </c>
      <c r="BR49">
        <v>65.7</v>
      </c>
      <c r="BS49">
        <v>1651</v>
      </c>
      <c r="BT49">
        <v>404</v>
      </c>
      <c r="BU49">
        <v>95.339188370700001</v>
      </c>
      <c r="BV49">
        <v>3049</v>
      </c>
      <c r="BW49">
        <v>10</v>
      </c>
      <c r="BX49">
        <v>122.839291571</v>
      </c>
      <c r="BY49">
        <v>65.7</v>
      </c>
      <c r="CA49" t="s">
        <v>8</v>
      </c>
      <c r="CB49" t="s">
        <v>687</v>
      </c>
      <c r="CD49">
        <v>3607</v>
      </c>
      <c r="CE49">
        <v>1390</v>
      </c>
      <c r="CF49">
        <v>124.85833102300001</v>
      </c>
      <c r="CG49">
        <v>4664</v>
      </c>
      <c r="CH49">
        <v>37</v>
      </c>
      <c r="CI49">
        <v>172.9837049743</v>
      </c>
      <c r="CJ49">
        <v>155.45945945950001</v>
      </c>
      <c r="CL49" t="s">
        <v>8</v>
      </c>
      <c r="CM49" t="s">
        <v>859</v>
      </c>
      <c r="CO49">
        <v>212</v>
      </c>
      <c r="CP49">
        <v>27</v>
      </c>
      <c r="CQ49">
        <v>70.971698113200006</v>
      </c>
      <c r="CR49">
        <v>447</v>
      </c>
      <c r="CS49">
        <v>5</v>
      </c>
      <c r="CT49">
        <v>96.9239373602</v>
      </c>
      <c r="CU49">
        <v>63.4</v>
      </c>
      <c r="CW49" t="s">
        <v>8</v>
      </c>
      <c r="CX49" t="s">
        <v>860</v>
      </c>
      <c r="CZ49">
        <v>24</v>
      </c>
      <c r="DA49">
        <v>5</v>
      </c>
      <c r="DB49">
        <v>87.708333333300004</v>
      </c>
      <c r="DC49">
        <v>28</v>
      </c>
      <c r="DD49">
        <v>0</v>
      </c>
      <c r="DE49">
        <v>141.5</v>
      </c>
      <c r="DF49">
        <v>0</v>
      </c>
      <c r="DH49" t="s">
        <v>8</v>
      </c>
      <c r="DI49" t="s">
        <v>858</v>
      </c>
      <c r="DK49">
        <v>78</v>
      </c>
      <c r="DL49">
        <v>9</v>
      </c>
      <c r="DM49">
        <v>65.935897435900003</v>
      </c>
      <c r="DN49">
        <v>84</v>
      </c>
      <c r="DO49">
        <v>0</v>
      </c>
      <c r="DP49">
        <v>123.55952380950001</v>
      </c>
      <c r="DQ49">
        <v>0</v>
      </c>
    </row>
    <row r="50" spans="2:121" x14ac:dyDescent="0.2">
      <c r="B50" t="s">
        <v>117</v>
      </c>
      <c r="C50">
        <v>5305</v>
      </c>
      <c r="D50">
        <v>831</v>
      </c>
      <c r="F50" t="s">
        <v>42</v>
      </c>
      <c r="G50">
        <v>2883</v>
      </c>
      <c r="H50">
        <v>316.6618106139</v>
      </c>
      <c r="I50">
        <v>7075</v>
      </c>
      <c r="J50">
        <v>1839</v>
      </c>
      <c r="K50">
        <v>8558</v>
      </c>
      <c r="L50">
        <v>3846</v>
      </c>
      <c r="M50">
        <v>2014</v>
      </c>
      <c r="N50">
        <v>1626</v>
      </c>
      <c r="O50">
        <v>1158</v>
      </c>
      <c r="P50">
        <v>492</v>
      </c>
      <c r="Q50">
        <v>2</v>
      </c>
      <c r="R50">
        <v>206</v>
      </c>
      <c r="AH50" t="s">
        <v>418</v>
      </c>
      <c r="AI50">
        <v>507</v>
      </c>
      <c r="AJ50">
        <v>366.2071005917</v>
      </c>
      <c r="AK50">
        <v>486</v>
      </c>
      <c r="AL50">
        <v>138</v>
      </c>
      <c r="AM50">
        <v>922</v>
      </c>
      <c r="AN50">
        <v>582</v>
      </c>
      <c r="AO50">
        <v>242</v>
      </c>
      <c r="AP50">
        <v>163</v>
      </c>
      <c r="AQ50">
        <v>145</v>
      </c>
      <c r="AR50">
        <v>76</v>
      </c>
      <c r="AS50">
        <v>74</v>
      </c>
      <c r="AT50">
        <v>1</v>
      </c>
      <c r="AV50" t="s">
        <v>407</v>
      </c>
      <c r="AW50">
        <v>97</v>
      </c>
      <c r="AX50">
        <v>55.432989690699998</v>
      </c>
      <c r="AY50">
        <v>164</v>
      </c>
      <c r="AZ50">
        <v>8</v>
      </c>
      <c r="BA50">
        <v>119</v>
      </c>
      <c r="BB50">
        <v>8</v>
      </c>
      <c r="BC50">
        <v>0</v>
      </c>
      <c r="BE50">
        <v>1</v>
      </c>
      <c r="BG50">
        <v>143</v>
      </c>
      <c r="BH50">
        <v>23</v>
      </c>
      <c r="BJ50" t="s">
        <v>642</v>
      </c>
      <c r="BK50" t="s">
        <v>405</v>
      </c>
      <c r="BL50">
        <v>1814</v>
      </c>
      <c r="BM50">
        <v>327</v>
      </c>
      <c r="BN50">
        <v>79.706725468599998</v>
      </c>
      <c r="BO50">
        <v>3897</v>
      </c>
      <c r="BP50">
        <v>29</v>
      </c>
      <c r="BQ50">
        <v>129.55298947910001</v>
      </c>
      <c r="BR50">
        <v>126.6206896552</v>
      </c>
      <c r="BS50">
        <v>1741</v>
      </c>
      <c r="BT50">
        <v>286</v>
      </c>
      <c r="BU50">
        <v>74.169442848900005</v>
      </c>
      <c r="BV50">
        <v>3458</v>
      </c>
      <c r="BW50">
        <v>27</v>
      </c>
      <c r="BX50">
        <v>118.8380566802</v>
      </c>
      <c r="BY50">
        <v>126.74074074070001</v>
      </c>
      <c r="CA50" t="s">
        <v>425</v>
      </c>
      <c r="CB50" t="s">
        <v>891</v>
      </c>
      <c r="CC50" t="s">
        <v>1015</v>
      </c>
      <c r="CD50">
        <v>1181</v>
      </c>
      <c r="CE50">
        <v>314</v>
      </c>
      <c r="CF50">
        <v>94.747671464899994</v>
      </c>
      <c r="CG50">
        <v>1958</v>
      </c>
      <c r="CH50">
        <v>37</v>
      </c>
      <c r="CI50">
        <v>112.8743615935</v>
      </c>
      <c r="CJ50">
        <v>99.783783783800004</v>
      </c>
      <c r="CL50" t="s">
        <v>425</v>
      </c>
      <c r="CM50" t="s">
        <v>872</v>
      </c>
      <c r="CN50" t="s">
        <v>871</v>
      </c>
      <c r="CO50">
        <v>43</v>
      </c>
      <c r="CP50">
        <v>2</v>
      </c>
      <c r="CQ50">
        <v>58.418604651199999</v>
      </c>
      <c r="CR50">
        <v>100</v>
      </c>
      <c r="CS50">
        <v>0</v>
      </c>
      <c r="CT50">
        <v>74.59</v>
      </c>
      <c r="CU50">
        <v>0</v>
      </c>
      <c r="CW50" t="s">
        <v>425</v>
      </c>
      <c r="CX50" t="s">
        <v>882</v>
      </c>
      <c r="CY50" t="s">
        <v>881</v>
      </c>
      <c r="CZ50">
        <v>24</v>
      </c>
      <c r="DA50">
        <v>3</v>
      </c>
      <c r="DB50">
        <v>73.958333333300004</v>
      </c>
      <c r="DC50">
        <v>26</v>
      </c>
      <c r="DD50">
        <v>0</v>
      </c>
      <c r="DE50">
        <v>129.4615384615</v>
      </c>
      <c r="DF50">
        <v>0</v>
      </c>
      <c r="DH50" t="s">
        <v>425</v>
      </c>
      <c r="DI50" t="s">
        <v>862</v>
      </c>
      <c r="DJ50" t="s">
        <v>861</v>
      </c>
      <c r="DK50">
        <v>32</v>
      </c>
      <c r="DL50">
        <v>5</v>
      </c>
      <c r="DM50">
        <v>67.3125</v>
      </c>
      <c r="DN50">
        <v>57</v>
      </c>
      <c r="DO50">
        <v>1</v>
      </c>
      <c r="DP50">
        <v>130.298245614</v>
      </c>
      <c r="DQ50">
        <v>184</v>
      </c>
    </row>
    <row r="51" spans="2:121" x14ac:dyDescent="0.2">
      <c r="B51" t="s">
        <v>101</v>
      </c>
      <c r="C51">
        <v>176261</v>
      </c>
      <c r="D51">
        <v>121508</v>
      </c>
      <c r="F51" t="s">
        <v>53</v>
      </c>
      <c r="G51">
        <v>7665</v>
      </c>
      <c r="H51">
        <v>489.7222439661</v>
      </c>
      <c r="I51">
        <v>3456</v>
      </c>
      <c r="J51">
        <v>944</v>
      </c>
      <c r="K51">
        <v>10871</v>
      </c>
      <c r="L51">
        <v>7838</v>
      </c>
      <c r="M51">
        <v>3209</v>
      </c>
      <c r="N51">
        <v>3008</v>
      </c>
      <c r="O51">
        <v>1737</v>
      </c>
      <c r="P51">
        <v>772</v>
      </c>
      <c r="Q51">
        <v>81</v>
      </c>
      <c r="R51">
        <v>286</v>
      </c>
      <c r="AH51" t="s">
        <v>379</v>
      </c>
      <c r="AI51">
        <v>17343</v>
      </c>
      <c r="AJ51">
        <v>414.1349247535</v>
      </c>
      <c r="AK51">
        <v>11461</v>
      </c>
      <c r="AL51">
        <v>2704</v>
      </c>
      <c r="AM51">
        <v>21877</v>
      </c>
      <c r="AN51">
        <v>15107</v>
      </c>
      <c r="AO51">
        <v>9418</v>
      </c>
      <c r="AP51">
        <v>8289</v>
      </c>
      <c r="AQ51">
        <v>7366</v>
      </c>
      <c r="AR51">
        <v>5483</v>
      </c>
      <c r="AS51">
        <v>974</v>
      </c>
      <c r="AT51">
        <v>16</v>
      </c>
      <c r="AV51" t="s">
        <v>374</v>
      </c>
      <c r="AW51">
        <v>206</v>
      </c>
      <c r="AX51">
        <v>96.436893203899999</v>
      </c>
      <c r="AY51">
        <v>351</v>
      </c>
      <c r="AZ51">
        <v>98</v>
      </c>
      <c r="BA51">
        <v>281</v>
      </c>
      <c r="BB51">
        <v>81</v>
      </c>
      <c r="BC51">
        <v>2</v>
      </c>
      <c r="BD51">
        <v>2</v>
      </c>
      <c r="BE51">
        <v>17</v>
      </c>
      <c r="BF51">
        <v>5</v>
      </c>
      <c r="BG51">
        <v>23</v>
      </c>
      <c r="BH51">
        <v>64</v>
      </c>
      <c r="BJ51" t="s">
        <v>594</v>
      </c>
      <c r="BK51" t="s">
        <v>405</v>
      </c>
      <c r="BL51">
        <v>9023</v>
      </c>
      <c r="BM51">
        <v>1988</v>
      </c>
      <c r="BN51">
        <v>86.712734123900006</v>
      </c>
      <c r="BO51">
        <v>14365</v>
      </c>
      <c r="BP51">
        <v>66</v>
      </c>
      <c r="BQ51">
        <v>137.0421858684</v>
      </c>
      <c r="BR51">
        <v>105.63636363640001</v>
      </c>
      <c r="BS51">
        <v>7183</v>
      </c>
      <c r="BT51">
        <v>1589</v>
      </c>
      <c r="BU51">
        <v>81.295141305900003</v>
      </c>
      <c r="BV51">
        <v>11824</v>
      </c>
      <c r="BW51">
        <v>48</v>
      </c>
      <c r="BX51">
        <v>119.8201962111</v>
      </c>
      <c r="BY51">
        <v>101.8958333333</v>
      </c>
      <c r="CA51" t="s">
        <v>427</v>
      </c>
      <c r="CB51" t="s">
        <v>891</v>
      </c>
      <c r="CC51" t="s">
        <v>1016</v>
      </c>
      <c r="CD51">
        <v>4946</v>
      </c>
      <c r="CE51">
        <v>1156</v>
      </c>
      <c r="CF51">
        <v>91.852001617499994</v>
      </c>
      <c r="CG51">
        <v>11340</v>
      </c>
      <c r="CH51">
        <v>80</v>
      </c>
      <c r="CI51">
        <v>125.10582010580001</v>
      </c>
      <c r="CJ51">
        <v>122.22499999999999</v>
      </c>
      <c r="CL51" t="s">
        <v>427</v>
      </c>
      <c r="CM51" t="s">
        <v>872</v>
      </c>
      <c r="CN51" t="s">
        <v>873</v>
      </c>
      <c r="CO51">
        <v>514</v>
      </c>
      <c r="CP51">
        <v>43</v>
      </c>
      <c r="CQ51">
        <v>61.377431906600002</v>
      </c>
      <c r="CR51">
        <v>1720</v>
      </c>
      <c r="CS51">
        <v>11</v>
      </c>
      <c r="CT51">
        <v>68.452325581400004</v>
      </c>
      <c r="CU51">
        <v>53.4545454545</v>
      </c>
      <c r="CW51" t="s">
        <v>427</v>
      </c>
      <c r="CX51" t="s">
        <v>882</v>
      </c>
      <c r="CY51" t="s">
        <v>883</v>
      </c>
      <c r="CZ51">
        <v>169</v>
      </c>
      <c r="DA51">
        <v>41</v>
      </c>
      <c r="DB51">
        <v>81.704142011800002</v>
      </c>
      <c r="DC51">
        <v>266</v>
      </c>
      <c r="DD51">
        <v>2</v>
      </c>
      <c r="DE51">
        <v>140.76315789469999</v>
      </c>
      <c r="DF51">
        <v>158</v>
      </c>
      <c r="DH51" t="s">
        <v>427</v>
      </c>
      <c r="DI51" t="s">
        <v>862</v>
      </c>
      <c r="DJ51" t="s">
        <v>863</v>
      </c>
      <c r="DK51">
        <v>104</v>
      </c>
      <c r="DL51">
        <v>20</v>
      </c>
      <c r="DM51">
        <v>81.038461538500002</v>
      </c>
      <c r="DN51">
        <v>206</v>
      </c>
      <c r="DO51">
        <v>1</v>
      </c>
      <c r="DP51">
        <v>135.1262135922</v>
      </c>
      <c r="DQ51">
        <v>237</v>
      </c>
    </row>
    <row r="52" spans="2:121" x14ac:dyDescent="0.2">
      <c r="B52" t="s">
        <v>125</v>
      </c>
      <c r="C52">
        <v>31719</v>
      </c>
      <c r="D52">
        <v>5780</v>
      </c>
      <c r="F52" t="s">
        <v>72</v>
      </c>
      <c r="G52">
        <v>1248</v>
      </c>
      <c r="H52">
        <v>311.79086538460001</v>
      </c>
      <c r="I52">
        <v>2445</v>
      </c>
      <c r="J52">
        <v>811</v>
      </c>
      <c r="K52">
        <v>2207</v>
      </c>
      <c r="L52">
        <v>1521</v>
      </c>
      <c r="M52">
        <v>848</v>
      </c>
      <c r="N52">
        <v>788</v>
      </c>
      <c r="O52">
        <v>1139</v>
      </c>
      <c r="P52">
        <v>856</v>
      </c>
      <c r="Q52">
        <v>0</v>
      </c>
      <c r="R52">
        <v>1</v>
      </c>
      <c r="AH52" t="s">
        <v>80</v>
      </c>
      <c r="AI52">
        <v>10185</v>
      </c>
      <c r="AJ52">
        <v>398.12655866469999</v>
      </c>
      <c r="AK52">
        <v>6276</v>
      </c>
      <c r="AL52">
        <v>1140</v>
      </c>
      <c r="AM52">
        <v>15039</v>
      </c>
      <c r="AN52">
        <v>11103</v>
      </c>
      <c r="AO52">
        <v>4188</v>
      </c>
      <c r="AP52">
        <v>3122</v>
      </c>
      <c r="AQ52">
        <v>5977</v>
      </c>
      <c r="AR52">
        <v>4246</v>
      </c>
      <c r="AS52">
        <v>8</v>
      </c>
      <c r="AT52">
        <v>142</v>
      </c>
      <c r="AV52" t="s">
        <v>380</v>
      </c>
      <c r="AW52">
        <v>296</v>
      </c>
      <c r="AX52">
        <v>88.081081081099995</v>
      </c>
      <c r="AY52">
        <v>304</v>
      </c>
      <c r="AZ52">
        <v>69</v>
      </c>
      <c r="BA52">
        <v>370</v>
      </c>
      <c r="BB52">
        <v>81</v>
      </c>
      <c r="BC52">
        <v>0</v>
      </c>
      <c r="BE52">
        <v>23</v>
      </c>
      <c r="BF52">
        <v>4</v>
      </c>
      <c r="BG52">
        <v>51</v>
      </c>
      <c r="BH52">
        <v>92</v>
      </c>
      <c r="BJ52" t="s">
        <v>616</v>
      </c>
      <c r="BK52" t="s">
        <v>405</v>
      </c>
      <c r="BL52">
        <v>821</v>
      </c>
      <c r="BM52">
        <v>213</v>
      </c>
      <c r="BN52">
        <v>98.114494518900003</v>
      </c>
      <c r="BO52">
        <v>1399</v>
      </c>
      <c r="BP52">
        <v>18</v>
      </c>
      <c r="BQ52">
        <v>130.55539671189999</v>
      </c>
      <c r="BR52">
        <v>120.94444444440001</v>
      </c>
      <c r="BS52">
        <v>1216</v>
      </c>
      <c r="BT52">
        <v>581</v>
      </c>
      <c r="BU52">
        <v>135.47203947369999</v>
      </c>
      <c r="BV52">
        <v>2797</v>
      </c>
      <c r="BW52">
        <v>29</v>
      </c>
      <c r="BX52">
        <v>174.12513407220001</v>
      </c>
      <c r="BY52">
        <v>162.275862069</v>
      </c>
      <c r="CA52" t="s">
        <v>408</v>
      </c>
      <c r="CB52" t="s">
        <v>891</v>
      </c>
      <c r="CC52" t="s">
        <v>1017</v>
      </c>
      <c r="CD52">
        <v>27992</v>
      </c>
      <c r="CE52">
        <v>6755</v>
      </c>
      <c r="CF52">
        <v>91.420405830199996</v>
      </c>
      <c r="CG52">
        <v>46695</v>
      </c>
      <c r="CH52">
        <v>417</v>
      </c>
      <c r="CI52">
        <v>134.26356140909999</v>
      </c>
      <c r="CJ52">
        <v>119.7314148681</v>
      </c>
      <c r="CL52" t="s">
        <v>408</v>
      </c>
      <c r="CM52" t="s">
        <v>872</v>
      </c>
      <c r="CN52" t="s">
        <v>874</v>
      </c>
      <c r="CO52">
        <v>1892</v>
      </c>
      <c r="CP52">
        <v>135</v>
      </c>
      <c r="CQ52">
        <v>55.636892177599997</v>
      </c>
      <c r="CR52">
        <v>7148</v>
      </c>
      <c r="CS52">
        <v>35</v>
      </c>
      <c r="CT52">
        <v>66.583659764999993</v>
      </c>
      <c r="CU52">
        <v>57.1714285714</v>
      </c>
      <c r="CW52" t="s">
        <v>408</v>
      </c>
      <c r="CX52" t="s">
        <v>882</v>
      </c>
      <c r="CY52" t="s">
        <v>884</v>
      </c>
      <c r="CZ52">
        <v>1284</v>
      </c>
      <c r="DA52">
        <v>234</v>
      </c>
      <c r="DB52">
        <v>78.115264797500004</v>
      </c>
      <c r="DC52">
        <v>1763</v>
      </c>
      <c r="DD52">
        <v>14</v>
      </c>
      <c r="DE52">
        <v>136.75723199090001</v>
      </c>
      <c r="DF52">
        <v>134.21428571429999</v>
      </c>
      <c r="DH52" t="s">
        <v>408</v>
      </c>
      <c r="DI52" t="s">
        <v>862</v>
      </c>
      <c r="DJ52" t="s">
        <v>864</v>
      </c>
      <c r="DK52">
        <v>649</v>
      </c>
      <c r="DL52">
        <v>100</v>
      </c>
      <c r="DM52">
        <v>68.753466872100006</v>
      </c>
      <c r="DN52">
        <v>1134</v>
      </c>
      <c r="DO52">
        <v>4</v>
      </c>
      <c r="DP52">
        <v>125.1111111111</v>
      </c>
      <c r="DQ52">
        <v>147.25</v>
      </c>
    </row>
    <row r="53" spans="2:121" x14ac:dyDescent="0.2">
      <c r="B53" t="s">
        <v>120</v>
      </c>
      <c r="C53">
        <v>239</v>
      </c>
      <c r="D53">
        <v>238</v>
      </c>
      <c r="F53" t="s">
        <v>48</v>
      </c>
      <c r="G53">
        <v>6641</v>
      </c>
      <c r="H53">
        <v>562.70817647939998</v>
      </c>
      <c r="I53">
        <v>4449</v>
      </c>
      <c r="J53">
        <v>1025</v>
      </c>
      <c r="K53">
        <v>9680</v>
      </c>
      <c r="L53">
        <v>7457</v>
      </c>
      <c r="M53">
        <v>1997</v>
      </c>
      <c r="N53">
        <v>1513</v>
      </c>
      <c r="O53">
        <v>2118</v>
      </c>
      <c r="P53">
        <v>1487</v>
      </c>
      <c r="Q53">
        <v>1</v>
      </c>
      <c r="R53">
        <v>218</v>
      </c>
      <c r="AH53" t="s">
        <v>380</v>
      </c>
      <c r="AI53">
        <v>1983</v>
      </c>
      <c r="AJ53">
        <v>272.86434694910002</v>
      </c>
      <c r="AK53">
        <v>2578</v>
      </c>
      <c r="AL53">
        <v>557</v>
      </c>
      <c r="AM53">
        <v>3274</v>
      </c>
      <c r="AN53">
        <v>2204</v>
      </c>
      <c r="AO53">
        <v>461</v>
      </c>
      <c r="AP53">
        <v>370</v>
      </c>
      <c r="AQ53">
        <v>1366</v>
      </c>
      <c r="AR53">
        <v>1018</v>
      </c>
      <c r="AS53">
        <v>320</v>
      </c>
      <c r="AT53">
        <v>12</v>
      </c>
      <c r="AV53" t="s">
        <v>393</v>
      </c>
      <c r="AW53">
        <v>359</v>
      </c>
      <c r="AX53">
        <v>69.576601671299997</v>
      </c>
      <c r="AY53">
        <v>539</v>
      </c>
      <c r="AZ53">
        <v>74</v>
      </c>
      <c r="BA53">
        <v>473</v>
      </c>
      <c r="BB53">
        <v>43</v>
      </c>
      <c r="BC53">
        <v>2</v>
      </c>
      <c r="BD53">
        <v>2</v>
      </c>
      <c r="BE53">
        <v>32</v>
      </c>
      <c r="BF53">
        <v>9</v>
      </c>
      <c r="BG53">
        <v>46</v>
      </c>
      <c r="BH53">
        <v>65</v>
      </c>
      <c r="BJ53" t="s">
        <v>592</v>
      </c>
      <c r="BK53" t="s">
        <v>405</v>
      </c>
      <c r="BL53">
        <v>10314</v>
      </c>
      <c r="BM53">
        <v>3149</v>
      </c>
      <c r="BN53">
        <v>106.0321892573</v>
      </c>
      <c r="BO53">
        <v>15049</v>
      </c>
      <c r="BP53">
        <v>190</v>
      </c>
      <c r="BQ53">
        <v>149.51598112830001</v>
      </c>
      <c r="BR53">
        <v>135.3315789474</v>
      </c>
      <c r="BS53">
        <v>3100</v>
      </c>
      <c r="BT53">
        <v>941</v>
      </c>
      <c r="BU53">
        <v>93.041290322600005</v>
      </c>
      <c r="BV53">
        <v>9070</v>
      </c>
      <c r="BW53">
        <v>110</v>
      </c>
      <c r="BX53">
        <v>143.30275633959999</v>
      </c>
      <c r="BY53">
        <v>155.8272727273</v>
      </c>
      <c r="CA53" t="s">
        <v>429</v>
      </c>
      <c r="CB53" t="s">
        <v>891</v>
      </c>
      <c r="CC53" t="s">
        <v>1018</v>
      </c>
      <c r="CD53">
        <v>1571</v>
      </c>
      <c r="CE53">
        <v>337</v>
      </c>
      <c r="CF53">
        <v>80.078930617400005</v>
      </c>
      <c r="CG53">
        <v>3935</v>
      </c>
      <c r="CH53">
        <v>28</v>
      </c>
      <c r="CI53">
        <v>110.4193138501</v>
      </c>
      <c r="CJ53">
        <v>112.82142857140001</v>
      </c>
      <c r="CL53" t="s">
        <v>429</v>
      </c>
      <c r="CM53" t="s">
        <v>872</v>
      </c>
      <c r="CN53" t="s">
        <v>875</v>
      </c>
      <c r="CO53">
        <v>75</v>
      </c>
      <c r="CP53">
        <v>11</v>
      </c>
      <c r="CQ53">
        <v>75.106666666699994</v>
      </c>
      <c r="CR53">
        <v>219</v>
      </c>
      <c r="CS53">
        <v>2</v>
      </c>
      <c r="CT53">
        <v>69.210045662100001</v>
      </c>
      <c r="CU53">
        <v>62.5</v>
      </c>
      <c r="CW53" t="s">
        <v>429</v>
      </c>
      <c r="CX53" t="s">
        <v>882</v>
      </c>
      <c r="CY53" t="s">
        <v>885</v>
      </c>
      <c r="CZ53">
        <v>36</v>
      </c>
      <c r="DA53">
        <v>6</v>
      </c>
      <c r="DB53">
        <v>85.388888888899999</v>
      </c>
      <c r="DC53">
        <v>53</v>
      </c>
      <c r="DD53">
        <v>0</v>
      </c>
      <c r="DE53">
        <v>135.62264150940001</v>
      </c>
      <c r="DF53">
        <v>0</v>
      </c>
      <c r="DH53" t="s">
        <v>429</v>
      </c>
      <c r="DI53" t="s">
        <v>862</v>
      </c>
      <c r="DJ53" t="s">
        <v>865</v>
      </c>
      <c r="DK53">
        <v>95</v>
      </c>
      <c r="DL53">
        <v>8</v>
      </c>
      <c r="DM53">
        <v>66.736842105299999</v>
      </c>
      <c r="DN53">
        <v>111</v>
      </c>
      <c r="DO53">
        <v>1</v>
      </c>
      <c r="DP53">
        <v>119.67567567570001</v>
      </c>
      <c r="DQ53">
        <v>92</v>
      </c>
    </row>
    <row r="54" spans="2:121" x14ac:dyDescent="0.2">
      <c r="F54" t="s">
        <v>431</v>
      </c>
      <c r="G54">
        <v>12537</v>
      </c>
      <c r="H54">
        <v>562.87764217910001</v>
      </c>
      <c r="I54">
        <v>1043</v>
      </c>
      <c r="J54">
        <v>326</v>
      </c>
      <c r="K54">
        <v>12933</v>
      </c>
      <c r="L54">
        <v>12270</v>
      </c>
      <c r="M54">
        <v>1102</v>
      </c>
      <c r="N54">
        <v>758</v>
      </c>
      <c r="O54">
        <v>1309</v>
      </c>
      <c r="P54">
        <v>1233</v>
      </c>
      <c r="Q54">
        <v>0</v>
      </c>
      <c r="R54">
        <v>0</v>
      </c>
      <c r="AH54" t="s">
        <v>397</v>
      </c>
      <c r="AI54">
        <v>3588</v>
      </c>
      <c r="AJ54">
        <v>253.55239687849999</v>
      </c>
      <c r="AK54">
        <v>3757</v>
      </c>
      <c r="AL54">
        <v>674</v>
      </c>
      <c r="AM54">
        <v>5075</v>
      </c>
      <c r="AN54">
        <v>2918</v>
      </c>
      <c r="AO54">
        <v>699</v>
      </c>
      <c r="AP54">
        <v>536</v>
      </c>
      <c r="AQ54">
        <v>1027</v>
      </c>
      <c r="AR54">
        <v>559</v>
      </c>
      <c r="AS54">
        <v>467</v>
      </c>
      <c r="AT54">
        <v>6</v>
      </c>
      <c r="AV54" t="s">
        <v>402</v>
      </c>
      <c r="AW54">
        <v>301</v>
      </c>
      <c r="AX54">
        <v>49.0365448505</v>
      </c>
      <c r="AY54">
        <v>287</v>
      </c>
      <c r="AZ54">
        <v>14</v>
      </c>
      <c r="BA54">
        <v>350</v>
      </c>
      <c r="BB54">
        <v>11</v>
      </c>
      <c r="BC54">
        <v>1</v>
      </c>
      <c r="BD54">
        <v>1</v>
      </c>
      <c r="BE54">
        <v>5</v>
      </c>
      <c r="BG54">
        <v>767</v>
      </c>
      <c r="BH54">
        <v>42</v>
      </c>
      <c r="BJ54" t="s">
        <v>405</v>
      </c>
      <c r="BK54" t="s">
        <v>405</v>
      </c>
      <c r="BL54">
        <v>56043</v>
      </c>
      <c r="BM54">
        <v>12806</v>
      </c>
      <c r="BN54">
        <v>88.730849526300005</v>
      </c>
      <c r="BO54">
        <v>111699</v>
      </c>
      <c r="BP54">
        <v>979</v>
      </c>
      <c r="BQ54">
        <v>118.10488007950001</v>
      </c>
      <c r="BR54">
        <v>109.8784473953</v>
      </c>
      <c r="BS54">
        <v>44481</v>
      </c>
      <c r="BT54">
        <v>9752</v>
      </c>
      <c r="BU54">
        <v>85.715384096600005</v>
      </c>
      <c r="BV54">
        <v>108408</v>
      </c>
      <c r="BW54">
        <v>947</v>
      </c>
      <c r="BX54">
        <v>115.4811637518</v>
      </c>
      <c r="BY54">
        <v>115.3210137276</v>
      </c>
      <c r="CA54" t="s">
        <v>409</v>
      </c>
      <c r="CB54" t="s">
        <v>891</v>
      </c>
      <c r="CC54" t="s">
        <v>1019</v>
      </c>
      <c r="CD54">
        <v>1449</v>
      </c>
      <c r="CE54">
        <v>328</v>
      </c>
      <c r="CF54">
        <v>87.400276052400002</v>
      </c>
      <c r="CG54">
        <v>2771</v>
      </c>
      <c r="CH54">
        <v>13</v>
      </c>
      <c r="CI54">
        <v>112.21291952359999</v>
      </c>
      <c r="CJ54">
        <v>85.538461538500002</v>
      </c>
      <c r="CL54" t="s">
        <v>409</v>
      </c>
      <c r="CM54" t="s">
        <v>872</v>
      </c>
      <c r="CN54" t="s">
        <v>876</v>
      </c>
      <c r="CO54">
        <v>127</v>
      </c>
      <c r="CP54">
        <v>15</v>
      </c>
      <c r="CQ54">
        <v>64.472440944900001</v>
      </c>
      <c r="CR54">
        <v>399</v>
      </c>
      <c r="CS54">
        <v>1</v>
      </c>
      <c r="CT54">
        <v>61.997493734300001</v>
      </c>
      <c r="CU54">
        <v>12</v>
      </c>
      <c r="CW54" t="s">
        <v>409</v>
      </c>
      <c r="CX54" t="s">
        <v>882</v>
      </c>
      <c r="CY54" t="s">
        <v>886</v>
      </c>
      <c r="CZ54">
        <v>40</v>
      </c>
      <c r="DA54">
        <v>11</v>
      </c>
      <c r="DB54">
        <v>84.3</v>
      </c>
      <c r="DC54">
        <v>46</v>
      </c>
      <c r="DD54">
        <v>0</v>
      </c>
      <c r="DE54">
        <v>141.36956521740001</v>
      </c>
      <c r="DF54">
        <v>0</v>
      </c>
      <c r="DH54" t="s">
        <v>409</v>
      </c>
      <c r="DI54" t="s">
        <v>862</v>
      </c>
      <c r="DJ54" t="s">
        <v>866</v>
      </c>
      <c r="DK54">
        <v>48</v>
      </c>
      <c r="DL54">
        <v>9</v>
      </c>
      <c r="DM54">
        <v>73.9375</v>
      </c>
      <c r="DN54">
        <v>73</v>
      </c>
      <c r="DO54">
        <v>1</v>
      </c>
      <c r="DP54">
        <v>121.38356164379999</v>
      </c>
      <c r="DQ54">
        <v>91</v>
      </c>
    </row>
    <row r="55" spans="2:121" x14ac:dyDescent="0.2">
      <c r="F55" t="s">
        <v>50</v>
      </c>
      <c r="G55">
        <v>1649</v>
      </c>
      <c r="H55">
        <v>129.66585809579999</v>
      </c>
      <c r="I55">
        <v>2223</v>
      </c>
      <c r="J55">
        <v>285</v>
      </c>
      <c r="K55">
        <v>2857</v>
      </c>
      <c r="L55">
        <v>1088</v>
      </c>
      <c r="M55">
        <v>869</v>
      </c>
      <c r="N55">
        <v>636</v>
      </c>
      <c r="O55">
        <v>765</v>
      </c>
      <c r="P55">
        <v>278</v>
      </c>
      <c r="Q55">
        <v>1</v>
      </c>
      <c r="R55">
        <v>15</v>
      </c>
      <c r="AH55" t="s">
        <v>422</v>
      </c>
      <c r="AI55">
        <v>401</v>
      </c>
      <c r="AJ55">
        <v>312.2094763092</v>
      </c>
      <c r="AK55">
        <v>822</v>
      </c>
      <c r="AL55">
        <v>122</v>
      </c>
      <c r="AM55">
        <v>718</v>
      </c>
      <c r="AN55">
        <v>435</v>
      </c>
      <c r="AO55">
        <v>193</v>
      </c>
      <c r="AP55">
        <v>128</v>
      </c>
      <c r="AQ55">
        <v>193</v>
      </c>
      <c r="AR55">
        <v>107</v>
      </c>
      <c r="AS55">
        <v>2</v>
      </c>
      <c r="AT55">
        <v>2</v>
      </c>
      <c r="AV55" t="s">
        <v>425</v>
      </c>
      <c r="AW55">
        <v>18</v>
      </c>
      <c r="AX55">
        <v>57.444444444399998</v>
      </c>
      <c r="AY55">
        <v>24</v>
      </c>
      <c r="BA55">
        <v>28</v>
      </c>
      <c r="BB55">
        <v>2</v>
      </c>
      <c r="BC55">
        <v>0</v>
      </c>
      <c r="BE55">
        <v>1</v>
      </c>
      <c r="BF55">
        <v>1</v>
      </c>
      <c r="BG55">
        <v>42</v>
      </c>
      <c r="BH55">
        <v>7</v>
      </c>
      <c r="BJ55" t="s">
        <v>596</v>
      </c>
      <c r="BK55" t="s">
        <v>405</v>
      </c>
      <c r="BL55">
        <v>3708</v>
      </c>
      <c r="BM55">
        <v>770</v>
      </c>
      <c r="BN55">
        <v>91.851672060400006</v>
      </c>
      <c r="BO55">
        <v>8727</v>
      </c>
      <c r="BP55">
        <v>57</v>
      </c>
      <c r="BQ55">
        <v>128.0572934571</v>
      </c>
      <c r="BR55">
        <v>120.1754385965</v>
      </c>
      <c r="BS55">
        <v>5508</v>
      </c>
      <c r="BT55">
        <v>1158</v>
      </c>
      <c r="BU55">
        <v>95.859840232400003</v>
      </c>
      <c r="BV55">
        <v>12496</v>
      </c>
      <c r="BW55">
        <v>87</v>
      </c>
      <c r="BX55">
        <v>134.71078745200001</v>
      </c>
      <c r="BY55">
        <v>138.22988505750001</v>
      </c>
      <c r="CA55" t="s">
        <v>414</v>
      </c>
      <c r="CB55" t="s">
        <v>891</v>
      </c>
      <c r="CC55" t="s">
        <v>1020</v>
      </c>
      <c r="CD55">
        <v>3705</v>
      </c>
      <c r="CE55">
        <v>954</v>
      </c>
      <c r="CF55">
        <v>94.103103913599995</v>
      </c>
      <c r="CG55">
        <v>5842</v>
      </c>
      <c r="CH55">
        <v>48</v>
      </c>
      <c r="CI55">
        <v>141.00290996230001</v>
      </c>
      <c r="CJ55">
        <v>126.375</v>
      </c>
      <c r="CL55" t="s">
        <v>414</v>
      </c>
      <c r="CM55" t="s">
        <v>872</v>
      </c>
      <c r="CN55" t="s">
        <v>877</v>
      </c>
      <c r="CO55">
        <v>245</v>
      </c>
      <c r="CP55">
        <v>22</v>
      </c>
      <c r="CQ55">
        <v>59.579591836699997</v>
      </c>
      <c r="CR55">
        <v>775</v>
      </c>
      <c r="CS55">
        <v>2</v>
      </c>
      <c r="CT55">
        <v>65.507096774199994</v>
      </c>
      <c r="CU55">
        <v>31</v>
      </c>
      <c r="CW55" t="s">
        <v>414</v>
      </c>
      <c r="CX55" t="s">
        <v>882</v>
      </c>
      <c r="CY55" t="s">
        <v>887</v>
      </c>
      <c r="CZ55">
        <v>86</v>
      </c>
      <c r="DA55">
        <v>20</v>
      </c>
      <c r="DB55">
        <v>82.639534883699994</v>
      </c>
      <c r="DC55">
        <v>138</v>
      </c>
      <c r="DD55">
        <v>1</v>
      </c>
      <c r="DE55">
        <v>141.63768115939999</v>
      </c>
      <c r="DF55">
        <v>92</v>
      </c>
      <c r="DH55" t="s">
        <v>414</v>
      </c>
      <c r="DI55" t="s">
        <v>862</v>
      </c>
      <c r="DJ55" t="s">
        <v>867</v>
      </c>
      <c r="DK55">
        <v>106</v>
      </c>
      <c r="DL55">
        <v>13</v>
      </c>
      <c r="DM55">
        <v>66.971698113200006</v>
      </c>
      <c r="DN55">
        <v>151</v>
      </c>
      <c r="DO55">
        <v>1</v>
      </c>
      <c r="DP55">
        <v>129.92052980130001</v>
      </c>
      <c r="DQ55">
        <v>61</v>
      </c>
    </row>
    <row r="56" spans="2:121" x14ac:dyDescent="0.2">
      <c r="F56" t="s">
        <v>62</v>
      </c>
      <c r="G56">
        <v>10667</v>
      </c>
      <c r="H56">
        <v>433.52460860600002</v>
      </c>
      <c r="I56">
        <v>10194</v>
      </c>
      <c r="J56">
        <v>3058</v>
      </c>
      <c r="K56">
        <v>14188</v>
      </c>
      <c r="L56">
        <v>10839</v>
      </c>
      <c r="M56">
        <v>4099</v>
      </c>
      <c r="N56">
        <v>3660</v>
      </c>
      <c r="O56">
        <v>2460</v>
      </c>
      <c r="P56">
        <v>1927</v>
      </c>
      <c r="Q56">
        <v>0</v>
      </c>
      <c r="R56">
        <v>38</v>
      </c>
      <c r="BJ56" t="s">
        <v>604</v>
      </c>
      <c r="BK56" t="s">
        <v>405</v>
      </c>
      <c r="BL56">
        <v>4767</v>
      </c>
      <c r="BM56">
        <v>1071</v>
      </c>
      <c r="BN56">
        <v>90.349905601000003</v>
      </c>
      <c r="BO56">
        <v>7696</v>
      </c>
      <c r="BP56">
        <v>39</v>
      </c>
      <c r="BQ56">
        <v>140.66307172559999</v>
      </c>
      <c r="BR56">
        <v>112.58974358970001</v>
      </c>
      <c r="BS56">
        <v>4528</v>
      </c>
      <c r="BT56">
        <v>1080</v>
      </c>
      <c r="BU56">
        <v>93.8067579505</v>
      </c>
      <c r="BV56">
        <v>7867</v>
      </c>
      <c r="BW56">
        <v>40</v>
      </c>
      <c r="BX56">
        <v>137.39913562980001</v>
      </c>
      <c r="BY56">
        <v>117.075</v>
      </c>
      <c r="CA56" t="s">
        <v>406</v>
      </c>
      <c r="CB56" t="s">
        <v>891</v>
      </c>
      <c r="CC56" t="s">
        <v>1021</v>
      </c>
      <c r="CD56">
        <v>2490</v>
      </c>
      <c r="CE56">
        <v>544</v>
      </c>
      <c r="CF56">
        <v>88.862650602399995</v>
      </c>
      <c r="CG56">
        <v>4432</v>
      </c>
      <c r="CH56">
        <v>63</v>
      </c>
      <c r="CI56">
        <v>140.89372743679999</v>
      </c>
      <c r="CJ56">
        <v>111.55555555559999</v>
      </c>
      <c r="CL56" t="s">
        <v>406</v>
      </c>
      <c r="CM56" t="s">
        <v>872</v>
      </c>
      <c r="CN56" t="s">
        <v>878</v>
      </c>
      <c r="CO56">
        <v>211</v>
      </c>
      <c r="CP56">
        <v>10</v>
      </c>
      <c r="CQ56">
        <v>56.052132701399998</v>
      </c>
      <c r="CR56">
        <v>606</v>
      </c>
      <c r="CS56">
        <v>3</v>
      </c>
      <c r="CT56">
        <v>59.082508250799997</v>
      </c>
      <c r="CU56">
        <v>37.666666666700003</v>
      </c>
      <c r="CW56" t="s">
        <v>406</v>
      </c>
      <c r="CX56" t="s">
        <v>882</v>
      </c>
      <c r="CY56" t="s">
        <v>888</v>
      </c>
      <c r="CZ56">
        <v>67</v>
      </c>
      <c r="DA56">
        <v>15</v>
      </c>
      <c r="DB56">
        <v>95.985074626900001</v>
      </c>
      <c r="DC56">
        <v>67</v>
      </c>
      <c r="DD56">
        <v>0</v>
      </c>
      <c r="DE56">
        <v>159.25373134329999</v>
      </c>
      <c r="DF56">
        <v>0</v>
      </c>
      <c r="DH56" t="s">
        <v>406</v>
      </c>
      <c r="DI56" t="s">
        <v>862</v>
      </c>
      <c r="DJ56" t="s">
        <v>868</v>
      </c>
      <c r="DK56">
        <v>69</v>
      </c>
      <c r="DL56">
        <v>7</v>
      </c>
      <c r="DM56">
        <v>65.913043478299997</v>
      </c>
      <c r="DN56">
        <v>101</v>
      </c>
      <c r="DO56">
        <v>0</v>
      </c>
      <c r="DP56">
        <v>140.81188118809999</v>
      </c>
      <c r="DQ56">
        <v>0</v>
      </c>
    </row>
    <row r="57" spans="2:121" x14ac:dyDescent="0.2">
      <c r="F57" t="s">
        <v>64</v>
      </c>
      <c r="G57">
        <v>3522</v>
      </c>
      <c r="H57">
        <v>239.97643384439999</v>
      </c>
      <c r="I57">
        <v>3654</v>
      </c>
      <c r="J57">
        <v>767</v>
      </c>
      <c r="K57">
        <v>4287</v>
      </c>
      <c r="L57">
        <v>2443</v>
      </c>
      <c r="M57">
        <v>928</v>
      </c>
      <c r="N57">
        <v>803</v>
      </c>
      <c r="O57">
        <v>1210</v>
      </c>
      <c r="P57">
        <v>668</v>
      </c>
      <c r="Q57">
        <v>0</v>
      </c>
      <c r="R57">
        <v>69</v>
      </c>
      <c r="BJ57" t="s">
        <v>612</v>
      </c>
      <c r="BK57" t="s">
        <v>405</v>
      </c>
      <c r="BL57">
        <v>3634</v>
      </c>
      <c r="BM57">
        <v>939</v>
      </c>
      <c r="BN57">
        <v>94.724270775999997</v>
      </c>
      <c r="BO57">
        <v>5337</v>
      </c>
      <c r="BP57">
        <v>44</v>
      </c>
      <c r="BQ57">
        <v>145.12141652610001</v>
      </c>
      <c r="BR57">
        <v>136.13636363640001</v>
      </c>
      <c r="BS57">
        <v>838</v>
      </c>
      <c r="BT57">
        <v>195</v>
      </c>
      <c r="BU57">
        <v>92.522673030999997</v>
      </c>
      <c r="BV57">
        <v>4412</v>
      </c>
      <c r="BW57">
        <v>60</v>
      </c>
      <c r="BX57">
        <v>127.6656844968</v>
      </c>
      <c r="BY57">
        <v>152.0833333333</v>
      </c>
      <c r="CA57" t="s">
        <v>410</v>
      </c>
      <c r="CB57" t="s">
        <v>891</v>
      </c>
      <c r="CC57" t="s">
        <v>1022</v>
      </c>
      <c r="CD57">
        <v>4600</v>
      </c>
      <c r="CE57">
        <v>1076</v>
      </c>
      <c r="CF57">
        <v>92.248913043499996</v>
      </c>
      <c r="CG57">
        <v>7823</v>
      </c>
      <c r="CH57">
        <v>41</v>
      </c>
      <c r="CI57">
        <v>140.28467339900001</v>
      </c>
      <c r="CJ57">
        <v>119.2682926829</v>
      </c>
      <c r="CL57" t="s">
        <v>410</v>
      </c>
      <c r="CM57" t="s">
        <v>872</v>
      </c>
      <c r="CN57" t="s">
        <v>879</v>
      </c>
      <c r="CO57">
        <v>318</v>
      </c>
      <c r="CP57">
        <v>32</v>
      </c>
      <c r="CQ57">
        <v>59.849056603800001</v>
      </c>
      <c r="CR57">
        <v>1132</v>
      </c>
      <c r="CS57">
        <v>8</v>
      </c>
      <c r="CT57">
        <v>69.345406360400005</v>
      </c>
      <c r="CU57">
        <v>49.375</v>
      </c>
      <c r="CW57" t="s">
        <v>410</v>
      </c>
      <c r="CX57" t="s">
        <v>882</v>
      </c>
      <c r="CY57" t="s">
        <v>889</v>
      </c>
      <c r="CZ57">
        <v>80</v>
      </c>
      <c r="DA57">
        <v>15</v>
      </c>
      <c r="DB57">
        <v>87.875</v>
      </c>
      <c r="DC57">
        <v>132</v>
      </c>
      <c r="DD57">
        <v>0</v>
      </c>
      <c r="DE57">
        <v>147.7272727273</v>
      </c>
      <c r="DF57">
        <v>0</v>
      </c>
      <c r="DH57" t="s">
        <v>410</v>
      </c>
      <c r="DI57" t="s">
        <v>862</v>
      </c>
      <c r="DJ57" t="s">
        <v>869</v>
      </c>
      <c r="DK57">
        <v>42</v>
      </c>
      <c r="DL57">
        <v>11</v>
      </c>
      <c r="DM57">
        <v>100.2380952381</v>
      </c>
      <c r="DN57">
        <v>70</v>
      </c>
      <c r="DO57">
        <v>0</v>
      </c>
      <c r="DP57">
        <v>122.3</v>
      </c>
      <c r="DQ57">
        <v>0</v>
      </c>
    </row>
    <row r="58" spans="2:121" x14ac:dyDescent="0.2">
      <c r="F58" t="s">
        <v>54</v>
      </c>
      <c r="G58">
        <v>1176</v>
      </c>
      <c r="H58">
        <v>328.7636054422</v>
      </c>
      <c r="I58">
        <v>949</v>
      </c>
      <c r="J58">
        <v>172</v>
      </c>
      <c r="K58">
        <v>1673</v>
      </c>
      <c r="L58">
        <v>1058</v>
      </c>
      <c r="M58">
        <v>301</v>
      </c>
      <c r="N58">
        <v>274</v>
      </c>
      <c r="O58">
        <v>77</v>
      </c>
      <c r="P58">
        <v>41</v>
      </c>
      <c r="Q58">
        <v>0</v>
      </c>
      <c r="R58">
        <v>1</v>
      </c>
      <c r="BJ58" t="s">
        <v>625</v>
      </c>
      <c r="BK58" t="s">
        <v>405</v>
      </c>
      <c r="BL58">
        <v>9242</v>
      </c>
      <c r="BM58">
        <v>1982</v>
      </c>
      <c r="BN58">
        <v>82.565029214500001</v>
      </c>
      <c r="BO58">
        <v>17194</v>
      </c>
      <c r="BP58">
        <v>155</v>
      </c>
      <c r="BQ58">
        <v>126.7880074445</v>
      </c>
      <c r="BR58">
        <v>115.08387096769999</v>
      </c>
      <c r="BS58">
        <v>8613</v>
      </c>
      <c r="BT58">
        <v>1816</v>
      </c>
      <c r="BU58">
        <v>82.305236270799995</v>
      </c>
      <c r="BV58">
        <v>17430</v>
      </c>
      <c r="BW58">
        <v>147</v>
      </c>
      <c r="BX58">
        <v>133.86672403899999</v>
      </c>
      <c r="BY58">
        <v>114.462585034</v>
      </c>
      <c r="CA58" t="s">
        <v>80</v>
      </c>
      <c r="CB58" t="s">
        <v>891</v>
      </c>
      <c r="CC58" t="s">
        <v>1023</v>
      </c>
      <c r="CD58">
        <v>5600</v>
      </c>
      <c r="CE58">
        <v>993</v>
      </c>
      <c r="CF58">
        <v>81.130178571399995</v>
      </c>
      <c r="CG58">
        <v>12956</v>
      </c>
      <c r="CH58">
        <v>158</v>
      </c>
      <c r="CI58">
        <v>111.2182000617</v>
      </c>
      <c r="CJ58">
        <v>105.76582278479999</v>
      </c>
      <c r="CL58" t="s">
        <v>80</v>
      </c>
      <c r="CM58" t="s">
        <v>872</v>
      </c>
      <c r="CN58" t="s">
        <v>880</v>
      </c>
      <c r="CO58">
        <v>488</v>
      </c>
      <c r="CP58">
        <v>63</v>
      </c>
      <c r="CQ58">
        <v>65.659836065600004</v>
      </c>
      <c r="CR58">
        <v>1733</v>
      </c>
      <c r="CS58">
        <v>13</v>
      </c>
      <c r="CT58">
        <v>69.300634737400003</v>
      </c>
      <c r="CU58">
        <v>107.30769230769999</v>
      </c>
      <c r="CW58" t="s">
        <v>80</v>
      </c>
      <c r="CX58" t="s">
        <v>882</v>
      </c>
      <c r="CY58" t="s">
        <v>890</v>
      </c>
      <c r="CZ58">
        <v>334</v>
      </c>
      <c r="DA58">
        <v>61</v>
      </c>
      <c r="DB58">
        <v>74.251497005999994</v>
      </c>
      <c r="DC58">
        <v>380</v>
      </c>
      <c r="DD58">
        <v>2</v>
      </c>
      <c r="DE58">
        <v>134.24210526319999</v>
      </c>
      <c r="DF58">
        <v>115.5</v>
      </c>
      <c r="DH58" t="s">
        <v>80</v>
      </c>
      <c r="DI58" t="s">
        <v>862</v>
      </c>
      <c r="DJ58" t="s">
        <v>870</v>
      </c>
      <c r="DK58">
        <v>371</v>
      </c>
      <c r="DL58">
        <v>45</v>
      </c>
      <c r="DM58">
        <v>63.9703504043</v>
      </c>
      <c r="DN58">
        <v>738</v>
      </c>
      <c r="DO58">
        <v>6</v>
      </c>
      <c r="DP58">
        <v>125.7777777778</v>
      </c>
      <c r="DQ58">
        <v>107.5</v>
      </c>
    </row>
    <row r="59" spans="2:121" x14ac:dyDescent="0.2">
      <c r="F59" t="s">
        <v>46</v>
      </c>
      <c r="G59">
        <v>12884</v>
      </c>
      <c r="H59">
        <v>353.75574355790002</v>
      </c>
      <c r="I59">
        <v>16229</v>
      </c>
      <c r="J59">
        <v>4137</v>
      </c>
      <c r="K59">
        <v>17119</v>
      </c>
      <c r="L59">
        <v>11893</v>
      </c>
      <c r="M59">
        <v>3070</v>
      </c>
      <c r="N59">
        <v>2499</v>
      </c>
      <c r="O59">
        <v>3449</v>
      </c>
      <c r="P59">
        <v>2595</v>
      </c>
      <c r="Q59">
        <v>1</v>
      </c>
      <c r="R59">
        <v>234</v>
      </c>
      <c r="BJ59" t="s">
        <v>598</v>
      </c>
      <c r="BK59" t="s">
        <v>405</v>
      </c>
      <c r="BL59">
        <v>7439</v>
      </c>
      <c r="BM59">
        <v>1085</v>
      </c>
      <c r="BN59">
        <v>69.525877133999998</v>
      </c>
      <c r="BO59">
        <v>29201</v>
      </c>
      <c r="BP59">
        <v>265</v>
      </c>
      <c r="BQ59">
        <v>67.018903462200001</v>
      </c>
      <c r="BR59">
        <v>78.920754716999994</v>
      </c>
      <c r="BS59">
        <v>8063</v>
      </c>
      <c r="BT59">
        <v>1187</v>
      </c>
      <c r="BU59">
        <v>71.5516557113</v>
      </c>
      <c r="BV59">
        <v>30462</v>
      </c>
      <c r="BW59">
        <v>290</v>
      </c>
      <c r="BX59">
        <v>68.145262950599999</v>
      </c>
      <c r="BY59">
        <v>81.944827586200006</v>
      </c>
      <c r="CA59" t="s">
        <v>405</v>
      </c>
      <c r="CB59" t="s">
        <v>891</v>
      </c>
      <c r="CD59">
        <v>53534</v>
      </c>
      <c r="CE59">
        <v>12457</v>
      </c>
      <c r="CF59">
        <v>90.153509918899999</v>
      </c>
      <c r="CG59">
        <v>97752</v>
      </c>
      <c r="CH59">
        <v>885</v>
      </c>
      <c r="CI59">
        <v>129.31865332679999</v>
      </c>
      <c r="CJ59">
        <v>115.66553672320001</v>
      </c>
      <c r="CL59" t="s">
        <v>405</v>
      </c>
      <c r="CM59" t="s">
        <v>872</v>
      </c>
      <c r="CO59">
        <v>3913</v>
      </c>
      <c r="CP59">
        <v>333</v>
      </c>
      <c r="CQ59">
        <v>58.943010477900003</v>
      </c>
      <c r="CR59">
        <v>13832</v>
      </c>
      <c r="CS59">
        <v>75</v>
      </c>
      <c r="CT59">
        <v>66.960670907999997</v>
      </c>
      <c r="CU59">
        <v>62.546666666699998</v>
      </c>
      <c r="CW59" t="s">
        <v>405</v>
      </c>
      <c r="CX59" t="s">
        <v>882</v>
      </c>
      <c r="CZ59">
        <v>2120</v>
      </c>
      <c r="DA59">
        <v>406</v>
      </c>
      <c r="DB59">
        <v>79.102358490599997</v>
      </c>
      <c r="DC59">
        <v>2871</v>
      </c>
      <c r="DD59">
        <v>19</v>
      </c>
      <c r="DE59">
        <v>138.0463253222</v>
      </c>
      <c r="DF59">
        <v>132.52631578949999</v>
      </c>
      <c r="DH59" t="s">
        <v>405</v>
      </c>
      <c r="DI59" t="s">
        <v>862</v>
      </c>
      <c r="DK59">
        <v>1516</v>
      </c>
      <c r="DL59">
        <v>218</v>
      </c>
      <c r="DM59">
        <v>69.051451187300003</v>
      </c>
      <c r="DN59">
        <v>2641</v>
      </c>
      <c r="DO59">
        <v>15</v>
      </c>
      <c r="DP59">
        <v>126.6599772813</v>
      </c>
      <c r="DQ59">
        <v>126.6</v>
      </c>
    </row>
    <row r="60" spans="2:121" x14ac:dyDescent="0.2">
      <c r="F60" t="s">
        <v>135</v>
      </c>
      <c r="G60">
        <v>608</v>
      </c>
      <c r="H60">
        <v>367.47203947370002</v>
      </c>
      <c r="I60">
        <v>474</v>
      </c>
      <c r="J60">
        <v>142</v>
      </c>
      <c r="K60">
        <v>830</v>
      </c>
      <c r="L60">
        <v>526</v>
      </c>
      <c r="M60">
        <v>169</v>
      </c>
      <c r="N60">
        <v>96</v>
      </c>
      <c r="O60">
        <v>135</v>
      </c>
      <c r="P60">
        <v>54</v>
      </c>
      <c r="Q60">
        <v>0</v>
      </c>
      <c r="R60">
        <v>2</v>
      </c>
      <c r="BJ60" t="s">
        <v>540</v>
      </c>
      <c r="BK60" t="s">
        <v>381</v>
      </c>
      <c r="BL60">
        <v>15240</v>
      </c>
      <c r="BM60">
        <v>4377</v>
      </c>
      <c r="BN60">
        <v>98.7841207349</v>
      </c>
      <c r="BO60">
        <v>24492</v>
      </c>
      <c r="BP60">
        <v>200</v>
      </c>
      <c r="BQ60">
        <v>148.14176057489999</v>
      </c>
      <c r="BR60">
        <v>139.25</v>
      </c>
      <c r="BS60">
        <v>12334</v>
      </c>
      <c r="BT60">
        <v>1909</v>
      </c>
      <c r="BU60">
        <v>76.226528295799994</v>
      </c>
      <c r="BV60">
        <v>19857</v>
      </c>
      <c r="BW60">
        <v>165</v>
      </c>
      <c r="BX60">
        <v>139.3049806114</v>
      </c>
      <c r="BY60">
        <v>121.61212121210001</v>
      </c>
      <c r="CA60" t="s">
        <v>389</v>
      </c>
      <c r="CB60" t="s">
        <v>916</v>
      </c>
      <c r="CC60" t="s">
        <v>1024</v>
      </c>
      <c r="CD60">
        <v>6767</v>
      </c>
      <c r="CE60">
        <v>1499</v>
      </c>
      <c r="CF60">
        <v>88.032658489699998</v>
      </c>
      <c r="CG60">
        <v>12222</v>
      </c>
      <c r="CH60">
        <v>45</v>
      </c>
      <c r="CI60">
        <v>138.55089183440001</v>
      </c>
      <c r="CJ60">
        <v>133.6666666667</v>
      </c>
      <c r="CL60" t="s">
        <v>389</v>
      </c>
      <c r="CM60" t="s">
        <v>901</v>
      </c>
      <c r="CN60" t="s">
        <v>900</v>
      </c>
      <c r="CO60">
        <v>592</v>
      </c>
      <c r="CP60">
        <v>105</v>
      </c>
      <c r="CQ60">
        <v>79.731418918900005</v>
      </c>
      <c r="CR60">
        <v>2387</v>
      </c>
      <c r="CS60">
        <v>7</v>
      </c>
      <c r="CT60">
        <v>66.075408462499993</v>
      </c>
      <c r="CU60">
        <v>79.714285714300004</v>
      </c>
      <c r="CW60" t="s">
        <v>389</v>
      </c>
      <c r="CX60" t="s">
        <v>909</v>
      </c>
      <c r="CY60" t="s">
        <v>908</v>
      </c>
      <c r="CZ60">
        <v>187</v>
      </c>
      <c r="DA60">
        <v>49</v>
      </c>
      <c r="DB60">
        <v>92.502673796799996</v>
      </c>
      <c r="DC60">
        <v>200</v>
      </c>
      <c r="DD60">
        <v>2</v>
      </c>
      <c r="DE60">
        <v>156.94999999999999</v>
      </c>
      <c r="DF60">
        <v>177.5</v>
      </c>
      <c r="DH60" t="s">
        <v>389</v>
      </c>
      <c r="DI60" t="s">
        <v>893</v>
      </c>
      <c r="DJ60" t="s">
        <v>892</v>
      </c>
      <c r="DK60">
        <v>160</v>
      </c>
      <c r="DL60">
        <v>34</v>
      </c>
      <c r="DM60">
        <v>91.881249999999994</v>
      </c>
      <c r="DN60">
        <v>245</v>
      </c>
      <c r="DO60">
        <v>2</v>
      </c>
      <c r="DP60">
        <v>152.4408163265</v>
      </c>
      <c r="DQ60">
        <v>153.5</v>
      </c>
    </row>
    <row r="61" spans="2:121" x14ac:dyDescent="0.2">
      <c r="F61" t="s">
        <v>56</v>
      </c>
      <c r="G61">
        <v>4466</v>
      </c>
      <c r="H61">
        <v>194.61934617110001</v>
      </c>
      <c r="I61">
        <v>6132</v>
      </c>
      <c r="J61">
        <v>1102</v>
      </c>
      <c r="K61">
        <v>5861</v>
      </c>
      <c r="L61">
        <v>2701</v>
      </c>
      <c r="M61">
        <v>609</v>
      </c>
      <c r="N61">
        <v>435</v>
      </c>
      <c r="O61">
        <v>663</v>
      </c>
      <c r="P61">
        <v>336</v>
      </c>
      <c r="Q61">
        <v>7118</v>
      </c>
      <c r="R61">
        <v>0</v>
      </c>
      <c r="BJ61" t="s">
        <v>548</v>
      </c>
      <c r="BK61" t="s">
        <v>381</v>
      </c>
      <c r="BL61">
        <v>8080</v>
      </c>
      <c r="BM61">
        <v>2193</v>
      </c>
      <c r="BN61">
        <v>100.6648514851</v>
      </c>
      <c r="BO61">
        <v>13507</v>
      </c>
      <c r="BP61">
        <v>201</v>
      </c>
      <c r="BQ61">
        <v>135.62500925449999</v>
      </c>
      <c r="BR61">
        <v>112.0597014925</v>
      </c>
      <c r="BS61">
        <v>7431</v>
      </c>
      <c r="BT61">
        <v>1695</v>
      </c>
      <c r="BU61">
        <v>85.588076974800003</v>
      </c>
      <c r="BV61">
        <v>13723</v>
      </c>
      <c r="BW61">
        <v>203</v>
      </c>
      <c r="BX61">
        <v>135.65663484660001</v>
      </c>
      <c r="BY61">
        <v>110.0738916256</v>
      </c>
      <c r="CA61" t="s">
        <v>426</v>
      </c>
      <c r="CB61" t="s">
        <v>916</v>
      </c>
      <c r="CC61" t="s">
        <v>1025</v>
      </c>
      <c r="CD61">
        <v>21465</v>
      </c>
      <c r="CE61">
        <v>5158</v>
      </c>
      <c r="CF61">
        <v>93.9423713021</v>
      </c>
      <c r="CG61">
        <v>38274</v>
      </c>
      <c r="CH61">
        <v>209</v>
      </c>
      <c r="CI61">
        <v>141.5385379109</v>
      </c>
      <c r="CJ61">
        <v>143.87559808610001</v>
      </c>
      <c r="CL61" t="s">
        <v>426</v>
      </c>
      <c r="CM61" t="s">
        <v>901</v>
      </c>
      <c r="CN61" t="s">
        <v>902</v>
      </c>
      <c r="CO61">
        <v>2796</v>
      </c>
      <c r="CP61">
        <v>303</v>
      </c>
      <c r="CQ61">
        <v>66.180257510700002</v>
      </c>
      <c r="CR61">
        <v>5186</v>
      </c>
      <c r="CS61">
        <v>22</v>
      </c>
      <c r="CT61">
        <v>91.360971847299993</v>
      </c>
      <c r="CU61">
        <v>94.272727272699996</v>
      </c>
      <c r="CW61" t="s">
        <v>426</v>
      </c>
      <c r="CX61" t="s">
        <v>909</v>
      </c>
      <c r="CY61" t="s">
        <v>910</v>
      </c>
      <c r="CZ61">
        <v>717</v>
      </c>
      <c r="DA61">
        <v>180</v>
      </c>
      <c r="DB61">
        <v>92.115760111599997</v>
      </c>
      <c r="DC61">
        <v>909</v>
      </c>
      <c r="DD61">
        <v>11</v>
      </c>
      <c r="DE61">
        <v>155.91969196919999</v>
      </c>
      <c r="DF61">
        <v>121</v>
      </c>
      <c r="DH61" t="s">
        <v>426</v>
      </c>
      <c r="DI61" t="s">
        <v>893</v>
      </c>
      <c r="DJ61" t="s">
        <v>894</v>
      </c>
      <c r="DK61">
        <v>971</v>
      </c>
      <c r="DL61">
        <v>193</v>
      </c>
      <c r="DM61">
        <v>86.3738414006</v>
      </c>
      <c r="DN61">
        <v>1237</v>
      </c>
      <c r="DO61">
        <v>8</v>
      </c>
      <c r="DP61">
        <v>148.1713823767</v>
      </c>
      <c r="DQ61">
        <v>130.875</v>
      </c>
    </row>
    <row r="62" spans="2:121" x14ac:dyDescent="0.2">
      <c r="BJ62" t="s">
        <v>564</v>
      </c>
      <c r="BK62" t="s">
        <v>381</v>
      </c>
      <c r="BL62">
        <v>3314</v>
      </c>
      <c r="BM62">
        <v>787</v>
      </c>
      <c r="BN62">
        <v>100.69613759809999</v>
      </c>
      <c r="BO62">
        <v>8610</v>
      </c>
      <c r="BP62">
        <v>68</v>
      </c>
      <c r="BQ62">
        <v>137.0842044135</v>
      </c>
      <c r="BR62">
        <v>85.617647058800003</v>
      </c>
      <c r="BS62">
        <v>1979</v>
      </c>
      <c r="BT62">
        <v>630</v>
      </c>
      <c r="BU62">
        <v>116.6917635169</v>
      </c>
      <c r="BV62">
        <v>11110</v>
      </c>
      <c r="BW62">
        <v>88</v>
      </c>
      <c r="BX62">
        <v>161.33366336629999</v>
      </c>
      <c r="BY62">
        <v>106.36363636359999</v>
      </c>
      <c r="CA62" t="s">
        <v>382</v>
      </c>
      <c r="CB62" t="s">
        <v>916</v>
      </c>
      <c r="CC62" t="s">
        <v>1026</v>
      </c>
      <c r="CD62">
        <v>16146</v>
      </c>
      <c r="CE62">
        <v>4467</v>
      </c>
      <c r="CF62">
        <v>97.6237458194</v>
      </c>
      <c r="CG62">
        <v>27248</v>
      </c>
      <c r="CH62">
        <v>217</v>
      </c>
      <c r="CI62">
        <v>139.68199500879999</v>
      </c>
      <c r="CJ62">
        <v>134.59447004610001</v>
      </c>
      <c r="CL62" t="s">
        <v>382</v>
      </c>
      <c r="CM62" t="s">
        <v>901</v>
      </c>
      <c r="CN62" t="s">
        <v>903</v>
      </c>
      <c r="CO62">
        <v>1317</v>
      </c>
      <c r="CP62">
        <v>171</v>
      </c>
      <c r="CQ62">
        <v>71.514806378100005</v>
      </c>
      <c r="CR62">
        <v>2636</v>
      </c>
      <c r="CS62">
        <v>10</v>
      </c>
      <c r="CT62">
        <v>94.435128983300004</v>
      </c>
      <c r="CU62">
        <v>78.5</v>
      </c>
      <c r="CW62" t="s">
        <v>382</v>
      </c>
      <c r="CX62" t="s">
        <v>909</v>
      </c>
      <c r="CY62" t="s">
        <v>911</v>
      </c>
      <c r="CZ62">
        <v>463</v>
      </c>
      <c r="DA62">
        <v>107</v>
      </c>
      <c r="DB62">
        <v>85.460043196499996</v>
      </c>
      <c r="DC62">
        <v>515</v>
      </c>
      <c r="DD62">
        <v>3</v>
      </c>
      <c r="DE62">
        <v>160.1262135922</v>
      </c>
      <c r="DF62">
        <v>172</v>
      </c>
      <c r="DH62" t="s">
        <v>382</v>
      </c>
      <c r="DI62" t="s">
        <v>893</v>
      </c>
      <c r="DJ62" t="s">
        <v>895</v>
      </c>
      <c r="DK62">
        <v>457</v>
      </c>
      <c r="DL62">
        <v>90</v>
      </c>
      <c r="DM62">
        <v>84.816192560199994</v>
      </c>
      <c r="DN62">
        <v>628</v>
      </c>
      <c r="DO62">
        <v>3</v>
      </c>
      <c r="DP62">
        <v>149.65445859869999</v>
      </c>
      <c r="DQ62">
        <v>163</v>
      </c>
    </row>
    <row r="63" spans="2:121" x14ac:dyDescent="0.2">
      <c r="BJ63" t="s">
        <v>554</v>
      </c>
      <c r="BK63" t="s">
        <v>381</v>
      </c>
      <c r="BL63">
        <v>6745</v>
      </c>
      <c r="BM63">
        <v>1447</v>
      </c>
      <c r="BN63">
        <v>88.672053372899995</v>
      </c>
      <c r="BO63">
        <v>11671</v>
      </c>
      <c r="BP63">
        <v>38</v>
      </c>
      <c r="BQ63">
        <v>141.91294661980001</v>
      </c>
      <c r="BR63">
        <v>128.8947368421</v>
      </c>
      <c r="BS63">
        <v>6106</v>
      </c>
      <c r="BT63">
        <v>1168</v>
      </c>
      <c r="BU63">
        <v>82.423026531299996</v>
      </c>
      <c r="BV63">
        <v>10879</v>
      </c>
      <c r="BW63">
        <v>28</v>
      </c>
      <c r="BX63">
        <v>139.87388546739999</v>
      </c>
      <c r="BY63">
        <v>117.75</v>
      </c>
      <c r="CA63" t="s">
        <v>394</v>
      </c>
      <c r="CB63" t="s">
        <v>916</v>
      </c>
      <c r="CC63" t="s">
        <v>1027</v>
      </c>
      <c r="CD63">
        <v>2978</v>
      </c>
      <c r="CE63">
        <v>583</v>
      </c>
      <c r="CF63">
        <v>87.924781732699998</v>
      </c>
      <c r="CG63">
        <v>8655</v>
      </c>
      <c r="CH63">
        <v>72</v>
      </c>
      <c r="CI63">
        <v>121.1779318313</v>
      </c>
      <c r="CJ63">
        <v>84.236111111100001</v>
      </c>
      <c r="CL63" t="s">
        <v>394</v>
      </c>
      <c r="CM63" t="s">
        <v>901</v>
      </c>
      <c r="CN63" t="s">
        <v>904</v>
      </c>
      <c r="CO63">
        <v>304</v>
      </c>
      <c r="CP63">
        <v>36</v>
      </c>
      <c r="CQ63">
        <v>69.667763157899998</v>
      </c>
      <c r="CR63">
        <v>1306</v>
      </c>
      <c r="CS63">
        <v>3</v>
      </c>
      <c r="CT63">
        <v>71.038284839200003</v>
      </c>
      <c r="CU63">
        <v>84.333333333300004</v>
      </c>
      <c r="CW63" t="s">
        <v>394</v>
      </c>
      <c r="CX63" t="s">
        <v>909</v>
      </c>
      <c r="CY63" t="s">
        <v>912</v>
      </c>
      <c r="CZ63">
        <v>97</v>
      </c>
      <c r="DA63">
        <v>29</v>
      </c>
      <c r="DB63">
        <v>93.546391752600002</v>
      </c>
      <c r="DC63">
        <v>127</v>
      </c>
      <c r="DD63">
        <v>1</v>
      </c>
      <c r="DE63">
        <v>150.60629921259999</v>
      </c>
      <c r="DF63">
        <v>154</v>
      </c>
      <c r="DH63" t="s">
        <v>394</v>
      </c>
      <c r="DI63" t="s">
        <v>893</v>
      </c>
      <c r="DJ63" t="s">
        <v>896</v>
      </c>
      <c r="DK63">
        <v>162</v>
      </c>
      <c r="DL63">
        <v>28</v>
      </c>
      <c r="DM63">
        <v>81.246913580200001</v>
      </c>
      <c r="DN63">
        <v>188</v>
      </c>
      <c r="DO63">
        <v>1</v>
      </c>
      <c r="DP63">
        <v>149.54255319149999</v>
      </c>
      <c r="DQ63">
        <v>133</v>
      </c>
    </row>
    <row r="64" spans="2:121" x14ac:dyDescent="0.2">
      <c r="BJ64" t="s">
        <v>550</v>
      </c>
      <c r="BK64" t="s">
        <v>381</v>
      </c>
      <c r="BL64">
        <v>7785</v>
      </c>
      <c r="BM64">
        <v>1581</v>
      </c>
      <c r="BN64">
        <v>84.606807963999998</v>
      </c>
      <c r="BO64">
        <v>16295</v>
      </c>
      <c r="BP64">
        <v>243</v>
      </c>
      <c r="BQ64">
        <v>126.4159558147</v>
      </c>
      <c r="BR64">
        <v>90.551440329200005</v>
      </c>
      <c r="BS64">
        <v>7661</v>
      </c>
      <c r="BT64">
        <v>1537</v>
      </c>
      <c r="BU64">
        <v>84.123482574099995</v>
      </c>
      <c r="BV64">
        <v>17035</v>
      </c>
      <c r="BW64">
        <v>241</v>
      </c>
      <c r="BX64">
        <v>131.80868799530001</v>
      </c>
      <c r="BY64">
        <v>90.775933609999996</v>
      </c>
      <c r="CA64" t="s">
        <v>428</v>
      </c>
      <c r="CB64" t="s">
        <v>916</v>
      </c>
      <c r="CC64" t="s">
        <v>1028</v>
      </c>
      <c r="CD64">
        <v>2457</v>
      </c>
      <c r="CE64">
        <v>818</v>
      </c>
      <c r="CF64">
        <v>111.231990232</v>
      </c>
      <c r="CG64">
        <v>4694</v>
      </c>
      <c r="CH64">
        <v>20</v>
      </c>
      <c r="CI64">
        <v>154.1930123562</v>
      </c>
      <c r="CJ64">
        <v>116.05</v>
      </c>
      <c r="CL64" t="s">
        <v>428</v>
      </c>
      <c r="CM64" t="s">
        <v>901</v>
      </c>
      <c r="CN64" t="s">
        <v>905</v>
      </c>
      <c r="CO64">
        <v>476</v>
      </c>
      <c r="CP64">
        <v>62</v>
      </c>
      <c r="CQ64">
        <v>72.357142857100001</v>
      </c>
      <c r="CR64">
        <v>955</v>
      </c>
      <c r="CS64">
        <v>3</v>
      </c>
      <c r="CT64">
        <v>102.04712041880001</v>
      </c>
      <c r="CU64">
        <v>114.6666666667</v>
      </c>
      <c r="CW64" t="s">
        <v>428</v>
      </c>
      <c r="CX64" t="s">
        <v>909</v>
      </c>
      <c r="CY64" t="s">
        <v>913</v>
      </c>
      <c r="CZ64">
        <v>19</v>
      </c>
      <c r="DA64">
        <v>2</v>
      </c>
      <c r="DB64">
        <v>88.842105263199997</v>
      </c>
      <c r="DC64">
        <v>7</v>
      </c>
      <c r="DD64">
        <v>0</v>
      </c>
      <c r="DE64">
        <v>143.42857142860001</v>
      </c>
      <c r="DF64">
        <v>0</v>
      </c>
      <c r="DH64" t="s">
        <v>428</v>
      </c>
      <c r="DI64" t="s">
        <v>893</v>
      </c>
      <c r="DJ64" t="s">
        <v>897</v>
      </c>
      <c r="DK64">
        <v>13</v>
      </c>
      <c r="DL64">
        <v>1</v>
      </c>
      <c r="DM64">
        <v>81.769230769200007</v>
      </c>
      <c r="DN64">
        <v>24</v>
      </c>
      <c r="DO64">
        <v>1</v>
      </c>
      <c r="DP64">
        <v>120.625</v>
      </c>
      <c r="DQ64">
        <v>76</v>
      </c>
    </row>
    <row r="65" spans="62:121" x14ac:dyDescent="0.2">
      <c r="BJ65" t="s">
        <v>614</v>
      </c>
      <c r="BK65" t="s">
        <v>381</v>
      </c>
      <c r="BL65">
        <v>2468</v>
      </c>
      <c r="BM65">
        <v>824</v>
      </c>
      <c r="BN65">
        <v>111.67990275530001</v>
      </c>
      <c r="BO65">
        <v>4637</v>
      </c>
      <c r="BP65">
        <v>20</v>
      </c>
      <c r="BQ65">
        <v>157.26525770969999</v>
      </c>
      <c r="BR65">
        <v>118.5</v>
      </c>
      <c r="BS65">
        <v>2438</v>
      </c>
      <c r="BT65">
        <v>808</v>
      </c>
      <c r="BU65">
        <v>112.0008203445</v>
      </c>
      <c r="BV65">
        <v>4622</v>
      </c>
      <c r="BW65">
        <v>20</v>
      </c>
      <c r="BX65">
        <v>167.56836867160001</v>
      </c>
      <c r="BY65">
        <v>118.5</v>
      </c>
      <c r="CA65" t="s">
        <v>384</v>
      </c>
      <c r="CB65" t="s">
        <v>916</v>
      </c>
      <c r="CC65" t="s">
        <v>1029</v>
      </c>
      <c r="CD65">
        <v>8235</v>
      </c>
      <c r="CE65">
        <v>2289</v>
      </c>
      <c r="CF65">
        <v>101.7802064359</v>
      </c>
      <c r="CG65">
        <v>14510</v>
      </c>
      <c r="CH65">
        <v>214</v>
      </c>
      <c r="CI65">
        <v>133.17884217779999</v>
      </c>
      <c r="CJ65">
        <v>113.4672897196</v>
      </c>
      <c r="CL65" t="s">
        <v>384</v>
      </c>
      <c r="CM65" t="s">
        <v>901</v>
      </c>
      <c r="CN65" t="s">
        <v>906</v>
      </c>
      <c r="CO65">
        <v>871</v>
      </c>
      <c r="CP65">
        <v>96</v>
      </c>
      <c r="CQ65">
        <v>63.810562571799998</v>
      </c>
      <c r="CR65">
        <v>1543</v>
      </c>
      <c r="CS65">
        <v>8</v>
      </c>
      <c r="CT65">
        <v>91.207388204799997</v>
      </c>
      <c r="CU65">
        <v>147.375</v>
      </c>
      <c r="CW65" t="s">
        <v>384</v>
      </c>
      <c r="CX65" t="s">
        <v>909</v>
      </c>
      <c r="CY65" t="s">
        <v>914</v>
      </c>
      <c r="CZ65">
        <v>243</v>
      </c>
      <c r="DA65">
        <v>70</v>
      </c>
      <c r="DB65">
        <v>99.172839506200006</v>
      </c>
      <c r="DC65">
        <v>279</v>
      </c>
      <c r="DD65">
        <v>1</v>
      </c>
      <c r="DE65">
        <v>161.01792114700001</v>
      </c>
      <c r="DF65">
        <v>196</v>
      </c>
      <c r="DH65" t="s">
        <v>384</v>
      </c>
      <c r="DI65" t="s">
        <v>893</v>
      </c>
      <c r="DJ65" t="s">
        <v>898</v>
      </c>
      <c r="DK65">
        <v>245</v>
      </c>
      <c r="DL65">
        <v>42</v>
      </c>
      <c r="DM65">
        <v>82.8653061224</v>
      </c>
      <c r="DN65">
        <v>324</v>
      </c>
      <c r="DO65">
        <v>5</v>
      </c>
      <c r="DP65">
        <v>146.2962962963</v>
      </c>
      <c r="DQ65">
        <v>117.6</v>
      </c>
    </row>
    <row r="66" spans="62:121" x14ac:dyDescent="0.2">
      <c r="BJ66" t="s">
        <v>381</v>
      </c>
      <c r="BK66" t="s">
        <v>381</v>
      </c>
      <c r="BL66">
        <v>63369</v>
      </c>
      <c r="BM66">
        <v>16185</v>
      </c>
      <c r="BN66">
        <v>96.221748804599997</v>
      </c>
      <c r="BO66">
        <v>114194</v>
      </c>
      <c r="BP66">
        <v>943</v>
      </c>
      <c r="BQ66">
        <v>141.62872830449999</v>
      </c>
      <c r="BR66">
        <v>119.394485684</v>
      </c>
      <c r="BS66">
        <v>57066</v>
      </c>
      <c r="BT66">
        <v>12012</v>
      </c>
      <c r="BU66">
        <v>85.698857463300001</v>
      </c>
      <c r="BV66">
        <v>109205</v>
      </c>
      <c r="BW66">
        <v>906</v>
      </c>
      <c r="BX66">
        <v>139.89709262400001</v>
      </c>
      <c r="BY66">
        <v>112.0949227373</v>
      </c>
      <c r="CA66" t="s">
        <v>385</v>
      </c>
      <c r="CB66" t="s">
        <v>916</v>
      </c>
      <c r="CC66" t="s">
        <v>1030</v>
      </c>
      <c r="CD66">
        <v>7971</v>
      </c>
      <c r="CE66">
        <v>1615</v>
      </c>
      <c r="CF66">
        <v>84.233471333599994</v>
      </c>
      <c r="CG66">
        <v>16531</v>
      </c>
      <c r="CH66">
        <v>234</v>
      </c>
      <c r="CI66">
        <v>123.5659669711</v>
      </c>
      <c r="CJ66">
        <v>89.837606837600006</v>
      </c>
      <c r="CL66" t="s">
        <v>385</v>
      </c>
      <c r="CM66" t="s">
        <v>901</v>
      </c>
      <c r="CN66" t="s">
        <v>907</v>
      </c>
      <c r="CO66">
        <v>591</v>
      </c>
      <c r="CP66">
        <v>88</v>
      </c>
      <c r="CQ66">
        <v>76.587140439899997</v>
      </c>
      <c r="CR66">
        <v>2131</v>
      </c>
      <c r="CS66">
        <v>8</v>
      </c>
      <c r="CT66">
        <v>68.053496011299998</v>
      </c>
      <c r="CU66">
        <v>60.25</v>
      </c>
      <c r="CW66" t="s">
        <v>385</v>
      </c>
      <c r="CX66" t="s">
        <v>909</v>
      </c>
      <c r="CY66" t="s">
        <v>915</v>
      </c>
      <c r="CZ66">
        <v>242</v>
      </c>
      <c r="DA66">
        <v>76</v>
      </c>
      <c r="DB66">
        <v>103.326446281</v>
      </c>
      <c r="DC66">
        <v>246</v>
      </c>
      <c r="DD66">
        <v>4</v>
      </c>
      <c r="DE66">
        <v>157.21951219510001</v>
      </c>
      <c r="DF66">
        <v>202.5</v>
      </c>
      <c r="DH66" t="s">
        <v>385</v>
      </c>
      <c r="DI66" t="s">
        <v>893</v>
      </c>
      <c r="DJ66" t="s">
        <v>899</v>
      </c>
      <c r="DK66">
        <v>386</v>
      </c>
      <c r="DL66">
        <v>85</v>
      </c>
      <c r="DM66">
        <v>86.538860103600001</v>
      </c>
      <c r="DN66">
        <v>504</v>
      </c>
      <c r="DO66">
        <v>2</v>
      </c>
      <c r="DP66">
        <v>147.52976190480001</v>
      </c>
      <c r="DQ66">
        <v>153.5</v>
      </c>
    </row>
    <row r="67" spans="62:121" x14ac:dyDescent="0.2">
      <c r="BJ67" t="s">
        <v>542</v>
      </c>
      <c r="BK67" t="s">
        <v>381</v>
      </c>
      <c r="BL67">
        <v>19737</v>
      </c>
      <c r="BM67">
        <v>4976</v>
      </c>
      <c r="BN67">
        <v>96.901454121699999</v>
      </c>
      <c r="BO67">
        <v>34982</v>
      </c>
      <c r="BP67">
        <v>173</v>
      </c>
      <c r="BQ67">
        <v>145.42416099709999</v>
      </c>
      <c r="BR67">
        <v>156.7687861272</v>
      </c>
      <c r="BS67">
        <v>19117</v>
      </c>
      <c r="BT67">
        <v>4265</v>
      </c>
      <c r="BU67">
        <v>86.968248156100003</v>
      </c>
      <c r="BV67">
        <v>31979</v>
      </c>
      <c r="BW67">
        <v>161</v>
      </c>
      <c r="BX67">
        <v>134.9541886863</v>
      </c>
      <c r="BY67">
        <v>138.15527950309999</v>
      </c>
      <c r="CA67" t="s">
        <v>381</v>
      </c>
      <c r="CB67" t="s">
        <v>916</v>
      </c>
      <c r="CD67">
        <v>66019</v>
      </c>
      <c r="CE67">
        <v>16429</v>
      </c>
      <c r="CF67">
        <v>94.414411002899996</v>
      </c>
      <c r="CG67">
        <v>122134</v>
      </c>
      <c r="CH67">
        <v>1011</v>
      </c>
      <c r="CI67">
        <v>136.44309528880001</v>
      </c>
      <c r="CJ67">
        <v>117.68743818</v>
      </c>
      <c r="CL67" t="s">
        <v>381</v>
      </c>
      <c r="CM67" t="s">
        <v>901</v>
      </c>
      <c r="CO67">
        <v>6947</v>
      </c>
      <c r="CP67">
        <v>861</v>
      </c>
      <c r="CQ67">
        <v>69.510436159500003</v>
      </c>
      <c r="CR67">
        <v>16144</v>
      </c>
      <c r="CS67">
        <v>61</v>
      </c>
      <c r="CT67">
        <v>84.021122398399996</v>
      </c>
      <c r="CU67">
        <v>93.032786885199997</v>
      </c>
      <c r="CW67" t="s">
        <v>381</v>
      </c>
      <c r="CX67" t="s">
        <v>909</v>
      </c>
      <c r="CZ67">
        <v>1968</v>
      </c>
      <c r="DA67">
        <v>513</v>
      </c>
      <c r="DB67">
        <v>92.875508130100002</v>
      </c>
      <c r="DC67">
        <v>2283</v>
      </c>
      <c r="DD67">
        <v>22</v>
      </c>
      <c r="DE67">
        <v>157.3880858519</v>
      </c>
      <c r="DF67">
        <v>152.8181818182</v>
      </c>
      <c r="DH67" t="s">
        <v>381</v>
      </c>
      <c r="DI67" t="s">
        <v>893</v>
      </c>
      <c r="DK67">
        <v>2394</v>
      </c>
      <c r="DL67">
        <v>473</v>
      </c>
      <c r="DM67">
        <v>85.740183792799996</v>
      </c>
      <c r="DN67">
        <v>3150</v>
      </c>
      <c r="DO67">
        <v>22</v>
      </c>
      <c r="DP67">
        <v>148.37555555559999</v>
      </c>
      <c r="DQ67">
        <v>133.95454545449999</v>
      </c>
    </row>
    <row r="68" spans="62:121" x14ac:dyDescent="0.2">
      <c r="BJ68" t="s">
        <v>308</v>
      </c>
      <c r="BK68" t="s">
        <v>696</v>
      </c>
      <c r="BL68">
        <v>8137</v>
      </c>
      <c r="BM68">
        <v>1439</v>
      </c>
      <c r="BN68">
        <v>77.844291507899996</v>
      </c>
      <c r="BO68">
        <v>11614</v>
      </c>
      <c r="BP68">
        <v>84</v>
      </c>
      <c r="BQ68">
        <v>136.48820389190001</v>
      </c>
      <c r="BR68">
        <v>126.1666666667</v>
      </c>
      <c r="BS68">
        <v>2117</v>
      </c>
      <c r="BT68">
        <v>917</v>
      </c>
      <c r="BU68">
        <v>111.0812470477</v>
      </c>
      <c r="BV68">
        <v>2586</v>
      </c>
      <c r="BW68">
        <v>14</v>
      </c>
      <c r="BX68">
        <v>138.18561484919999</v>
      </c>
      <c r="BY68">
        <v>144.8571428571</v>
      </c>
      <c r="CA68" t="s">
        <v>699</v>
      </c>
      <c r="CD68">
        <v>341929</v>
      </c>
      <c r="CE68">
        <v>77483</v>
      </c>
      <c r="CF68">
        <v>89.626747073199994</v>
      </c>
      <c r="CG68">
        <v>638357</v>
      </c>
      <c r="CH68">
        <v>5644</v>
      </c>
      <c r="CI68">
        <v>125.9668837343</v>
      </c>
      <c r="CJ68">
        <v>115.62331679659999</v>
      </c>
      <c r="CL68" t="s">
        <v>699</v>
      </c>
      <c r="CO68">
        <v>341929</v>
      </c>
      <c r="CP68">
        <v>77483</v>
      </c>
      <c r="CQ68">
        <v>89.626747073199994</v>
      </c>
      <c r="CR68">
        <v>638357</v>
      </c>
      <c r="CS68">
        <v>5644</v>
      </c>
      <c r="CT68">
        <v>125.9668837343</v>
      </c>
      <c r="CU68">
        <v>115.62331679659999</v>
      </c>
      <c r="CW68" t="s">
        <v>699</v>
      </c>
      <c r="CZ68">
        <v>341929</v>
      </c>
      <c r="DA68">
        <v>77483</v>
      </c>
      <c r="DB68">
        <v>89.626747073199994</v>
      </c>
      <c r="DC68">
        <v>638357</v>
      </c>
      <c r="DD68">
        <v>5644</v>
      </c>
      <c r="DE68">
        <v>125.9668837343</v>
      </c>
      <c r="DF68">
        <v>115.62331679659999</v>
      </c>
      <c r="DH68" t="s">
        <v>699</v>
      </c>
      <c r="DK68">
        <v>341929</v>
      </c>
      <c r="DL68">
        <v>77483</v>
      </c>
      <c r="DM68">
        <v>89.626747073199994</v>
      </c>
      <c r="DN68">
        <v>638357</v>
      </c>
      <c r="DO68">
        <v>5644</v>
      </c>
      <c r="DP68">
        <v>125.9668837343</v>
      </c>
      <c r="DQ68">
        <v>115.62331679659999</v>
      </c>
    </row>
    <row r="69" spans="62:121" x14ac:dyDescent="0.2">
      <c r="BJ69" t="s">
        <v>211</v>
      </c>
      <c r="BK69" t="s">
        <v>696</v>
      </c>
      <c r="BL69">
        <v>63</v>
      </c>
      <c r="BM69">
        <v>14</v>
      </c>
      <c r="BN69">
        <v>79.523809523799997</v>
      </c>
      <c r="BO69">
        <v>107</v>
      </c>
      <c r="BQ69">
        <v>132.83177570090001</v>
      </c>
      <c r="BS69">
        <v>3269</v>
      </c>
      <c r="BT69">
        <v>199</v>
      </c>
      <c r="BU69">
        <v>58.930559804200001</v>
      </c>
      <c r="BV69">
        <v>5713</v>
      </c>
      <c r="BW69">
        <v>37</v>
      </c>
      <c r="BX69">
        <v>124.9732189743</v>
      </c>
      <c r="BY69">
        <v>101.56756756759999</v>
      </c>
    </row>
    <row r="70" spans="62:121" x14ac:dyDescent="0.2">
      <c r="BJ70" t="s">
        <v>696</v>
      </c>
      <c r="BK70" t="s">
        <v>696</v>
      </c>
      <c r="BL70">
        <v>9633</v>
      </c>
      <c r="BM70">
        <v>1742</v>
      </c>
      <c r="BN70">
        <v>79.398110661299995</v>
      </c>
      <c r="BO70">
        <v>14043</v>
      </c>
      <c r="BP70">
        <v>92</v>
      </c>
      <c r="BQ70">
        <v>138.49675995160001</v>
      </c>
      <c r="BR70">
        <v>126.6086956522</v>
      </c>
      <c r="BS70">
        <v>9633</v>
      </c>
      <c r="BT70">
        <v>1742</v>
      </c>
      <c r="BU70">
        <v>79.398110661299995</v>
      </c>
      <c r="BV70">
        <v>14043</v>
      </c>
      <c r="BW70">
        <v>92</v>
      </c>
      <c r="BX70">
        <v>138.49675995160001</v>
      </c>
      <c r="BY70">
        <v>126.6086956522</v>
      </c>
    </row>
    <row r="71" spans="62:121" x14ac:dyDescent="0.2">
      <c r="BJ71" t="s">
        <v>213</v>
      </c>
      <c r="BK71" t="s">
        <v>696</v>
      </c>
      <c r="BL71">
        <v>1433</v>
      </c>
      <c r="BM71">
        <v>289</v>
      </c>
      <c r="BN71">
        <v>88.215631542200001</v>
      </c>
      <c r="BO71">
        <v>2322</v>
      </c>
      <c r="BP71">
        <v>8</v>
      </c>
      <c r="BQ71">
        <v>148.80404823430001</v>
      </c>
      <c r="BR71">
        <v>131.25</v>
      </c>
      <c r="BS71">
        <v>4247</v>
      </c>
      <c r="BT71">
        <v>626</v>
      </c>
      <c r="BU71">
        <v>79.359312455899996</v>
      </c>
      <c r="BV71">
        <v>5744</v>
      </c>
      <c r="BW71">
        <v>41</v>
      </c>
      <c r="BX71">
        <v>152.08739554319999</v>
      </c>
      <c r="BY71">
        <v>142.9756097561</v>
      </c>
    </row>
    <row r="72" spans="62:121" x14ac:dyDescent="0.2">
      <c r="BJ72" t="s">
        <v>209</v>
      </c>
      <c r="BK72" t="s">
        <v>697</v>
      </c>
      <c r="BL72">
        <v>5278</v>
      </c>
      <c r="BM72">
        <v>767</v>
      </c>
      <c r="BN72">
        <v>72.507389162600006</v>
      </c>
      <c r="BO72">
        <v>21085</v>
      </c>
      <c r="BP72">
        <v>78</v>
      </c>
      <c r="BQ72">
        <v>71.001233104099995</v>
      </c>
      <c r="BR72">
        <v>62.756410256400002</v>
      </c>
      <c r="BS72">
        <v>5282</v>
      </c>
      <c r="BT72">
        <v>760</v>
      </c>
      <c r="BU72">
        <v>72.058500567999999</v>
      </c>
      <c r="BV72">
        <v>21197</v>
      </c>
      <c r="BW72">
        <v>78</v>
      </c>
      <c r="BX72">
        <v>71.211916780699994</v>
      </c>
      <c r="BY72">
        <v>62.756410256400002</v>
      </c>
    </row>
    <row r="73" spans="62:121" x14ac:dyDescent="0.2">
      <c r="BJ73" t="s">
        <v>224</v>
      </c>
      <c r="BK73" t="s">
        <v>697</v>
      </c>
      <c r="BL73">
        <v>780</v>
      </c>
      <c r="BM73">
        <v>403</v>
      </c>
      <c r="BN73">
        <v>175.99230769229999</v>
      </c>
      <c r="BO73">
        <v>2652</v>
      </c>
      <c r="BP73">
        <v>8</v>
      </c>
      <c r="BQ73">
        <v>55.446832579199999</v>
      </c>
      <c r="BR73">
        <v>98.5</v>
      </c>
      <c r="BS73">
        <v>701</v>
      </c>
      <c r="BT73">
        <v>390</v>
      </c>
      <c r="BU73">
        <v>191.17118402279999</v>
      </c>
      <c r="BV73">
        <v>2210</v>
      </c>
      <c r="BW73">
        <v>6</v>
      </c>
      <c r="BX73">
        <v>42.376018099500001</v>
      </c>
      <c r="BY73">
        <v>91.833333333300004</v>
      </c>
    </row>
    <row r="74" spans="62:121" x14ac:dyDescent="0.2">
      <c r="BJ74" t="s">
        <v>210</v>
      </c>
      <c r="BK74" t="s">
        <v>697</v>
      </c>
      <c r="BL74">
        <v>12866</v>
      </c>
      <c r="BM74">
        <v>1519</v>
      </c>
      <c r="BN74">
        <v>66.439219648700004</v>
      </c>
      <c r="BO74">
        <v>23679</v>
      </c>
      <c r="BP74">
        <v>119</v>
      </c>
      <c r="BQ74">
        <v>94.405380294799997</v>
      </c>
      <c r="BR74">
        <v>107.1176470588</v>
      </c>
      <c r="BS74">
        <v>12910</v>
      </c>
      <c r="BT74">
        <v>1539</v>
      </c>
      <c r="BU74">
        <v>66.604725019399993</v>
      </c>
      <c r="BV74">
        <v>23829</v>
      </c>
      <c r="BW74">
        <v>119</v>
      </c>
      <c r="BX74">
        <v>94.821519996600003</v>
      </c>
      <c r="BY74">
        <v>107.5378151261</v>
      </c>
    </row>
    <row r="75" spans="62:121" x14ac:dyDescent="0.2">
      <c r="BJ75" t="s">
        <v>212</v>
      </c>
      <c r="BK75" t="s">
        <v>697</v>
      </c>
      <c r="BL75">
        <v>7697</v>
      </c>
      <c r="BM75">
        <v>531</v>
      </c>
      <c r="BN75">
        <v>55.074054826599998</v>
      </c>
      <c r="BO75">
        <v>26313</v>
      </c>
      <c r="BP75">
        <v>154</v>
      </c>
      <c r="BQ75">
        <v>67.842891346499997</v>
      </c>
      <c r="BR75">
        <v>58.149350649399999</v>
      </c>
      <c r="BS75">
        <v>7727</v>
      </c>
      <c r="BT75">
        <v>530</v>
      </c>
      <c r="BU75">
        <v>54.8439239032</v>
      </c>
      <c r="BV75">
        <v>26493</v>
      </c>
      <c r="BW75">
        <v>156</v>
      </c>
      <c r="BX75">
        <v>68.019816555299997</v>
      </c>
      <c r="BY75">
        <v>58.602564102599999</v>
      </c>
    </row>
    <row r="76" spans="62:121" x14ac:dyDescent="0.2">
      <c r="BJ76" t="s">
        <v>697</v>
      </c>
      <c r="BK76" t="s">
        <v>697</v>
      </c>
      <c r="BL76">
        <v>26621</v>
      </c>
      <c r="BM76">
        <v>3220</v>
      </c>
      <c r="BN76">
        <v>67.566207129700004</v>
      </c>
      <c r="BO76">
        <v>73729</v>
      </c>
      <c r="BP76">
        <v>359</v>
      </c>
      <c r="BQ76">
        <v>76.831111231700007</v>
      </c>
      <c r="BR76">
        <v>76.281337047400001</v>
      </c>
      <c r="BS76">
        <v>26620</v>
      </c>
      <c r="BT76">
        <v>3219</v>
      </c>
      <c r="BU76">
        <v>67.553343350899993</v>
      </c>
      <c r="BV76">
        <v>73729</v>
      </c>
      <c r="BW76">
        <v>359</v>
      </c>
      <c r="BX76">
        <v>76.831111231700007</v>
      </c>
      <c r="BY76">
        <v>76.281337047400001</v>
      </c>
    </row>
    <row r="77" spans="62:121" x14ac:dyDescent="0.2">
      <c r="BJ77" t="s">
        <v>307</v>
      </c>
      <c r="BK77" t="s">
        <v>698</v>
      </c>
      <c r="BL77">
        <v>6600</v>
      </c>
      <c r="BM77">
        <v>1492</v>
      </c>
      <c r="BN77">
        <v>86.047727272700001</v>
      </c>
      <c r="BO77">
        <v>7288</v>
      </c>
      <c r="BP77">
        <v>61</v>
      </c>
      <c r="BQ77">
        <v>148.36608122940001</v>
      </c>
      <c r="BR77">
        <v>123.8032786885</v>
      </c>
      <c r="BS77">
        <v>2959</v>
      </c>
      <c r="BT77">
        <v>973</v>
      </c>
      <c r="BU77">
        <v>104.7982426495</v>
      </c>
      <c r="BV77">
        <v>1348</v>
      </c>
      <c r="BW77">
        <v>20</v>
      </c>
      <c r="BX77">
        <v>140.89243323439999</v>
      </c>
      <c r="BY77">
        <v>150.55000000000001</v>
      </c>
    </row>
    <row r="78" spans="62:121" x14ac:dyDescent="0.2">
      <c r="BJ78" t="s">
        <v>957</v>
      </c>
      <c r="BK78" t="s">
        <v>698</v>
      </c>
      <c r="BL78">
        <v>1362</v>
      </c>
      <c r="BM78">
        <v>218</v>
      </c>
      <c r="BN78">
        <v>75.730543318599999</v>
      </c>
      <c r="BO78">
        <v>2442</v>
      </c>
      <c r="BP78">
        <v>14</v>
      </c>
      <c r="BQ78">
        <v>131.15151515150001</v>
      </c>
      <c r="BR78">
        <v>132.21428571429999</v>
      </c>
      <c r="BS78">
        <v>3335</v>
      </c>
      <c r="BT78">
        <v>436</v>
      </c>
      <c r="BU78">
        <v>67.075562218900004</v>
      </c>
      <c r="BV78">
        <v>5251</v>
      </c>
      <c r="BW78">
        <v>37</v>
      </c>
      <c r="BX78">
        <v>132.27537611880001</v>
      </c>
      <c r="BY78">
        <v>102.8918918919</v>
      </c>
    </row>
    <row r="79" spans="62:121" x14ac:dyDescent="0.2">
      <c r="BJ79" t="s">
        <v>698</v>
      </c>
      <c r="BK79" t="s">
        <v>698</v>
      </c>
      <c r="BL79">
        <v>9343</v>
      </c>
      <c r="BM79">
        <v>2136</v>
      </c>
      <c r="BN79">
        <v>86.319918655699993</v>
      </c>
      <c r="BO79">
        <v>11658</v>
      </c>
      <c r="BP79">
        <v>85</v>
      </c>
      <c r="BQ79">
        <v>146.25973580370001</v>
      </c>
      <c r="BR79">
        <v>132.38823529410001</v>
      </c>
      <c r="BS79">
        <v>9343</v>
      </c>
      <c r="BT79">
        <v>2136</v>
      </c>
      <c r="BU79">
        <v>86.319918655699993</v>
      </c>
      <c r="BV79">
        <v>11658</v>
      </c>
      <c r="BW79">
        <v>85</v>
      </c>
      <c r="BX79">
        <v>146.25973580370001</v>
      </c>
      <c r="BY79">
        <v>132.38823529410001</v>
      </c>
    </row>
    <row r="80" spans="62:121" x14ac:dyDescent="0.2">
      <c r="BJ80" t="s">
        <v>958</v>
      </c>
      <c r="BK80" t="s">
        <v>698</v>
      </c>
      <c r="BL80">
        <v>1381</v>
      </c>
      <c r="BM80">
        <v>426</v>
      </c>
      <c r="BN80">
        <v>98.064446053599994</v>
      </c>
      <c r="BO80">
        <v>1928</v>
      </c>
      <c r="BP80">
        <v>10</v>
      </c>
      <c r="BQ80">
        <v>157.4336099585</v>
      </c>
      <c r="BR80">
        <v>185</v>
      </c>
      <c r="BS80">
        <v>3049</v>
      </c>
      <c r="BT80">
        <v>727</v>
      </c>
      <c r="BU80">
        <v>89.436536569400005</v>
      </c>
      <c r="BV80">
        <v>5059</v>
      </c>
      <c r="BW80">
        <v>28</v>
      </c>
      <c r="BX80">
        <v>162.20498122160001</v>
      </c>
      <c r="BY80">
        <v>158.3928571429</v>
      </c>
    </row>
    <row r="81" spans="62:77" x14ac:dyDescent="0.2">
      <c r="BJ81" t="s">
        <v>699</v>
      </c>
      <c r="BL81">
        <v>341929</v>
      </c>
      <c r="BM81">
        <v>77483</v>
      </c>
      <c r="BN81" s="153">
        <v>89.626747073199994</v>
      </c>
      <c r="BO81">
        <v>638357</v>
      </c>
      <c r="BP81">
        <v>5644</v>
      </c>
      <c r="BQ81">
        <v>125.9668837343</v>
      </c>
      <c r="BR81">
        <v>115.62331679659999</v>
      </c>
      <c r="BS81">
        <v>341929</v>
      </c>
      <c r="BT81">
        <v>77483</v>
      </c>
      <c r="BU81">
        <v>89.626747073199994</v>
      </c>
      <c r="BV81">
        <v>638357</v>
      </c>
      <c r="BW81">
        <v>5644</v>
      </c>
      <c r="BX81">
        <v>125.9668837343</v>
      </c>
      <c r="BY81">
        <v>115.62331679659999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341929</CP_Inventory>
    <Fiscal_Year xmlns="c9744be7-b815-40bc-84fa-afc9c406d9bc">2016</Fiscal_Year>
    <CP_Backlog xmlns="c9744be7-b815-40bc-84fa-afc9c406d9bc">77483</CP_Backlog>
    <Creation_date xmlns="c9744be7-b815-40bc-84fa-afc9c406d9bc">2016-04-04T00:00:00</Creation_date>
    <Data_date xmlns="c9744be7-b815-40bc-84fa-afc9c406d9bc">2016-04-02T00:00:00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schemas.microsoft.com/office/infopath/2007/PartnerControls"/>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www.w3.org/XML/1998/namespace"/>
    <ds:schemaRef ds:uri="c9744be7-b815-40bc-84fa-afc9c406d9bc"/>
    <ds:schemaRef ds:uri="fef9c9dc-374b-4157-9e06-089f148416e5"/>
    <ds:schemaRef ds:uri="http://schemas.openxmlformats.org/package/2006/metadata/core-properties"/>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4,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2016-04-04T12:21:25Z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