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<sst xmlns="http://schemas.openxmlformats.org/spreadsheetml/2006/main" count="4090" uniqueCount="1065">
  <si>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</si>
  <si>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</si>
  <si>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</si>
  <si>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</si>
  <si>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</si>
  <si>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</si>
  <si>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</si>
  <si>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</si>
  <si>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</si>
  <si>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</si>
  <si>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</si>
  <si>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</si>
  <si>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</si>
  <si>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</si>
  <si>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</si>
  <si>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</si>
  <si>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</si>
  <si>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</si>
  <si>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</si>
  <si>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</si>
  <si>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</si>
  <si>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</si>
  <si>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</si>
  <si>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</si>
  <si>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</si>
  <si>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</si>
  <si>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</si>
  <si>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</si>
  <si>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</si>
  <si>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</si>
  <si>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</si>
  <si>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</si>
  <si>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</si>
  <si>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</si>
  <si>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</si>
  <si>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</si>
  <si>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</si>
  <si>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</si>
  <si>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</si>
  <si>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</si>
  <si>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</si>
  <si>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</si>
  <si>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</si>
  <si>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</si>
  <si>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</si>
  <si>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</si>
  <si>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</si>
  <si>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</si>
  <si>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</si>
  <si>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</si>
  <si>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</si>
  <si>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</si>
  <si>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</si>
  <si>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</si>
  <si>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</si>
  <si>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</si>
  <si>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</si>
  <si>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</si>
  <si>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</si>
  <si>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</si>
  <si>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</si>
  <si>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</si>
  <si>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</si>
  <si>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</si>
  <si>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</si>
  <si>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</si>
  <si>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</si>
  <si>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</si>
  <si>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</si>
  <si>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</si>
  <si>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</si>
  <si>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</si>
  <si>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</si>
  <si>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</si>
  <si>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</si>
  <si>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</si>
  <si>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</si>
  <si>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</si>
  <si>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</si>
  <si>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</si>
  <si>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</si>
  <si>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</si>
  <si>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</si>
  <si>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</si>
  <si>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</si>
  <si>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</si>
  <si>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</si>
  <si>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</si>
  <si>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</si>
  <si>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</si>
  <si>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</si>
  <si>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</si>
  <si>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</si>
  <si>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</si>
  <si>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</si>
  <si>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</si>
  <si>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</si>
  <si>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</si>
  <si>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</si>
  <si>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</si>
  <si>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</si>
  <si>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</si>
  <si>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</si>
  <si>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</si>
  <si>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</si>
  <si>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</si>
  <si>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</si>
  <si>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</si>
  <si>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</si>
  <si>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</si>
  <si>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</si>
  <si>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</si>
  <si>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</si>
  <si>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</si>
  <si>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</si>
  <si>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</si>
  <si>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</si>
  <si>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</si>
  <si>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</si>
  <si>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</si>
  <si>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</si>
  <si>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</si>
  <si>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</si>
  <si>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</si>
  <si>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</si>
  <si>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</si>
  <si>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</si>
  <si>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</si>
  <si>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</si>
  <si>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</si>
  <si>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</si>
  <si>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</si>
  <si>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</si>
  <si>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</si>
  <si>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</si>
  <si>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</si>
  <si>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</si>
  <si>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</si>
  <si>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</si>
  <si>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</si>
  <si>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</si>
  <si>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</si>
  <si>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</si>
  <si>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</si>
  <si>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</si>
  <si>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</si>
  <si>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</si>
  <si>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</si>
  <si>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</si>
  <si>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</si>
  <si>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</si>
  <si>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</si>
  <si>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</si>
  <si>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</si>
  <si>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</si>
  <si>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</si>
  <si>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</si>
  <si>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</si>
  <si>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</si>
  <si>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</si>
  <si>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</si>
  <si>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</si>
  <si>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</si>
  <si>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</si>
  <si>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</si>
  <si>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</si>
  <si>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</si>
  <si>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</si>
  <si>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</si>
  <si>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</si>
  <si>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</si>
  <si>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</si>
  <si>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</si>
  <si>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</si>
  <si>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</si>
  <si>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</si>
  <si>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</si>
  <si>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</si>
  <si>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</si>
  <si>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</si>
  <si>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</si>
  <si>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</si>
  <si>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</si>
  <si>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</si>
  <si>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</si>
  <si>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</si>
  <si>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</si>
  <si>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</si>
  <si>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</si>
  <si>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</si>
  <si>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</si>
  <si>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</si>
  <si>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</si>
  <si>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</si>
  <si>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</si>
  <si>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</si>
  <si>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</si>
  <si>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</si>
  <si>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</si>
  <si>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</si>
  <si>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</si>
  <si>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</si>
  <si>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</si>
  <si>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</si>
  <si>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</si>
  <si>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</si>
  <si>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</si>
  <si>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</si>
  <si>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</si>
  <si>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</si>
  <si>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</si>
  <si>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</si>
  <si>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</si>
  <si>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</si>
  <si>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</si>
  <si>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</si>
  <si>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</si>
  <si>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</si>
  <si>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</si>
  <si>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</si>
  <si>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</si>
  <si>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</si>
  <si>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</si>
  <si>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</si>
  <si>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</si>
  <si>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</si>
  <si>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</si>
  <si>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</si>
  <si>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</si>
  <si>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</si>
  <si>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</si>
  <si>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</si>
  <si>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</si>
  <si>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</si>
  <si>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</si>
  <si>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</si>
  <si>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</si>
  <si>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</si>
  <si>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</si>
  <si>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</si>
  <si>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</si>
  <si>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</si>
  <si>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</si>
  <si>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</si>
  <si>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</si>
  <si>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</si>
  <si>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</si>
  <si>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</si>
  <si>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</si>
  <si>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</si>
  <si>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</si>
  <si>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</si>
  <si>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</si>
  <si>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</si>
  <si>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</si>
  <si>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</si>
  <si>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</si>
  <si>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</si>
  <si>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</si>
  <si>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</si>
  <si>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</si>
  <si>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</si>
  <si>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</si>
  <si>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</si>
  <si>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</si>
  <si>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</si>
  <si>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</si>
  <si>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</si>
  <si>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</si>
  <si>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</si>
  <si>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</si>
  <si>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</si>
  <si>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</si>
  <si>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</si>
  <si>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</si>
  <si>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</si>
  <si>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</si>
  <si>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</si>
  <si>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</si>
  <si>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</si>
  <si>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</si>
  <si>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</si>
  <si>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</si>
  <si>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</si>
  <si>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</si>
  <si>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</si>
  <si>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</si>
  <si>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</si>
  <si>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</si>
  <si>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</si>
  <si>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</si>
  <si>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</si>
  <si>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</si>
  <si>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</si>
  <si>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</si>
  <si>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</si>
  <si>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</si>
  <si>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</si>
  <si>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</si>
  <si>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</si>
  <si>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</si>
  <si>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</si>
  <si>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</si>
  <si>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</si>
  <si>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</si>
  <si>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</si>
  <si>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</si>
  <si>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</si>
  <si>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</si>
  <si>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</si>
  <si>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</si>
  <si>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</si>
  <si>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</si>
  <si>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</si>
  <si>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</si>
  <si>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</si>
  <si>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</si>
  <si>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</si>
  <si>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</si>
  <si>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</si>
  <si>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</si>
  <si>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</si>
  <si>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</si>
  <si>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</si>
  <si>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</si>
  <si>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</si>
  <si>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</si>
  <si>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</si>
  <si>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</si>
  <si>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</si>
  <si>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</si>
  <si>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</si>
  <si>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</si>
  <si>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</si>
  <si>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</si>
  <si>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</si>
  <si>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</si>
  <si>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</si>
  <si>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</si>
  <si>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</si>
  <si>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</si>
  <si>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</si>
  <si>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</si>
  <si>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</si>
  <si>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</si>
  <si>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</si>
  <si>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</si>
  <si>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</si>
  <si>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</si>
  <si>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</si>
  <si>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</si>
  <si>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</si>
  <si>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</si>
  <si>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</si>
  <si>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</si>
  <si>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</si>
  <si>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</si>
  <si>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</si>
  <si>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</si>
  <si>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</si>
  <si>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</si>
  <si>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</si>
  <si>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</si>
  <si>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</si>
  <si>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</si>
  <si>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</si>
  <si>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</si>
  <si>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</si>
  <si>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</si>
  <si>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</si>
  <si>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</si>
  <si>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</si>
  <si>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</si>
  <si>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</si>
  <si>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</si>
  <si>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</si>
  <si>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</si>
  <si>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</si>
  <si>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</si>
  <si>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</si>
  <si>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</si>
  <si>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</si>
  <si>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</si>
  <si>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</si>
  <si>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</si>
  <si>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</si>
  <si>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</si>
  <si>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</si>
  <si>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</si>
  <si>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</si>
  <si>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</si>
  <si>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</si>
  <si>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</si>
  <si>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</si>
  <si>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</si>
  <si>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</si>
  <si>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</si>
  <si>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</si>
  <si>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</si>
  <si>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</si>
  <si>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</si>
  <si>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</si>
  <si>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</si>
  <si>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</si>
  <si>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</si>
  <si>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</si>
  <si>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</si>
  <si>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</si>
  <si>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</si>
  <si>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</si>
  <si>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</si>
  <si>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</si>
  <si>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</si>
  <si>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</si>
  <si>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</si>
  <si>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</si>
  <si>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</si>
  <si>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</si>
  <si>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</si>
  <si>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</si>
  <si>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</si>
  <si>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</si>
  <si>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</si>
  <si>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</si>
  <si>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</si>
  <si>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</si>
  <si>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</si>
  <si>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</si>
  <si>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</si>
  <si>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</si>
  <si>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</si>
  <si>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</si>
  <si>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</si>
  <si>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</si>
  <si>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</si>
  <si>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</si>
  <si>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</si>
  <si>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</si>
  <si>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</si>
  <si>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</si>
  <si>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</si>
  <si>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</si>
  <si>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</si>
  <si>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</si>
  <si>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</si>
  <si>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</si>
  <si>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</si>
  <si>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</si>
  <si>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</si>
  <si>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</si>
  <si>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</si>
  <si>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</si>
  <si>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</si>
  <si>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</si>
  <si>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</si>
  <si>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</si>
  <si>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</si>
  <si>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</si>
  <si>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</si>
  <si>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</si>
  <si>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</si>
  <si>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</si>
  <si>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</si>
  <si>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</si>
  <si>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</si>
  <si>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</si>
  <si>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</si>
  <si>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</si>
  <si>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</si>
  <si>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</si>
  <si>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</si>
  <si>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</si>
  <si>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</si>
  <si>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</si>
  <si>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</si>
  <si>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</si>
  <si>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</si>
  <si>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</si>
  <si>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</si>
  <si>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</si>
  <si>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</si>
  <si>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</si>
  <si>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</si>
  <si>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</si>
  <si>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</si>
  <si>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</si>
  <si>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</si>
  <si>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</si>
  <si>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</si>
  <si>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</si>
  <si>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</si>
  <si>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</si>
  <si>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</si>
  <si>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</si>
  <si>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</si>
  <si>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</si>
  <si>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</si>
  <si>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</si>
  <si>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</si>
  <si>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</si>
  <si>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</si>
  <si>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</si>
  <si>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</si>
  <si>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</si>
  <si>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</si>
  <si>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</si>
  <si>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</si>
  <si>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</si>
  <si>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</si>
  <si>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</si>
  <si>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</si>
  <si>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</si>
  <si>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</si>
  <si>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</si>
  <si>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</si>
  <si>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</si>
  <si>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</si>
  <si>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</si>
  <si>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</si>
  <si>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</si>
  <si>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</si>
  <si>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</si>
  <si>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</si>
  <si>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</si>
  <si>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</si>
  <si>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</si>
  <si>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</si>
  <si>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</si>
  <si>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</si>
  <si>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</si>
  <si>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</si>
  <si>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</si>
  <si>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</si>
  <si>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</si>
  <si>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</si>
  <si>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</si>
  <si>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</si>
  <si>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</si>
  <si>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</si>
  <si>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</si>
  <si>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</si>
  <si>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</si>
  <si>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</si>
  <si>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</si>
  <si>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</si>
  <si>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</si>
  <si>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</si>
  <si>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</si>
  <si>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</si>
  <si>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</si>
  <si>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</si>
  <si>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</si>
  <si>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</si>
  <si>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</si>
  <si>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</si>
  <si>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</si>
  <si>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</si>
  <si>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</si>
  <si>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</si>
  <si>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</si>
  <si>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</si>
  <si>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</si>
  <si>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</si>
  <si>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</si>
  <si>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</si>
  <si>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</si>
  <si>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</si>
  <si>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</si>
  <si>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</si>
  <si>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</si>
  <si>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</si>
  <si>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</si>
  <si>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</si>
  <si>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</si>
  <si>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</si>
  <si>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</si>
  <si>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</si>
  <si>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</si>
  <si>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</si>
  <si>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</si>
  <si>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</si>
  <si>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</si>
  <si>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</si>
  <si>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</si>
  <si>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</si>
  <si>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</si>
  <si>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</si>
  <si>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</si>
  <si>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</si>
  <si>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</si>
  <si>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</si>
  <si>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</si>
  <si>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</si>
  <si>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</si>
  <si>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</si>
  <si>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</si>
  <si>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</si>
  <si>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</si>
  <si>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</si>
  <si>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</si>
  <si>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</si>
  <si>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</si>
  <si>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</si>
  <si>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</si>
  <si>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</si>
  <si>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</si>
  <si>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</si>
  <si>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</si>
  <si>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</si>
  <si>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</si>
  <si>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</si>
  <si>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</si>
  <si>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</si>
  <si>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</si>
  <si>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</si>
  <si>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</si>
  <si>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</si>
  <si>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</si>
  <si>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</si>
  <si>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</si>
  <si>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</si>
  <si>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</si>
  <si>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</si>
  <si>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</si>
  <si>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</si>
  <si>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</si>
  <si>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</si>
  <si>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</si>
  <si>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</si>
  <si>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</si>
  <si>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</si>
  <si>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</si>
  <si>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</si>
  <si>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</si>
  <si>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</si>
  <si>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</si>
  <si>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</si>
  <si>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</si>
  <si>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</si>
  <si>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</si>
  <si>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</si>
  <si>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</si>
  <si>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</si>
  <si>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</si>
  <si>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</si>
  <si>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</si>
  <si>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</si>
  <si>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</si>
  <si>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</si>
  <si>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</si>
  <si>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</si>
  <si>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</si>
  <si>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</si>
  <si>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</si>
  <si>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</si>
  <si>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</si>
  <si>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</si>
  <si>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</si>
  <si>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</si>
  <si>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</si>
  <si>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</si>
  <si>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</si>
  <si>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</si>
  <si>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</si>
  <si>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</si>
  <si>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</si>
  <si>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</si>
  <si>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</si>
  <si>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</si>
  <si>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</si>
  <si>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</si>
  <si>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</si>
  <si>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</si>
  <si>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</si>
  <si>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</si>
  <si>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</si>
  <si>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</si>
  <si>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</si>
  <si>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</si>
  <si>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</si>
  <si>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</si>
  <si>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</si>
  <si>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</si>
  <si>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</si>
  <si>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</si>
  <si>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</si>
  <si>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</si>
  <si>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</si>
  <si>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</si>
  <si>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</si>
  <si>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</si>
  <si>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</si>
  <si>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</si>
  <si>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</si>
  <si>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</si>
  <si>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</si>
  <si>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</si>
  <si>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</si>
  <si>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</si>
  <si>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</si>
  <si>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</si>
  <si>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</si>
  <si>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</si>
  <si>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</si>
  <si>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</si>
  <si>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</si>
  <si>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</si>
  <si>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</si>
  <si>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</si>
  <si>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</si>
  <si>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</si>
  <si>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</si>
  <si>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</si>
  <si>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</si>
  <si>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</si>
  <si>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</si>
  <si>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</si>
  <si>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</si>
  <si>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</si>
  <si>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</si>
  <si>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</si>
  <si>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</si>
  <si>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</si>
  <si>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</si>
  <si>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</si>
  <si>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</si>
  <si>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</si>
  <si>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</si>
  <si>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</si>
  <si>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</si>
  <si>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</si>
  <si>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</si>
  <si>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</si>
  <si>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</si>
  <si>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</si>
  <si>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</si>
  <si>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</si>
  <si>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</si>
  <si>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</si>
  <si>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</si>
  <si>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</si>
  <si>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</si>
  <si>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</si>
  <si>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</si>
  <si>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</si>
  <si>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</si>
  <si>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</si>
  <si>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</si>
  <si>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</si>
  <si>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</si>
  <si>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</si>
  <si>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</si>
  <si>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</si>
  <si>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</si>
  <si>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</si>
  <si>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</si>
  <si>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</si>
  <si>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</si>
  <si>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</si>
  <si>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</si>
  <si>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</si>
  <si>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</si>
  <si>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</si>
  <si>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</si>
  <si>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</si>
  <si>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</si>
  <si>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</si>
  <si>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</si>
  <si>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</si>
  <si>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</si>
  <si>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</si>
  <si>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</si>
  <si>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</si>
  <si>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</si>
  <si>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</si>
  <si>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</si>
  <si>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</si>
  <si>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</si>
  <si>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</si>
  <si>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</si>
  <si>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</si>
  <si>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</si>
  <si>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</si>
  <si>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</si>
  <si>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</si>
  <si>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</si>
  <si>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</si>
  <si>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</si>
  <si>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</si>
  <si>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</si>
  <si>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</si>
  <si>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</si>
  <si>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</si>
  <si>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</si>
  <si>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</si>
  <si>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</si>
  <si>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</si>
  <si>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</si>
  <si>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</si>
  <si>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</si>
  <si>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</si>
  <si>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</si>
  <si>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</si>
  <si>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</si>
  <si>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</si>
  <si>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</si>
  <si>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</si>
  <si>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</si>
  <si>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</si>
  <si>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</si>
  <si>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</si>
  <si>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</si>
  <si>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</si>
  <si>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</si>
  <si>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</si>
  <si>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</si>
  <si>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</si>
  <si>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</si>
  <si>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</si>
  <si>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</si>
  <si>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</si>
  <si>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</si>
  <si>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</si>
  <si>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</si>
  <si>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</si>
  <si>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</si>
  <si>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</si>
  <si>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</si>
  <si>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</si>
  <si>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</si>
  <si>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</si>
  <si>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</si>
  <si>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</si>
  <si>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</si>
  <si>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</si>
  <si>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</si>
  <si>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</si>
  <si>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</si>
  <si>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</si>
  <si>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</si>
  <si>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</si>
  <si>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</si>
  <si>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</si>
  <si>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</si>
  <si>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</si>
  <si>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</si>
  <si>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</si>
  <si>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</si>
  <si>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</si>
  <si>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</si>
  <si>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</si>
  <si>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</si>
  <si>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</si>
  <si>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</si>
  <si>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</si>
  <si>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</si>
  <si>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</si>
  <si>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</si>
  <si>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</si>
  <si>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</si>
  <si>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</si>
  <si>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</si>
  <si>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</si>
  <si>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</si>
  <si>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</si>
  <si>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</si>
  <si>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</si>
  <si>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</si>
  <si>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</si>
  <si>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</si>
  <si>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</si>
  <si>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</si>
  <si>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</si>
  <si>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</si>
  <si>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</si>
  <si>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</si>
  <si>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</si>
  <si>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</si>
  <si>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</si>
  <si>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</si>
  <si>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</si>
  <si>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</si>
  <si>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</si>
  <si>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</si>
  <si>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</si>
  <si>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</si>
  <si>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</si>
  <si>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</si>
  <si>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</si>
  <si>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</si>
  <si>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</si>
  <si>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</si>
  <si>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</si>
  <si>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</si>
  <si>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</si>
  <si>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</si>
  <si>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</si>
  <si>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</si>
  <si>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</si>
  <si>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</si>
  <si>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</si>
  <si>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</si>
  <si>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</si>
  <si>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</si>
  <si>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</si>
  <si>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</si>
  <si>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</si>
  <si>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</si>
  <si>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</si>
  <si>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</si>
  <si>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</si>
  <si>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</si>
  <si>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</si>
  <si>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</si>
  <si>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</si>
  <si>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</si>
  <si>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</si>
  <si>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</si>
  <si>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</si>
  <si>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</si>
  <si>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</si>
  <si>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</si>
  <si>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</si>
  <si>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</si>
  <si>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</si>
  <si>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</si>
  <si>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</si>
  <si>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</si>
  <si>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</si>
  <si>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</si>
  <si>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</si>
  <si>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</si>
  <si>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</si>
  <si>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</si>
  <si>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</si>
  <si>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</si>
  <si>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</si>
  <si>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</si>
  <si>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</si>
  <si>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</si>
  <si>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</si>
  <si>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</si>
  <si>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</si>
  <si>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</si>
  <si>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</si>
  <si>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</si>
  <si>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</si>
  <si>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</si>
  <si>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</si>
  <si>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</si>
  <si>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</si>
  <si>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</si>
  <si>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</si>
  <si>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</si>
  <si>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</si>
  <si>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</si>
  <si>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</si>
  <si>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</si>
  <si>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</si>
  <si>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</si>
  <si>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</si>
  <si>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</si>
  <si>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</si>
  <si>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</si>
  <si>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</si>
  <si>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</si>
  <si>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</si>
  <si>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</si>
  <si>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</si>
  <si>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</si>
  <si>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</si>
  <si>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</si>
  <si>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</si>
  <si>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</si>
  <si>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</si>
  <si>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</si>
  <si>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</si>
  <si>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</si>
  <si>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</si>
  <si>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</si>
  <si>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</si>
  <si>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</si>
  <si>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</si>
  <si>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</si>
  <si>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</si>
  <si>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</si>
  <si>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</si>
  <si>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</si>
  <si>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</si>
  <si>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</si>
  <si>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</si>
  <si>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</si>
  <si>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</si>
  <si>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</si>
  <si>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</si>
  <si>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</si>
  <si>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</si>
  <si>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</si>
  <si>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</si>
  <si>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</si>
  <si>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</si>
  <si>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</si>
  <si>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</si>
  <si>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</si>
  <si>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</si>
  <si>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</si>
  <si>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</si>
  <si>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</si>
  <si>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</si>
  <si>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</si>
  <si>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</si>
  <si>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</si>
  <si>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</si>
  <si>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</si>
  <si>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</si>
  <si>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</si>
  <si>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</si>
  <si>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</si>
  <si>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</si>
  <si>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</si>
  <si>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</si>
  <si>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</si>
  <si>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</si>
  <si>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</si>
  <si>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</si>
  <si>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</si>
  <si>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</si>
  <si>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</si>
  <si>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</si>
  <si>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</si>
  <si>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</si>
  <si>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</si>
  <si>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</si>
  <si>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</si>
  <si>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</si>
  <si>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</si>
  <si>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</si>
  <si>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</si>
  <si>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</si>
  <si>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</si>
  <si>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</si>
  <si>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</si>
  <si>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</si>
  <si>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</si>
  <si>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</si>
  <si>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</si>
  <si>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</si>
  <si>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</si>
  <si>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</si>
  <si>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</si>
  <si>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</si>
  <si>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</si>
  <si>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</si>
  <si>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</si>
  <si>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</si>
  <si>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</si>
  <si>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</si>
  <si>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</si>
  <si>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</si>
  <si>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</si>
  <si>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</si>
  <si>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</si>
  <si>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</si>
  <si>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Current Pending on 04/23/2016</t>
  </si>
  <si>
    <t>Prior Pending on 04/16/2016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</si>
</sst>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303</v>
      </c>
      <c r="B1" s="275"/>
      <c r="C1" s="275"/>
      <c r="D1" s="275"/>
      <c r="E1" s="275"/>
      <c r="F1" s="275"/>
      <c r="G1" s="275"/>
      <c r="H1" s="275"/>
      <c r="I1" s="275"/>
      <c r="J1" s="275"/>
      <c r="K1" s="275"/>
      <c r="L1" s="275"/>
      <c r="M1" s="275"/>
      <c r="N1" s="275"/>
      <c r="O1" s="275"/>
      <c r="P1" s="276"/>
    </row>
    <row r="2" spans="1:16" ht="29.25" customHeight="1" x14ac:dyDescent="0.2">
      <c r="A2" s="268" t="s">
        <v>305</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301</v>
      </c>
      <c r="B8" s="266"/>
      <c r="C8" s="266"/>
      <c r="D8" s="266"/>
      <c r="E8" s="266"/>
      <c r="F8" s="266"/>
      <c r="G8" s="267"/>
      <c r="H8" s="265" t="s">
        <v>302</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0" zoomScaleNormal="8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4" t="s">
        <v>979</v>
      </c>
      <c r="C2" s="325"/>
      <c r="D2" s="325"/>
      <c r="E2" s="325"/>
      <c r="F2" s="325"/>
      <c r="G2" s="326"/>
      <c r="H2" s="135" t="s">
        <v>5</v>
      </c>
      <c r="I2" s="136" t="s">
        <v>2</v>
      </c>
      <c r="J2" s="136" t="s">
        <v>228</v>
      </c>
      <c r="K2" s="134"/>
    </row>
    <row r="3" spans="1:11" ht="59.25" customHeight="1" x14ac:dyDescent="0.2">
      <c r="A3" s="130"/>
      <c r="B3" s="327"/>
      <c r="C3" s="328"/>
      <c r="D3" s="328"/>
      <c r="E3" s="328"/>
      <c r="F3" s="328"/>
      <c r="G3" s="328"/>
      <c r="H3" s="320">
        <f>SUM(H5,H10)</f>
        <v>350594</v>
      </c>
      <c r="I3" s="320">
        <f>SUM(I5,I10)</f>
        <v>78533</v>
      </c>
      <c r="J3" s="322">
        <f>ROUND(I3/H3,5)</f>
        <v>0.224</v>
      </c>
      <c r="K3" s="134"/>
    </row>
    <row r="4" spans="1:11" ht="33" customHeight="1" thickBot="1" x14ac:dyDescent="0.25">
      <c r="A4" s="130"/>
      <c r="B4" s="329" t="str">
        <f>"As of: "&amp;TEXT(INDEX(MMWR_DATES[],1,1),"MMMM DD, YYYY")</f>
        <v>As of: April 23, 2016</v>
      </c>
      <c r="C4" s="330"/>
      <c r="D4" s="330"/>
      <c r="E4" s="330"/>
      <c r="F4" s="330"/>
      <c r="G4" s="331"/>
      <c r="H4" s="321"/>
      <c r="I4" s="321"/>
      <c r="J4" s="323"/>
      <c r="K4" s="137"/>
    </row>
    <row r="5" spans="1:11" ht="16.5" customHeight="1" thickBot="1" x14ac:dyDescent="0.25">
      <c r="A5" s="130"/>
      <c r="B5" s="318" t="s">
        <v>233</v>
      </c>
      <c r="C5" s="319"/>
      <c r="D5" s="319"/>
      <c r="E5" s="319"/>
      <c r="F5" s="319"/>
      <c r="G5" s="138" t="s">
        <v>244</v>
      </c>
      <c r="H5" s="158">
        <f>SUM(H6:H9)</f>
        <v>129472</v>
      </c>
      <c r="I5" s="158">
        <f>SUM(I6:I9)</f>
        <v>34235</v>
      </c>
      <c r="J5" s="159">
        <f t="shared" ref="J5:J15" si="0">IF(H5=0, 0,I5/H5)</f>
        <v>0.26442010627780527</v>
      </c>
      <c r="K5" s="134"/>
    </row>
    <row r="6" spans="1:11" ht="16.5" customHeight="1" x14ac:dyDescent="0.2">
      <c r="A6" s="130"/>
      <c r="B6" s="283" t="s">
        <v>16</v>
      </c>
      <c r="C6" s="284"/>
      <c r="D6" s="284"/>
      <c r="E6" s="284"/>
      <c r="F6" s="284"/>
      <c r="G6" s="139" t="s">
        <v>190</v>
      </c>
      <c r="H6" s="160">
        <f>IFERROR(VLOOKUP(MID($G6,4,3),MMWR_TRAD_AGG_NATIONAL[],2,0),0)</f>
        <v>35661</v>
      </c>
      <c r="I6" s="160">
        <f>IFERROR(VLOOKUP(MID($G6,4,3),MMWR_TRAD_AGG_NATIONAL[],3,0),0)</f>
        <v>11933</v>
      </c>
      <c r="J6" s="161">
        <f t="shared" si="0"/>
        <v>0.33462325790078795</v>
      </c>
      <c r="K6" s="134"/>
    </row>
    <row r="7" spans="1:11" ht="16.5" customHeight="1" x14ac:dyDescent="0.2">
      <c r="A7" s="130"/>
      <c r="B7" s="285" t="s">
        <v>0</v>
      </c>
      <c r="C7" s="286"/>
      <c r="D7" s="286"/>
      <c r="E7" s="286"/>
      <c r="F7" s="286"/>
      <c r="G7" s="140" t="s">
        <v>191</v>
      </c>
      <c r="H7" s="160">
        <f>IFERROR(VLOOKUP(MID($G7,4,3),MMWR_TRAD_AGG_NATIONAL[],2,0),0)</f>
        <v>76090</v>
      </c>
      <c r="I7" s="160">
        <f>IFERROR(VLOOKUP(MID($G7,4,3),MMWR_TRAD_AGG_NATIONAL[],3,0),0)</f>
        <v>19957</v>
      </c>
      <c r="J7" s="161">
        <f t="shared" si="0"/>
        <v>0.26228150873965039</v>
      </c>
      <c r="K7" s="134"/>
    </row>
    <row r="8" spans="1:11" ht="16.5" customHeight="1" x14ac:dyDescent="0.2">
      <c r="A8" s="130"/>
      <c r="B8" s="287" t="s">
        <v>234</v>
      </c>
      <c r="C8" s="288"/>
      <c r="D8" s="288"/>
      <c r="E8" s="288"/>
      <c r="F8" s="288"/>
      <c r="G8" s="141" t="s">
        <v>193</v>
      </c>
      <c r="H8" s="160">
        <f>IFERROR(VLOOKUP(MID($G8,4,3),MMWR_TRAD_AGG_NATIONAL[],2,0),0)</f>
        <v>7740</v>
      </c>
      <c r="I8" s="160">
        <f>IFERROR(VLOOKUP(MID($G8,4,3),MMWR_TRAD_AGG_NATIONAL[],3,0),0)</f>
        <v>628</v>
      </c>
      <c r="J8" s="161">
        <f t="shared" si="0"/>
        <v>8.1136950904392768E-2</v>
      </c>
      <c r="K8" s="134"/>
    </row>
    <row r="9" spans="1:11" ht="16.5" customHeight="1" thickBot="1" x14ac:dyDescent="0.25">
      <c r="A9" s="130"/>
      <c r="B9" s="292" t="s">
        <v>17</v>
      </c>
      <c r="C9" s="293"/>
      <c r="D9" s="293"/>
      <c r="E9" s="293"/>
      <c r="F9" s="293"/>
      <c r="G9" s="140" t="s">
        <v>195</v>
      </c>
      <c r="H9" s="160">
        <f>IFERROR(VLOOKUP(MID($G9,4,3),MMWR_TRAD_AGG_NATIONAL[],2,0),0)</f>
        <v>9981</v>
      </c>
      <c r="I9" s="160">
        <f>IFERROR(VLOOKUP(MID($G9,4,3),MMWR_TRAD_AGG_NATIONAL[],3,0),0)</f>
        <v>1717</v>
      </c>
      <c r="J9" s="161">
        <f t="shared" si="0"/>
        <v>0.17202685101693216</v>
      </c>
      <c r="K9" s="134"/>
    </row>
    <row r="10" spans="1:11" ht="17.25" thickBot="1" x14ac:dyDescent="0.25">
      <c r="A10" s="130"/>
      <c r="B10" s="318" t="s">
        <v>1</v>
      </c>
      <c r="C10" s="319"/>
      <c r="D10" s="319"/>
      <c r="E10" s="319"/>
      <c r="F10" s="319"/>
      <c r="G10" s="138" t="s">
        <v>244</v>
      </c>
      <c r="H10" s="158">
        <f>SUM(H11:H18)</f>
        <v>221122</v>
      </c>
      <c r="I10" s="158">
        <f>SUM(I11:I18)</f>
        <v>44298</v>
      </c>
      <c r="J10" s="159">
        <f t="shared" si="0"/>
        <v>0.20033284793010195</v>
      </c>
      <c r="K10" s="134"/>
    </row>
    <row r="11" spans="1:11" ht="16.5" customHeight="1" x14ac:dyDescent="0.2">
      <c r="A11" s="130"/>
      <c r="B11" s="283" t="s">
        <v>199</v>
      </c>
      <c r="C11" s="284"/>
      <c r="D11" s="284"/>
      <c r="E11" s="284"/>
      <c r="F11" s="284"/>
      <c r="G11" s="142" t="s">
        <v>194</v>
      </c>
      <c r="H11" s="162">
        <f>IFERROR(VLOOKUP(MID($G11,4,3),MMWR_TRAD_AGG_NATIONAL[],2,0),0)</f>
        <v>8509</v>
      </c>
      <c r="I11" s="160">
        <f>IFERROR(VLOOKUP(MID($G11,4,3),MMWR_TRAD_AGG_NATIONAL[],3,0),0)</f>
        <v>499</v>
      </c>
      <c r="J11" s="161">
        <f t="shared" si="0"/>
        <v>5.8643788929368904E-2</v>
      </c>
      <c r="K11" s="134"/>
    </row>
    <row r="12" spans="1:11" ht="16.5" customHeight="1" x14ac:dyDescent="0.2">
      <c r="A12" s="130"/>
      <c r="B12" s="285" t="s">
        <v>18</v>
      </c>
      <c r="C12" s="286"/>
      <c r="D12" s="286"/>
      <c r="E12" s="286"/>
      <c r="F12" s="286"/>
      <c r="G12" s="143" t="s">
        <v>192</v>
      </c>
      <c r="H12" s="163">
        <f>IFERROR(VLOOKUP(MID($G12,4,3),MMWR_TRAD_AGG_NATIONAL[],2,0),0)</f>
        <v>196613</v>
      </c>
      <c r="I12" s="160">
        <f>IFERROR(VLOOKUP(MID($G12,4,3),MMWR_TRAD_AGG_NATIONAL[],3,0),0)</f>
        <v>40509</v>
      </c>
      <c r="J12" s="161">
        <f t="shared" si="0"/>
        <v>0.20603418899055506</v>
      </c>
      <c r="K12" s="134"/>
    </row>
    <row r="13" spans="1:11" ht="16.5" customHeight="1" x14ac:dyDescent="0.2">
      <c r="A13" s="130"/>
      <c r="B13" s="285" t="s">
        <v>14</v>
      </c>
      <c r="C13" s="286"/>
      <c r="D13" s="286"/>
      <c r="E13" s="286"/>
      <c r="F13" s="286"/>
      <c r="G13" s="143" t="s">
        <v>196</v>
      </c>
      <c r="H13" s="163">
        <f>IFERROR(VLOOKUP(MID($G13,4,3),MMWR_TRAD_AGG_NATIONAL[],2,0),0)</f>
        <v>15535</v>
      </c>
      <c r="I13" s="160">
        <f>IFERROR(VLOOKUP(MID($G13,4,3),MMWR_TRAD_AGG_NATIONAL[],3,0),0)</f>
        <v>3260</v>
      </c>
      <c r="J13" s="161">
        <f t="shared" si="0"/>
        <v>0.20984872867718057</v>
      </c>
      <c r="K13" s="134"/>
    </row>
    <row r="14" spans="1:11" ht="16.5" customHeight="1" x14ac:dyDescent="0.2">
      <c r="A14" s="130"/>
      <c r="B14" s="287" t="s">
        <v>19</v>
      </c>
      <c r="C14" s="288"/>
      <c r="D14" s="288"/>
      <c r="E14" s="288"/>
      <c r="F14" s="288"/>
      <c r="G14" s="142" t="s">
        <v>197</v>
      </c>
      <c r="H14" s="163">
        <f>IFERROR(VLOOKUP(MID($G14,4,3),MMWR_TRAD_AGG_NATIONAL[],2,0),0)</f>
        <v>426</v>
      </c>
      <c r="I14" s="160">
        <f>IFERROR(VLOOKUP(MID($G14,4,3),MMWR_TRAD_AGG_NATIONAL[],3,0),0)</f>
        <v>21</v>
      </c>
      <c r="J14" s="161">
        <f t="shared" si="0"/>
        <v>4.9295774647887321E-2</v>
      </c>
      <c r="K14" s="134"/>
    </row>
    <row r="15" spans="1:11" ht="16.5" customHeight="1" x14ac:dyDescent="0.2">
      <c r="A15" s="130"/>
      <c r="B15" s="287" t="s">
        <v>84</v>
      </c>
      <c r="C15" s="288"/>
      <c r="D15" s="288"/>
      <c r="E15" s="288"/>
      <c r="F15" s="288"/>
      <c r="G15" s="142" t="s">
        <v>200</v>
      </c>
      <c r="H15" s="163">
        <f>IFERROR(VLOOKUP(MID($G15,4,3),MMWR_TRAD_AGG_NATIONAL[],2,0),0)</f>
        <v>12</v>
      </c>
      <c r="I15" s="160">
        <f>IFERROR(VLOOKUP(MID($G15,4,3),MMWR_TRAD_AGG_NATIONAL[],3,0),0)</f>
        <v>8</v>
      </c>
      <c r="J15" s="161">
        <f t="shared" si="0"/>
        <v>0.66666666666666663</v>
      </c>
      <c r="K15" s="134"/>
    </row>
    <row r="16" spans="1:11" ht="15" x14ac:dyDescent="0.2">
      <c r="A16" s="130"/>
      <c r="B16" s="287" t="s">
        <v>85</v>
      </c>
      <c r="C16" s="288"/>
      <c r="D16" s="288"/>
      <c r="E16" s="288"/>
      <c r="F16" s="288"/>
      <c r="G16" s="142" t="s">
        <v>201</v>
      </c>
      <c r="H16" s="163">
        <f>IFERROR(VLOOKUP(MID($G16,4,3),MMWR_TRAD_AGG_NATIONAL[],2,0),0)</f>
        <v>1</v>
      </c>
      <c r="I16" s="160">
        <f>IFERROR(VLOOKUP(MID($G16,4,3),MMWR_TRAD_AGG_NATIONAL[],3,0),0)</f>
        <v>1</v>
      </c>
      <c r="J16" s="161">
        <f>IF(H16=0, 0,I16/H16)</f>
        <v>1</v>
      </c>
      <c r="K16" s="134"/>
    </row>
    <row r="17" spans="1:11" ht="16.5" customHeight="1" x14ac:dyDescent="0.2">
      <c r="A17" s="130"/>
      <c r="B17" s="287" t="s">
        <v>87</v>
      </c>
      <c r="C17" s="288"/>
      <c r="D17" s="288"/>
      <c r="E17" s="288"/>
      <c r="F17" s="288"/>
      <c r="G17" s="142" t="s">
        <v>202</v>
      </c>
      <c r="H17" s="163">
        <f>IFERROR(VLOOKUP(MID($G17,4,3),MMWR_TRAD_AGG_NATIONAL[],2,0),0)</f>
        <v>20</v>
      </c>
      <c r="I17" s="160">
        <f>IFERROR(VLOOKUP(MID($G17,4,3),MMWR_TRAD_AGG_NATIONAL[],3,0),0)</f>
        <v>0</v>
      </c>
      <c r="J17" s="161">
        <f>IF(H17=0, 0,I17/H17)</f>
        <v>0</v>
      </c>
      <c r="K17" s="134"/>
    </row>
    <row r="18" spans="1:11" ht="16.5" customHeight="1" thickBot="1" x14ac:dyDescent="0.25">
      <c r="A18" s="130"/>
      <c r="B18" s="292" t="s">
        <v>86</v>
      </c>
      <c r="C18" s="293"/>
      <c r="D18" s="293"/>
      <c r="E18" s="293"/>
      <c r="F18" s="293"/>
      <c r="G18" s="142" t="s">
        <v>203</v>
      </c>
      <c r="H18" s="164">
        <f>IFERROR(VLOOKUP(MID($G18,4,3),MMWR_TRAD_AGG_NATIONAL[],2,0),0)</f>
        <v>6</v>
      </c>
      <c r="I18" s="160">
        <f>IFERROR(VLOOKUP(MID($G18,4,3),MMWR_TRAD_AGG_NATIONAL[],3,0),0)</f>
        <v>0</v>
      </c>
      <c r="J18" s="165">
        <f>IF(H18=0, 0,I18/H18)</f>
        <v>0</v>
      </c>
      <c r="K18" s="134"/>
    </row>
    <row r="19" spans="1:11" ht="16.5" customHeight="1" x14ac:dyDescent="0.2">
      <c r="A19" s="130"/>
      <c r="B19" s="297" t="s">
        <v>970</v>
      </c>
      <c r="C19" s="298"/>
      <c r="D19" s="298"/>
      <c r="E19" s="298"/>
      <c r="F19" s="298"/>
      <c r="G19" s="298"/>
      <c r="H19" s="298"/>
      <c r="I19" s="298"/>
      <c r="J19" s="299"/>
      <c r="K19" s="134"/>
    </row>
    <row r="20" spans="1:11" ht="36" customHeight="1" thickBot="1" x14ac:dyDescent="0.25">
      <c r="A20" s="130"/>
      <c r="B20" s="300"/>
      <c r="C20" s="301"/>
      <c r="D20" s="301"/>
      <c r="E20" s="301"/>
      <c r="F20" s="301"/>
      <c r="G20" s="301"/>
      <c r="H20" s="301"/>
      <c r="I20" s="301"/>
      <c r="J20" s="302"/>
      <c r="K20" s="134"/>
    </row>
    <row r="21" spans="1:11" ht="36" customHeight="1" x14ac:dyDescent="0.2">
      <c r="A21" s="130"/>
      <c r="B21" s="312" t="s">
        <v>961</v>
      </c>
      <c r="C21" s="313"/>
      <c r="D21" s="314"/>
      <c r="E21" s="312" t="s">
        <v>962</v>
      </c>
      <c r="F21" s="313"/>
      <c r="G21" s="314"/>
      <c r="H21" s="312" t="s">
        <v>963</v>
      </c>
      <c r="I21" s="313"/>
      <c r="J21" s="314"/>
      <c r="K21" s="134"/>
    </row>
    <row r="22" spans="1:11" ht="29.25" customHeight="1" thickBot="1" x14ac:dyDescent="0.25">
      <c r="A22" s="130"/>
      <c r="B22" s="315"/>
      <c r="C22" s="316"/>
      <c r="D22" s="317"/>
      <c r="E22" s="315"/>
      <c r="F22" s="316"/>
      <c r="G22" s="317"/>
      <c r="H22" s="315"/>
      <c r="I22" s="316"/>
      <c r="J22" s="317"/>
      <c r="K22" s="134"/>
    </row>
    <row r="23" spans="1:11" ht="36" customHeight="1" x14ac:dyDescent="0.35">
      <c r="A23" s="130"/>
      <c r="B23" s="312" t="s">
        <v>955</v>
      </c>
      <c r="C23" s="313"/>
      <c r="D23" s="314"/>
      <c r="E23" s="312" t="s">
        <v>956</v>
      </c>
      <c r="F23" s="313"/>
      <c r="G23" s="314"/>
      <c r="H23" s="144"/>
      <c r="I23" s="144"/>
      <c r="J23" s="144"/>
      <c r="K23" s="134"/>
    </row>
    <row r="24" spans="1:11" ht="29.25" customHeight="1" thickBot="1" x14ac:dyDescent="0.4">
      <c r="A24" s="130"/>
      <c r="B24" s="315"/>
      <c r="C24" s="316"/>
      <c r="D24" s="317"/>
      <c r="E24" s="315"/>
      <c r="F24" s="316"/>
      <c r="G24" s="317"/>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38"/>
      <c r="D26" s="338"/>
      <c r="E26" s="338"/>
      <c r="F26" s="339"/>
      <c r="G26" s="263" t="s">
        <v>1063</v>
      </c>
      <c r="H26" s="263" t="s">
        <v>1064</v>
      </c>
      <c r="I26" s="263" t="s">
        <v>1061</v>
      </c>
      <c r="J26" s="264" t="s">
        <v>28</v>
      </c>
      <c r="K26" s="134"/>
    </row>
    <row r="27" spans="1:11" ht="16.5" customHeight="1" x14ac:dyDescent="0.2">
      <c r="A27" s="130"/>
      <c r="B27" s="294" t="s">
        <v>964</v>
      </c>
      <c r="C27" s="295"/>
      <c r="D27" s="295"/>
      <c r="E27" s="295"/>
      <c r="F27" s="296"/>
      <c r="G27" s="256">
        <v>5707</v>
      </c>
      <c r="H27" s="256">
        <v>5845</v>
      </c>
      <c r="I27" s="256">
        <v>-138</v>
      </c>
      <c r="J27" s="260">
        <v>-2.4E-2</v>
      </c>
      <c r="K27" s="134"/>
    </row>
    <row r="28" spans="1:11" ht="15.75" customHeight="1" x14ac:dyDescent="0.2">
      <c r="A28" s="130"/>
      <c r="B28" s="332" t="s">
        <v>24</v>
      </c>
      <c r="C28" s="333"/>
      <c r="D28" s="333"/>
      <c r="E28" s="333"/>
      <c r="F28" s="334"/>
      <c r="G28" s="257">
        <v>1492</v>
      </c>
      <c r="H28" s="257">
        <v>1385</v>
      </c>
      <c r="I28" s="257">
        <v>107</v>
      </c>
      <c r="J28" s="253">
        <v>7.6999999999999999E-2</v>
      </c>
      <c r="K28" s="134"/>
    </row>
    <row r="29" spans="1:11" ht="15.75" customHeight="1" x14ac:dyDescent="0.2">
      <c r="A29" s="130"/>
      <c r="B29" s="303" t="s">
        <v>25</v>
      </c>
      <c r="C29" s="304"/>
      <c r="D29" s="304"/>
      <c r="E29" s="304"/>
      <c r="F29" s="305"/>
      <c r="G29" s="258">
        <v>616</v>
      </c>
      <c r="H29" s="258">
        <v>621</v>
      </c>
      <c r="I29" s="258">
        <v>-5</v>
      </c>
      <c r="J29" s="254">
        <v>-8.0000000000000002E-3</v>
      </c>
      <c r="K29" s="134"/>
    </row>
    <row r="30" spans="1:11" ht="15" x14ac:dyDescent="0.2">
      <c r="A30" s="130"/>
      <c r="B30" s="306" t="s">
        <v>26</v>
      </c>
      <c r="C30" s="307"/>
      <c r="D30" s="307"/>
      <c r="E30" s="307"/>
      <c r="F30" s="308"/>
      <c r="G30" s="258">
        <v>1182</v>
      </c>
      <c r="H30" s="258">
        <v>1426</v>
      </c>
      <c r="I30" s="258">
        <v>-244</v>
      </c>
      <c r="J30" s="254">
        <v>-0.17100000000000001</v>
      </c>
      <c r="K30" s="134"/>
    </row>
    <row r="31" spans="1:11" ht="15" x14ac:dyDescent="0.2">
      <c r="A31" s="130"/>
      <c r="B31" s="335" t="s">
        <v>27</v>
      </c>
      <c r="C31" s="336"/>
      <c r="D31" s="336"/>
      <c r="E31" s="336"/>
      <c r="F31" s="337"/>
      <c r="G31" s="259">
        <v>2417</v>
      </c>
      <c r="H31" s="259">
        <v>2413</v>
      </c>
      <c r="I31" s="259">
        <v>4</v>
      </c>
      <c r="J31" s="255">
        <v>2E-3</v>
      </c>
      <c r="K31" s="134"/>
    </row>
    <row r="32" spans="1:11" ht="16.5" customHeight="1" x14ac:dyDescent="0.2">
      <c r="A32" s="130"/>
      <c r="B32" s="294" t="s">
        <v>235</v>
      </c>
      <c r="C32" s="295"/>
      <c r="D32" s="295"/>
      <c r="E32" s="295"/>
      <c r="F32" s="296"/>
      <c r="G32" s="256">
        <v>32962</v>
      </c>
      <c r="H32" s="256">
        <v>35012</v>
      </c>
      <c r="I32" s="256">
        <v>-2050</v>
      </c>
      <c r="J32" s="260">
        <v>-5.8999999999999997E-2</v>
      </c>
      <c r="K32" s="134"/>
    </row>
    <row r="33" spans="1:11" ht="15" x14ac:dyDescent="0.2">
      <c r="A33" s="130"/>
      <c r="B33" s="332" t="s">
        <v>24</v>
      </c>
      <c r="C33" s="333"/>
      <c r="D33" s="333"/>
      <c r="E33" s="333"/>
      <c r="F33" s="334"/>
      <c r="G33" s="257">
        <v>5895</v>
      </c>
      <c r="H33" s="257">
        <v>6112</v>
      </c>
      <c r="I33" s="257">
        <v>-217</v>
      </c>
      <c r="J33" s="253">
        <v>-3.5999999999999997E-2</v>
      </c>
      <c r="K33" s="134"/>
    </row>
    <row r="34" spans="1:11" ht="15" x14ac:dyDescent="0.2">
      <c r="A34" s="130"/>
      <c r="B34" s="303" t="s">
        <v>25</v>
      </c>
      <c r="C34" s="304"/>
      <c r="D34" s="304"/>
      <c r="E34" s="304"/>
      <c r="F34" s="305"/>
      <c r="G34" s="258">
        <v>3036</v>
      </c>
      <c r="H34" s="258">
        <v>3250</v>
      </c>
      <c r="I34" s="258">
        <v>-214</v>
      </c>
      <c r="J34" s="254">
        <v>-6.6000000000000003E-2</v>
      </c>
      <c r="K34" s="134"/>
    </row>
    <row r="35" spans="1:11" ht="15" x14ac:dyDescent="0.2">
      <c r="A35" s="130"/>
      <c r="B35" s="306" t="s">
        <v>26</v>
      </c>
      <c r="C35" s="307"/>
      <c r="D35" s="307"/>
      <c r="E35" s="307"/>
      <c r="F35" s="308"/>
      <c r="G35" s="258">
        <v>12950</v>
      </c>
      <c r="H35" s="258">
        <v>14053</v>
      </c>
      <c r="I35" s="258">
        <v>-1103</v>
      </c>
      <c r="J35" s="254">
        <v>-7.8E-2</v>
      </c>
      <c r="K35" s="134"/>
    </row>
    <row r="36" spans="1:11" ht="15.75" thickBot="1" x14ac:dyDescent="0.25">
      <c r="A36" s="130"/>
      <c r="B36" s="309" t="s">
        <v>27</v>
      </c>
      <c r="C36" s="310"/>
      <c r="D36" s="310"/>
      <c r="E36" s="310"/>
      <c r="F36" s="311"/>
      <c r="G36" s="258">
        <v>11081</v>
      </c>
      <c r="H36" s="258">
        <v>11597</v>
      </c>
      <c r="I36" s="258">
        <v>-516</v>
      </c>
      <c r="J36" s="254">
        <v>-4.3999999999999997E-2</v>
      </c>
      <c r="K36" s="134"/>
    </row>
    <row r="37" spans="1:11" ht="15.75" customHeight="1" thickBot="1" x14ac:dyDescent="0.25">
      <c r="A37" s="130"/>
      <c r="B37" s="289" t="s">
        <v>969</v>
      </c>
      <c r="C37" s="290"/>
      <c r="D37" s="290"/>
      <c r="E37" s="290"/>
      <c r="F37" s="290"/>
      <c r="G37" s="290"/>
      <c r="H37" s="290"/>
      <c r="I37" s="290"/>
      <c r="J37" s="29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49" t="s">
        <v>295</v>
      </c>
      <c r="D2" s="350"/>
      <c r="E2" s="350"/>
      <c r="F2" s="350"/>
      <c r="G2" s="350"/>
      <c r="H2" s="350"/>
      <c r="I2" s="350"/>
      <c r="J2" s="350"/>
      <c r="K2" s="351"/>
      <c r="L2" s="349" t="s">
        <v>300</v>
      </c>
      <c r="M2" s="350"/>
      <c r="N2" s="350"/>
      <c r="O2" s="351"/>
      <c r="P2" s="28"/>
    </row>
    <row r="3" spans="1:16" ht="24" customHeight="1" thickBot="1" x14ac:dyDescent="0.4">
      <c r="A3" s="25"/>
      <c r="B3" s="29"/>
      <c r="C3" s="352"/>
      <c r="D3" s="353"/>
      <c r="E3" s="353"/>
      <c r="F3" s="353"/>
      <c r="G3" s="353"/>
      <c r="H3" s="353"/>
      <c r="I3" s="353"/>
      <c r="J3" s="353"/>
      <c r="K3" s="354"/>
      <c r="L3" s="352" t="str">
        <f>Transformation!B4</f>
        <v>As of: April 23, 2016</v>
      </c>
      <c r="M3" s="353"/>
      <c r="N3" s="353"/>
      <c r="O3" s="354"/>
      <c r="P3" s="28"/>
    </row>
    <row r="4" spans="1:16" ht="51.75" customHeight="1" thickBot="1" x14ac:dyDescent="0.35">
      <c r="A4" s="30"/>
      <c r="B4" s="246" t="s">
        <v>456</v>
      </c>
      <c r="C4" s="355" t="s">
        <v>304</v>
      </c>
      <c r="D4" s="356"/>
      <c r="E4" s="356"/>
      <c r="F4" s="356"/>
      <c r="G4" s="356"/>
      <c r="H4" s="356"/>
      <c r="I4" s="356"/>
      <c r="J4" s="356"/>
      <c r="K4" s="356"/>
      <c r="L4" s="356"/>
      <c r="M4" s="356"/>
      <c r="N4" s="356"/>
      <c r="O4" s="357"/>
      <c r="P4" s="28"/>
    </row>
    <row r="5" spans="1:16" ht="27" customHeight="1" thickBot="1" x14ac:dyDescent="0.25">
      <c r="A5" s="30"/>
      <c r="B5" s="26"/>
      <c r="C5" s="358" t="s">
        <v>1042</v>
      </c>
      <c r="D5" s="359"/>
      <c r="E5" s="359"/>
      <c r="F5" s="359"/>
      <c r="G5" s="359"/>
      <c r="H5" s="359"/>
      <c r="I5" s="359"/>
      <c r="J5" s="359"/>
      <c r="K5" s="359"/>
      <c r="L5" s="359"/>
      <c r="M5" s="359"/>
      <c r="N5" s="359"/>
      <c r="O5" s="360"/>
      <c r="P5" s="28"/>
    </row>
    <row r="6" spans="1:16" ht="55.5" customHeight="1" x14ac:dyDescent="0.2">
      <c r="A6" s="30"/>
      <c r="B6" s="31"/>
      <c r="C6" s="32" t="s">
        <v>190</v>
      </c>
      <c r="D6" s="361" t="s">
        <v>16</v>
      </c>
      <c r="E6" s="362"/>
      <c r="F6" s="33" t="s">
        <v>193</v>
      </c>
      <c r="G6" s="361" t="s">
        <v>198</v>
      </c>
      <c r="H6" s="363"/>
      <c r="I6" s="33" t="s">
        <v>196</v>
      </c>
      <c r="J6" s="367" t="s">
        <v>14</v>
      </c>
      <c r="K6" s="368"/>
      <c r="L6" s="33" t="s">
        <v>201</v>
      </c>
      <c r="M6" s="364" t="s">
        <v>85</v>
      </c>
      <c r="N6" s="365"/>
      <c r="O6" s="366"/>
      <c r="P6" s="28"/>
    </row>
    <row r="7" spans="1:16" ht="51.75" customHeight="1" x14ac:dyDescent="0.2">
      <c r="A7" s="30"/>
      <c r="B7" s="34"/>
      <c r="C7" s="35" t="s">
        <v>191</v>
      </c>
      <c r="D7" s="379" t="s">
        <v>0</v>
      </c>
      <c r="E7" s="380"/>
      <c r="F7" s="36" t="s">
        <v>194</v>
      </c>
      <c r="G7" s="381" t="s">
        <v>199</v>
      </c>
      <c r="H7" s="381"/>
      <c r="I7" s="36" t="s">
        <v>197</v>
      </c>
      <c r="J7" s="369" t="s">
        <v>19</v>
      </c>
      <c r="K7" s="370"/>
      <c r="L7" s="36" t="s">
        <v>202</v>
      </c>
      <c r="M7" s="373" t="s">
        <v>87</v>
      </c>
      <c r="N7" s="374"/>
      <c r="O7" s="375"/>
      <c r="P7" s="28"/>
    </row>
    <row r="8" spans="1:16" ht="51.75" customHeight="1" thickBot="1" x14ac:dyDescent="0.25">
      <c r="A8" s="25"/>
      <c r="B8" s="28"/>
      <c r="C8" s="37" t="s">
        <v>192</v>
      </c>
      <c r="D8" s="382" t="s">
        <v>18</v>
      </c>
      <c r="E8" s="383"/>
      <c r="F8" s="38" t="s">
        <v>195</v>
      </c>
      <c r="G8" s="384" t="s">
        <v>17</v>
      </c>
      <c r="H8" s="384"/>
      <c r="I8" s="38" t="s">
        <v>200</v>
      </c>
      <c r="J8" s="371" t="s">
        <v>84</v>
      </c>
      <c r="K8" s="372"/>
      <c r="L8" s="38" t="s">
        <v>203</v>
      </c>
      <c r="M8" s="346" t="s">
        <v>86</v>
      </c>
      <c r="N8" s="347"/>
      <c r="O8" s="348"/>
      <c r="P8" s="28"/>
    </row>
    <row r="9" spans="1:16" x14ac:dyDescent="0.2">
      <c r="A9" s="28"/>
      <c r="B9" s="28"/>
      <c r="C9" s="39" t="s">
        <v>705</v>
      </c>
      <c r="D9" s="39" t="s">
        <v>707</v>
      </c>
      <c r="E9" s="39" t="s">
        <v>706</v>
      </c>
      <c r="F9" s="39" t="s">
        <v>709</v>
      </c>
      <c r="G9" s="39" t="s">
        <v>708</v>
      </c>
      <c r="H9" s="39" t="s">
        <v>711</v>
      </c>
      <c r="I9" s="39" t="s">
        <v>710</v>
      </c>
      <c r="J9" s="39" t="s">
        <v>921</v>
      </c>
      <c r="K9" s="39" t="s">
        <v>922</v>
      </c>
      <c r="L9" s="39" t="s">
        <v>924</v>
      </c>
      <c r="M9" s="39" t="s">
        <v>1043</v>
      </c>
      <c r="N9" s="39" t="s">
        <v>925</v>
      </c>
      <c r="O9" s="39" t="s">
        <v>926</v>
      </c>
      <c r="P9" s="28"/>
    </row>
    <row r="10" spans="1:16" ht="15.75" customHeight="1" x14ac:dyDescent="0.2">
      <c r="A10" s="25"/>
      <c r="B10" s="26"/>
      <c r="C10" s="385" t="s">
        <v>293</v>
      </c>
      <c r="D10" s="385"/>
      <c r="E10" s="385"/>
      <c r="F10" s="385"/>
      <c r="G10" s="385"/>
      <c r="H10" s="385"/>
      <c r="I10" s="385"/>
      <c r="J10" s="385"/>
      <c r="K10" s="385"/>
      <c r="L10" s="385"/>
      <c r="M10" s="385"/>
      <c r="N10" s="385"/>
      <c r="O10" s="385"/>
      <c r="P10" s="28"/>
    </row>
    <row r="11" spans="1:16" ht="32.25" customHeight="1" x14ac:dyDescent="0.2">
      <c r="A11" s="25"/>
      <c r="B11" s="26"/>
      <c r="C11" s="340" t="s">
        <v>226</v>
      </c>
      <c r="D11" s="340" t="s">
        <v>134</v>
      </c>
      <c r="E11" s="340" t="s">
        <v>227</v>
      </c>
      <c r="F11" s="340" t="s">
        <v>189</v>
      </c>
      <c r="G11" s="340" t="s">
        <v>204</v>
      </c>
      <c r="H11" s="340" t="s">
        <v>206</v>
      </c>
      <c r="I11" s="340" t="s">
        <v>207</v>
      </c>
      <c r="J11" s="344" t="s">
        <v>1054</v>
      </c>
      <c r="K11" s="344" t="s">
        <v>1055</v>
      </c>
      <c r="L11" s="342" t="s">
        <v>1052</v>
      </c>
      <c r="M11" s="343"/>
      <c r="N11" s="342" t="s">
        <v>1053</v>
      </c>
      <c r="O11" s="343"/>
      <c r="P11" s="28"/>
    </row>
    <row r="12" spans="1:16" ht="32.25" customHeight="1" x14ac:dyDescent="0.2">
      <c r="A12" s="25"/>
      <c r="B12" s="26"/>
      <c r="C12" s="341"/>
      <c r="D12" s="341"/>
      <c r="E12" s="341"/>
      <c r="F12" s="341"/>
      <c r="G12" s="341"/>
      <c r="H12" s="341"/>
      <c r="I12" s="341"/>
      <c r="J12" s="345"/>
      <c r="K12" s="345"/>
      <c r="L12" s="40" t="s">
        <v>927</v>
      </c>
      <c r="M12" s="40" t="s">
        <v>932</v>
      </c>
      <c r="N12" s="40" t="s">
        <v>927</v>
      </c>
      <c r="O12" s="40" t="s">
        <v>932</v>
      </c>
      <c r="P12" s="28"/>
    </row>
    <row r="13" spans="1:16" x14ac:dyDescent="0.2">
      <c r="A13" s="25"/>
      <c r="B13" s="41" t="s">
        <v>1050</v>
      </c>
      <c r="C13" s="154">
        <f>IF($B13=" ","",IFERROR(INDEX(MMWR_RATING_RO_ROLLUP[],MATCH($B13,MMWR_RATING_RO_ROLLUP[MMWR_RATING_RO_ROLLUP],0),MATCH(C$9,MMWR_RATING_RO_ROLLUP[#Headers],0)),"ERROR"))</f>
        <v>350594</v>
      </c>
      <c r="D13" s="155">
        <f>IF($B13=" ","",IFERROR(INDEX(MMWR_RATING_RO_ROLLUP[],MATCH($B13,MMWR_RATING_RO_ROLLUP[MMWR_RATING_RO_ROLLUP],0),MATCH(D$9,MMWR_RATING_RO_ROLLUP[#Headers],0)),"ERROR"))</f>
        <v>88.504529455699995</v>
      </c>
      <c r="E13" s="156">
        <f>IF($B13=" ","",IFERROR(INDEX(MMWR_RATING_RO_ROLLUP[],MATCH($B13,MMWR_RATING_RO_ROLLUP[MMWR_RATING_RO_ROLLUP],0),MATCH(E$9,MMWR_RATING_RO_ROLLUP[#Headers],0))/$C13,"ERROR"))</f>
        <v>0.2239998402710828</v>
      </c>
      <c r="F13" s="154">
        <f>IF($B13=" ","",IFERROR(INDEX(MMWR_RATING_RO_ROLLUP[],MATCH($B13,MMWR_RATING_RO_ROLLUP[MMWR_RATING_RO_ROLLUP],0),MATCH(F$9,MMWR_RATING_RO_ROLLUP[#Headers],0)),"ERROR"))</f>
        <v>80743</v>
      </c>
      <c r="G13" s="154">
        <f>IF($B13=" ","",IFERROR(INDEX(MMWR_RATING_RO_ROLLUP[],MATCH($B13,MMWR_RATING_RO_ROLLUP[MMWR_RATING_RO_ROLLUP],0),MATCH(G$9,MMWR_RATING_RO_ROLLUP[#Headers],0)),"ERROR"))</f>
        <v>713456</v>
      </c>
      <c r="H13" s="155">
        <f>IF($B13=" ","",IFERROR(INDEX(MMWR_RATING_RO_ROLLUP[],MATCH($B13,MMWR_RATING_RO_ROLLUP[MMWR_RATING_RO_ROLLUP],0),MATCH(H$9,MMWR_RATING_RO_ROLLUP[#Headers],0)),"ERROR"))</f>
        <v>116.1460436199</v>
      </c>
      <c r="I13" s="155">
        <f>IF($B13=" ","",IFERROR(INDEX(MMWR_RATING_RO_ROLLUP[],MATCH($B13,MMWR_RATING_RO_ROLLUP[MMWR_RATING_RO_ROLLUP],0),MATCH(I$9,MMWR_RATING_RO_ROLLUP[#Headers],0)),"ERROR"))</f>
        <v>124.9372687314</v>
      </c>
      <c r="J13" s="42"/>
      <c r="K13" s="42"/>
      <c r="L13" s="42"/>
      <c r="M13" s="42"/>
      <c r="N13" s="42"/>
      <c r="O13" s="42"/>
      <c r="P13" s="28"/>
    </row>
    <row r="14" spans="1:16" x14ac:dyDescent="0.2">
      <c r="A14" s="25"/>
      <c r="B14" s="377" t="s">
        <v>733</v>
      </c>
      <c r="C14" s="378"/>
      <c r="D14" s="378"/>
      <c r="E14" s="378"/>
      <c r="F14" s="378"/>
      <c r="G14" s="378"/>
      <c r="H14" s="378"/>
      <c r="I14" s="378"/>
      <c r="J14" s="378"/>
      <c r="K14" s="378"/>
      <c r="L14" s="378"/>
      <c r="M14" s="378"/>
      <c r="N14" s="378"/>
      <c r="O14" s="378"/>
      <c r="P14" s="28"/>
    </row>
    <row r="15" spans="1:16" x14ac:dyDescent="0.2">
      <c r="A15" s="25"/>
      <c r="B15" s="41" t="s">
        <v>729</v>
      </c>
      <c r="C15" s="154">
        <f>IF($B15=" ","",IFERROR(INDEX(MMWR_RATING_RO_ROLLUP[],MATCH($B15,MMWR_RATING_RO_ROLLUP[MMWR_RATING_RO_ROLLUP],0),MATCH(C$9,MMWR_RATING_RO_ROLLUP[#Headers],0)),"ERROR"))</f>
        <v>305354</v>
      </c>
      <c r="D15" s="155">
        <f>IF($B15=" ","",IFERROR(INDEX(MMWR_RATING_RO_ROLLUP[],MATCH($B15,MMWR_RATING_RO_ROLLUP[MMWR_RATING_RO_ROLLUP],0),MATCH(D$9,MMWR_RATING_RO_ROLLUP[#Headers],0)),"ERROR"))</f>
        <v>90.668303018800003</v>
      </c>
      <c r="E15" s="156">
        <f>IF($B15=" ","",IFERROR(INDEX(MMWR_RATING_RO_ROLLUP[],MATCH($B15,MMWR_RATING_RO_ROLLUP[MMWR_RATING_RO_ROLLUP],0),MATCH(E$9,MMWR_RATING_RO_ROLLUP[#Headers],0))/$C15,"ERROR"))</f>
        <v>0.23370579720586598</v>
      </c>
      <c r="F15" s="154">
        <f>IF($B15=" ","",IFERROR(INDEX(MMWR_RATING_RO_ROLLUP[],MATCH($B15,MMWR_RATING_RO_ROLLUP[MMWR_RATING_RO_ROLLUP],0),MATCH(F$9,MMWR_RATING_RO_ROLLUP[#Headers],0)),"ERROR"))</f>
        <v>68422</v>
      </c>
      <c r="G15" s="154">
        <f>IF($B15=" ","",IFERROR(INDEX(MMWR_RATING_RO_ROLLUP[],MATCH($B15,MMWR_RATING_RO_ROLLUP[MMWR_RATING_RO_ROLLUP],0),MATCH(G$9,MMWR_RATING_RO_ROLLUP[#Headers],0)),"ERROR"))</f>
        <v>602241</v>
      </c>
      <c r="H15" s="155">
        <f>IF($B15=" ","",IFERROR(INDEX(MMWR_RATING_RO_ROLLUP[],MATCH($B15,MMWR_RATING_RO_ROLLUP[MMWR_RATING_RO_ROLLUP],0),MATCH(H$9,MMWR_RATING_RO_ROLLUP[#Headers],0)),"ERROR"))</f>
        <v>119.73920668789999</v>
      </c>
      <c r="I15" s="155">
        <f>IF($B15=" ","",IFERROR(INDEX(MMWR_RATING_RO_ROLLUP[],MATCH($B15,MMWR_RATING_RO_ROLLUP[MMWR_RATING_RO_ROLLUP],0),MATCH(I$9,MMWR_RATING_RO_ROLLUP[#Headers],0)),"ERROR"))</f>
        <v>130.65809036580001</v>
      </c>
      <c r="J15" s="157">
        <f>VLOOKUP($B$13,MMWR_ACCURACY_RO[],MATCH(J$9,MMWR_ACCURACY_RO[#Headers],0),0)</f>
        <v>0.95489808073279026</v>
      </c>
      <c r="K15" s="157">
        <f>VLOOKUP($B$13,MMWR_ACCURACY_RO[],MATCH(K$9,MMWR_ACCURACY_RO[#Headers],0),0)</f>
        <v>0.87314968113639391</v>
      </c>
      <c r="L15" s="157">
        <f>VLOOKUP($B$13,MMWR_ACCURACY_RO[],MATCH(L$9,MMWR_ACCURACY_RO[#Headers],0),0)</f>
        <v>0.89512237726921706</v>
      </c>
      <c r="M15" s="157">
        <f>VLOOKUP($B$13,MMWR_ACCURACY_RO[],MATCH(M$9,MMWR_ACCURACY_RO[#Headers],0),0)</f>
        <v>7.799357624561196E-3</v>
      </c>
      <c r="N15" s="157">
        <f>VLOOKUP($B$13,MMWR_ACCURACY_RO[],MATCH(N$9,MMWR_ACCURACY_RO[#Headers],0),0)</f>
        <v>0.90373182332012225</v>
      </c>
      <c r="O15" s="157">
        <f>VLOOKUP($B$13,MMWR_ACCURACY_RO[],MATCH(O$9,MMWR_ACCURACY_RO[#Headers],0),0)</f>
        <v>9.9877758926800904E-3</v>
      </c>
      <c r="P15" s="28"/>
    </row>
    <row r="16" spans="1:16" x14ac:dyDescent="0.2">
      <c r="A16" s="25"/>
      <c r="B16" s="247" t="s">
        <v>370</v>
      </c>
      <c r="C16" s="154">
        <f>IF($B16=" ","",IFERROR(INDEX(MMWR_RATING_RO_ROLLUP[],MATCH($B16,MMWR_RATING_RO_ROLLUP[MMWR_RATING_RO_ROLLUP],0),MATCH(C$9,MMWR_RATING_RO_ROLLUP[#Headers],0)),"ERROR"))</f>
        <v>24348</v>
      </c>
      <c r="D16" s="155">
        <f>IF($B16=" ","",IFERROR(INDEX(MMWR_RATING_RO_ROLLUP[],MATCH($B16,MMWR_RATING_RO_ROLLUP[MMWR_RATING_RO_ROLLUP],0),MATCH(D$9,MMWR_RATING_RO_ROLLUP[#Headers],0)),"ERROR"))</f>
        <v>94.587070806599996</v>
      </c>
      <c r="E16" s="156">
        <f>IF($B16=" ","",IFERROR(INDEX(MMWR_RATING_RO_ROLLUP[],MATCH($B16,MMWR_RATING_RO_ROLLUP[MMWR_RATING_RO_ROLLUP],0),MATCH(E$9,MMWR_RATING_RO_ROLLUP[#Headers],0))/$C16,"ERROR"))</f>
        <v>0.29591752916050601</v>
      </c>
      <c r="F16" s="154">
        <f>IF($B16=" ","",IFERROR(INDEX(MMWR_RATING_RO_ROLLUP[],MATCH($B16,MMWR_RATING_RO_ROLLUP[MMWR_RATING_RO_ROLLUP],0),MATCH(F$9,MMWR_RATING_RO_ROLLUP[#Headers],0)),"ERROR"))</f>
        <v>13680</v>
      </c>
      <c r="G16" s="154">
        <f>IF($B16=" ","",IFERROR(INDEX(MMWR_RATING_RO_ROLLUP[],MATCH($B16,MMWR_RATING_RO_ROLLUP[MMWR_RATING_RO_ROLLUP],0),MATCH(G$9,MMWR_RATING_RO_ROLLUP[#Headers],0)),"ERROR"))</f>
        <v>127517</v>
      </c>
      <c r="H16" s="155">
        <f>IF($B16=" ","",IFERROR(INDEX(MMWR_RATING_RO_ROLLUP[],MATCH($B16,MMWR_RATING_RO_ROLLUP[MMWR_RATING_RO_ROLLUP],0),MATCH(H$9,MMWR_RATING_RO_ROLLUP[#Headers],0)),"ERROR"))</f>
        <v>123.8929824561</v>
      </c>
      <c r="I16" s="155">
        <f>IF($B16=" ","",IFERROR(INDEX(MMWR_RATING_RO_ROLLUP[],MATCH($B16,MMWR_RATING_RO_ROLLUP[MMWR_RATING_RO_ROLLUP],0),MATCH(I$9,MMWR_RATING_RO_ROLLUP[#Headers],0)),"ERROR"))</f>
        <v>131.92664507480001</v>
      </c>
      <c r="J16" s="157">
        <f>IF($B16=" ","",IFERROR(VLOOKUP($B16,MMWR_ACCURACY_RO[],MATCH(J$9,MMWR_ACCURACY_RO[#Headers],0),0),"ERROR"))</f>
        <v>0.95339336489511839</v>
      </c>
      <c r="K16" s="157">
        <f>IF($B16=" ","",IFERROR(VLOOKUP($B16,MMWR_ACCURACY_RO[],MATCH(K$9,MMWR_ACCURACY_RO[#Headers],0),0),"ERROR"))</f>
        <v>0.87849104249273668</v>
      </c>
      <c r="L16" s="157">
        <f>IF($B16=" ","",IFERROR(VLOOKUP($B16,MMWR_ACCURACY_RO[],MATCH(L$9,MMWR_ACCURACY_RO[#Headers],0),0),"ERROR"))</f>
        <v>0.86969653578961459</v>
      </c>
      <c r="M16" s="157">
        <f>IF($B16=" ","",IFERROR(VLOOKUP($B16,MMWR_ACCURACY_RO[],MATCH(M$9,MMWR_ACCURACY_RO[#Headers],0),0),"ERROR"))</f>
        <v>1.6725536915465113E-2</v>
      </c>
      <c r="N16" s="157">
        <f>IF($B16=" ","",IFERROR(VLOOKUP($B16,MMWR_ACCURACY_RO[],MATCH(N$9,MMWR_ACCURACY_RO[#Headers],0),0),"ERROR"))</f>
        <v>0.88520621936350508</v>
      </c>
      <c r="O16" s="157">
        <f>IF($B16=" ","",IFERROR(VLOOKUP($B16,MMWR_ACCURACY_RO[],MATCH(O$9,MMWR_ACCURACY_RO[#Headers],0),0),"ERROR"))</f>
        <v>2.4693787292680298E-2</v>
      </c>
      <c r="P16" s="28"/>
    </row>
    <row r="17" spans="1:16" x14ac:dyDescent="0.2">
      <c r="A17" s="25"/>
      <c r="B17" s="8" t="str">
        <f>VLOOKUP($B$16,DISTRICT_RO[],2,0)</f>
        <v>Baltimore VSC</v>
      </c>
      <c r="C17" s="154">
        <f>IF($B17=" ","",IFERROR(INDEX(MMWR_RATING_RO_ROLLUP[],MATCH($B17,MMWR_RATING_RO_ROLLUP[MMWR_RATING_RO_ROLLUP],0),MATCH(C$9,MMWR_RATING_RO_ROLLUP[#Headers],0)),"ERROR"))</f>
        <v>858</v>
      </c>
      <c r="D17" s="155">
        <f>IF($B17=" ","",IFERROR(INDEX(MMWR_RATING_RO_ROLLUP[],MATCH($B17,MMWR_RATING_RO_ROLLUP[MMWR_RATING_RO_ROLLUP],0),MATCH(D$9,MMWR_RATING_RO_ROLLUP[#Headers],0)),"ERROR"))</f>
        <v>117.84265734269999</v>
      </c>
      <c r="E17" s="156">
        <f>IF($B17=" ","",IFERROR(INDEX(MMWR_RATING_RO_ROLLUP[],MATCH($B17,MMWR_RATING_RO_ROLLUP[MMWR_RATING_RO_ROLLUP],0),MATCH(E$9,MMWR_RATING_RO_ROLLUP[#Headers],0))/$C17,"ERROR"))</f>
        <v>0.39160839160839161</v>
      </c>
      <c r="F17" s="154">
        <f>IF($B17=" ","",IFERROR(INDEX(MMWR_RATING_RO_ROLLUP[],MATCH($B17,MMWR_RATING_RO_ROLLUP[MMWR_RATING_RO_ROLLUP],0),MATCH(F$9,MMWR_RATING_RO_ROLLUP[#Headers],0)),"ERROR"))</f>
        <v>494</v>
      </c>
      <c r="G17" s="154">
        <f>IF($B17=" ","",IFERROR(INDEX(MMWR_RATING_RO_ROLLUP[],MATCH($B17,MMWR_RATING_RO_ROLLUP[MMWR_RATING_RO_ROLLUP],0),MATCH(G$9,MMWR_RATING_RO_ROLLUP[#Headers],0)),"ERROR"))</f>
        <v>5081</v>
      </c>
      <c r="H17" s="155">
        <f>IF($B17=" ","",IFERROR(INDEX(MMWR_RATING_RO_ROLLUP[],MATCH($B17,MMWR_RATING_RO_ROLLUP[MMWR_RATING_RO_ROLLUP],0),MATCH(H$9,MMWR_RATING_RO_ROLLUP[#Headers],0)),"ERROR"))</f>
        <v>134.16599190279999</v>
      </c>
      <c r="I17" s="155">
        <f>IF($B17=" ","",IFERROR(INDEX(MMWR_RATING_RO_ROLLUP[],MATCH($B17,MMWR_RATING_RO_ROLLUP[MMWR_RATING_RO_ROLLUP],0),MATCH(I$9,MMWR_RATING_RO_ROLLUP[#Headers],0)),"ERROR"))</f>
        <v>135.6325526471</v>
      </c>
      <c r="J17" s="157">
        <f>IF($B17=" ","",IFERROR(VLOOKUP($B17,MMWR_ACCURACY_RO[],MATCH(J$9,MMWR_ACCURACY_RO[#Headers],0),0),"ERROR"))</f>
        <v>0.96304973953837458</v>
      </c>
      <c r="K17" s="157">
        <f>IF($B17=" ","",IFERROR(VLOOKUP($B17,MMWR_ACCURACY_RO[],MATCH(K$9,MMWR_ACCURACY_RO[#Headers],0),0),"ERROR"))</f>
        <v>0.89198779362713798</v>
      </c>
      <c r="L17" s="157">
        <f>IF($B17=" ","",IFERROR(VLOOKUP($B17,MMWR_ACCURACY_RO[],MATCH(L$9,MMWR_ACCURACY_RO[#Headers],0),0),"ERROR"))</f>
        <v>0.84150727700989836</v>
      </c>
      <c r="M17" s="157">
        <f>IF($B17=" ","",IFERROR(VLOOKUP($B17,MMWR_ACCURACY_RO[],MATCH(M$9,MMWR_ACCURACY_RO[#Headers],0),0),"ERROR"))</f>
        <v>4.4094882152782448E-2</v>
      </c>
      <c r="N17" s="157">
        <f>IF($B17=" ","",IFERROR(VLOOKUP($B17,MMWR_ACCURACY_RO[],MATCH(N$9,MMWR_ACCURACY_RO[#Headers],0),0),"ERROR"))</f>
        <v>0.88609343090492554</v>
      </c>
      <c r="O17" s="157">
        <f>IF($B17=" ","",IFERROR(VLOOKUP($B17,MMWR_ACCURACY_RO[],MATCH(O$9,MMWR_ACCURACY_RO[#Headers],0),0),"ERROR"))</f>
        <v>4.714693561546774E-2</v>
      </c>
      <c r="P17" s="28"/>
    </row>
    <row r="18" spans="1:16" x14ac:dyDescent="0.2">
      <c r="A18" s="25"/>
      <c r="B18" s="8" t="str">
        <f>VLOOKUP($B$16,DISTRICT_RO[],3,0)</f>
        <v>Boston VSC</v>
      </c>
      <c r="C18" s="154">
        <f>IF($B18=" ","",IFERROR(INDEX(MMWR_RATING_RO_ROLLUP[],MATCH($B18,MMWR_RATING_RO_ROLLUP[MMWR_RATING_RO_ROLLUP],0),MATCH(C$9,MMWR_RATING_RO_ROLLUP[#Headers],0)),"ERROR"))</f>
        <v>1111</v>
      </c>
      <c r="D18" s="155">
        <f>IF($B18=" ","",IFERROR(INDEX(MMWR_RATING_RO_ROLLUP[],MATCH($B18,MMWR_RATING_RO_ROLLUP[MMWR_RATING_RO_ROLLUP],0),MATCH(D$9,MMWR_RATING_RO_ROLLUP[#Headers],0)),"ERROR"))</f>
        <v>102.3609360936</v>
      </c>
      <c r="E18" s="156">
        <f>IF($B18=" ","",IFERROR(INDEX(MMWR_RATING_RO_ROLLUP[],MATCH($B18,MMWR_RATING_RO_ROLLUP[MMWR_RATING_RO_ROLLUP],0),MATCH(E$9,MMWR_RATING_RO_ROLLUP[#Headers],0))/$C18,"ERROR"))</f>
        <v>0.33303330333033304</v>
      </c>
      <c r="F18" s="154">
        <f>IF($B18=" ","",IFERROR(INDEX(MMWR_RATING_RO_ROLLUP[],MATCH($B18,MMWR_RATING_RO_ROLLUP[MMWR_RATING_RO_ROLLUP],0),MATCH(F$9,MMWR_RATING_RO_ROLLUP[#Headers],0)),"ERROR"))</f>
        <v>467</v>
      </c>
      <c r="G18" s="154">
        <f>IF($B18=" ","",IFERROR(INDEX(MMWR_RATING_RO_ROLLUP[],MATCH($B18,MMWR_RATING_RO_ROLLUP[MMWR_RATING_RO_ROLLUP],0),MATCH(G$9,MMWR_RATING_RO_ROLLUP[#Headers],0)),"ERROR"))</f>
        <v>5580</v>
      </c>
      <c r="H18" s="155">
        <f>IF($B18=" ","",IFERROR(INDEX(MMWR_RATING_RO_ROLLUP[],MATCH($B18,MMWR_RATING_RO_ROLLUP[MMWR_RATING_RO_ROLLUP],0),MATCH(H$9,MMWR_RATING_RO_ROLLUP[#Headers],0)),"ERROR"))</f>
        <v>141.8608137045</v>
      </c>
      <c r="I18" s="155">
        <f>IF($B18=" ","",IFERROR(INDEX(MMWR_RATING_RO_ROLLUP[],MATCH($B18,MMWR_RATING_RO_ROLLUP[MMWR_RATING_RO_ROLLUP],0),MATCH(I$9,MMWR_RATING_RO_ROLLUP[#Headers],0)),"ERROR"))</f>
        <v>129.09498207889999</v>
      </c>
      <c r="J18" s="157">
        <f>IF($B18=" ","",IFERROR(VLOOKUP($B18,MMWR_ACCURACY_RO[],MATCH(J$9,MMWR_ACCURACY_RO[#Headers],0),0),"ERROR"))</f>
        <v>0.92987504496191897</v>
      </c>
      <c r="K18" s="157">
        <f>IF($B18=" ","",IFERROR(VLOOKUP($B18,MMWR_ACCURACY_RO[],MATCH(K$9,MMWR_ACCURACY_RO[#Headers],0),0),"ERROR"))</f>
        <v>0.84648164335664333</v>
      </c>
      <c r="L18" s="157">
        <f>IF($B18=" ","",IFERROR(VLOOKUP($B18,MMWR_ACCURACY_RO[],MATCH(L$9,MMWR_ACCURACY_RO[#Headers],0),0),"ERROR"))</f>
        <v>0.82152086363127874</v>
      </c>
      <c r="M18" s="157">
        <f>IF($B18=" ","",IFERROR(VLOOKUP($B18,MMWR_ACCURACY_RO[],MATCH(M$9,MMWR_ACCURACY_RO[#Headers],0),0),"ERROR"))</f>
        <v>5.8899427134727275E-2</v>
      </c>
      <c r="N18" s="157">
        <f>IF($B18=" ","",IFERROR(VLOOKUP($B18,MMWR_ACCURACY_RO[],MATCH(N$9,MMWR_ACCURACY_RO[#Headers],0),0),"ERROR"))</f>
        <v>0.91097535664394835</v>
      </c>
      <c r="O18" s="157">
        <f>IF($B18=" ","",IFERROR(VLOOKUP($B18,MMWR_ACCURACY_RO[],MATCH(O$9,MMWR_ACCURACY_RO[#Headers],0),0),"ERROR"))</f>
        <v>5.5082632535489819E-2</v>
      </c>
      <c r="P18" s="28"/>
    </row>
    <row r="19" spans="1:16" x14ac:dyDescent="0.2">
      <c r="A19" s="25"/>
      <c r="B19" s="8" t="str">
        <f>VLOOKUP($B$16,DISTRICT_RO[],4,0)</f>
        <v>Buffalo VSC</v>
      </c>
      <c r="C19" s="154">
        <f>IF($B19=" ","",IFERROR(INDEX(MMWR_RATING_RO_ROLLUP[],MATCH($B19,MMWR_RATING_RO_ROLLUP[MMWR_RATING_RO_ROLLUP],0),MATCH(C$9,MMWR_RATING_RO_ROLLUP[#Headers],0)),"ERROR"))</f>
        <v>984</v>
      </c>
      <c r="D19" s="155">
        <f>IF($B19=" ","",IFERROR(INDEX(MMWR_RATING_RO_ROLLUP[],MATCH($B19,MMWR_RATING_RO_ROLLUP[MMWR_RATING_RO_ROLLUP],0),MATCH(D$9,MMWR_RATING_RO_ROLLUP[#Headers],0)),"ERROR"))</f>
        <v>98.305894308899994</v>
      </c>
      <c r="E19" s="156">
        <f>IF($B19=" ","",IFERROR(INDEX(MMWR_RATING_RO_ROLLUP[],MATCH($B19,MMWR_RATING_RO_ROLLUP[MMWR_RATING_RO_ROLLUP],0),MATCH(E$9,MMWR_RATING_RO_ROLLUP[#Headers],0))/$C19,"ERROR"))</f>
        <v>0.29878048780487804</v>
      </c>
      <c r="F19" s="154">
        <f>IF($B19=" ","",IFERROR(INDEX(MMWR_RATING_RO_ROLLUP[],MATCH($B19,MMWR_RATING_RO_ROLLUP[MMWR_RATING_RO_ROLLUP],0),MATCH(F$9,MMWR_RATING_RO_ROLLUP[#Headers],0)),"ERROR"))</f>
        <v>728</v>
      </c>
      <c r="G19" s="154">
        <f>IF($B19=" ","",IFERROR(INDEX(MMWR_RATING_RO_ROLLUP[],MATCH($B19,MMWR_RATING_RO_ROLLUP[MMWR_RATING_RO_ROLLUP],0),MATCH(G$9,MMWR_RATING_RO_ROLLUP[#Headers],0)),"ERROR"))</f>
        <v>5721</v>
      </c>
      <c r="H19" s="155">
        <f>IF($B19=" ","",IFERROR(INDEX(MMWR_RATING_RO_ROLLUP[],MATCH($B19,MMWR_RATING_RO_ROLLUP[MMWR_RATING_RO_ROLLUP],0),MATCH(H$9,MMWR_RATING_RO_ROLLUP[#Headers],0)),"ERROR"))</f>
        <v>121.3159340659</v>
      </c>
      <c r="I19" s="155">
        <f>IF($B19=" ","",IFERROR(INDEX(MMWR_RATING_RO_ROLLUP[],MATCH($B19,MMWR_RATING_RO_ROLLUP[MMWR_RATING_RO_ROLLUP],0),MATCH(I$9,MMWR_RATING_RO_ROLLUP[#Headers],0)),"ERROR"))</f>
        <v>135.5698304492</v>
      </c>
      <c r="J19" s="157">
        <f>IF($B19=" ","",IFERROR(VLOOKUP($B19,MMWR_ACCURACY_RO[],MATCH(J$9,MMWR_ACCURACY_RO[#Headers],0),0),"ERROR"))</f>
        <v>0.93185426337895139</v>
      </c>
      <c r="K19" s="157">
        <f>IF($B19=" ","",IFERROR(VLOOKUP($B19,MMWR_ACCURACY_RO[],MATCH(K$9,MMWR_ACCURACY_RO[#Headers],0),0),"ERROR"))</f>
        <v>0.91988884097551638</v>
      </c>
      <c r="L19" s="157">
        <f>IF($B19=" ","",IFERROR(VLOOKUP($B19,MMWR_ACCURACY_RO[],MATCH(L$9,MMWR_ACCURACY_RO[#Headers],0),0),"ERROR"))</f>
        <v>0.87937548337927396</v>
      </c>
      <c r="M19" s="157">
        <f>IF($B19=" ","",IFERROR(VLOOKUP($B19,MMWR_ACCURACY_RO[],MATCH(M$9,MMWR_ACCURACY_RO[#Headers],0),0),"ERROR"))</f>
        <v>5.1955065432304506E-2</v>
      </c>
      <c r="N19" s="157">
        <f>IF($B19=" ","",IFERROR(VLOOKUP($B19,MMWR_ACCURACY_RO[],MATCH(N$9,MMWR_ACCURACY_RO[#Headers],0),0),"ERROR"))</f>
        <v>0.86221121986981519</v>
      </c>
      <c r="O19" s="157">
        <f>IF($B19=" ","",IFERROR(VLOOKUP($B19,MMWR_ACCURACY_RO[],MATCH(O$9,MMWR_ACCURACY_RO[#Headers],0),0),"ERROR"))</f>
        <v>5.041628237204996E-2</v>
      </c>
      <c r="P19" s="28"/>
    </row>
    <row r="20" spans="1:16" x14ac:dyDescent="0.2">
      <c r="A20" s="25"/>
      <c r="B20" s="8" t="str">
        <f>VLOOKUP($B$16,DISTRICT_RO[],5,0)</f>
        <v>Hartford VSC</v>
      </c>
      <c r="C20" s="154">
        <f>IF($B20=" ","",IFERROR(INDEX(MMWR_RATING_RO_ROLLUP[],MATCH($B20,MMWR_RATING_RO_ROLLUP[MMWR_RATING_RO_ROLLUP],0),MATCH(C$9,MMWR_RATING_RO_ROLLUP[#Headers],0)),"ERROR"))</f>
        <v>967</v>
      </c>
      <c r="D20" s="155">
        <f>IF($B20=" ","",IFERROR(INDEX(MMWR_RATING_RO_ROLLUP[],MATCH($B20,MMWR_RATING_RO_ROLLUP[MMWR_RATING_RO_ROLLUP],0),MATCH(D$9,MMWR_RATING_RO_ROLLUP[#Headers],0)),"ERROR"))</f>
        <v>80.634953464299997</v>
      </c>
      <c r="E20" s="156">
        <f>IF($B20=" ","",IFERROR(INDEX(MMWR_RATING_RO_ROLLUP[],MATCH($B20,MMWR_RATING_RO_ROLLUP[MMWR_RATING_RO_ROLLUP],0),MATCH(E$9,MMWR_RATING_RO_ROLLUP[#Headers],0))/$C20,"ERROR"))</f>
        <v>0.22854188210961737</v>
      </c>
      <c r="F20" s="154">
        <f>IF($B20=" ","",IFERROR(INDEX(MMWR_RATING_RO_ROLLUP[],MATCH($B20,MMWR_RATING_RO_ROLLUP[MMWR_RATING_RO_ROLLUP],0),MATCH(F$9,MMWR_RATING_RO_ROLLUP[#Headers],0)),"ERROR"))</f>
        <v>598</v>
      </c>
      <c r="G20" s="154">
        <f>IF($B20=" ","",IFERROR(INDEX(MMWR_RATING_RO_ROLLUP[],MATCH($B20,MMWR_RATING_RO_ROLLUP[MMWR_RATING_RO_ROLLUP],0),MATCH(G$9,MMWR_RATING_RO_ROLLUP[#Headers],0)),"ERROR"))</f>
        <v>5304</v>
      </c>
      <c r="H20" s="155">
        <f>IF($B20=" ","",IFERROR(INDEX(MMWR_RATING_RO_ROLLUP[],MATCH($B20,MMWR_RATING_RO_ROLLUP[MMWR_RATING_RO_ROLLUP],0),MATCH(H$9,MMWR_RATING_RO_ROLLUP[#Headers],0)),"ERROR"))</f>
        <v>135.5</v>
      </c>
      <c r="I20" s="155">
        <f>IF($B20=" ","",IFERROR(INDEX(MMWR_RATING_RO_ROLLUP[],MATCH($B20,MMWR_RATING_RO_ROLLUP[MMWR_RATING_RO_ROLLUP],0),MATCH(I$9,MMWR_RATING_RO_ROLLUP[#Headers],0)),"ERROR"))</f>
        <v>134.2916666667</v>
      </c>
      <c r="J20" s="157">
        <f>IF($B20=" ","",IFERROR(VLOOKUP($B20,MMWR_ACCURACY_RO[],MATCH(J$9,MMWR_ACCURACY_RO[#Headers],0),0),"ERROR"))</f>
        <v>0.97529224025224948</v>
      </c>
      <c r="K20" s="157">
        <f>IF($B20=" ","",IFERROR(VLOOKUP($B20,MMWR_ACCURACY_RO[],MATCH(K$9,MMWR_ACCURACY_RO[#Headers],0),0),"ERROR"))</f>
        <v>0.96077391995759354</v>
      </c>
      <c r="L20" s="157">
        <f>IF($B20=" ","",IFERROR(VLOOKUP($B20,MMWR_ACCURACY_RO[],MATCH(L$9,MMWR_ACCURACY_RO[#Headers],0),0),"ERROR"))</f>
        <v>0.92530207386351515</v>
      </c>
      <c r="M20" s="157">
        <f>IF($B20=" ","",IFERROR(VLOOKUP($B20,MMWR_ACCURACY_RO[],MATCH(M$9,MMWR_ACCURACY_RO[#Headers],0),0),"ERROR"))</f>
        <v>4.2764014250218946E-2</v>
      </c>
      <c r="N20" s="157">
        <f>IF($B20=" ","",IFERROR(VLOOKUP($B20,MMWR_ACCURACY_RO[],MATCH(N$9,MMWR_ACCURACY_RO[#Headers],0),0),"ERROR"))</f>
        <v>0.9650988664176221</v>
      </c>
      <c r="O20" s="157">
        <f>IF($B20=" ","",IFERROR(VLOOKUP($B20,MMWR_ACCURACY_RO[],MATCH(O$9,MMWR_ACCURACY_RO[#Headers],0),0),"ERROR"))</f>
        <v>3.2057579343067528E-2</v>
      </c>
      <c r="P20" s="28"/>
    </row>
    <row r="21" spans="1:16" x14ac:dyDescent="0.2">
      <c r="A21" s="25"/>
      <c r="B21" s="8" t="str">
        <f>VLOOKUP($B$16,DISTRICT_RO[],6,0)</f>
        <v>Huntington VSC</v>
      </c>
      <c r="C21" s="154">
        <f>IF($B21=" ","",IFERROR(INDEX(MMWR_RATING_RO_ROLLUP[],MATCH($B21,MMWR_RATING_RO_ROLLUP[MMWR_RATING_RO_ROLLUP],0),MATCH(C$9,MMWR_RATING_RO_ROLLUP[#Headers],0)),"ERROR"))</f>
        <v>1977</v>
      </c>
      <c r="D21" s="155">
        <f>IF($B21=" ","",IFERROR(INDEX(MMWR_RATING_RO_ROLLUP[],MATCH($B21,MMWR_RATING_RO_ROLLUP[MMWR_RATING_RO_ROLLUP],0),MATCH(D$9,MMWR_RATING_RO_ROLLUP[#Headers],0)),"ERROR"))</f>
        <v>89.396560445099993</v>
      </c>
      <c r="E21" s="156">
        <f>IF($B21=" ","",IFERROR(INDEX(MMWR_RATING_RO_ROLLUP[],MATCH($B21,MMWR_RATING_RO_ROLLUP[MMWR_RATING_RO_ROLLUP],0),MATCH(E$9,MMWR_RATING_RO_ROLLUP[#Headers],0))/$C21,"ERROR"))</f>
        <v>0.21952453211937278</v>
      </c>
      <c r="F21" s="154">
        <f>IF($B21=" ","",IFERROR(INDEX(MMWR_RATING_RO_ROLLUP[],MATCH($B21,MMWR_RATING_RO_ROLLUP[MMWR_RATING_RO_ROLLUP],0),MATCH(F$9,MMWR_RATING_RO_ROLLUP[#Headers],0)),"ERROR"))</f>
        <v>841</v>
      </c>
      <c r="G21" s="154">
        <f>IF($B21=" ","",IFERROR(INDEX(MMWR_RATING_RO_ROLLUP[],MATCH($B21,MMWR_RATING_RO_ROLLUP[MMWR_RATING_RO_ROLLUP],0),MATCH(G$9,MMWR_RATING_RO_ROLLUP[#Headers],0)),"ERROR"))</f>
        <v>9704</v>
      </c>
      <c r="H21" s="155">
        <f>IF($B21=" ","",IFERROR(INDEX(MMWR_RATING_RO_ROLLUP[],MATCH($B21,MMWR_RATING_RO_ROLLUP[MMWR_RATING_RO_ROLLUP],0),MATCH(H$9,MMWR_RATING_RO_ROLLUP[#Headers],0)),"ERROR"))</f>
        <v>116.1950059453</v>
      </c>
      <c r="I21" s="155">
        <f>IF($B21=" ","",IFERROR(INDEX(MMWR_RATING_RO_ROLLUP[],MATCH($B21,MMWR_RATING_RO_ROLLUP[MMWR_RATING_RO_ROLLUP],0),MATCH(I$9,MMWR_RATING_RO_ROLLUP[#Headers],0)),"ERROR"))</f>
        <v>135.0450329761</v>
      </c>
      <c r="J21" s="157">
        <f>IF($B21=" ","",IFERROR(VLOOKUP($B21,MMWR_ACCURACY_RO[],MATCH(J$9,MMWR_ACCURACY_RO[#Headers],0),0),"ERROR"))</f>
        <v>0.95996237012336816</v>
      </c>
      <c r="K21" s="157">
        <f>IF($B21=" ","",IFERROR(VLOOKUP($B21,MMWR_ACCURACY_RO[],MATCH(K$9,MMWR_ACCURACY_RO[#Headers],0),0),"ERROR"))</f>
        <v>0.85340986977381772</v>
      </c>
      <c r="L21" s="157">
        <f>IF($B21=" ","",IFERROR(VLOOKUP($B21,MMWR_ACCURACY_RO[],MATCH(L$9,MMWR_ACCURACY_RO[#Headers],0),0),"ERROR"))</f>
        <v>0.87769333998060461</v>
      </c>
      <c r="M21" s="157">
        <f>IF($B21=" ","",IFERROR(VLOOKUP($B21,MMWR_ACCURACY_RO[],MATCH(M$9,MMWR_ACCURACY_RO[#Headers],0),0),"ERROR"))</f>
        <v>4.9031466775316092E-2</v>
      </c>
      <c r="N21" s="157">
        <f>IF($B21=" ","",IFERROR(VLOOKUP($B21,MMWR_ACCURACY_RO[],MATCH(N$9,MMWR_ACCURACY_RO[#Headers],0),0),"ERROR"))</f>
        <v>0.88392905595286531</v>
      </c>
      <c r="O21" s="157">
        <f>IF($B21=" ","",IFERROR(VLOOKUP($B21,MMWR_ACCURACY_RO[],MATCH(O$9,MMWR_ACCURACY_RO[#Headers],0),0),"ERROR"))</f>
        <v>5.4149566598509086E-2</v>
      </c>
      <c r="P21" s="28"/>
    </row>
    <row r="22" spans="1:16" x14ac:dyDescent="0.2">
      <c r="A22" s="25"/>
      <c r="B22" s="8" t="str">
        <f>VLOOKUP($B$16,DISTRICT_RO[],7,0)</f>
        <v>Manchester VSC</v>
      </c>
      <c r="C22" s="154">
        <f>IF($B22=" ","",IFERROR(INDEX(MMWR_RATING_RO_ROLLUP[],MATCH($B22,MMWR_RATING_RO_ROLLUP[MMWR_RATING_RO_ROLLUP],0),MATCH(C$9,MMWR_RATING_RO_ROLLUP[#Headers],0)),"ERROR"))</f>
        <v>323</v>
      </c>
      <c r="D22" s="155">
        <f>IF($B22=" ","",IFERROR(INDEX(MMWR_RATING_RO_ROLLUP[],MATCH($B22,MMWR_RATING_RO_ROLLUP[MMWR_RATING_RO_ROLLUP],0),MATCH(D$9,MMWR_RATING_RO_ROLLUP[#Headers],0)),"ERROR"))</f>
        <v>114.23219814239999</v>
      </c>
      <c r="E22" s="156">
        <f>IF($B22=" ","",IFERROR(INDEX(MMWR_RATING_RO_ROLLUP[],MATCH($B22,MMWR_RATING_RO_ROLLUP[MMWR_RATING_RO_ROLLUP],0),MATCH(E$9,MMWR_RATING_RO_ROLLUP[#Headers],0))/$C22,"ERROR"))</f>
        <v>0.38080495356037153</v>
      </c>
      <c r="F22" s="154">
        <f>IF($B22=" ","",IFERROR(INDEX(MMWR_RATING_RO_ROLLUP[],MATCH($B22,MMWR_RATING_RO_ROLLUP[MMWR_RATING_RO_ROLLUP],0),MATCH(F$9,MMWR_RATING_RO_ROLLUP[#Headers],0)),"ERROR"))</f>
        <v>256</v>
      </c>
      <c r="G22" s="154">
        <f>IF($B22=" ","",IFERROR(INDEX(MMWR_RATING_RO_ROLLUP[],MATCH($B22,MMWR_RATING_RO_ROLLUP[MMWR_RATING_RO_ROLLUP],0),MATCH(G$9,MMWR_RATING_RO_ROLLUP[#Headers],0)),"ERROR"))</f>
        <v>2297</v>
      </c>
      <c r="H22" s="155">
        <f>IF($B22=" ","",IFERROR(INDEX(MMWR_RATING_RO_ROLLUP[],MATCH($B22,MMWR_RATING_RO_ROLLUP[MMWR_RATING_RO_ROLLUP],0),MATCH(H$9,MMWR_RATING_RO_ROLLUP[#Headers],0)),"ERROR"))</f>
        <v>129.72265625</v>
      </c>
      <c r="I22" s="155">
        <f>IF($B22=" ","",IFERROR(INDEX(MMWR_RATING_RO_ROLLUP[],MATCH($B22,MMWR_RATING_RO_ROLLUP[MMWR_RATING_RO_ROLLUP],0),MATCH(I$9,MMWR_RATING_RO_ROLLUP[#Headers],0)),"ERROR"))</f>
        <v>140.59773617760001</v>
      </c>
      <c r="J22" s="157">
        <f>IF($B22=" ","",IFERROR(VLOOKUP($B22,MMWR_ACCURACY_RO[],MATCH(J$9,MMWR_ACCURACY_RO[#Headers],0),0),"ERROR"))</f>
        <v>0.87891096019245418</v>
      </c>
      <c r="K22" s="157">
        <f>IF($B22=" ","",IFERROR(VLOOKUP($B22,MMWR_ACCURACY_RO[],MATCH(K$9,MMWR_ACCURACY_RO[#Headers],0),0),"ERROR"))</f>
        <v>0.74363448056086678</v>
      </c>
      <c r="L22" s="157">
        <f>IF($B22=" ","",IFERROR(VLOOKUP($B22,MMWR_ACCURACY_RO[],MATCH(L$9,MMWR_ACCURACY_RO[#Headers],0),0),"ERROR"))</f>
        <v>0.89561166707568707</v>
      </c>
      <c r="M22" s="157">
        <f>IF($B22=" ","",IFERROR(VLOOKUP($B22,MMWR_ACCURACY_RO[],MATCH(M$9,MMWR_ACCURACY_RO[#Headers],0),0),"ERROR"))</f>
        <v>4.5059126947930322E-2</v>
      </c>
      <c r="N22" s="157">
        <f>IF($B22=" ","",IFERROR(VLOOKUP($B22,MMWR_ACCURACY_RO[],MATCH(N$9,MMWR_ACCURACY_RO[#Headers],0),0),"ERROR"))</f>
        <v>0.9066813013621523</v>
      </c>
      <c r="O22" s="157">
        <f>IF($B22=" ","",IFERROR(VLOOKUP($B22,MMWR_ACCURACY_RO[],MATCH(O$9,MMWR_ACCURACY_RO[#Headers],0),0),"ERROR"))</f>
        <v>4.8863202178047585E-2</v>
      </c>
      <c r="P22" s="28"/>
    </row>
    <row r="23" spans="1:16" x14ac:dyDescent="0.2">
      <c r="A23" s="25"/>
      <c r="B23" s="8" t="str">
        <f>VLOOKUP($B$16,DISTRICT_RO[],8,0)</f>
        <v>New York VSC</v>
      </c>
      <c r="C23" s="154">
        <f>IF($B23=" ","",IFERROR(INDEX(MMWR_RATING_RO_ROLLUP[],MATCH($B23,MMWR_RATING_RO_ROLLUP[MMWR_RATING_RO_ROLLUP],0),MATCH(C$9,MMWR_RATING_RO_ROLLUP[#Headers],0)),"ERROR"))</f>
        <v>1276</v>
      </c>
      <c r="D23" s="155">
        <f>IF($B23=" ","",IFERROR(INDEX(MMWR_RATING_RO_ROLLUP[],MATCH($B23,MMWR_RATING_RO_ROLLUP[MMWR_RATING_RO_ROLLUP],0),MATCH(D$9,MMWR_RATING_RO_ROLLUP[#Headers],0)),"ERROR"))</f>
        <v>103.02664576799999</v>
      </c>
      <c r="E23" s="156">
        <f>IF($B23=" ","",IFERROR(INDEX(MMWR_RATING_RO_ROLLUP[],MATCH($B23,MMWR_RATING_RO_ROLLUP[MMWR_RATING_RO_ROLLUP],0),MATCH(E$9,MMWR_RATING_RO_ROLLUP[#Headers],0))/$C23,"ERROR"))</f>
        <v>0.32915360501567398</v>
      </c>
      <c r="F23" s="154">
        <f>IF($B23=" ","",IFERROR(INDEX(MMWR_RATING_RO_ROLLUP[],MATCH($B23,MMWR_RATING_RO_ROLLUP[MMWR_RATING_RO_ROLLUP],0),MATCH(F$9,MMWR_RATING_RO_ROLLUP[#Headers],0)),"ERROR"))</f>
        <v>884</v>
      </c>
      <c r="G23" s="154">
        <f>IF($B23=" ","",IFERROR(INDEX(MMWR_RATING_RO_ROLLUP[],MATCH($B23,MMWR_RATING_RO_ROLLUP[MMWR_RATING_RO_ROLLUP],0),MATCH(G$9,MMWR_RATING_RO_ROLLUP[#Headers],0)),"ERROR"))</f>
        <v>6748</v>
      </c>
      <c r="H23" s="155">
        <f>IF($B23=" ","",IFERROR(INDEX(MMWR_RATING_RO_ROLLUP[],MATCH($B23,MMWR_RATING_RO_ROLLUP[MMWR_RATING_RO_ROLLUP],0),MATCH(H$9,MMWR_RATING_RO_ROLLUP[#Headers],0)),"ERROR"))</f>
        <v>125.0871040724</v>
      </c>
      <c r="I23" s="155">
        <f>IF($B23=" ","",IFERROR(INDEX(MMWR_RATING_RO_ROLLUP[],MATCH($B23,MMWR_RATING_RO_ROLLUP[MMWR_RATING_RO_ROLLUP],0),MATCH(I$9,MMWR_RATING_RO_ROLLUP[#Headers],0)),"ERROR"))</f>
        <v>129.39137522230001</v>
      </c>
      <c r="J23" s="157">
        <f>IF($B23=" ","",IFERROR(VLOOKUP($B23,MMWR_ACCURACY_RO[],MATCH(J$9,MMWR_ACCURACY_RO[#Headers],0),0),"ERROR"))</f>
        <v>0.88591225946487462</v>
      </c>
      <c r="K23" s="157">
        <f>IF($B23=" ","",IFERROR(VLOOKUP($B23,MMWR_ACCURACY_RO[],MATCH(K$9,MMWR_ACCURACY_RO[#Headers],0),0),"ERROR"))</f>
        <v>0.83475631447883314</v>
      </c>
      <c r="L23" s="157">
        <f>IF($B23=" ","",IFERROR(VLOOKUP($B23,MMWR_ACCURACY_RO[],MATCH(L$9,MMWR_ACCURACY_RO[#Headers],0),0),"ERROR"))</f>
        <v>0.87790840695252481</v>
      </c>
      <c r="M23" s="157">
        <f>IF($B23=" ","",IFERROR(VLOOKUP($B23,MMWR_ACCURACY_RO[],MATCH(M$9,MMWR_ACCURACY_RO[#Headers],0),0),"ERROR"))</f>
        <v>5.2653911906180399E-2</v>
      </c>
      <c r="N23" s="157">
        <f>IF($B23=" ","",IFERROR(VLOOKUP($B23,MMWR_ACCURACY_RO[],MATCH(N$9,MMWR_ACCURACY_RO[#Headers],0),0),"ERROR"))</f>
        <v>0.93692243526878816</v>
      </c>
      <c r="O23" s="157">
        <f>IF($B23=" ","",IFERROR(VLOOKUP($B23,MMWR_ACCURACY_RO[],MATCH(O$9,MMWR_ACCURACY_RO[#Headers],0),0),"ERROR"))</f>
        <v>3.6913534326271744E-2</v>
      </c>
      <c r="P23" s="28"/>
    </row>
    <row r="24" spans="1:16" x14ac:dyDescent="0.2">
      <c r="A24" s="25"/>
      <c r="B24" s="8" t="str">
        <f>VLOOKUP($B$16,DISTRICT_RO[],9,0)</f>
        <v>Newark VSC</v>
      </c>
      <c r="C24" s="154">
        <f>IF($B24=" ","",IFERROR(INDEX(MMWR_RATING_RO_ROLLUP[],MATCH($B24,MMWR_RATING_RO_ROLLUP[MMWR_RATING_RO_ROLLUP],0),MATCH(C$9,MMWR_RATING_RO_ROLLUP[#Headers],0)),"ERROR"))</f>
        <v>693</v>
      </c>
      <c r="D24" s="155">
        <f>IF($B24=" ","",IFERROR(INDEX(MMWR_RATING_RO_ROLLUP[],MATCH($B24,MMWR_RATING_RO_ROLLUP[MMWR_RATING_RO_ROLLUP],0),MATCH(D$9,MMWR_RATING_RO_ROLLUP[#Headers],0)),"ERROR"))</f>
        <v>112.08946608949999</v>
      </c>
      <c r="E24" s="156">
        <f>IF($B24=" ","",IFERROR(INDEX(MMWR_RATING_RO_ROLLUP[],MATCH($B24,MMWR_RATING_RO_ROLLUP[MMWR_RATING_RO_ROLLUP],0),MATCH(E$9,MMWR_RATING_RO_ROLLUP[#Headers],0))/$C24,"ERROR"))</f>
        <v>0.39826839826839827</v>
      </c>
      <c r="F24" s="154">
        <f>IF($B24=" ","",IFERROR(INDEX(MMWR_RATING_RO_ROLLUP[],MATCH($B24,MMWR_RATING_RO_ROLLUP[MMWR_RATING_RO_ROLLUP],0),MATCH(F$9,MMWR_RATING_RO_ROLLUP[#Headers],0)),"ERROR"))</f>
        <v>304</v>
      </c>
      <c r="G24" s="154">
        <f>IF($B24=" ","",IFERROR(INDEX(MMWR_RATING_RO_ROLLUP[],MATCH($B24,MMWR_RATING_RO_ROLLUP[MMWR_RATING_RO_ROLLUP],0),MATCH(G$9,MMWR_RATING_RO_ROLLUP[#Headers],0)),"ERROR"))</f>
        <v>3260</v>
      </c>
      <c r="H24" s="155">
        <f>IF($B24=" ","",IFERROR(INDEX(MMWR_RATING_RO_ROLLUP[],MATCH($B24,MMWR_RATING_RO_ROLLUP[MMWR_RATING_RO_ROLLUP],0),MATCH(H$9,MMWR_RATING_RO_ROLLUP[#Headers],0)),"ERROR"))</f>
        <v>141.6019736842</v>
      </c>
      <c r="I24" s="155">
        <f>IF($B24=" ","",IFERROR(INDEX(MMWR_RATING_RO_ROLLUP[],MATCH($B24,MMWR_RATING_RO_ROLLUP[MMWR_RATING_RO_ROLLUP],0),MATCH(I$9,MMWR_RATING_RO_ROLLUP[#Headers],0)),"ERROR"))</f>
        <v>138.57331288340001</v>
      </c>
      <c r="J24" s="157">
        <f>IF($B24=" ","",IFERROR(VLOOKUP($B24,MMWR_ACCURACY_RO[],MATCH(J$9,MMWR_ACCURACY_RO[#Headers],0),0),"ERROR"))</f>
        <v>0.95332045535530086</v>
      </c>
      <c r="K24" s="157">
        <f>IF($B24=" ","",IFERROR(VLOOKUP($B24,MMWR_ACCURACY_RO[],MATCH(K$9,MMWR_ACCURACY_RO[#Headers],0),0),"ERROR"))</f>
        <v>0.9127802690582959</v>
      </c>
      <c r="L24" s="157">
        <f>IF($B24=" ","",IFERROR(VLOOKUP($B24,MMWR_ACCURACY_RO[],MATCH(L$9,MMWR_ACCURACY_RO[#Headers],0),0),"ERROR"))</f>
        <v>0.89890092363014196</v>
      </c>
      <c r="M24" s="157">
        <f>IF($B24=" ","",IFERROR(VLOOKUP($B24,MMWR_ACCURACY_RO[],MATCH(M$9,MMWR_ACCURACY_RO[#Headers],0),0),"ERROR"))</f>
        <v>4.135702055496971E-2</v>
      </c>
      <c r="N24" s="157">
        <f>IF($B24=" ","",IFERROR(VLOOKUP($B24,MMWR_ACCURACY_RO[],MATCH(N$9,MMWR_ACCURACY_RO[#Headers],0),0),"ERROR"))</f>
        <v>0.86021837800720002</v>
      </c>
      <c r="O24" s="157">
        <f>IF($B24=" ","",IFERROR(VLOOKUP($B24,MMWR_ACCURACY_RO[],MATCH(O$9,MMWR_ACCURACY_RO[#Headers],0),0),"ERROR"))</f>
        <v>4.8688719761789158E-2</v>
      </c>
      <c r="P24" s="28"/>
    </row>
    <row r="25" spans="1:16" x14ac:dyDescent="0.2">
      <c r="A25" s="25"/>
      <c r="B25" s="8" t="str">
        <f>VLOOKUP($B$16,DISTRICT_RO[],10,0)</f>
        <v>Philadelphia VSC</v>
      </c>
      <c r="C25" s="154">
        <f>IF($B25=" ","",IFERROR(INDEX(MMWR_RATING_RO_ROLLUP[],MATCH($B25,MMWR_RATING_RO_ROLLUP[MMWR_RATING_RO_ROLLUP],0),MATCH(C$9,MMWR_RATING_RO_ROLLUP[#Headers],0)),"ERROR"))</f>
        <v>3545</v>
      </c>
      <c r="D25" s="155">
        <f>IF($B25=" ","",IFERROR(INDEX(MMWR_RATING_RO_ROLLUP[],MATCH($B25,MMWR_RATING_RO_ROLLUP[MMWR_RATING_RO_ROLLUP],0),MATCH(D$9,MMWR_RATING_RO_ROLLUP[#Headers],0)),"ERROR"))</f>
        <v>93.822566995800003</v>
      </c>
      <c r="E25" s="156">
        <f>IF($B25=" ","",IFERROR(INDEX(MMWR_RATING_RO_ROLLUP[],MATCH($B25,MMWR_RATING_RO_ROLLUP[MMWR_RATING_RO_ROLLUP],0),MATCH(E$9,MMWR_RATING_RO_ROLLUP[#Headers],0))/$C25,"ERROR"))</f>
        <v>0.27870239774330041</v>
      </c>
      <c r="F25" s="154">
        <f>IF($B25=" ","",IFERROR(INDEX(MMWR_RATING_RO_ROLLUP[],MATCH($B25,MMWR_RATING_RO_ROLLUP[MMWR_RATING_RO_ROLLUP],0),MATCH(F$9,MMWR_RATING_RO_ROLLUP[#Headers],0)),"ERROR"))</f>
        <v>1317</v>
      </c>
      <c r="G25" s="154">
        <f>IF($B25=" ","",IFERROR(INDEX(MMWR_RATING_RO_ROLLUP[],MATCH($B25,MMWR_RATING_RO_ROLLUP[MMWR_RATING_RO_ROLLUP],0),MATCH(G$9,MMWR_RATING_RO_ROLLUP[#Headers],0)),"ERROR"))</f>
        <v>14159</v>
      </c>
      <c r="H25" s="155">
        <f>IF($B25=" ","",IFERROR(INDEX(MMWR_RATING_RO_ROLLUP[],MATCH($B25,MMWR_RATING_RO_ROLLUP[MMWR_RATING_RO_ROLLUP],0),MATCH(H$9,MMWR_RATING_RO_ROLLUP[#Headers],0)),"ERROR"))</f>
        <v>121.8208048595</v>
      </c>
      <c r="I25" s="155">
        <f>IF($B25=" ","",IFERROR(INDEX(MMWR_RATING_RO_ROLLUP[],MATCH($B25,MMWR_RATING_RO_ROLLUP[MMWR_RATING_RO_ROLLUP],0),MATCH(I$9,MMWR_RATING_RO_ROLLUP[#Headers],0)),"ERROR"))</f>
        <v>147.339783883</v>
      </c>
      <c r="J25" s="157">
        <f>IF($B25=" ","",IFERROR(VLOOKUP($B25,MMWR_ACCURACY_RO[],MATCH(J$9,MMWR_ACCURACY_RO[#Headers],0),0),"ERROR"))</f>
        <v>0.96752378228962588</v>
      </c>
      <c r="K25" s="157">
        <f>IF($B25=" ","",IFERROR(VLOOKUP($B25,MMWR_ACCURACY_RO[],MATCH(K$9,MMWR_ACCURACY_RO[#Headers],0),0),"ERROR"))</f>
        <v>0.91635216944065012</v>
      </c>
      <c r="L25" s="157">
        <f>IF($B25=" ","",IFERROR(VLOOKUP($B25,MMWR_ACCURACY_RO[],MATCH(L$9,MMWR_ACCURACY_RO[#Headers],0),0),"ERROR"))</f>
        <v>0.87120074664151514</v>
      </c>
      <c r="M25" s="157">
        <f>IF($B25=" ","",IFERROR(VLOOKUP($B25,MMWR_ACCURACY_RO[],MATCH(M$9,MMWR_ACCURACY_RO[#Headers],0),0),"ERROR"))</f>
        <v>4.9579085889787253E-2</v>
      </c>
      <c r="N25" s="157">
        <f>IF($B25=" ","",IFERROR(VLOOKUP($B25,MMWR_ACCURACY_RO[],MATCH(N$9,MMWR_ACCURACY_RO[#Headers],0),0),"ERROR"))</f>
        <v>0.88116636107362767</v>
      </c>
      <c r="O25" s="157">
        <f>IF($B25=" ","",IFERROR(VLOOKUP($B25,MMWR_ACCURACY_RO[],MATCH(O$9,MMWR_ACCURACY_RO[#Headers],0),0),"ERROR"))</f>
        <v>5.4047278114233134E-2</v>
      </c>
      <c r="P25" s="28"/>
    </row>
    <row r="26" spans="1:16" x14ac:dyDescent="0.2">
      <c r="A26" s="25"/>
      <c r="B26" s="8" t="str">
        <f>VLOOKUP($B$16,DISTRICT_RO[],11,0)</f>
        <v>Pittsburgh VSC</v>
      </c>
      <c r="C26" s="154">
        <f>IF($B26=" ","",IFERROR(INDEX(MMWR_RATING_RO_ROLLUP[],MATCH($B26,MMWR_RATING_RO_ROLLUP[MMWR_RATING_RO_ROLLUP],0),MATCH(C$9,MMWR_RATING_RO_ROLLUP[#Headers],0)),"ERROR"))</f>
        <v>865</v>
      </c>
      <c r="D26" s="155">
        <f>IF($B26=" ","",IFERROR(INDEX(MMWR_RATING_RO_ROLLUP[],MATCH($B26,MMWR_RATING_RO_ROLLUP[MMWR_RATING_RO_ROLLUP],0),MATCH(D$9,MMWR_RATING_RO_ROLLUP[#Headers],0)),"ERROR"))</f>
        <v>150.42080924859999</v>
      </c>
      <c r="E26" s="156">
        <f>IF($B26=" ","",IFERROR(INDEX(MMWR_RATING_RO_ROLLUP[],MATCH($B26,MMWR_RATING_RO_ROLLUP[MMWR_RATING_RO_ROLLUP],0),MATCH(E$9,MMWR_RATING_RO_ROLLUP[#Headers],0))/$C26,"ERROR"))</f>
        <v>0.50057803468208095</v>
      </c>
      <c r="F26" s="154">
        <f>IF($B26=" ","",IFERROR(INDEX(MMWR_RATING_RO_ROLLUP[],MATCH($B26,MMWR_RATING_RO_ROLLUP[MMWR_RATING_RO_ROLLUP],0),MATCH(F$9,MMWR_RATING_RO_ROLLUP[#Headers],0)),"ERROR"))</f>
        <v>686</v>
      </c>
      <c r="G26" s="154">
        <f>IF($B26=" ","",IFERROR(INDEX(MMWR_RATING_RO_ROLLUP[],MATCH($B26,MMWR_RATING_RO_ROLLUP[MMWR_RATING_RO_ROLLUP],0),MATCH(G$9,MMWR_RATING_RO_ROLLUP[#Headers],0)),"ERROR"))</f>
        <v>5974</v>
      </c>
      <c r="H26" s="155">
        <f>IF($B26=" ","",IFERROR(INDEX(MMWR_RATING_RO_ROLLUP[],MATCH($B26,MMWR_RATING_RO_ROLLUP[MMWR_RATING_RO_ROLLUP],0),MATCH(H$9,MMWR_RATING_RO_ROLLUP[#Headers],0)),"ERROR"))</f>
        <v>171.16180758019999</v>
      </c>
      <c r="I26" s="155">
        <f>IF($B26=" ","",IFERROR(INDEX(MMWR_RATING_RO_ROLLUP[],MATCH($B26,MMWR_RATING_RO_ROLLUP[MMWR_RATING_RO_ROLLUP],0),MATCH(I$9,MMWR_RATING_RO_ROLLUP[#Headers],0)),"ERROR"))</f>
        <v>173.19601606960001</v>
      </c>
      <c r="J26" s="157">
        <f>IF($B26=" ","",IFERROR(VLOOKUP($B26,MMWR_ACCURACY_RO[],MATCH(J$9,MMWR_ACCURACY_RO[#Headers],0),0),"ERROR"))</f>
        <v>0.90146464638382928</v>
      </c>
      <c r="K26" s="157">
        <f>IF($B26=" ","",IFERROR(VLOOKUP($B26,MMWR_ACCURACY_RO[],MATCH(K$9,MMWR_ACCURACY_RO[#Headers],0),0),"ERROR"))</f>
        <v>0.81889894322508883</v>
      </c>
      <c r="L26" s="157">
        <f>IF($B26=" ","",IFERROR(VLOOKUP($B26,MMWR_ACCURACY_RO[],MATCH(L$9,MMWR_ACCURACY_RO[#Headers],0),0),"ERROR"))</f>
        <v>0.87903560925712843</v>
      </c>
      <c r="M26" s="157">
        <f>IF($B26=" ","",IFERROR(VLOOKUP($B26,MMWR_ACCURACY_RO[],MATCH(M$9,MMWR_ACCURACY_RO[#Headers],0),0),"ERROR"))</f>
        <v>4.8549449885668637E-2</v>
      </c>
      <c r="N26" s="157">
        <f>IF($B26=" ","",IFERROR(VLOOKUP($B26,MMWR_ACCURACY_RO[],MATCH(N$9,MMWR_ACCURACY_RO[#Headers],0),0),"ERROR"))</f>
        <v>0.87339857337076443</v>
      </c>
      <c r="O26" s="157">
        <f>IF($B26=" ","",IFERROR(VLOOKUP($B26,MMWR_ACCURACY_RO[],MATCH(O$9,MMWR_ACCURACY_RO[#Headers],0),0),"ERROR"))</f>
        <v>6.1622262298756073E-2</v>
      </c>
      <c r="P26" s="28"/>
    </row>
    <row r="27" spans="1:16" x14ac:dyDescent="0.2">
      <c r="A27" s="25"/>
      <c r="B27" s="8" t="str">
        <f>VLOOKUP($B$16,DISTRICT_RO[],12,0)</f>
        <v>Providence VSC</v>
      </c>
      <c r="C27" s="154">
        <f>IF($B27=" ","",IFERROR(INDEX(MMWR_RATING_RO_ROLLUP[],MATCH($B27,MMWR_RATING_RO_ROLLUP[MMWR_RATING_RO_ROLLUP],0),MATCH(C$9,MMWR_RATING_RO_ROLLUP[#Headers],0)),"ERROR"))</f>
        <v>1816</v>
      </c>
      <c r="D27" s="155">
        <f>IF($B27=" ","",IFERROR(INDEX(MMWR_RATING_RO_ROLLUP[],MATCH($B27,MMWR_RATING_RO_ROLLUP[MMWR_RATING_RO_ROLLUP],0),MATCH(D$9,MMWR_RATING_RO_ROLLUP[#Headers],0)),"ERROR"))</f>
        <v>62.195484581499997</v>
      </c>
      <c r="E27" s="156">
        <f>IF($B27=" ","",IFERROR(INDEX(MMWR_RATING_RO_ROLLUP[],MATCH($B27,MMWR_RATING_RO_ROLLUP[MMWR_RATING_RO_ROLLUP],0),MATCH(E$9,MMWR_RATING_RO_ROLLUP[#Headers],0))/$C27,"ERROR"))</f>
        <v>0.17290748898678415</v>
      </c>
      <c r="F27" s="154">
        <f>IF($B27=" ","",IFERROR(INDEX(MMWR_RATING_RO_ROLLUP[],MATCH($B27,MMWR_RATING_RO_ROLLUP[MMWR_RATING_RO_ROLLUP],0),MATCH(F$9,MMWR_RATING_RO_ROLLUP[#Headers],0)),"ERROR"))</f>
        <v>1563</v>
      </c>
      <c r="G27" s="154">
        <f>IF($B27=" ","",IFERROR(INDEX(MMWR_RATING_RO_ROLLUP[],MATCH($B27,MMWR_RATING_RO_ROLLUP[MMWR_RATING_RO_ROLLUP],0),MATCH(G$9,MMWR_RATING_RO_ROLLUP[#Headers],0)),"ERROR"))</f>
        <v>14397</v>
      </c>
      <c r="H27" s="155">
        <f>IF($B27=" ","",IFERROR(INDEX(MMWR_RATING_RO_ROLLUP[],MATCH($B27,MMWR_RATING_RO_ROLLUP[MMWR_RATING_RO_ROLLUP],0),MATCH(H$9,MMWR_RATING_RO_ROLLUP[#Headers],0)),"ERROR"))</f>
        <v>69.191938579699993</v>
      </c>
      <c r="I27" s="155">
        <f>IF($B27=" ","",IFERROR(INDEX(MMWR_RATING_RO_ROLLUP[],MATCH($B27,MMWR_RATING_RO_ROLLUP[MMWR_RATING_RO_ROLLUP],0),MATCH(I$9,MMWR_RATING_RO_ROLLUP[#Headers],0)),"ERROR"))</f>
        <v>79.356254775300002</v>
      </c>
      <c r="J27" s="157">
        <f>IF($B27=" ","",IFERROR(VLOOKUP($B27,MMWR_ACCURACY_RO[],MATCH(J$9,MMWR_ACCURACY_RO[#Headers],0),0),"ERROR"))</f>
        <v>0.94165163634328763</v>
      </c>
      <c r="K27" s="157">
        <f>IF($B27=" ","",IFERROR(VLOOKUP($B27,MMWR_ACCURACY_RO[],MATCH(K$9,MMWR_ACCURACY_RO[#Headers],0),0),"ERROR"))</f>
        <v>0.84048773636511509</v>
      </c>
      <c r="L27" s="157">
        <f>IF($B27=" ","",IFERROR(VLOOKUP($B27,MMWR_ACCURACY_RO[],MATCH(L$9,MMWR_ACCURACY_RO[#Headers],0),0),"ERROR"))</f>
        <v>0.84751851029699798</v>
      </c>
      <c r="M27" s="157">
        <f>IF($B27=" ","",IFERROR(VLOOKUP($B27,MMWR_ACCURACY_RO[],MATCH(M$9,MMWR_ACCURACY_RO[#Headers],0),0),"ERROR"))</f>
        <v>6.5507002426279187E-2</v>
      </c>
      <c r="N27" s="157">
        <f>IF($B27=" ","",IFERROR(VLOOKUP($B27,MMWR_ACCURACY_RO[],MATCH(N$9,MMWR_ACCURACY_RO[#Headers],0),0),"ERROR"))</f>
        <v>0.94275534614517664</v>
      </c>
      <c r="O27" s="157">
        <f>IF($B27=" ","",IFERROR(VLOOKUP($B27,MMWR_ACCURACY_RO[],MATCH(O$9,MMWR_ACCURACY_RO[#Headers],0),0),"ERROR"))</f>
        <v>3.9828604634275851E-2</v>
      </c>
      <c r="P27" s="28"/>
    </row>
    <row r="28" spans="1:16" x14ac:dyDescent="0.2">
      <c r="A28" s="25"/>
      <c r="B28" s="8" t="str">
        <f>VLOOKUP($B$16,DISTRICT_RO[],13,0)</f>
        <v>Roanoke VSC</v>
      </c>
      <c r="C28" s="154">
        <f>IF($B28=" ","",IFERROR(INDEX(MMWR_RATING_RO_ROLLUP[],MATCH($B28,MMWR_RATING_RO_ROLLUP[MMWR_RATING_RO_ROLLUP],0),MATCH(C$9,MMWR_RATING_RO_ROLLUP[#Headers],0)),"ERROR"))</f>
        <v>2520</v>
      </c>
      <c r="D28" s="155">
        <f>IF($B28=" ","",IFERROR(INDEX(MMWR_RATING_RO_ROLLUP[],MATCH($B28,MMWR_RATING_RO_ROLLUP[MMWR_RATING_RO_ROLLUP],0),MATCH(D$9,MMWR_RATING_RO_ROLLUP[#Headers],0)),"ERROR"))</f>
        <v>102.6575396825</v>
      </c>
      <c r="E28" s="156">
        <f>IF($B28=" ","",IFERROR(INDEX(MMWR_RATING_RO_ROLLUP[],MATCH($B28,MMWR_RATING_RO_ROLLUP[MMWR_RATING_RO_ROLLUP],0),MATCH(E$9,MMWR_RATING_RO_ROLLUP[#Headers],0))/$C28,"ERROR"))</f>
        <v>0.35476190476190478</v>
      </c>
      <c r="F28" s="154">
        <f>IF($B28=" ","",IFERROR(INDEX(MMWR_RATING_RO_ROLLUP[],MATCH($B28,MMWR_RATING_RO_ROLLUP[MMWR_RATING_RO_ROLLUP],0),MATCH(F$9,MMWR_RATING_RO_ROLLUP[#Headers],0)),"ERROR"))</f>
        <v>2352</v>
      </c>
      <c r="G28" s="154">
        <f>IF($B28=" ","",IFERROR(INDEX(MMWR_RATING_RO_ROLLUP[],MATCH($B28,MMWR_RATING_RO_ROLLUP[MMWR_RATING_RO_ROLLUP],0),MATCH(G$9,MMWR_RATING_RO_ROLLUP[#Headers],0)),"ERROR"))</f>
        <v>19084</v>
      </c>
      <c r="H28" s="155">
        <f>IF($B28=" ","",IFERROR(INDEX(MMWR_RATING_RO_ROLLUP[],MATCH($B28,MMWR_RATING_RO_ROLLUP[MMWR_RATING_RO_ROLLUP],0),MATCH(H$9,MMWR_RATING_RO_ROLLUP[#Headers],0)),"ERROR"))</f>
        <v>131.39965986390001</v>
      </c>
      <c r="I28" s="155">
        <f>IF($B28=" ","",IFERROR(INDEX(MMWR_RATING_RO_ROLLUP[],MATCH($B28,MMWR_RATING_RO_ROLLUP[MMWR_RATING_RO_ROLLUP],0),MATCH(I$9,MMWR_RATING_RO_ROLLUP[#Headers],0)),"ERROR"))</f>
        <v>134.17176692519999</v>
      </c>
      <c r="J28" s="157">
        <f>IF($B28=" ","",IFERROR(VLOOKUP($B28,MMWR_ACCURACY_RO[],MATCH(J$9,MMWR_ACCURACY_RO[#Headers],0),0),"ERROR"))</f>
        <v>0.94303945218270968</v>
      </c>
      <c r="K28" s="157">
        <f>IF($B28=" ","",IFERROR(VLOOKUP($B28,MMWR_ACCURACY_RO[],MATCH(K$9,MMWR_ACCURACY_RO[#Headers],0),0),"ERROR"))</f>
        <v>0.89208755248209437</v>
      </c>
      <c r="L28" s="157">
        <f>IF($B28=" ","",IFERROR(VLOOKUP($B28,MMWR_ACCURACY_RO[],MATCH(L$9,MMWR_ACCURACY_RO[#Headers],0),0),"ERROR"))</f>
        <v>0.89767472120545055</v>
      </c>
      <c r="M28" s="157">
        <f>IF($B28=" ","",IFERROR(VLOOKUP($B28,MMWR_ACCURACY_RO[],MATCH(M$9,MMWR_ACCURACY_RO[#Headers],0),0),"ERROR"))</f>
        <v>5.0151540616386471E-2</v>
      </c>
      <c r="N28" s="157">
        <f>IF($B28=" ","",IFERROR(VLOOKUP($B28,MMWR_ACCURACY_RO[],MATCH(N$9,MMWR_ACCURACY_RO[#Headers],0),0),"ERROR"))</f>
        <v>0.90107554427584446</v>
      </c>
      <c r="O28" s="157">
        <f>IF($B28=" ","",IFERROR(VLOOKUP($B28,MMWR_ACCURACY_RO[],MATCH(O$9,MMWR_ACCURACY_RO[#Headers],0),0),"ERROR"))</f>
        <v>4.6500047247762098E-2</v>
      </c>
      <c r="P28" s="28"/>
    </row>
    <row r="29" spans="1:16" x14ac:dyDescent="0.2">
      <c r="A29" s="25"/>
      <c r="B29" s="8" t="str">
        <f>VLOOKUP($B$16,DISTRICT_RO[],14,0)</f>
        <v>Togus VSC</v>
      </c>
      <c r="C29" s="154">
        <f>IF($B29=" ","",IFERROR(INDEX(MMWR_RATING_RO_ROLLUP[],MATCH($B29,MMWR_RATING_RO_ROLLUP[MMWR_RATING_RO_ROLLUP],0),MATCH(C$9,MMWR_RATING_RO_ROLLUP[#Headers],0)),"ERROR"))</f>
        <v>2429</v>
      </c>
      <c r="D29" s="155">
        <f>IF($B29=" ","",IFERROR(INDEX(MMWR_RATING_RO_ROLLUP[],MATCH($B29,MMWR_RATING_RO_ROLLUP[MMWR_RATING_RO_ROLLUP],0),MATCH(D$9,MMWR_RATING_RO_ROLLUP[#Headers],0)),"ERROR"))</f>
        <v>74.192671881400003</v>
      </c>
      <c r="E29" s="156">
        <f>IF($B29=" ","",IFERROR(INDEX(MMWR_RATING_RO_ROLLUP[],MATCH($B29,MMWR_RATING_RO_ROLLUP[MMWR_RATING_RO_ROLLUP],0),MATCH(E$9,MMWR_RATING_RO_ROLLUP[#Headers],0))/$C29,"ERROR"))</f>
        <v>0.19678880197612186</v>
      </c>
      <c r="F29" s="154">
        <f>IF($B29=" ","",IFERROR(INDEX(MMWR_RATING_RO_ROLLUP[],MATCH($B29,MMWR_RATING_RO_ROLLUP[MMWR_RATING_RO_ROLLUP],0),MATCH(F$9,MMWR_RATING_RO_ROLLUP[#Headers],0)),"ERROR"))</f>
        <v>1292</v>
      </c>
      <c r="G29" s="154">
        <f>IF($B29=" ","",IFERROR(INDEX(MMWR_RATING_RO_ROLLUP[],MATCH($B29,MMWR_RATING_RO_ROLLUP[MMWR_RATING_RO_ROLLUP],0),MATCH(G$9,MMWR_RATING_RO_ROLLUP[#Headers],0)),"ERROR"))</f>
        <v>10051</v>
      </c>
      <c r="H29" s="155">
        <f>IF($B29=" ","",IFERROR(INDEX(MMWR_RATING_RO_ROLLUP[],MATCH($B29,MMWR_RATING_RO_ROLLUP[MMWR_RATING_RO_ROLLUP],0),MATCH(H$9,MMWR_RATING_RO_ROLLUP[#Headers],0)),"ERROR"))</f>
        <v>140.34210526320001</v>
      </c>
      <c r="I29" s="155">
        <f>IF($B29=" ","",IFERROR(INDEX(MMWR_RATING_RO_ROLLUP[],MATCH($B29,MMWR_RATING_RO_ROLLUP[MMWR_RATING_RO_ROLLUP],0),MATCH(I$9,MMWR_RATING_RO_ROLLUP[#Headers],0)),"ERROR"))</f>
        <v>140.1607800219</v>
      </c>
      <c r="J29" s="157">
        <f>IF($B29=" ","",IFERROR(VLOOKUP($B29,MMWR_ACCURACY_RO[],MATCH(J$9,MMWR_ACCURACY_RO[#Headers],0),0),"ERROR"))</f>
        <v>0.98920559574613742</v>
      </c>
      <c r="K29" s="157">
        <f>IF($B29=" ","",IFERROR(VLOOKUP($B29,MMWR_ACCURACY_RO[],MATCH(K$9,MMWR_ACCURACY_RO[#Headers],0),0),"ERROR"))</f>
        <v>0.93597502401536981</v>
      </c>
      <c r="L29" s="157">
        <f>IF($B29=" ","",IFERROR(VLOOKUP($B29,MMWR_ACCURACY_RO[],MATCH(L$9,MMWR_ACCURACY_RO[#Headers],0),0),"ERROR"))</f>
        <v>0.89244897959183656</v>
      </c>
      <c r="M29" s="157">
        <f>IF($B29=" ","",IFERROR(VLOOKUP($B29,MMWR_ACCURACY_RO[],MATCH(M$9,MMWR_ACCURACY_RO[#Headers],0),0),"ERROR"))</f>
        <v>5.2823918376779348E-2</v>
      </c>
      <c r="N29" s="157">
        <f>IF($B29=" ","",IFERROR(VLOOKUP($B29,MMWR_ACCURACY_RO[],MATCH(N$9,MMWR_ACCURACY_RO[#Headers],0),0),"ERROR"))</f>
        <v>0.9514675187743421</v>
      </c>
      <c r="O29" s="157">
        <f>IF($B29=" ","",IFERROR(VLOOKUP($B29,MMWR_ACCURACY_RO[],MATCH(O$9,MMWR_ACCURACY_RO[#Headers],0),0),"ERROR"))</f>
        <v>3.2353071975654332E-2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166</v>
      </c>
      <c r="D30" s="155">
        <f>IF($B30=" ","",IFERROR(INDEX(MMWR_RATING_RO_ROLLUP[],MATCH($B30,MMWR_RATING_RO_ROLLUP[MMWR_RATING_RO_ROLLUP],0),MATCH(D$9,MMWR_RATING_RO_ROLLUP[#Headers],0)),"ERROR"))</f>
        <v>134.3192771084</v>
      </c>
      <c r="E30" s="156">
        <f>IF($B30=" ","",IFERROR(INDEX(MMWR_RATING_RO_ROLLUP[],MATCH($B30,MMWR_RATING_RO_ROLLUP[MMWR_RATING_RO_ROLLUP],0),MATCH(E$9,MMWR_RATING_RO_ROLLUP[#Headers],0))/$C30,"ERROR"))</f>
        <v>0.42771084337349397</v>
      </c>
      <c r="F30" s="154">
        <f>IF($B30=" ","",IFERROR(INDEX(MMWR_RATING_RO_ROLLUP[],MATCH($B30,MMWR_RATING_RO_ROLLUP[MMWR_RATING_RO_ROLLUP],0),MATCH(F$9,MMWR_RATING_RO_ROLLUP[#Headers],0)),"ERROR"))</f>
        <v>151</v>
      </c>
      <c r="G30" s="154">
        <f>IF($B30=" ","",IFERROR(INDEX(MMWR_RATING_RO_ROLLUP[],MATCH($B30,MMWR_RATING_RO_ROLLUP[MMWR_RATING_RO_ROLLUP],0),MATCH(G$9,MMWR_RATING_RO_ROLLUP[#Headers],0)),"ERROR"))</f>
        <v>1188</v>
      </c>
      <c r="H30" s="155">
        <f>IF($B30=" ","",IFERROR(INDEX(MMWR_RATING_RO_ROLLUP[],MATCH($B30,MMWR_RATING_RO_ROLLUP[MMWR_RATING_RO_ROLLUP],0),MATCH(H$9,MMWR_RATING_RO_ROLLUP[#Headers],0)),"ERROR"))</f>
        <v>126.6291390728</v>
      </c>
      <c r="I30" s="155">
        <f>IF($B30=" ","",IFERROR(INDEX(MMWR_RATING_RO_ROLLUP[],MATCH($B30,MMWR_RATING_RO_ROLLUP[MMWR_RATING_RO_ROLLUP],0),MATCH(I$9,MMWR_RATING_RO_ROLLUP[#Headers],0)),"ERROR"))</f>
        <v>154.29882154879999</v>
      </c>
      <c r="J30" s="157">
        <f>IF($B30=" ","",IFERROR(VLOOKUP($B30,MMWR_ACCURACY_RO[],MATCH(J$9,MMWR_ACCURACY_RO[#Headers],0),0),"ERROR"))</f>
        <v>0.9277195705600827</v>
      </c>
      <c r="K30" s="157">
        <f>IF($B30=" ","",IFERROR(VLOOKUP($B30,MMWR_ACCURACY_RO[],MATCH(K$9,MMWR_ACCURACY_RO[#Headers],0),0),"ERROR"))</f>
        <v>0.84851796655075329</v>
      </c>
      <c r="L30" s="157">
        <f>IF($B30=" ","",IFERROR(VLOOKUP($B30,MMWR_ACCURACY_RO[],MATCH(L$9,MMWR_ACCURACY_RO[#Headers],0),0),"ERROR"))</f>
        <v>0.83915214371888847</v>
      </c>
      <c r="M30" s="157">
        <f>IF($B30=" ","",IFERROR(VLOOKUP($B30,MMWR_ACCURACY_RO[],MATCH(M$9,MMWR_ACCURACY_RO[#Headers],0),0),"ERROR"))</f>
        <v>5.1698352474919031E-2</v>
      </c>
      <c r="N30" s="157">
        <f>IF($B30=" ","",IFERROR(VLOOKUP($B30,MMWR_ACCURACY_RO[],MATCH(N$9,MMWR_ACCURACY_RO[#Headers],0),0),"ERROR"))</f>
        <v>0.89282245033742025</v>
      </c>
      <c r="O30" s="157">
        <f>IF($B30=" ","",IFERROR(VLOOKUP($B30,MMWR_ACCURACY_RO[],MATCH(O$9,MMWR_ACCURACY_RO[#Headers],0),0),"ERROR"))</f>
        <v>4.4050172620826444E-2</v>
      </c>
      <c r="P30" s="28"/>
    </row>
    <row r="31" spans="1:16" x14ac:dyDescent="0.2">
      <c r="A31" s="25"/>
      <c r="B31" s="8" t="str">
        <f>VLOOKUP($B$16,DISTRICT_RO[],16,0)</f>
        <v>Wilmington VSC</v>
      </c>
      <c r="C31" s="154">
        <f>IF($B31=" ","",IFERROR(INDEX(MMWR_RATING_RO_ROLLUP[],MATCH($B31,MMWR_RATING_RO_ROLLUP[MMWR_RATING_RO_ROLLUP],0),MATCH(C$9,MMWR_RATING_RO_ROLLUP[#Headers],0)),"ERROR"))</f>
        <v>281</v>
      </c>
      <c r="D31" s="155">
        <f>IF($B31=" ","",IFERROR(INDEX(MMWR_RATING_RO_ROLLUP[],MATCH($B31,MMWR_RATING_RO_ROLLUP[MMWR_RATING_RO_ROLLUP],0),MATCH(D$9,MMWR_RATING_RO_ROLLUP[#Headers],0)),"ERROR"))</f>
        <v>127.60854092530001</v>
      </c>
      <c r="E31" s="156">
        <f>IF($B31=" ","",IFERROR(INDEX(MMWR_RATING_RO_ROLLUP[],MATCH($B31,MMWR_RATING_RO_ROLLUP[MMWR_RATING_RO_ROLLUP],0),MATCH(E$9,MMWR_RATING_RO_ROLLUP[#Headers],0))/$C31,"ERROR"))</f>
        <v>0.37366548042704628</v>
      </c>
      <c r="F31" s="154">
        <f>IF($B31=" ","",IFERROR(INDEX(MMWR_RATING_RO_ROLLUP[],MATCH($B31,MMWR_RATING_RO_ROLLUP[MMWR_RATING_RO_ROLLUP],0),MATCH(F$9,MMWR_RATING_RO_ROLLUP[#Headers],0)),"ERROR"))</f>
        <v>115</v>
      </c>
      <c r="G31" s="154">
        <f>IF($B31=" ","",IFERROR(INDEX(MMWR_RATING_RO_ROLLUP[],MATCH($B31,MMWR_RATING_RO_ROLLUP[MMWR_RATING_RO_ROLLUP],0),MATCH(G$9,MMWR_RATING_RO_ROLLUP[#Headers],0)),"ERROR"))</f>
        <v>878</v>
      </c>
      <c r="H31" s="155">
        <f>IF($B31=" ","",IFERROR(INDEX(MMWR_RATING_RO_ROLLUP[],MATCH($B31,MMWR_RATING_RO_ROLLUP[MMWR_RATING_RO_ROLLUP],0),MATCH(H$9,MMWR_RATING_RO_ROLLUP[#Headers],0)),"ERROR"))</f>
        <v>119.21739130429999</v>
      </c>
      <c r="I31" s="155">
        <f>IF($B31=" ","",IFERROR(INDEX(MMWR_RATING_RO_ROLLUP[],MATCH($B31,MMWR_RATING_RO_ROLLUP[MMWR_RATING_RO_ROLLUP],0),MATCH(I$9,MMWR_RATING_RO_ROLLUP[#Headers],0)),"ERROR"))</f>
        <v>118.8496583144</v>
      </c>
      <c r="J31" s="157">
        <f>IF($B31=" ","",IFERROR(VLOOKUP($B31,MMWR_ACCURACY_RO[],MATCH(J$9,MMWR_ACCURACY_RO[#Headers],0),0),"ERROR"))</f>
        <v>0.94343222947187011</v>
      </c>
      <c r="K31" s="157">
        <f>IF($B31=" ","",IFERROR(VLOOKUP($B31,MMWR_ACCURACY_RO[],MATCH(K$9,MMWR_ACCURACY_RO[#Headers],0),0),"ERROR"))</f>
        <v>0.92777777777777781</v>
      </c>
      <c r="L31" s="157">
        <f>IF($B31=" ","",IFERROR(VLOOKUP($B31,MMWR_ACCURACY_RO[],MATCH(L$9,MMWR_ACCURACY_RO[#Headers],0),0),"ERROR"))</f>
        <v>0.85867744644340371</v>
      </c>
      <c r="M31" s="157">
        <f>IF($B31=" ","",IFERROR(VLOOKUP($B31,MMWR_ACCURACY_RO[],MATCH(M$9,MMWR_ACCURACY_RO[#Headers],0),0),"ERROR"))</f>
        <v>5.1040043344436369E-2</v>
      </c>
      <c r="N31" s="157">
        <f>IF($B31=" ","",IFERROR(VLOOKUP($B31,MMWR_ACCURACY_RO[],MATCH(N$9,MMWR_ACCURACY_RO[#Headers],0),0),"ERROR"))</f>
        <v>0.8719542057454146</v>
      </c>
      <c r="O31" s="157">
        <f>IF($B31=" ","",IFERROR(VLOOKUP($B31,MMWR_ACCURACY_RO[],MATCH(O$9,MMWR_ACCURACY_RO[#Headers],0),0),"ERROR"))</f>
        <v>5.5733233864257416E-2</v>
      </c>
      <c r="P31" s="28"/>
    </row>
    <row r="32" spans="1:16" x14ac:dyDescent="0.2">
      <c r="A32" s="25"/>
      <c r="B32" s="8" t="str">
        <f>VLOOKUP($B$16,DISTRICT_RO[],17,0)</f>
        <v>Winston-Salem VSC</v>
      </c>
      <c r="C32" s="154">
        <f>IF($B32=" ","",IFERROR(INDEX(MMWR_RATING_RO_ROLLUP[],MATCH($B32,MMWR_RATING_RO_ROLLUP[MMWR_RATING_RO_ROLLUP],0),MATCH(C$9,MMWR_RATING_RO_ROLLUP[#Headers],0)),"ERROR"))</f>
        <v>4537</v>
      </c>
      <c r="D32" s="155">
        <f>IF($B32=" ","",IFERROR(INDEX(MMWR_RATING_RO_ROLLUP[],MATCH($B32,MMWR_RATING_RO_ROLLUP[MMWR_RATING_RO_ROLLUP],0),MATCH(D$9,MMWR_RATING_RO_ROLLUP[#Headers],0)),"ERROR"))</f>
        <v>92.123649989</v>
      </c>
      <c r="E32" s="156">
        <f>IF($B32=" ","",IFERROR(INDEX(MMWR_RATING_RO_ROLLUP[],MATCH($B32,MMWR_RATING_RO_ROLLUP[MMWR_RATING_RO_ROLLUP],0),MATCH(E$9,MMWR_RATING_RO_ROLLUP[#Headers],0))/$C32,"ERROR"))</f>
        <v>0.31915362574388362</v>
      </c>
      <c r="F32" s="154">
        <f>IF($B32=" ","",IFERROR(INDEX(MMWR_RATING_RO_ROLLUP[],MATCH($B32,MMWR_RATING_RO_ROLLUP[MMWR_RATING_RO_ROLLUP],0),MATCH(F$9,MMWR_RATING_RO_ROLLUP[#Headers],0)),"ERROR"))</f>
        <v>1632</v>
      </c>
      <c r="G32" s="154">
        <f>IF($B32=" ","",IFERROR(INDEX(MMWR_RATING_RO_ROLLUP[],MATCH($B32,MMWR_RATING_RO_ROLLUP[MMWR_RATING_RO_ROLLUP],0),MATCH(G$9,MMWR_RATING_RO_ROLLUP[#Headers],0)),"ERROR"))</f>
        <v>18091</v>
      </c>
      <c r="H32" s="155">
        <f>IF($B32=" ","",IFERROR(INDEX(MMWR_RATING_RO_ROLLUP[],MATCH($B32,MMWR_RATING_RO_ROLLUP[MMWR_RATING_RO_ROLLUP],0),MATCH(H$9,MMWR_RATING_RO_ROLLUP[#Headers],0)),"ERROR"))</f>
        <v>122.0723039216</v>
      </c>
      <c r="I32" s="155">
        <f>IF($B32=" ","",IFERROR(INDEX(MMWR_RATING_RO_ROLLUP[],MATCH($B32,MMWR_RATING_RO_ROLLUP[MMWR_RATING_RO_ROLLUP],0),MATCH(I$9,MMWR_RATING_RO_ROLLUP[#Headers],0)),"ERROR"))</f>
        <v>135.25537560110001</v>
      </c>
      <c r="J32" s="157">
        <f>IF($B32=" ","",IFERROR(VLOOKUP($B32,MMWR_ACCURACY_RO[],MATCH(J$9,MMWR_ACCURACY_RO[#Headers],0),0),"ERROR"))</f>
        <v>0.96845417061606776</v>
      </c>
      <c r="K32" s="157">
        <f>IF($B32=" ","",IFERROR(VLOOKUP($B32,MMWR_ACCURACY_RO[],MATCH(K$9,MMWR_ACCURACY_RO[#Headers],0),0),"ERROR"))</f>
        <v>0.87017212554402634</v>
      </c>
      <c r="L32" s="157">
        <f>IF($B32=" ","",IFERROR(VLOOKUP($B32,MMWR_ACCURACY_RO[],MATCH(L$9,MMWR_ACCURACY_RO[#Headers],0),0),"ERROR"))</f>
        <v>0.84312663035498336</v>
      </c>
      <c r="M32" s="157">
        <f>IF($B32=" ","",IFERROR(VLOOKUP($B32,MMWR_ACCURACY_RO[],MATCH(M$9,MMWR_ACCURACY_RO[#Headers],0),0),"ERROR"))</f>
        <v>5.1682697758815906E-2</v>
      </c>
      <c r="N32" s="157">
        <f>IF($B32=" ","",IFERROR(VLOOKUP($B32,MMWR_ACCURACY_RO[],MATCH(N$9,MMWR_ACCURACY_RO[#Headers],0),0),"ERROR"))</f>
        <v>0.93812250569203515</v>
      </c>
      <c r="O32" s="157">
        <f>IF($B32=" ","",IFERROR(VLOOKUP($B32,MMWR_ACCURACY_RO[],MATCH(O$9,MMWR_ACCURACY_RO[#Headers],0),0),"ERROR"))</f>
        <v>3.9642459938580572E-2</v>
      </c>
      <c r="P32" s="28"/>
    </row>
    <row r="33" spans="1:16" x14ac:dyDescent="0.2">
      <c r="A33" s="25"/>
      <c r="B33" s="377" t="s">
        <v>734</v>
      </c>
      <c r="C33" s="378"/>
      <c r="D33" s="378"/>
      <c r="E33" s="378"/>
      <c r="F33" s="378"/>
      <c r="G33" s="378"/>
      <c r="H33" s="378"/>
      <c r="I33" s="378"/>
      <c r="J33" s="378"/>
      <c r="K33" s="378"/>
      <c r="L33" s="378"/>
      <c r="M33" s="378"/>
      <c r="N33" s="378"/>
      <c r="O33" s="378"/>
      <c r="P33" s="28"/>
    </row>
    <row r="34" spans="1:16" x14ac:dyDescent="0.2">
      <c r="A34" s="25"/>
      <c r="B34" s="11" t="s">
        <v>697</v>
      </c>
      <c r="C34" s="154">
        <f>IF($B34=" ","",IFERROR(INDEX(MMWR_RATING_RO_ROLLUP[],MATCH($B34,MMWR_RATING_RO_ROLLUP[MMWR_RATING_RO_ROLLUP],0),MATCH(C$9,MMWR_RATING_RO_ROLLUP[#Headers],0)),"ERROR"))</f>
        <v>28368</v>
      </c>
      <c r="D34" s="155">
        <f>IF($B34=" ","",IFERROR(INDEX(MMWR_RATING_RO_ROLLUP[],MATCH($B34,MMWR_RATING_RO_ROLLUP[MMWR_RATING_RO_ROLLUP],0),MATCH(D$9,MMWR_RATING_RO_ROLLUP[#Headers],0)),"ERROR"))</f>
        <v>65.427982233500003</v>
      </c>
      <c r="E34" s="156">
        <f>IF($B34=" ","",IFERROR(INDEX(MMWR_RATING_RO_ROLLUP[],MATCH($B34,MMWR_RATING_RO_ROLLUP[MMWR_RATING_RO_ROLLUP],0),MATCH(E$9,MMWR_RATING_RO_ROLLUP[#Headers],0))/$C34,"ERROR"))</f>
        <v>0.11086435420191765</v>
      </c>
      <c r="F34" s="154">
        <f>IF($B34=" ","",IFERROR(INDEX(MMWR_RATING_RO_ROLLUP[],MATCH($B34,MMWR_RATING_RO_ROLLUP[MMWR_RATING_RO_ROLLUP],0),MATCH(F$9,MMWR_RATING_RO_ROLLUP[#Headers],0)),"ERROR"))</f>
        <v>8691</v>
      </c>
      <c r="G34" s="154">
        <f>IF($B34=" ","",IFERROR(INDEX(MMWR_RATING_RO_ROLLUP[],MATCH($B34,MMWR_RATING_RO_ROLLUP[MMWR_RATING_RO_ROLLUP],0),MATCH(G$9,MMWR_RATING_RO_ROLLUP[#Headers],0)),"ERROR"))</f>
        <v>82061</v>
      </c>
      <c r="H34" s="155">
        <f>IF($B34=" ","",IFERROR(INDEX(MMWR_RATING_RO_ROLLUP[],MATCH($B34,MMWR_RATING_RO_ROLLUP[MMWR_RATING_RO_ROLLUP],0),MATCH(H$9,MMWR_RATING_RO_ROLLUP[#Headers],0)),"ERROR"))</f>
        <v>81.268208491500005</v>
      </c>
      <c r="I34" s="155">
        <f>IF($B34=" ","",IFERROR(INDEX(MMWR_RATING_RO_ROLLUP[],MATCH($B34,MMWR_RATING_RO_ROLLUP[MMWR_RATING_RO_ROLLUP],0),MATCH(I$9,MMWR_RATING_RO_ROLLUP[#Headers],0)),"ERROR"))</f>
        <v>77.303444998200007</v>
      </c>
      <c r="J34" s="42"/>
      <c r="K34" s="262">
        <f>IF($B34=" ","",IFERROR(VLOOKUP($B34,MMWR_ACCURACY_RO[],MATCH(K$50,MMWR_ACCURACY_RO[#Headers],0),0),"ERROR"))</f>
        <v>0.94248129960600691</v>
      </c>
      <c r="L34" s="262">
        <f>IF($B34=" ","",IFERROR(VLOOKUP($B34,MMWR_ACCURACY_RO[],MATCH(L$50,MMWR_ACCURACY_RO[#Headers],0),0),"ERROR"))</f>
        <v>0.95445230946200188</v>
      </c>
      <c r="M34" s="262">
        <f>IF($B34=" ","",IFERROR(VLOOKUP($B34,MMWR_ACCURACY_RO[],MATCH(M$50,MMWR_ACCURACY_RO[#Headers],0),0),"ERROR"))</f>
        <v>2.0306229423582067E-2</v>
      </c>
      <c r="N34" s="262">
        <f>IF($B34=" ","",IFERROR(VLOOKUP($B34,MMWR_ACCURACY_RO[],MATCH(N$50,MMWR_ACCURACY_RO[#Headers],0),0),"ERROR"))</f>
        <v>0.96538192843619375</v>
      </c>
      <c r="O34" s="262">
        <f>IF($B34=" ","",IFERROR(VLOOKUP($B34,MMWR_ACCURACY_RO[],MATCH(O$50,MMWR_ACCURACY_RO[#Headers],0),0),"ERROR"))</f>
        <v>1.9487394664579584E-2</v>
      </c>
      <c r="P34" s="28"/>
    </row>
    <row r="35" spans="1:16" x14ac:dyDescent="0.2">
      <c r="A35" s="25"/>
      <c r="B35" s="12" t="s">
        <v>210</v>
      </c>
      <c r="C35" s="154">
        <f>IF($B35=" ","",IFERROR(INDEX(MMWR_RATING_RO_ROLLUP[],MATCH($B35,MMWR_RATING_RO_ROLLUP[MMWR_RATING_RO_ROLLUP],0),MATCH(C$9,MMWR_RATING_RO_ROLLUP[#Headers],0)),"ERROR"))</f>
        <v>13147</v>
      </c>
      <c r="D35" s="155">
        <f>IF($B35=" ","",IFERROR(INDEX(MMWR_RATING_RO_ROLLUP[],MATCH($B35,MMWR_RATING_RO_ROLLUP[MMWR_RATING_RO_ROLLUP],0),MATCH(D$9,MMWR_RATING_RO_ROLLUP[#Headers],0)),"ERROR"))</f>
        <v>66.955046778699995</v>
      </c>
      <c r="E35" s="156">
        <f>IF($B35=" ","",IFERROR(INDEX(MMWR_RATING_RO_ROLLUP[],MATCH($B35,MMWR_RATING_RO_ROLLUP[MMWR_RATING_RO_ROLLUP],0),MATCH(E$9,MMWR_RATING_RO_ROLLUP[#Headers],0))/$C35,"ERROR"))</f>
        <v>0.11569179280444208</v>
      </c>
      <c r="F35" s="154">
        <f>IF($B35=" ","",IFERROR(INDEX(MMWR_RATING_RO_ROLLUP[],MATCH($B35,MMWR_RATING_RO_ROLLUP[MMWR_RATING_RO_ROLLUP],0),MATCH(F$9,MMWR_RATING_RO_ROLLUP[#Headers],0)),"ERROR"))</f>
        <v>2829</v>
      </c>
      <c r="G35" s="154">
        <f>IF($B35=" ","",IFERROR(INDEX(MMWR_RATING_RO_ROLLUP[],MATCH($B35,MMWR_RATING_RO_ROLLUP[MMWR_RATING_RO_ROLLUP],0),MATCH(G$9,MMWR_RATING_RO_ROLLUP[#Headers],0)),"ERROR"))</f>
        <v>26539</v>
      </c>
      <c r="H35" s="155">
        <f>IF($B35=" ","",IFERROR(INDEX(MMWR_RATING_RO_ROLLUP[],MATCH($B35,MMWR_RATING_RO_ROLLUP[MMWR_RATING_RO_ROLLUP],0),MATCH(H$9,MMWR_RATING_RO_ROLLUP[#Headers],0)),"ERROR"))</f>
        <v>108.212796041</v>
      </c>
      <c r="I35" s="155">
        <f>IF($B35=" ","",IFERROR(INDEX(MMWR_RATING_RO_ROLLUP[],MATCH($B35,MMWR_RATING_RO_ROLLUP[MMWR_RATING_RO_ROLLUP],0),MATCH(I$9,MMWR_RATING_RO_ROLLUP[#Headers],0)),"ERROR"))</f>
        <v>96.191981612000006</v>
      </c>
      <c r="J35" s="42"/>
      <c r="K35" s="251">
        <f>IF($B35=" ","",IFERROR(VLOOKUP($B35,MMWR_ACCURACY_RO[],MATCH(K$50,MMWR_ACCURACY_RO[#Headers],0),0),"ERROR"))</f>
        <v>0.93655091230135368</v>
      </c>
      <c r="L35" s="251">
        <f>IF($B35=" ","",IFERROR(VLOOKUP($B35,MMWR_ACCURACY_RO[],MATCH(L$50,MMWR_ACCURACY_RO[#Headers],0),0),"ERROR"))</f>
        <v>0.92692323297898227</v>
      </c>
      <c r="M35" s="251">
        <f>IF($B35=" ","",IFERROR(VLOOKUP($B35,MMWR_ACCURACY_RO[],MATCH(M$50,MMWR_ACCURACY_RO[#Headers],0),0),"ERROR"))</f>
        <v>4.4856457134427929E-2</v>
      </c>
      <c r="N35" s="251">
        <f>IF($B35=" ","",IFERROR(VLOOKUP($B35,MMWR_ACCURACY_RO[],MATCH(N$50,MMWR_ACCURACY_RO[#Headers],0),0),"ERROR"))</f>
        <v>0.93074736510482292</v>
      </c>
      <c r="O35" s="251">
        <f>IF($B35=" ","",IFERROR(VLOOKUP($B35,MMWR_ACCURACY_RO[],MATCH(O$50,MMWR_ACCURACY_RO[#Headers],0),0),"ERROR"))</f>
        <v>4.7946610651523475E-2</v>
      </c>
      <c r="P35" s="28"/>
    </row>
    <row r="36" spans="1:16" x14ac:dyDescent="0.2">
      <c r="A36" s="43"/>
      <c r="B36" s="12" t="s">
        <v>209</v>
      </c>
      <c r="C36" s="154">
        <f>IF($B36=" ","",IFERROR(INDEX(MMWR_RATING_RO_ROLLUP[],MATCH($B36,MMWR_RATING_RO_ROLLUP[MMWR_RATING_RO_ROLLUP],0),MATCH(C$9,MMWR_RATING_RO_ROLLUP[#Headers],0)),"ERROR"))</f>
        <v>6347</v>
      </c>
      <c r="D36" s="155">
        <f>IF($B36=" ","",IFERROR(INDEX(MMWR_RATING_RO_ROLLUP[],MATCH($B36,MMWR_RATING_RO_ROLLUP[MMWR_RATING_RO_ROLLUP],0),MATCH(D$9,MMWR_RATING_RO_ROLLUP[#Headers],0)),"ERROR"))</f>
        <v>62.4849535213</v>
      </c>
      <c r="E36" s="156">
        <f>IF($B36=" ","",IFERROR(INDEX(MMWR_RATING_RO_ROLLUP[],MATCH($B36,MMWR_RATING_RO_ROLLUP[MMWR_RATING_RO_ROLLUP],0),MATCH(E$9,MMWR_RATING_RO_ROLLUP[#Headers],0))/$C36,"ERROR"))</f>
        <v>0.11265164644714037</v>
      </c>
      <c r="F36" s="154">
        <f>IF($B36=" ","",IFERROR(INDEX(MMWR_RATING_RO_ROLLUP[],MATCH($B36,MMWR_RATING_RO_ROLLUP[MMWR_RATING_RO_ROLLUP],0),MATCH(F$9,MMWR_RATING_RO_ROLLUP[#Headers],0)),"ERROR"))</f>
        <v>2421</v>
      </c>
      <c r="G36" s="154">
        <f>IF($B36=" ","",IFERROR(INDEX(MMWR_RATING_RO_ROLLUP[],MATCH($B36,MMWR_RATING_RO_ROLLUP[MMWR_RATING_RO_ROLLUP],0),MATCH(G$9,MMWR_RATING_RO_ROLLUP[#Headers],0)),"ERROR"))</f>
        <v>23540</v>
      </c>
      <c r="H36" s="155">
        <f>IF($B36=" ","",IFERROR(INDEX(MMWR_RATING_RO_ROLLUP[],MATCH($B36,MMWR_RATING_RO_ROLLUP[MMWR_RATING_RO_ROLLUP],0),MATCH(H$9,MMWR_RATING_RO_ROLLUP[#Headers],0)),"ERROR"))</f>
        <v>70.952498967400004</v>
      </c>
      <c r="I36" s="155">
        <f>IF($B36=" ","",IFERROR(INDEX(MMWR_RATING_RO_ROLLUP[],MATCH($B36,MMWR_RATING_RO_ROLLUP[MMWR_RATING_RO_ROLLUP],0),MATCH(I$9,MMWR_RATING_RO_ROLLUP[#Headers],0)),"ERROR"))</f>
        <v>71.213254035700004</v>
      </c>
      <c r="J36" s="42"/>
      <c r="K36" s="251">
        <f>IF($B36=" ","",IFERROR(VLOOKUP($B36,MMWR_ACCURACY_RO[],MATCH(K$50,MMWR_ACCURACY_RO[#Headers],0),0),"ERROR"))</f>
        <v>0.92610022189349128</v>
      </c>
      <c r="L36" s="251">
        <f>IF($B36=" ","",IFERROR(VLOOKUP($B36,MMWR_ACCURACY_RO[],MATCH(L$50,MMWR_ACCURACY_RO[#Headers],0),0),"ERROR"))</f>
        <v>0.93828620864700951</v>
      </c>
      <c r="M36" s="251">
        <f>IF($B36=" ","",IFERROR(VLOOKUP($B36,MMWR_ACCURACY_RO[],MATCH(M$50,MMWR_ACCURACY_RO[#Headers],0),0),"ERROR"))</f>
        <v>4.2764100494312632E-2</v>
      </c>
      <c r="N36" s="251">
        <f>IF($B36=" ","",IFERROR(VLOOKUP($B36,MMWR_ACCURACY_RO[],MATCH(N$50,MMWR_ACCURACY_RO[#Headers],0),0),"ERROR"))</f>
        <v>0.98641239113108437</v>
      </c>
      <c r="O36" s="251">
        <f>IF($B36=" ","",IFERROR(VLOOKUP($B36,MMWR_ACCURACY_RO[],MATCH(O$50,MMWR_ACCURACY_RO[#Headers],0),0),"ERROR"))</f>
        <v>1.5313519166583588E-2</v>
      </c>
      <c r="P36" s="28"/>
    </row>
    <row r="37" spans="1:16" x14ac:dyDescent="0.2">
      <c r="A37" s="25"/>
      <c r="B37" s="12" t="s">
        <v>212</v>
      </c>
      <c r="C37" s="154">
        <f>IF($B37=" ","",IFERROR(INDEX(MMWR_RATING_RO_ROLLUP[],MATCH($B37,MMWR_RATING_RO_ROLLUP[MMWR_RATING_RO_ROLLUP],0),MATCH(C$9,MMWR_RATING_RO_ROLLUP[#Headers],0)),"ERROR"))</f>
        <v>8142</v>
      </c>
      <c r="D37" s="155">
        <f>IF($B37=" ","",IFERROR(INDEX(MMWR_RATING_RO_ROLLUP[],MATCH($B37,MMWR_RATING_RO_ROLLUP[MMWR_RATING_RO_ROLLUP],0),MATCH(D$9,MMWR_RATING_RO_ROLLUP[#Headers],0)),"ERROR"))</f>
        <v>53.521616310500001</v>
      </c>
      <c r="E37" s="156">
        <f>IF($B37=" ","",IFERROR(INDEX(MMWR_RATING_RO_ROLLUP[],MATCH($B37,MMWR_RATING_RO_ROLLUP[MMWR_RATING_RO_ROLLUP],0),MATCH(E$9,MMWR_RATING_RO_ROLLUP[#Headers],0))/$C37,"ERROR"))</f>
        <v>6.1901252763448787E-2</v>
      </c>
      <c r="F37" s="154">
        <f>IF($B37=" ","",IFERROR(INDEX(MMWR_RATING_RO_ROLLUP[],MATCH($B37,MMWR_RATING_RO_ROLLUP[MMWR_RATING_RO_ROLLUP],0),MATCH(F$9,MMWR_RATING_RO_ROLLUP[#Headers],0)),"ERROR"))</f>
        <v>3150</v>
      </c>
      <c r="G37" s="154">
        <f>IF($B37=" ","",IFERROR(INDEX(MMWR_RATING_RO_ROLLUP[],MATCH($B37,MMWR_RATING_RO_ROLLUP[MMWR_RATING_RO_ROLLUP],0),MATCH(G$9,MMWR_RATING_RO_ROLLUP[#Headers],0)),"ERROR"))</f>
        <v>29487</v>
      </c>
      <c r="H37" s="155">
        <f>IF($B37=" ","",IFERROR(INDEX(MMWR_RATING_RO_ROLLUP[],MATCH($B37,MMWR_RATING_RO_ROLLUP[MMWR_RATING_RO_ROLLUP],0),MATCH(H$9,MMWR_RATING_RO_ROLLUP[#Headers],0)),"ERROR"))</f>
        <v>67.931746031700001</v>
      </c>
      <c r="I37" s="155">
        <f>IF($B37=" ","",IFERROR(INDEX(MMWR_RATING_RO_ROLLUP[],MATCH($B37,MMWR_RATING_RO_ROLLUP[MMWR_RATING_RO_ROLLUP],0),MATCH(I$9,MMWR_RATING_RO_ROLLUP[#Headers],0)),"ERROR"))</f>
        <v>68.060229931799995</v>
      </c>
      <c r="J37" s="42"/>
      <c r="K37" s="251">
        <f>IF($B37=" ","",IFERROR(VLOOKUP($B37,MMWR_ACCURACY_RO[],MATCH(K$50,MMWR_ACCURACY_RO[#Headers],0),0),"ERROR"))</f>
        <v>0.96259235203377447</v>
      </c>
      <c r="L37" s="251">
        <f>IF($B37=" ","",IFERROR(VLOOKUP($B37,MMWR_ACCURACY_RO[],MATCH(L$50,MMWR_ACCURACY_RO[#Headers],0),0),"ERROR"))</f>
        <v>0.99165156731291904</v>
      </c>
      <c r="M37" s="251">
        <f>IF($B37=" ","",IFERROR(VLOOKUP($B37,MMWR_ACCURACY_RO[],MATCH(M$50,MMWR_ACCURACY_RO[#Headers],0),0),"ERROR"))</f>
        <v>1.2449885009320311E-2</v>
      </c>
      <c r="N37" s="251">
        <f>IF($B37=" ","",IFERROR(VLOOKUP($B37,MMWR_ACCURACY_RO[],MATCH(N$50,MMWR_ACCURACY_RO[#Headers],0),0),"ERROR"))</f>
        <v>0.98308594598508436</v>
      </c>
      <c r="O37" s="251">
        <f>IF($B37=" ","",IFERROR(VLOOKUP($B37,MMWR_ACCURACY_RO[],MATCH(O$50,MMWR_ACCURACY_RO[#Headers],0),0),"ERROR"))</f>
        <v>2.0504052722243458E-2</v>
      </c>
      <c r="P37" s="28"/>
    </row>
    <row r="38" spans="1:16" x14ac:dyDescent="0.2">
      <c r="A38" s="25"/>
      <c r="B38" s="13" t="s">
        <v>224</v>
      </c>
      <c r="C38" s="154">
        <f>IF($B38=" ","",IFERROR(INDEX(MMWR_RATING_RO_ROLLUP[],MATCH($B38,MMWR_RATING_RO_ROLLUP[MMWR_RATING_RO_ROLLUP],0),MATCH(C$9,MMWR_RATING_RO_ROLLUP[#Headers],0)),"ERROR"))</f>
        <v>732</v>
      </c>
      <c r="D38" s="155">
        <f>IF($B38=" ","",IFERROR(INDEX(MMWR_RATING_RO_ROLLUP[],MATCH($B38,MMWR_RATING_RO_ROLLUP[MMWR_RATING_RO_ROLLUP],0),MATCH(D$9,MMWR_RATING_RO_ROLLUP[#Headers],0)),"ERROR"))</f>
        <v>195.95355191260001</v>
      </c>
      <c r="E38" s="156">
        <f>IF($B38=" ","",IFERROR(INDEX(MMWR_RATING_RO_ROLLUP[],MATCH($B38,MMWR_RATING_RO_ROLLUP[MMWR_RATING_RO_ROLLUP],0),MATCH(E$9,MMWR_RATING_RO_ROLLUP[#Headers],0))/$C38,"ERROR"))</f>
        <v>0.55327868852459017</v>
      </c>
      <c r="F38" s="154">
        <f>IF($B38=" ","",IFERROR(INDEX(MMWR_RATING_RO_ROLLUP[],MATCH($B38,MMWR_RATING_RO_ROLLUP[MMWR_RATING_RO_ROLLUP],0),MATCH(F$9,MMWR_RATING_RO_ROLLUP[#Headers],0)),"ERROR"))</f>
        <v>291</v>
      </c>
      <c r="G38" s="154">
        <f>IF($B38=" ","",IFERROR(INDEX(MMWR_RATING_RO_ROLLUP[],MATCH($B38,MMWR_RATING_RO_ROLLUP[MMWR_RATING_RO_ROLLUP],0),MATCH(G$9,MMWR_RATING_RO_ROLLUP[#Headers],0)),"ERROR"))</f>
        <v>2495</v>
      </c>
      <c r="H38" s="155">
        <f>IF($B38=" ","",IFERROR(INDEX(MMWR_RATING_RO_ROLLUP[],MATCH($B38,MMWR_RATING_RO_ROLLUP[MMWR_RATING_RO_ROLLUP],0),MATCH(H$9,MMWR_RATING_RO_ROLLUP[#Headers],0)),"ERROR"))</f>
        <v>49.508591065300003</v>
      </c>
      <c r="I38" s="155">
        <f>IF($B38=" ","",IFERROR(INDEX(MMWR_RATING_RO_ROLLUP[],MATCH($B38,MMWR_RATING_RO_ROLLUP[MMWR_RATING_RO_ROLLUP],0),MATCH(I$9,MMWR_RATING_RO_ROLLUP[#Headers],0)),"ERROR"))</f>
        <v>43.088977955899999</v>
      </c>
      <c r="J38" s="42"/>
      <c r="K38" s="42"/>
      <c r="L38" s="42"/>
      <c r="M38" s="42"/>
      <c r="N38" s="42"/>
      <c r="O38" s="42"/>
      <c r="P38" s="28"/>
    </row>
    <row r="39" spans="1:16" x14ac:dyDescent="0.2">
      <c r="A39" s="25"/>
      <c r="B39" s="377" t="s">
        <v>917</v>
      </c>
      <c r="C39" s="378"/>
      <c r="D39" s="378"/>
      <c r="E39" s="378"/>
      <c r="F39" s="378"/>
      <c r="G39" s="378"/>
      <c r="H39" s="378"/>
      <c r="I39" s="378"/>
      <c r="J39" s="378"/>
      <c r="K39" s="378"/>
      <c r="L39" s="378"/>
      <c r="M39" s="378"/>
      <c r="N39" s="378"/>
      <c r="O39" s="378"/>
      <c r="P39" s="28"/>
    </row>
    <row r="40" spans="1:16" x14ac:dyDescent="0.2">
      <c r="A40" s="25"/>
      <c r="B40" s="44" t="s">
        <v>698</v>
      </c>
      <c r="C40" s="154">
        <f>IF($B40=" ","",IFERROR(INDEX(MMWR_RATING_RO_ROLLUP[],MATCH($B40,MMWR_RATING_RO_ROLLUP[MMWR_RATING_RO_ROLLUP],0),MATCH(C$9,MMWR_RATING_RO_ROLLUP[#Headers],0)),"ERROR"))</f>
        <v>8329</v>
      </c>
      <c r="D40" s="155">
        <f>IF($B40=" ","",IFERROR(INDEX(MMWR_RATING_RO_ROLLUP[],MATCH($B40,MMWR_RATING_RO_ROLLUP[MMWR_RATING_RO_ROLLUP],0),MATCH(D$9,MMWR_RATING_RO_ROLLUP[#Headers],0)),"ERROR"))</f>
        <v>88.480970104500003</v>
      </c>
      <c r="E40" s="156">
        <f>IF($B40=" ","",IFERROR(INDEX(MMWR_RATING_RO_ROLLUP[],MATCH($B40,MMWR_RATING_RO_ROLLUP[MMWR_RATING_RO_ROLLUP],0),MATCH(E$9,MMWR_RATING_RO_ROLLUP[#Headers],0))/$C40,"ERROR"))</f>
        <v>0.25501260655540881</v>
      </c>
      <c r="F40" s="154">
        <f>IF($B40=" ","",IFERROR(INDEX(MMWR_RATING_RO_ROLLUP[],MATCH($B40,MMWR_RATING_RO_ROLLUP[MMWR_RATING_RO_ROLLUP],0),MATCH(F$9,MMWR_RATING_RO_ROLLUP[#Headers],0)),"ERROR"))</f>
        <v>1926</v>
      </c>
      <c r="G40" s="154">
        <f>IF($B40=" ","",IFERROR(INDEX(MMWR_RATING_RO_ROLLUP[],MATCH($B40,MMWR_RATING_RO_ROLLUP[MMWR_RATING_RO_ROLLUP],0),MATCH(G$9,MMWR_RATING_RO_ROLLUP[#Headers],0)),"ERROR"))</f>
        <v>13499</v>
      </c>
      <c r="H40" s="155">
        <f>IF($B40=" ","",IFERROR(INDEX(MMWR_RATING_RO_ROLLUP[],MATCH($B40,MMWR_RATING_RO_ROLLUP[MMWR_RATING_RO_ROLLUP],0),MATCH(H$9,MMWR_RATING_RO_ROLLUP[#Headers],0)),"ERROR"))</f>
        <v>135.97300103840001</v>
      </c>
      <c r="I40" s="155">
        <f>IF($B40=" ","",IFERROR(INDEX(MMWR_RATING_RO_ROLLUP[],MATCH($B40,MMWR_RATING_RO_ROLLUP[MMWR_RATING_RO_ROLLUP],0),MATCH(I$9,MMWR_RATING_RO_ROLLUP[#Headers],0)),"ERROR"))</f>
        <v>144.879398474</v>
      </c>
      <c r="J40" s="42"/>
      <c r="K40" s="42"/>
      <c r="L40" s="42"/>
      <c r="M40" s="42"/>
      <c r="N40" s="42"/>
      <c r="O40" s="42"/>
      <c r="P40" s="28"/>
    </row>
    <row r="41" spans="1:16" x14ac:dyDescent="0.2">
      <c r="A41" s="25"/>
      <c r="B41" s="45" t="s">
        <v>957</v>
      </c>
      <c r="C41" s="154">
        <f>IF($B41=" ","",IFERROR(INDEX(MMWR_RATING_RO_ROLLUP[],MATCH($B41,MMWR_RATING_RO_ROLLUP[MMWR_RATING_RO_ROLLUP],0),MATCH(C$9,MMWR_RATING_RO_ROLLUP[#Headers],0)),"ERROR"))</f>
        <v>3248</v>
      </c>
      <c r="D41" s="155">
        <f>IF($B41=" ","",IFERROR(INDEX(MMWR_RATING_RO_ROLLUP[],MATCH($B41,MMWR_RATING_RO_ROLLUP[MMWR_RATING_RO_ROLLUP],0),MATCH(D$9,MMWR_RATING_RO_ROLLUP[#Headers],0)),"ERROR"))</f>
        <v>70.445812807899998</v>
      </c>
      <c r="E41" s="156">
        <f>IF($B41=" ","",IFERROR(INDEX(MMWR_RATING_RO_ROLLUP[],MATCH($B41,MMWR_RATING_RO_ROLLUP[MMWR_RATING_RO_ROLLUP],0),MATCH(E$9,MMWR_RATING_RO_ROLLUP[#Headers],0))/$C41,"ERROR"))</f>
        <v>0.14932266009852216</v>
      </c>
      <c r="F41" s="154">
        <f>IF($B41=" ","",IFERROR(INDEX(MMWR_RATING_RO_ROLLUP[],MATCH($B41,MMWR_RATING_RO_ROLLUP[MMWR_RATING_RO_ROLLUP],0),MATCH(F$9,MMWR_RATING_RO_ROLLUP[#Headers],0)),"ERROR"))</f>
        <v>702</v>
      </c>
      <c r="G41" s="154">
        <f>IF($B41=" ","",IFERROR(INDEX(MMWR_RATING_RO_ROLLUP[],MATCH($B41,MMWR_RATING_RO_ROLLUP[MMWR_RATING_RO_ROLLUP],0),MATCH(G$9,MMWR_RATING_RO_ROLLUP[#Headers],0)),"ERROR"))</f>
        <v>5916</v>
      </c>
      <c r="H41" s="155">
        <f>IF($B41=" ","",IFERROR(INDEX(MMWR_RATING_RO_ROLLUP[],MATCH($B41,MMWR_RATING_RO_ROLLUP[MMWR_RATING_RO_ROLLUP],0),MATCH(H$9,MMWR_RATING_RO_ROLLUP[#Headers],0)),"ERROR"))</f>
        <v>114.3732193732</v>
      </c>
      <c r="I41" s="155">
        <f>IF($B41=" ","",IFERROR(INDEX(MMWR_RATING_RO_ROLLUP[],MATCH($B41,MMWR_RATING_RO_ROLLUP[MMWR_RATING_RO_ROLLUP],0),MATCH(I$9,MMWR_RATING_RO_ROLLUP[#Headers],0)),"ERROR"))</f>
        <v>130.33485463150001</v>
      </c>
      <c r="J41" s="42"/>
      <c r="K41" s="42"/>
      <c r="L41" s="42"/>
      <c r="M41" s="42"/>
      <c r="N41" s="42"/>
      <c r="O41" s="42"/>
      <c r="P41" s="28"/>
    </row>
    <row r="42" spans="1:16" x14ac:dyDescent="0.2">
      <c r="A42" s="25"/>
      <c r="B42" s="45" t="s">
        <v>958</v>
      </c>
      <c r="C42" s="154">
        <f>IF($B42=" ","",IFERROR(INDEX(MMWR_RATING_RO_ROLLUP[],MATCH($B42,MMWR_RATING_RO_ROLLUP[MMWR_RATING_RO_ROLLUP],0),MATCH(C$9,MMWR_RATING_RO_ROLLUP[#Headers],0)),"ERROR"))</f>
        <v>2788</v>
      </c>
      <c r="D42" s="155">
        <f>IF($B42=" ","",IFERROR(INDEX(MMWR_RATING_RO_ROLLUP[],MATCH($B42,MMWR_RATING_RO_ROLLUP[MMWR_RATING_RO_ROLLUP],0),MATCH(D$9,MMWR_RATING_RO_ROLLUP[#Headers],0)),"ERROR"))</f>
        <v>95.265423242500006</v>
      </c>
      <c r="E42" s="156">
        <f>IF($B42=" ","",IFERROR(INDEX(MMWR_RATING_RO_ROLLUP[],MATCH($B42,MMWR_RATING_RO_ROLLUP[MMWR_RATING_RO_ROLLUP],0),MATCH(E$9,MMWR_RATING_RO_ROLLUP[#Headers],0))/$C42,"ERROR"))</f>
        <v>0.26398852223816355</v>
      </c>
      <c r="F42" s="154">
        <f>IF($B42=" ","",IFERROR(INDEX(MMWR_RATING_RO_ROLLUP[],MATCH($B42,MMWR_RATING_RO_ROLLUP[MMWR_RATING_RO_ROLLUP],0),MATCH(F$9,MMWR_RATING_RO_ROLLUP[#Headers],0)),"ERROR"))</f>
        <v>473</v>
      </c>
      <c r="G42" s="154">
        <f>IF($B42=" ","",IFERROR(INDEX(MMWR_RATING_RO_ROLLUP[],MATCH($B42,MMWR_RATING_RO_ROLLUP[MMWR_RATING_RO_ROLLUP],0),MATCH(G$9,MMWR_RATING_RO_ROLLUP[#Headers],0)),"ERROR"))</f>
        <v>5504</v>
      </c>
      <c r="H42" s="155">
        <f>IF($B42=" ","",IFERROR(INDEX(MMWR_RATING_RO_ROLLUP[],MATCH($B42,MMWR_RATING_RO_ROLLUP[MMWR_RATING_RO_ROLLUP],0),MATCH(H$9,MMWR_RATING_RO_ROLLUP[#Headers],0)),"ERROR"))</f>
        <v>158.86680761100001</v>
      </c>
      <c r="I42" s="155">
        <f>IF($B42=" ","",IFERROR(INDEX(MMWR_RATING_RO_ROLLUP[],MATCH($B42,MMWR_RATING_RO_ROLLUP[MMWR_RATING_RO_ROLLUP],0),MATCH(I$9,MMWR_RATING_RO_ROLLUP[#Headers],0)),"ERROR"))</f>
        <v>161.9375</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2293</v>
      </c>
      <c r="D43" s="155">
        <f>IF($B43=" ","",IFERROR(INDEX(MMWR_RATING_RO_ROLLUP[],MATCH($B43,MMWR_RATING_RO_ROLLUP[MMWR_RATING_RO_ROLLUP],0),MATCH(D$9,MMWR_RATING_RO_ROLLUP[#Headers],0)),"ERROR"))</f>
        <v>105.778456171</v>
      </c>
      <c r="E43" s="156">
        <f>IF($B43=" ","",IFERROR(INDEX(MMWR_RATING_RO_ROLLUP[],MATCH($B43,MMWR_RATING_RO_ROLLUP[MMWR_RATING_RO_ROLLUP],0),MATCH(E$9,MMWR_RATING_RO_ROLLUP[#Headers],0))/$C43,"ERROR"))</f>
        <v>0.39380723942433493</v>
      </c>
      <c r="F43" s="154">
        <f>IF($B43=" ","",IFERROR(INDEX(MMWR_RATING_RO_ROLLUP[],MATCH($B43,MMWR_RATING_RO_ROLLUP[MMWR_RATING_RO_ROLLUP],0),MATCH(F$9,MMWR_RATING_RO_ROLLUP[#Headers],0)),"ERROR"))</f>
        <v>751</v>
      </c>
      <c r="G43" s="154">
        <f>IF($B43=" ","",IFERROR(INDEX(MMWR_RATING_RO_ROLLUP[],MATCH($B43,MMWR_RATING_RO_ROLLUP[MMWR_RATING_RO_ROLLUP],0),MATCH(G$9,MMWR_RATING_RO_ROLLUP[#Headers],0)),"ERROR"))</f>
        <v>2079</v>
      </c>
      <c r="H43" s="155">
        <f>IF($B43=" ","",IFERROR(INDEX(MMWR_RATING_RO_ROLLUP[],MATCH($B43,MMWR_RATING_RO_ROLLUP[MMWR_RATING_RO_ROLLUP],0),MATCH(H$9,MMWR_RATING_RO_ROLLUP[#Headers],0)),"ERROR"))</f>
        <v>141.74434087879999</v>
      </c>
      <c r="I43" s="155">
        <f>IF($B43=" ","",IFERROR(INDEX(MMWR_RATING_RO_ROLLUP[],MATCH($B43,MMWR_RATING_RO_ROLLUP[MMWR_RATING_RO_ROLLUP],0),MATCH(I$9,MMWR_RATING_RO_ROLLUP[#Headers],0)),"ERROR"))</f>
        <v>141.10726310730001</v>
      </c>
      <c r="J43" s="42"/>
      <c r="K43" s="42"/>
      <c r="L43" s="42"/>
      <c r="M43" s="42"/>
      <c r="N43" s="42"/>
      <c r="O43" s="42"/>
      <c r="P43" s="28"/>
    </row>
    <row r="44" spans="1:16" x14ac:dyDescent="0.2">
      <c r="A44" s="25"/>
      <c r="B44" s="377" t="s">
        <v>735</v>
      </c>
      <c r="C44" s="378"/>
      <c r="D44" s="378"/>
      <c r="E44" s="378"/>
      <c r="F44" s="378"/>
      <c r="G44" s="378"/>
      <c r="H44" s="378"/>
      <c r="I44" s="378"/>
      <c r="J44" s="378"/>
      <c r="K44" s="378"/>
      <c r="L44" s="378"/>
      <c r="M44" s="378"/>
      <c r="N44" s="378"/>
      <c r="O44" s="378"/>
      <c r="P44" s="28"/>
    </row>
    <row r="45" spans="1:16" x14ac:dyDescent="0.2">
      <c r="A45" s="25"/>
      <c r="B45" s="44" t="s">
        <v>696</v>
      </c>
      <c r="C45" s="154">
        <f>IF($B45=" ","",IFERROR(INDEX(MMWR_RATING_RO_ROLLUP[],MATCH($B45,MMWR_RATING_RO_ROLLUP[MMWR_RATING_RO_ROLLUP],0),MATCH(C$9,MMWR_RATING_RO_ROLLUP[#Headers],0)),"ERROR"))</f>
        <v>8543</v>
      </c>
      <c r="D45" s="155">
        <f>IF($B45=" ","",IFERROR(INDEX(MMWR_RATING_RO_ROLLUP[],MATCH($B45,MMWR_RATING_RO_ROLLUP[MMWR_RATING_RO_ROLLUP],0),MATCH(D$9,MMWR_RATING_RO_ROLLUP[#Headers],0)),"ERROR"))</f>
        <v>87.815638534499996</v>
      </c>
      <c r="E45" s="156">
        <f>IF($B45=" ","",IFERROR(INDEX(MMWR_RATING_RO_ROLLUP[],MATCH($B45,MMWR_RATING_RO_ROLLUP[MMWR_RATING_RO_ROLLUP],0),MATCH(E$9,MMWR_RATING_RO_ROLLUP[#Headers],0))/$C45,"ERROR"))</f>
        <v>0.22252136251902141</v>
      </c>
      <c r="F45" s="154">
        <f>IF($B45=" ","",IFERROR(INDEX(MMWR_RATING_RO_ROLLUP[],MATCH($B45,MMWR_RATING_RO_ROLLUP[MMWR_RATING_RO_ROLLUP],0),MATCH(F$9,MMWR_RATING_RO_ROLLUP[#Headers],0)),"ERROR"))</f>
        <v>1704</v>
      </c>
      <c r="G45" s="154">
        <f>IF($B45=" ","",IFERROR(INDEX(MMWR_RATING_RO_ROLLUP[],MATCH($B45,MMWR_RATING_RO_ROLLUP[MMWR_RATING_RO_ROLLUP],0),MATCH(G$9,MMWR_RATING_RO_ROLLUP[#Headers],0)),"ERROR"))</f>
        <v>15655</v>
      </c>
      <c r="H45" s="155">
        <f>IF($B45=" ","",IFERROR(INDEX(MMWR_RATING_RO_ROLLUP[],MATCH($B45,MMWR_RATING_RO_ROLLUP[MMWR_RATING_RO_ROLLUP],0),MATCH(H$9,MMWR_RATING_RO_ROLLUP[#Headers],0)),"ERROR"))</f>
        <v>127.3462441315</v>
      </c>
      <c r="I45" s="155">
        <f>IF($B45=" ","",IFERROR(INDEX(MMWR_RATING_RO_ROLLUP[],MATCH($B45,MMWR_RATING_RO_ROLLUP[MMWR_RATING_RO_ROLLUP],0),MATCH(I$9,MMWR_RATING_RO_ROLLUP[#Headers],0)),"ERROR"))</f>
        <v>137.35292238900001</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2571</v>
      </c>
      <c r="D46" s="155">
        <f>IF($B46=" ","",IFERROR(INDEX(MMWR_RATING_RO_ROLLUP[],MATCH($B46,MMWR_RATING_RO_ROLLUP[MMWR_RATING_RO_ROLLUP],0),MATCH(D$9,MMWR_RATING_RO_ROLLUP[#Headers],0)),"ERROR"))</f>
        <v>64.160248930400002</v>
      </c>
      <c r="E46" s="156">
        <f>IF($B46=" ","",IFERROR(INDEX(MMWR_RATING_RO_ROLLUP[],MATCH($B46,MMWR_RATING_RO_ROLLUP[MMWR_RATING_RO_ROLLUP],0),MATCH(E$9,MMWR_RATING_RO_ROLLUP[#Headers],0))/$C46,"ERROR"))</f>
        <v>8.8681446907817971E-2</v>
      </c>
      <c r="F46" s="154">
        <f>IF($B46=" ","",IFERROR(INDEX(MMWR_RATING_RO_ROLLUP[],MATCH($B46,MMWR_RATING_RO_ROLLUP[MMWR_RATING_RO_ROLLUP],0),MATCH(F$9,MMWR_RATING_RO_ROLLUP[#Headers],0)),"ERROR"))</f>
        <v>887</v>
      </c>
      <c r="G46" s="154">
        <f>IF($B46=" ","",IFERROR(INDEX(MMWR_RATING_RO_ROLLUP[],MATCH($B46,MMWR_RATING_RO_ROLLUP[MMWR_RATING_RO_ROLLUP],0),MATCH(G$9,MMWR_RATING_RO_ROLLUP[#Headers],0)),"ERROR"))</f>
        <v>6563</v>
      </c>
      <c r="H46" s="155">
        <f>IF($B46=" ","",IFERROR(INDEX(MMWR_RATING_RO_ROLLUP[],MATCH($B46,MMWR_RATING_RO_ROLLUP[MMWR_RATING_RO_ROLLUP],0),MATCH(H$9,MMWR_RATING_RO_ROLLUP[#Headers],0)),"ERROR"))</f>
        <v>102.62570462230001</v>
      </c>
      <c r="I46" s="155">
        <f>IF($B46=" ","",IFERROR(INDEX(MMWR_RATING_RO_ROLLUP[],MATCH($B46,MMWR_RATING_RO_ROLLUP[MMWR_RATING_RO_ROLLUP],0),MATCH(I$9,MMWR_RATING_RO_ROLLUP[#Headers],0)),"ERROR"))</f>
        <v>122.0848697242</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3900</v>
      </c>
      <c r="D47" s="155">
        <f>IF($B47=" ","",IFERROR(INDEX(MMWR_RATING_RO_ROLLUP[],MATCH($B47,MMWR_RATING_RO_ROLLUP[MMWR_RATING_RO_ROLLUP],0),MATCH(D$9,MMWR_RATING_RO_ROLLUP[#Headers],0)),"ERROR"))</f>
        <v>91.278461538499997</v>
      </c>
      <c r="E47" s="156">
        <f>IF($B47=" ","",IFERROR(INDEX(MMWR_RATING_RO_ROLLUP[],MATCH($B47,MMWR_RATING_RO_ROLLUP[MMWR_RATING_RO_ROLLUP],0),MATCH(E$9,MMWR_RATING_RO_ROLLUP[#Headers],0))/$C47,"ERROR"))</f>
        <v>0.21153846153846154</v>
      </c>
      <c r="F47" s="154">
        <f>IF($B47=" ","",IFERROR(INDEX(MMWR_RATING_RO_ROLLUP[],MATCH($B47,MMWR_RATING_RO_ROLLUP[MMWR_RATING_RO_ROLLUP],0),MATCH(F$9,MMWR_RATING_RO_ROLLUP[#Headers],0)),"ERROR"))</f>
        <v>596</v>
      </c>
      <c r="G47" s="154">
        <f>IF($B47=" ","",IFERROR(INDEX(MMWR_RATING_RO_ROLLUP[],MATCH($B47,MMWR_RATING_RO_ROLLUP[MMWR_RATING_RO_ROLLUP],0),MATCH(G$9,MMWR_RATING_RO_ROLLUP[#Headers],0)),"ERROR"))</f>
        <v>6299</v>
      </c>
      <c r="H47" s="155">
        <f>IF($B47=" ","",IFERROR(INDEX(MMWR_RATING_RO_ROLLUP[],MATCH($B47,MMWR_RATING_RO_ROLLUP[MMWR_RATING_RO_ROLLUP],0),MATCH(H$9,MMWR_RATING_RO_ROLLUP[#Headers],0)),"ERROR"))</f>
        <v>154.26845637580001</v>
      </c>
      <c r="I47" s="155">
        <f>IF($B47=" ","",IFERROR(INDEX(MMWR_RATING_RO_ROLLUP[],MATCH($B47,MMWR_RATING_RO_ROLLUP[MMWR_RATING_RO_ROLLUP],0),MATCH(I$9,MMWR_RATING_RO_ROLLUP[#Headers],0)),"ERROR"))</f>
        <v>152.35307191620001</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2072</v>
      </c>
      <c r="D48" s="155">
        <f>IF($B48=" ","",IFERROR(INDEX(MMWR_RATING_RO_ROLLUP[],MATCH($B48,MMWR_RATING_RO_ROLLUP[MMWR_RATING_RO_ROLLUP],0),MATCH(D$9,MMWR_RATING_RO_ROLLUP[#Headers],0)),"ERROR"))</f>
        <v>110.6500965251</v>
      </c>
      <c r="E48" s="156">
        <f>IF($B48=" ","",IFERROR(INDEX(MMWR_RATING_RO_ROLLUP[],MATCH($B48,MMWR_RATING_RO_ROLLUP[MMWR_RATING_RO_ROLLUP],0),MATCH(E$9,MMWR_RATING_RO_ROLLUP[#Headers],0))/$C48,"ERROR"))</f>
        <v>0.40926640926640928</v>
      </c>
      <c r="F48" s="154">
        <f>IF($B48=" ","",IFERROR(INDEX(MMWR_RATING_RO_ROLLUP[],MATCH($B48,MMWR_RATING_RO_ROLLUP[MMWR_RATING_RO_ROLLUP],0),MATCH(F$9,MMWR_RATING_RO_ROLLUP[#Headers],0)),"ERROR"))</f>
        <v>221</v>
      </c>
      <c r="G48" s="154">
        <f>IF($B48=" ","",IFERROR(INDEX(MMWR_RATING_RO_ROLLUP[],MATCH($B48,MMWR_RATING_RO_ROLLUP[MMWR_RATING_RO_ROLLUP],0),MATCH(G$9,MMWR_RATING_RO_ROLLUP[#Headers],0)),"ERROR"))</f>
        <v>2793</v>
      </c>
      <c r="H48" s="155">
        <f>IF($B48=" ","",IFERROR(INDEX(MMWR_RATING_RO_ROLLUP[],MATCH($B48,MMWR_RATING_RO_ROLLUP[MMWR_RATING_RO_ROLLUP],0),MATCH(H$9,MMWR_RATING_RO_ROLLUP[#Headers],0)),"ERROR"))</f>
        <v>153.95927601810001</v>
      </c>
      <c r="I48" s="155">
        <f>IF($B48=" ","",IFERROR(INDEX(MMWR_RATING_RO_ROLLUP[],MATCH($B48,MMWR_RATING_RO_ROLLUP[MMWR_RATING_RO_ROLLUP],0),MATCH(I$9,MMWR_RATING_RO_ROLLUP[#Headers],0)),"ERROR"))</f>
        <v>139.4002864304</v>
      </c>
      <c r="J48" s="42"/>
      <c r="K48" s="42"/>
      <c r="L48" s="42"/>
      <c r="M48" s="42"/>
      <c r="N48" s="42"/>
      <c r="O48" s="42"/>
      <c r="P48" s="28"/>
    </row>
    <row r="49" spans="1:16" ht="15.75" x14ac:dyDescent="0.25">
      <c r="A49" s="25"/>
      <c r="B49" s="376" t="s">
        <v>1051</v>
      </c>
      <c r="C49" s="376"/>
      <c r="D49" s="376"/>
      <c r="E49" s="376"/>
      <c r="F49" s="376"/>
      <c r="G49" s="376"/>
      <c r="H49" s="376"/>
      <c r="I49" s="376"/>
      <c r="J49" s="376"/>
      <c r="K49" s="376"/>
      <c r="L49" s="376"/>
      <c r="M49" s="376"/>
      <c r="N49" s="376"/>
      <c r="O49" s="261"/>
      <c r="P49" s="28"/>
    </row>
    <row r="50" spans="1:16" ht="12" customHeight="1" x14ac:dyDescent="0.2">
      <c r="A50" s="25"/>
      <c r="B50" s="26"/>
      <c r="C50" s="26"/>
      <c r="D50" s="26"/>
      <c r="E50" s="26"/>
      <c r="F50" s="26"/>
      <c r="G50" s="26"/>
      <c r="H50" s="26"/>
      <c r="I50" s="26"/>
      <c r="J50" s="26"/>
      <c r="K50" s="27" t="s">
        <v>923</v>
      </c>
      <c r="L50" s="27" t="s">
        <v>928</v>
      </c>
      <c r="M50" s="27" t="s">
        <v>929</v>
      </c>
      <c r="N50" s="27" t="s">
        <v>930</v>
      </c>
      <c r="O50" s="27" t="s">
        <v>931</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49" t="s">
        <v>294</v>
      </c>
      <c r="D2" s="350"/>
      <c r="E2" s="350"/>
      <c r="F2" s="350"/>
      <c r="G2" s="350"/>
      <c r="H2" s="350"/>
      <c r="I2" s="350"/>
      <c r="J2" s="349" t="s">
        <v>300</v>
      </c>
      <c r="K2" s="350"/>
      <c r="L2" s="350"/>
      <c r="M2" s="351"/>
      <c r="N2" s="28"/>
    </row>
    <row r="3" spans="1:16" ht="24" customHeight="1" thickBot="1" x14ac:dyDescent="0.4">
      <c r="A3" s="25"/>
      <c r="B3" s="29"/>
      <c r="C3" s="352"/>
      <c r="D3" s="353"/>
      <c r="E3" s="353"/>
      <c r="F3" s="353"/>
      <c r="G3" s="353"/>
      <c r="H3" s="353"/>
      <c r="I3" s="353"/>
      <c r="J3" s="352" t="str">
        <f>Transformation!B4</f>
        <v>As of: April 23, 2016</v>
      </c>
      <c r="K3" s="353"/>
      <c r="L3" s="353"/>
      <c r="M3" s="354"/>
      <c r="N3" s="28"/>
    </row>
    <row r="4" spans="1:16" ht="51" customHeight="1" thickBot="1" x14ac:dyDescent="0.35">
      <c r="A4" s="30"/>
      <c r="B4" s="246" t="s">
        <v>456</v>
      </c>
      <c r="C4" s="355" t="s">
        <v>971</v>
      </c>
      <c r="D4" s="356"/>
      <c r="E4" s="356"/>
      <c r="F4" s="356"/>
      <c r="G4" s="356"/>
      <c r="H4" s="356"/>
      <c r="I4" s="356"/>
      <c r="J4" s="356"/>
      <c r="K4" s="356"/>
      <c r="L4" s="356"/>
      <c r="M4" s="357"/>
      <c r="N4" s="28"/>
      <c r="O4" s="22"/>
      <c r="P4" s="23"/>
    </row>
    <row r="5" spans="1:16" ht="27" customHeight="1" thickBot="1" x14ac:dyDescent="0.25">
      <c r="A5" s="30"/>
      <c r="B5" s="48"/>
      <c r="C5" s="358" t="s">
        <v>1042</v>
      </c>
      <c r="D5" s="359"/>
      <c r="E5" s="359"/>
      <c r="F5" s="359"/>
      <c r="G5" s="359"/>
      <c r="H5" s="359"/>
      <c r="I5" s="359"/>
      <c r="J5" s="359"/>
      <c r="K5" s="359"/>
      <c r="L5" s="359"/>
      <c r="M5" s="359"/>
      <c r="N5" s="359"/>
      <c r="O5" s="360"/>
    </row>
    <row r="6" spans="1:16"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6"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6"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6" x14ac:dyDescent="0.2">
      <c r="A9" s="28"/>
      <c r="B9" s="28"/>
      <c r="C9" s="39" t="s">
        <v>700</v>
      </c>
      <c r="D9" s="39" t="s">
        <v>702</v>
      </c>
      <c r="E9" s="39" t="s">
        <v>701</v>
      </c>
      <c r="F9" s="39" t="s">
        <v>704</v>
      </c>
      <c r="G9" s="39" t="s">
        <v>703</v>
      </c>
      <c r="H9" s="39" t="s">
        <v>714</v>
      </c>
      <c r="I9" s="39" t="s">
        <v>713</v>
      </c>
      <c r="J9" s="39"/>
      <c r="K9" s="39"/>
      <c r="L9" s="39"/>
      <c r="M9" s="39"/>
      <c r="N9" s="28"/>
    </row>
    <row r="10" spans="1:16" ht="15.75" customHeight="1" x14ac:dyDescent="0.2">
      <c r="A10" s="25"/>
      <c r="B10" s="26"/>
      <c r="C10" s="385" t="s">
        <v>293</v>
      </c>
      <c r="D10" s="385"/>
      <c r="E10" s="385"/>
      <c r="F10" s="385"/>
      <c r="G10" s="385"/>
      <c r="H10" s="385"/>
      <c r="I10" s="385"/>
      <c r="J10" s="385"/>
      <c r="K10" s="385"/>
      <c r="L10" s="385"/>
      <c r="M10" s="386"/>
      <c r="N10" s="28"/>
    </row>
    <row r="11" spans="1:16" ht="64.5" customHeight="1" x14ac:dyDescent="0.2">
      <c r="A11" s="25"/>
      <c r="B11" s="26"/>
      <c r="C11" s="52" t="s">
        <v>226</v>
      </c>
      <c r="D11" s="52" t="s">
        <v>134</v>
      </c>
      <c r="E11" s="52" t="s">
        <v>227</v>
      </c>
      <c r="F11" s="52" t="s">
        <v>189</v>
      </c>
      <c r="G11" s="52" t="s">
        <v>204</v>
      </c>
      <c r="H11" s="52" t="s">
        <v>206</v>
      </c>
      <c r="I11" s="52" t="s">
        <v>207</v>
      </c>
      <c r="J11" s="388" t="s">
        <v>972</v>
      </c>
      <c r="K11" s="389"/>
      <c r="L11" s="389"/>
      <c r="M11" s="390"/>
      <c r="N11" s="28"/>
    </row>
    <row r="12" spans="1:16" x14ac:dyDescent="0.2">
      <c r="A12" s="25"/>
      <c r="B12" s="41" t="s">
        <v>730</v>
      </c>
      <c r="C12" s="154">
        <f>IF($B12=" ","",IFERROR(INDEX(MMWR_RATING_RO_ROLLUP[],MATCH($B12,MMWR_RATING_RO_ROLLUP[MMWR_RATING_RO_ROLLUP],0),MATCH(C$9,MMWR_RATING_RO_ROLLUP[#Headers],0)),"ERROR"))</f>
        <v>350594</v>
      </c>
      <c r="D12" s="155">
        <f>IF($B12=" ","",IFERROR(INDEX(MMWR_RATING_RO_ROLLUP[],MATCH($B12,MMWR_RATING_RO_ROLLUP[MMWR_RATING_RO_ROLLUP],0),MATCH(D$9,MMWR_RATING_RO_ROLLUP[#Headers],0)),"ERROR"))</f>
        <v>88.504529455699995</v>
      </c>
      <c r="E12" s="156">
        <f>IF($B12=" ","",IFERROR(INDEX(MMWR_RATING_RO_ROLLUP[],MATCH($B12,MMWR_RATING_RO_ROLLUP[MMWR_RATING_RO_ROLLUP],0),MATCH(E$9,MMWR_RATING_RO_ROLLUP[#Headers],0))/$C12,"ERROR"))</f>
        <v>0.2239998402710828</v>
      </c>
      <c r="F12" s="154">
        <f>IF($B12=" ","",IFERROR(INDEX(MMWR_RATING_RO_ROLLUP[],MATCH($B12,MMWR_RATING_RO_ROLLUP[MMWR_RATING_RO_ROLLUP],0),MATCH(F$9,MMWR_RATING_RO_ROLLUP[#Headers],0)),"ERROR"))</f>
        <v>80743</v>
      </c>
      <c r="G12" s="154">
        <f>IF($B12=" ","",IFERROR(INDEX(MMWR_RATING_RO_ROLLUP[],MATCH($B12,MMWR_RATING_RO_ROLLUP[MMWR_RATING_RO_ROLLUP],0),MATCH(G$9,MMWR_RATING_RO_ROLLUP[#Headers],0)),"ERROR"))</f>
        <v>713456</v>
      </c>
      <c r="H12" s="155">
        <f>IF($B12=" ","",IFERROR(INDEX(MMWR_RATING_RO_ROLLUP[],MATCH($B12,MMWR_RATING_RO_ROLLUP[MMWR_RATING_RO_ROLLUP],0),MATCH(H$9,MMWR_RATING_RO_ROLLUP[#Headers],0)),"ERROR"))</f>
        <v>116.1460436199</v>
      </c>
      <c r="I12" s="155">
        <f>IF($B12=" ","",IFERROR(INDEX(MMWR_RATING_RO_ROLLUP[],MATCH($B12,MMWR_RATING_RO_ROLLUP[MMWR_RATING_RO_ROLLUP],0),MATCH(I$9,MMWR_RATING_RO_ROLLUP[#Headers],0)),"ERROR"))</f>
        <v>124.9372687314</v>
      </c>
      <c r="J12" s="42"/>
      <c r="K12" s="42"/>
      <c r="L12" s="42"/>
      <c r="M12" s="42"/>
      <c r="N12" s="28"/>
    </row>
    <row r="13" spans="1:16" x14ac:dyDescent="0.2">
      <c r="A13" s="25"/>
      <c r="B13" s="377" t="s">
        <v>733</v>
      </c>
      <c r="C13" s="378"/>
      <c r="D13" s="378"/>
      <c r="E13" s="378"/>
      <c r="F13" s="378"/>
      <c r="G13" s="378"/>
      <c r="H13" s="378"/>
      <c r="I13" s="378"/>
      <c r="J13" s="378"/>
      <c r="K13" s="378"/>
      <c r="L13" s="378"/>
      <c r="M13" s="387"/>
      <c r="N13" s="28"/>
    </row>
    <row r="14" spans="1:16" x14ac:dyDescent="0.2">
      <c r="A14" s="25"/>
      <c r="B14" s="41" t="s">
        <v>729</v>
      </c>
      <c r="C14" s="154">
        <f>IF($B14=" ","",IFERROR(INDEX(MMWR_RATING_RO_ROLLUP[],MATCH($B14,MMWR_RATING_RO_ROLLUP[MMWR_RATING_RO_ROLLUP],0),MATCH(C$9,MMWR_RATING_RO_ROLLUP[#Headers],0)),"ERROR"))</f>
        <v>305353</v>
      </c>
      <c r="D14" s="155">
        <f>IF($B14=" ","",IFERROR(INDEX(MMWR_RATING_RO_ROLLUP[],MATCH($B14,MMWR_RATING_RO_ROLLUP[MMWR_RATING_RO_ROLLUP],0),MATCH(D$9,MMWR_RATING_RO_ROLLUP[#Headers],0)),"ERROR"))</f>
        <v>90.667188467100004</v>
      </c>
      <c r="E14" s="156">
        <f>IF($B14=" ","",IFERROR(INDEX(MMWR_RATING_RO_ROLLUP[],MATCH($B14,MMWR_RATING_RO_ROLLUP[MMWR_RATING_RO_ROLLUP],0),MATCH(E$9,MMWR_RATING_RO_ROLLUP[#Headers],0))/$C14,"ERROR"))</f>
        <v>0.23370328767033566</v>
      </c>
      <c r="F14" s="154">
        <f>IF($B14=" ","",IFERROR(INDEX(MMWR_RATING_RO_ROLLUP[],MATCH($B14,MMWR_RATING_RO_ROLLUP[MMWR_RATING_RO_ROLLUP],0),MATCH(F$9,MMWR_RATING_RO_ROLLUP[#Headers],0)),"ERROR"))</f>
        <v>68422</v>
      </c>
      <c r="G14" s="154">
        <f>IF($B14=" ","",IFERROR(INDEX(MMWR_RATING_RO_ROLLUP[],MATCH($B14,MMWR_RATING_RO_ROLLUP[MMWR_RATING_RO_ROLLUP],0),MATCH(G$9,MMWR_RATING_RO_ROLLUP[#Headers],0)),"ERROR"))</f>
        <v>602241</v>
      </c>
      <c r="H14" s="155">
        <f>IF($B14=" ","",IFERROR(INDEX(MMWR_RATING_RO_ROLLUP[],MATCH($B14,MMWR_RATING_RO_ROLLUP[MMWR_RATING_RO_ROLLUP],0),MATCH(H$9,MMWR_RATING_RO_ROLLUP[#Headers],0)),"ERROR"))</f>
        <v>119.73920668789999</v>
      </c>
      <c r="I14" s="155">
        <f>IF($B14=" ","",IFERROR(INDEX(MMWR_RATING_RO_ROLLUP[],MATCH($B14,MMWR_RATING_RO_ROLLUP[MMWR_RATING_RO_ROLLUP],0),MATCH(I$9,MMWR_RATING_RO_ROLLUP[#Headers],0)),"ERROR"))</f>
        <v>130.65809036580001</v>
      </c>
      <c r="J14" s="42"/>
      <c r="K14" s="42"/>
      <c r="L14" s="42"/>
      <c r="M14" s="42"/>
      <c r="N14" s="28"/>
    </row>
    <row r="15" spans="1:16" x14ac:dyDescent="0.2">
      <c r="A15" s="25"/>
      <c r="B15" s="247" t="s">
        <v>370</v>
      </c>
      <c r="C15" s="154">
        <f>IF($B15=" ","",IFERROR(INDEX(MMWR_RATING_RO_ROLLUP[],MATCH($B15,MMWR_RATING_RO_ROLLUP[MMWR_RATING_RO_ROLLUP],0),MATCH(C$9,MMWR_RATING_RO_ROLLUP[#Headers],0)),"ERROR"))</f>
        <v>70490</v>
      </c>
      <c r="D15" s="155">
        <f>IF($B15=" ","",IFERROR(INDEX(MMWR_RATING_RO_ROLLUP[],MATCH($B15,MMWR_RATING_RO_ROLLUP[MMWR_RATING_RO_ROLLUP],0),MATCH(D$9,MMWR_RATING_RO_ROLLUP[#Headers],0)),"ERROR"))</f>
        <v>93.485402184700007</v>
      </c>
      <c r="E15" s="156">
        <f>IF($B15=" ","",IFERROR(INDEX(MMWR_RATING_RO_ROLLUP[],MATCH($B15,MMWR_RATING_RO_ROLLUP[MMWR_RATING_RO_ROLLUP],0),MATCH(E$9,MMWR_RATING_RO_ROLLUP[#Headers],0))/$C15,"ERROR"))</f>
        <v>0.25229110512129382</v>
      </c>
      <c r="F15" s="154">
        <f>IF($B15=" ","",IFERROR(INDEX(MMWR_RATING_RO_ROLLUP[],MATCH($B15,MMWR_RATING_RO_ROLLUP[MMWR_RATING_RO_ROLLUP],0),MATCH(F$9,MMWR_RATING_RO_ROLLUP[#Headers],0)),"ERROR"))</f>
        <v>14544</v>
      </c>
      <c r="G15" s="154">
        <f>IF($B15=" ","",IFERROR(INDEX(MMWR_RATING_RO_ROLLUP[],MATCH($B15,MMWR_RATING_RO_ROLLUP[MMWR_RATING_RO_ROLLUP],0),MATCH(G$9,MMWR_RATING_RO_ROLLUP[#Headers],0)),"ERROR"))</f>
        <v>130417</v>
      </c>
      <c r="H15" s="155">
        <f>IF($B15=" ","",IFERROR(INDEX(MMWR_RATING_RO_ROLLUP[],MATCH($B15,MMWR_RATING_RO_ROLLUP[MMWR_RATING_RO_ROLLUP],0),MATCH(H$9,MMWR_RATING_RO_ROLLUP[#Headers],0)),"ERROR"))</f>
        <v>122.78032178220001</v>
      </c>
      <c r="I15" s="155">
        <f>IF($B15=" ","",IFERROR(INDEX(MMWR_RATING_RO_ROLLUP[],MATCH($B15,MMWR_RATING_RO_ROLLUP[MMWR_RATING_RO_ROLLUP],0),MATCH(I$9,MMWR_RATING_RO_ROLLUP[#Headers],0)),"ERROR"))</f>
        <v>133.08029628040001</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4399</v>
      </c>
      <c r="D16" s="155">
        <f>IF($B16=" ","",IFERROR(INDEX(MMWR_RATING_RO_ROLLUP[],MATCH($B16,MMWR_RATING_RO_ROLLUP[MMWR_RATING_RO_ROLLUP],0),MATCH(D$9,MMWR_RATING_RO_ROLLUP[#Headers],0)),"ERROR"))</f>
        <v>101.5994544215</v>
      </c>
      <c r="E16" s="156">
        <f>IF($B16=" ","",IFERROR(INDEX(MMWR_RATING_RO_ROLLUP[],MATCH($B16,MMWR_RATING_RO_ROLLUP[MMWR_RATING_RO_ROLLUP],0),MATCH(E$9,MMWR_RATING_RO_ROLLUP[#Headers],0))/$C16,"ERROR"))</f>
        <v>0.26710616049102071</v>
      </c>
      <c r="F16" s="154">
        <f>IF($B16=" ","",IFERROR(INDEX(MMWR_RATING_RO_ROLLUP[],MATCH($B16,MMWR_RATING_RO_ROLLUP[MMWR_RATING_RO_ROLLUP],0),MATCH(F$9,MMWR_RATING_RO_ROLLUP[#Headers],0)),"ERROR"))</f>
        <v>1164</v>
      </c>
      <c r="G16" s="154">
        <f>IF($B16=" ","",IFERROR(INDEX(MMWR_RATING_RO_ROLLUP[],MATCH($B16,MMWR_RATING_RO_ROLLUP[MMWR_RATING_RO_ROLLUP],0),MATCH(G$9,MMWR_RATING_RO_ROLLUP[#Headers],0)),"ERROR"))</f>
        <v>8531</v>
      </c>
      <c r="H16" s="155">
        <f>IF($B16=" ","",IFERROR(INDEX(MMWR_RATING_RO_ROLLUP[],MATCH($B16,MMWR_RATING_RO_ROLLUP[MMWR_RATING_RO_ROLLUP],0),MATCH(H$9,MMWR_RATING_RO_ROLLUP[#Headers],0)),"ERROR"))</f>
        <v>133.01718213059999</v>
      </c>
      <c r="I16" s="155">
        <f>IF($B16=" ","",IFERROR(INDEX(MMWR_RATING_RO_ROLLUP[],MATCH($B16,MMWR_RATING_RO_ROLLUP[MMWR_RATING_RO_ROLLUP],0),MATCH(I$9,MMWR_RATING_RO_ROLLUP[#Headers],0)),"ERROR"))</f>
        <v>144.39878091669999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3589</v>
      </c>
      <c r="D17" s="155">
        <f>IF($B17=" ","",IFERROR(INDEX(MMWR_RATING_RO_ROLLUP[],MATCH($B17,MMWR_RATING_RO_ROLLUP[MMWR_RATING_RO_ROLLUP],0),MATCH(D$9,MMWR_RATING_RO_ROLLUP[#Headers],0)),"ERROR"))</f>
        <v>86.960713290599998</v>
      </c>
      <c r="E17" s="156">
        <f>IF($B17=" ","",IFERROR(INDEX(MMWR_RATING_RO_ROLLUP[],MATCH($B17,MMWR_RATING_RO_ROLLUP[MMWR_RATING_RO_ROLLUP],0),MATCH(E$9,MMWR_RATING_RO_ROLLUP[#Headers],0))/$C17,"ERROR"))</f>
        <v>0.22541097798829757</v>
      </c>
      <c r="F17" s="154">
        <f>IF($B17=" ","",IFERROR(INDEX(MMWR_RATING_RO_ROLLUP[],MATCH($B17,MMWR_RATING_RO_ROLLUP[MMWR_RATING_RO_ROLLUP],0),MATCH(F$9,MMWR_RATING_RO_ROLLUP[#Headers],0)),"ERROR"))</f>
        <v>757</v>
      </c>
      <c r="G17" s="154">
        <f>IF($B17=" ","",IFERROR(INDEX(MMWR_RATING_RO_ROLLUP[],MATCH($B17,MMWR_RATING_RO_ROLLUP[MMWR_RATING_RO_ROLLUP],0),MATCH(G$9,MMWR_RATING_RO_ROLLUP[#Headers],0)),"ERROR"))</f>
        <v>6247</v>
      </c>
      <c r="H17" s="155">
        <f>IF($B17=" ","",IFERROR(INDEX(MMWR_RATING_RO_ROLLUP[],MATCH($B17,MMWR_RATING_RO_ROLLUP[MMWR_RATING_RO_ROLLUP],0),MATCH(H$9,MMWR_RATING_RO_ROLLUP[#Headers],0)),"ERROR"))</f>
        <v>126.6869220608</v>
      </c>
      <c r="I17" s="155">
        <f>IF($B17=" ","",IFERROR(INDEX(MMWR_RATING_RO_ROLLUP[],MATCH($B17,MMWR_RATING_RO_ROLLUP[MMWR_RATING_RO_ROLLUP],0),MATCH(I$9,MMWR_RATING_RO_ROLLUP[#Headers],0)),"ERROR"))</f>
        <v>134.84888746600001</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3772</v>
      </c>
      <c r="D18" s="155">
        <f>IF($B18=" ","",IFERROR(INDEX(MMWR_RATING_RO_ROLLUP[],MATCH($B18,MMWR_RATING_RO_ROLLUP[MMWR_RATING_RO_ROLLUP],0),MATCH(D$9,MMWR_RATING_RO_ROLLUP[#Headers],0)),"ERROR"))</f>
        <v>85.197242841999994</v>
      </c>
      <c r="E18" s="156">
        <f>IF($B18=" ","",IFERROR(INDEX(MMWR_RATING_RO_ROLLUP[],MATCH($B18,MMWR_RATING_RO_ROLLUP[MMWR_RATING_RO_ROLLUP],0),MATCH(E$9,MMWR_RATING_RO_ROLLUP[#Headers],0))/$C18,"ERROR"))</f>
        <v>0.19909862142099682</v>
      </c>
      <c r="F18" s="154">
        <f>IF($B18=" ","",IFERROR(INDEX(MMWR_RATING_RO_ROLLUP[],MATCH($B18,MMWR_RATING_RO_ROLLUP[MMWR_RATING_RO_ROLLUP],0),MATCH(F$9,MMWR_RATING_RO_ROLLUP[#Headers],0)),"ERROR"))</f>
        <v>888</v>
      </c>
      <c r="G18" s="154">
        <f>IF($B18=" ","",IFERROR(INDEX(MMWR_RATING_RO_ROLLUP[],MATCH($B18,MMWR_RATING_RO_ROLLUP[MMWR_RATING_RO_ROLLUP],0),MATCH(G$9,MMWR_RATING_RO_ROLLUP[#Headers],0)),"ERROR"))</f>
        <v>7211</v>
      </c>
      <c r="H18" s="155">
        <f>IF($B18=" ","",IFERROR(INDEX(MMWR_RATING_RO_ROLLUP[],MATCH($B18,MMWR_RATING_RO_ROLLUP[MMWR_RATING_RO_ROLLUP],0),MATCH(H$9,MMWR_RATING_RO_ROLLUP[#Headers],0)),"ERROR"))</f>
        <v>117.5394144144</v>
      </c>
      <c r="I18" s="155">
        <f>IF($B18=" ","",IFERROR(INDEX(MMWR_RATING_RO_ROLLUP[],MATCH($B18,MMWR_RATING_RO_ROLLUP[MMWR_RATING_RO_ROLLUP],0),MATCH(I$9,MMWR_RATING_RO_ROLLUP[#Headers],0)),"ERROR"))</f>
        <v>139.8313687422</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1748</v>
      </c>
      <c r="D19" s="155">
        <f>IF($B19=" ","",IFERROR(INDEX(MMWR_RATING_RO_ROLLUP[],MATCH($B19,MMWR_RATING_RO_ROLLUP[MMWR_RATING_RO_ROLLUP],0),MATCH(D$9,MMWR_RATING_RO_ROLLUP[#Headers],0)),"ERROR"))</f>
        <v>86.791189931399998</v>
      </c>
      <c r="E19" s="156">
        <f>IF($B19=" ","",IFERROR(INDEX(MMWR_RATING_RO_ROLLUP[],MATCH($B19,MMWR_RATING_RO_ROLLUP[MMWR_RATING_RO_ROLLUP],0),MATCH(E$9,MMWR_RATING_RO_ROLLUP[#Headers],0))/$C19,"ERROR"))</f>
        <v>0.23455377574370709</v>
      </c>
      <c r="F19" s="154">
        <f>IF($B19=" ","",IFERROR(INDEX(MMWR_RATING_RO_ROLLUP[],MATCH($B19,MMWR_RATING_RO_ROLLUP[MMWR_RATING_RO_ROLLUP],0),MATCH(F$9,MMWR_RATING_RO_ROLLUP[#Headers],0)),"ERROR"))</f>
        <v>422</v>
      </c>
      <c r="G19" s="154">
        <f>IF($B19=" ","",IFERROR(INDEX(MMWR_RATING_RO_ROLLUP[],MATCH($B19,MMWR_RATING_RO_ROLLUP[MMWR_RATING_RO_ROLLUP],0),MATCH(G$9,MMWR_RATING_RO_ROLLUP[#Headers],0)),"ERROR"))</f>
        <v>3667</v>
      </c>
      <c r="H19" s="155">
        <f>IF($B19=" ","",IFERROR(INDEX(MMWR_RATING_RO_ROLLUP[],MATCH($B19,MMWR_RATING_RO_ROLLUP[MMWR_RATING_RO_ROLLUP],0),MATCH(H$9,MMWR_RATING_RO_ROLLUP[#Headers],0)),"ERROR"))</f>
        <v>115.07109004740001</v>
      </c>
      <c r="I19" s="155">
        <f>IF($B19=" ","",IFERROR(INDEX(MMWR_RATING_RO_ROLLUP[],MATCH($B19,MMWR_RATING_RO_ROLLUP[MMWR_RATING_RO_ROLLUP],0),MATCH(I$9,MMWR_RATING_RO_ROLLUP[#Headers],0)),"ERROR"))</f>
        <v>115.8355604036</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2785</v>
      </c>
      <c r="D20" s="155">
        <f>IF($B20=" ","",IFERROR(INDEX(MMWR_RATING_RO_ROLLUP[],MATCH($B20,MMWR_RATING_RO_ROLLUP[MMWR_RATING_RO_ROLLUP],0),MATCH(D$9,MMWR_RATING_RO_ROLLUP[#Headers],0)),"ERROR"))</f>
        <v>78.786714542200002</v>
      </c>
      <c r="E20" s="156">
        <f>IF($B20=" ","",IFERROR(INDEX(MMWR_RATING_RO_ROLLUP[],MATCH($B20,MMWR_RATING_RO_ROLLUP[MMWR_RATING_RO_ROLLUP],0),MATCH(E$9,MMWR_RATING_RO_ROLLUP[#Headers],0))/$C20,"ERROR"))</f>
        <v>0.19856373429084381</v>
      </c>
      <c r="F20" s="154">
        <f>IF($B20=" ","",IFERROR(INDEX(MMWR_RATING_RO_ROLLUP[],MATCH($B20,MMWR_RATING_RO_ROLLUP[MMWR_RATING_RO_ROLLUP],0),MATCH(F$9,MMWR_RATING_RO_ROLLUP[#Headers],0)),"ERROR"))</f>
        <v>541</v>
      </c>
      <c r="G20" s="154">
        <f>IF($B20=" ","",IFERROR(INDEX(MMWR_RATING_RO_ROLLUP[],MATCH($B20,MMWR_RATING_RO_ROLLUP[MMWR_RATING_RO_ROLLUP],0),MATCH(G$9,MMWR_RATING_RO_ROLLUP[#Headers],0)),"ERROR"))</f>
        <v>4838</v>
      </c>
      <c r="H20" s="155">
        <f>IF($B20=" ","",IFERROR(INDEX(MMWR_RATING_RO_ROLLUP[],MATCH($B20,MMWR_RATING_RO_ROLLUP[MMWR_RATING_RO_ROLLUP],0),MATCH(H$9,MMWR_RATING_RO_ROLLUP[#Headers],0)),"ERROR"))</f>
        <v>108.24214417739999</v>
      </c>
      <c r="I20" s="155">
        <f>IF($B20=" ","",IFERROR(INDEX(MMWR_RATING_RO_ROLLUP[],MATCH($B20,MMWR_RATING_RO_ROLLUP[MMWR_RATING_RO_ROLLUP],0),MATCH(I$9,MMWR_RATING_RO_ROLLUP[#Headers],0)),"ERROR"))</f>
        <v>119.24865646959999</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1107</v>
      </c>
      <c r="D21" s="155">
        <f>IF($B21=" ","",IFERROR(INDEX(MMWR_RATING_RO_ROLLUP[],MATCH($B21,MMWR_RATING_RO_ROLLUP[MMWR_RATING_RO_ROLLUP],0),MATCH(D$9,MMWR_RATING_RO_ROLLUP[#Headers],0)),"ERROR"))</f>
        <v>72.029810298100003</v>
      </c>
      <c r="E21" s="156">
        <f>IF($B21=" ","",IFERROR(INDEX(MMWR_RATING_RO_ROLLUP[],MATCH($B21,MMWR_RATING_RO_ROLLUP[MMWR_RATING_RO_ROLLUP],0),MATCH(E$9,MMWR_RATING_RO_ROLLUP[#Headers],0))/$C21,"ERROR"))</f>
        <v>0.15627822944896116</v>
      </c>
      <c r="F21" s="154">
        <f>IF($B21=" ","",IFERROR(INDEX(MMWR_RATING_RO_ROLLUP[],MATCH($B21,MMWR_RATING_RO_ROLLUP[MMWR_RATING_RO_ROLLUP],0),MATCH(F$9,MMWR_RATING_RO_ROLLUP[#Headers],0)),"ERROR"))</f>
        <v>241</v>
      </c>
      <c r="G21" s="154">
        <f>IF($B21=" ","",IFERROR(INDEX(MMWR_RATING_RO_ROLLUP[],MATCH($B21,MMWR_RATING_RO_ROLLUP[MMWR_RATING_RO_ROLLUP],0),MATCH(G$9,MMWR_RATING_RO_ROLLUP[#Headers],0)),"ERROR"))</f>
        <v>2248</v>
      </c>
      <c r="H21" s="155">
        <f>IF($B21=" ","",IFERROR(INDEX(MMWR_RATING_RO_ROLLUP[],MATCH($B21,MMWR_RATING_RO_ROLLUP[MMWR_RATING_RO_ROLLUP],0),MATCH(H$9,MMWR_RATING_RO_ROLLUP[#Headers],0)),"ERROR"))</f>
        <v>114.69709543570001</v>
      </c>
      <c r="I21" s="155">
        <f>IF($B21=" ","",IFERROR(INDEX(MMWR_RATING_RO_ROLLUP[],MATCH($B21,MMWR_RATING_RO_ROLLUP[MMWR_RATING_RO_ROLLUP],0),MATCH(I$9,MMWR_RATING_RO_ROLLUP[#Headers],0)),"ERROR"))</f>
        <v>134.99065836299999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4767</v>
      </c>
      <c r="D22" s="155">
        <f>IF($B22=" ","",IFERROR(INDEX(MMWR_RATING_RO_ROLLUP[],MATCH($B22,MMWR_RATING_RO_ROLLUP[MMWR_RATING_RO_ROLLUP],0),MATCH(D$9,MMWR_RATING_RO_ROLLUP[#Headers],0)),"ERROR"))</f>
        <v>99.514369624500006</v>
      </c>
      <c r="E22" s="156">
        <f>IF($B22=" ","",IFERROR(INDEX(MMWR_RATING_RO_ROLLUP[],MATCH($B22,MMWR_RATING_RO_ROLLUP[MMWR_RATING_RO_ROLLUP],0),MATCH(E$9,MMWR_RATING_RO_ROLLUP[#Headers],0))/$C22,"ERROR"))</f>
        <v>0.27417663100482481</v>
      </c>
      <c r="F22" s="154">
        <f>IF($B22=" ","",IFERROR(INDEX(MMWR_RATING_RO_ROLLUP[],MATCH($B22,MMWR_RATING_RO_ROLLUP[MMWR_RATING_RO_ROLLUP],0),MATCH(F$9,MMWR_RATING_RO_ROLLUP[#Headers],0)),"ERROR"))</f>
        <v>1037</v>
      </c>
      <c r="G22" s="154">
        <f>IF($B22=" ","",IFERROR(INDEX(MMWR_RATING_RO_ROLLUP[],MATCH($B22,MMWR_RATING_RO_ROLLUP[MMWR_RATING_RO_ROLLUP],0),MATCH(G$9,MMWR_RATING_RO_ROLLUP[#Headers],0)),"ERROR"))</f>
        <v>8272</v>
      </c>
      <c r="H22" s="155">
        <f>IF($B22=" ","",IFERROR(INDEX(MMWR_RATING_RO_ROLLUP[],MATCH($B22,MMWR_RATING_RO_ROLLUP[MMWR_RATING_RO_ROLLUP],0),MATCH(H$9,MMWR_RATING_RO_ROLLUP[#Headers],0)),"ERROR"))</f>
        <v>130.78784956609999</v>
      </c>
      <c r="I22" s="155">
        <f>IF($B22=" ","",IFERROR(INDEX(MMWR_RATING_RO_ROLLUP[],MATCH($B22,MMWR_RATING_RO_ROLLUP[MMWR_RATING_RO_ROLLUP],0),MATCH(I$9,MMWR_RATING_RO_ROLLUP[#Headers],0)),"ERROR"))</f>
        <v>135.55186170210001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2898</v>
      </c>
      <c r="D23" s="155">
        <f>IF($B23=" ","",IFERROR(INDEX(MMWR_RATING_RO_ROLLUP[],MATCH($B23,MMWR_RATING_RO_ROLLUP[MMWR_RATING_RO_ROLLUP],0),MATCH(D$9,MMWR_RATING_RO_ROLLUP[#Headers],0)),"ERROR"))</f>
        <v>86.406832298099999</v>
      </c>
      <c r="E23" s="156">
        <f>IF($B23=" ","",IFERROR(INDEX(MMWR_RATING_RO_ROLLUP[],MATCH($B23,MMWR_RATING_RO_ROLLUP[MMWR_RATING_RO_ROLLUP],0),MATCH(E$9,MMWR_RATING_RO_ROLLUP[#Headers],0))/$C23,"ERROR"))</f>
        <v>0.21635610766045549</v>
      </c>
      <c r="F23" s="154">
        <f>IF($B23=" ","",IFERROR(INDEX(MMWR_RATING_RO_ROLLUP[],MATCH($B23,MMWR_RATING_RO_ROLLUP[MMWR_RATING_RO_ROLLUP],0),MATCH(F$9,MMWR_RATING_RO_ROLLUP[#Headers],0)),"ERROR"))</f>
        <v>572</v>
      </c>
      <c r="G23" s="154">
        <f>IF($B23=" ","",IFERROR(INDEX(MMWR_RATING_RO_ROLLUP[],MATCH($B23,MMWR_RATING_RO_ROLLUP[MMWR_RATING_RO_ROLLUP],0),MATCH(G$9,MMWR_RATING_RO_ROLLUP[#Headers],0)),"ERROR"))</f>
        <v>4397</v>
      </c>
      <c r="H23" s="155">
        <f>IF($B23=" ","",IFERROR(INDEX(MMWR_RATING_RO_ROLLUP[],MATCH($B23,MMWR_RATING_RO_ROLLUP[MMWR_RATING_RO_ROLLUP],0),MATCH(H$9,MMWR_RATING_RO_ROLLUP[#Headers],0)),"ERROR"))</f>
        <v>124.8793706294</v>
      </c>
      <c r="I23" s="155">
        <f>IF($B23=" ","",IFERROR(INDEX(MMWR_RATING_RO_ROLLUP[],MATCH($B23,MMWR_RATING_RO_ROLLUP[MMWR_RATING_RO_ROLLUP],0),MATCH(I$9,MMWR_RATING_RO_ROLLUP[#Headers],0)),"ERROR"))</f>
        <v>140.95815328629999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7793</v>
      </c>
      <c r="D24" s="155">
        <f>IF($B24=" ","",IFERROR(INDEX(MMWR_RATING_RO_ROLLUP[],MATCH($B24,MMWR_RATING_RO_ROLLUP[MMWR_RATING_RO_ROLLUP],0),MATCH(D$9,MMWR_RATING_RO_ROLLUP[#Headers],0)),"ERROR"))</f>
        <v>104.62004362890001</v>
      </c>
      <c r="E24" s="156">
        <f>IF($B24=" ","",IFERROR(INDEX(MMWR_RATING_RO_ROLLUP[],MATCH($B24,MMWR_RATING_RO_ROLLUP[MMWR_RATING_RO_ROLLUP],0),MATCH(E$9,MMWR_RATING_RO_ROLLUP[#Headers],0))/$C24,"ERROR"))</f>
        <v>0.291415372770435</v>
      </c>
      <c r="F24" s="154">
        <f>IF($B24=" ","",IFERROR(INDEX(MMWR_RATING_RO_ROLLUP[],MATCH($B24,MMWR_RATING_RO_ROLLUP[MMWR_RATING_RO_ROLLUP],0),MATCH(F$9,MMWR_RATING_RO_ROLLUP[#Headers],0)),"ERROR"))</f>
        <v>1272</v>
      </c>
      <c r="G24" s="154">
        <f>IF($B24=" ","",IFERROR(INDEX(MMWR_RATING_RO_ROLLUP[],MATCH($B24,MMWR_RATING_RO_ROLLUP[MMWR_RATING_RO_ROLLUP],0),MATCH(G$9,MMWR_RATING_RO_ROLLUP[#Headers],0)),"ERROR"))</f>
        <v>13697</v>
      </c>
      <c r="H24" s="155">
        <f>IF($B24=" ","",IFERROR(INDEX(MMWR_RATING_RO_ROLLUP[],MATCH($B24,MMWR_RATING_RO_ROLLUP[MMWR_RATING_RO_ROLLUP],0),MATCH(H$9,MMWR_RATING_RO_ROLLUP[#Headers],0)),"ERROR"))</f>
        <v>135.69339622640001</v>
      </c>
      <c r="I24" s="155">
        <f>IF($B24=" ","",IFERROR(INDEX(MMWR_RATING_RO_ROLLUP[],MATCH($B24,MMWR_RATING_RO_ROLLUP[MMWR_RATING_RO_ROLLUP],0),MATCH(I$9,MMWR_RATING_RO_ROLLUP[#Headers],0)),"ERROR"))</f>
        <v>148.6451777762</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4916</v>
      </c>
      <c r="D25" s="155">
        <f>IF($B25=" ","",IFERROR(INDEX(MMWR_RATING_RO_ROLLUP[],MATCH($B25,MMWR_RATING_RO_ROLLUP[MMWR_RATING_RO_ROLLUP],0),MATCH(D$9,MMWR_RATING_RO_ROLLUP[#Headers],0)),"ERROR"))</f>
        <v>109.86187957689999</v>
      </c>
      <c r="E25" s="156">
        <f>IF($B25=" ","",IFERROR(INDEX(MMWR_RATING_RO_ROLLUP[],MATCH($B25,MMWR_RATING_RO_ROLLUP[MMWR_RATING_RO_ROLLUP],0),MATCH(E$9,MMWR_RATING_RO_ROLLUP[#Headers],0))/$C25,"ERROR"))</f>
        <v>0.32709519934906428</v>
      </c>
      <c r="F25" s="154">
        <f>IF($B25=" ","",IFERROR(INDEX(MMWR_RATING_RO_ROLLUP[],MATCH($B25,MMWR_RATING_RO_ROLLUP[MMWR_RATING_RO_ROLLUP],0),MATCH(F$9,MMWR_RATING_RO_ROLLUP[#Headers],0)),"ERROR"))</f>
        <v>700</v>
      </c>
      <c r="G25" s="154">
        <f>IF($B25=" ","",IFERROR(INDEX(MMWR_RATING_RO_ROLLUP[],MATCH($B25,MMWR_RATING_RO_ROLLUP[MMWR_RATING_RO_ROLLUP],0),MATCH(G$9,MMWR_RATING_RO_ROLLUP[#Headers],0)),"ERROR"))</f>
        <v>7387</v>
      </c>
      <c r="H25" s="155">
        <f>IF($B25=" ","",IFERROR(INDEX(MMWR_RATING_RO_ROLLUP[],MATCH($B25,MMWR_RATING_RO_ROLLUP[MMWR_RATING_RO_ROLLUP],0),MATCH(H$9,MMWR_RATING_RO_ROLLUP[#Headers],0)),"ERROR"))</f>
        <v>154.06714285710001</v>
      </c>
      <c r="I25" s="155">
        <f>IF($B25=" ","",IFERROR(INDEX(MMWR_RATING_RO_ROLLUP[],MATCH($B25,MMWR_RATING_RO_ROLLUP[MMWR_RATING_RO_ROLLUP],0),MATCH(I$9,MMWR_RATING_RO_ROLLUP[#Headers],0)),"ERROR"))</f>
        <v>158.0879924191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2617</v>
      </c>
      <c r="D26" s="155">
        <f>IF($B26=" ","",IFERROR(INDEX(MMWR_RATING_RO_ROLLUP[],MATCH($B26,MMWR_RATING_RO_ROLLUP[MMWR_RATING_RO_ROLLUP],0),MATCH(D$9,MMWR_RATING_RO_ROLLUP[#Headers],0)),"ERROR"))</f>
        <v>65.876958349299997</v>
      </c>
      <c r="E26" s="156">
        <f>IF($B26=" ","",IFERROR(INDEX(MMWR_RATING_RO_ROLLUP[],MATCH($B26,MMWR_RATING_RO_ROLLUP[MMWR_RATING_RO_ROLLUP],0),MATCH(E$9,MMWR_RATING_RO_ROLLUP[#Headers],0))/$C26,"ERROR"))</f>
        <v>0.16583874665647688</v>
      </c>
      <c r="F26" s="154">
        <f>IF($B26=" ","",IFERROR(INDEX(MMWR_RATING_RO_ROLLUP[],MATCH($B26,MMWR_RATING_RO_ROLLUP[MMWR_RATING_RO_ROLLUP],0),MATCH(F$9,MMWR_RATING_RO_ROLLUP[#Headers],0)),"ERROR"))</f>
        <v>1334</v>
      </c>
      <c r="G26" s="154">
        <f>IF($B26=" ","",IFERROR(INDEX(MMWR_RATING_RO_ROLLUP[],MATCH($B26,MMWR_RATING_RO_ROLLUP[MMWR_RATING_RO_ROLLUP],0),MATCH(G$9,MMWR_RATING_RO_ROLLUP[#Headers],0)),"ERROR"))</f>
        <v>11901</v>
      </c>
      <c r="H26" s="155">
        <f>IF($B26=" ","",IFERROR(INDEX(MMWR_RATING_RO_ROLLUP[],MATCH($B26,MMWR_RATING_RO_ROLLUP[MMWR_RATING_RO_ROLLUP],0),MATCH(H$9,MMWR_RATING_RO_ROLLUP[#Headers],0)),"ERROR"))</f>
        <v>56.672413793099999</v>
      </c>
      <c r="I26" s="155">
        <f>IF($B26=" ","",IFERROR(INDEX(MMWR_RATING_RO_ROLLUP[],MATCH($B26,MMWR_RATING_RO_ROLLUP[MMWR_RATING_RO_ROLLUP],0),MATCH(I$9,MMWR_RATING_RO_ROLLUP[#Headers],0)),"ERROR"))</f>
        <v>58.760860431899999</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10350</v>
      </c>
      <c r="D27" s="155">
        <f>IF($B27=" ","",IFERROR(INDEX(MMWR_RATING_RO_ROLLUP[],MATCH($B27,MMWR_RATING_RO_ROLLUP[MMWR_RATING_RO_ROLLUP],0),MATCH(D$9,MMWR_RATING_RO_ROLLUP[#Headers],0)),"ERROR"))</f>
        <v>91.957101449299998</v>
      </c>
      <c r="E27" s="156">
        <f>IF($B27=" ","",IFERROR(INDEX(MMWR_RATING_RO_ROLLUP[],MATCH($B27,MMWR_RATING_RO_ROLLUP[MMWR_RATING_RO_ROLLUP],0),MATCH(E$9,MMWR_RATING_RO_ROLLUP[#Headers],0))/$C27,"ERROR"))</f>
        <v>0.25545893719806761</v>
      </c>
      <c r="F27" s="154">
        <f>IF($B27=" ","",IFERROR(INDEX(MMWR_RATING_RO_ROLLUP[],MATCH($B27,MMWR_RATING_RO_ROLLUP[MMWR_RATING_RO_ROLLUP],0),MATCH(F$9,MMWR_RATING_RO_ROLLUP[#Headers],0)),"ERROR"))</f>
        <v>2228</v>
      </c>
      <c r="G27" s="154">
        <f>IF($B27=" ","",IFERROR(INDEX(MMWR_RATING_RO_ROLLUP[],MATCH($B27,MMWR_RATING_RO_ROLLUP[MMWR_RATING_RO_ROLLUP],0),MATCH(G$9,MMWR_RATING_RO_ROLLUP[#Headers],0)),"ERROR"))</f>
        <v>19171</v>
      </c>
      <c r="H27" s="155">
        <f>IF($B27=" ","",IFERROR(INDEX(MMWR_RATING_RO_ROLLUP[],MATCH($B27,MMWR_RATING_RO_ROLLUP[MMWR_RATING_RO_ROLLUP],0),MATCH(H$9,MMWR_RATING_RO_ROLLUP[#Headers],0)),"ERROR"))</f>
        <v>133.77468581689999</v>
      </c>
      <c r="I27" s="155">
        <f>IF($B27=" ","",IFERROR(INDEX(MMWR_RATING_RO_ROLLUP[],MATCH($B27,MMWR_RATING_RO_ROLLUP[MMWR_RATING_RO_ROLLUP],0),MATCH(I$9,MMWR_RATING_RO_ROLLUP[#Headers],0)),"ERROR"))</f>
        <v>137.5032601325</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1277</v>
      </c>
      <c r="D28" s="155">
        <f>IF($B28=" ","",IFERROR(INDEX(MMWR_RATING_RO_ROLLUP[],MATCH($B28,MMWR_RATING_RO_ROLLUP[MMWR_RATING_RO_ROLLUP],0),MATCH(D$9,MMWR_RATING_RO_ROLLUP[#Headers],0)),"ERROR"))</f>
        <v>70.139389193400007</v>
      </c>
      <c r="E28" s="156">
        <f>IF($B28=" ","",IFERROR(INDEX(MMWR_RATING_RO_ROLLUP[],MATCH($B28,MMWR_RATING_RO_ROLLUP[MMWR_RATING_RO_ROLLUP],0),MATCH(E$9,MMWR_RATING_RO_ROLLUP[#Headers],0))/$C28,"ERROR"))</f>
        <v>0.15113547376664058</v>
      </c>
      <c r="F28" s="154">
        <f>IF($B28=" ","",IFERROR(INDEX(MMWR_RATING_RO_ROLLUP[],MATCH($B28,MMWR_RATING_RO_ROLLUP[MMWR_RATING_RO_ROLLUP],0),MATCH(F$9,MMWR_RATING_RO_ROLLUP[#Headers],0)),"ERROR"))</f>
        <v>569</v>
      </c>
      <c r="G28" s="154">
        <f>IF($B28=" ","",IFERROR(INDEX(MMWR_RATING_RO_ROLLUP[],MATCH($B28,MMWR_RATING_RO_ROLLUP[MMWR_RATING_RO_ROLLUP],0),MATCH(G$9,MMWR_RATING_RO_ROLLUP[#Headers],0)),"ERROR"))</f>
        <v>2767</v>
      </c>
      <c r="H28" s="155">
        <f>IF($B28=" ","",IFERROR(INDEX(MMWR_RATING_RO_ROLLUP[],MATCH($B28,MMWR_RATING_RO_ROLLUP[MMWR_RATING_RO_ROLLUP],0),MATCH(H$9,MMWR_RATING_RO_ROLLUP[#Headers],0)),"ERROR"))</f>
        <v>98.8137082601</v>
      </c>
      <c r="I28" s="155">
        <f>IF($B28=" ","",IFERROR(INDEX(MMWR_RATING_RO_ROLLUP[],MATCH($B28,MMWR_RATING_RO_ROLLUP[MMWR_RATING_RO_ROLLUP],0),MATCH(I$9,MMWR_RATING_RO_ROLLUP[#Headers],0)),"ERROR"))</f>
        <v>110.2349114565</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487</v>
      </c>
      <c r="D29" s="155">
        <f>IF($B29=" ","",IFERROR(INDEX(MMWR_RATING_RO_ROLLUP[],MATCH($B29,MMWR_RATING_RO_ROLLUP[MMWR_RATING_RO_ROLLUP],0),MATCH(D$9,MMWR_RATING_RO_ROLLUP[#Headers],0)),"ERROR"))</f>
        <v>102.96919917859999</v>
      </c>
      <c r="E29" s="156">
        <f>IF($B29=" ","",IFERROR(INDEX(MMWR_RATING_RO_ROLLUP[],MATCH($B29,MMWR_RATING_RO_ROLLUP[MMWR_RATING_RO_ROLLUP],0),MATCH(E$9,MMWR_RATING_RO_ROLLUP[#Headers],0))/$C29,"ERROR"))</f>
        <v>0.33675564681724846</v>
      </c>
      <c r="F29" s="154">
        <f>IF($B29=" ","",IFERROR(INDEX(MMWR_RATING_RO_ROLLUP[],MATCH($B29,MMWR_RATING_RO_ROLLUP[MMWR_RATING_RO_ROLLUP],0),MATCH(F$9,MMWR_RATING_RO_ROLLUP[#Headers],0)),"ERROR"))</f>
        <v>75</v>
      </c>
      <c r="G29" s="154">
        <f>IF($B29=" ","",IFERROR(INDEX(MMWR_RATING_RO_ROLLUP[],MATCH($B29,MMWR_RATING_RO_ROLLUP[MMWR_RATING_RO_ROLLUP],0),MATCH(G$9,MMWR_RATING_RO_ROLLUP[#Headers],0)),"ERROR"))</f>
        <v>828</v>
      </c>
      <c r="H29" s="155">
        <f>IF($B29=" ","",IFERROR(INDEX(MMWR_RATING_RO_ROLLUP[],MATCH($B29,MMWR_RATING_RO_ROLLUP[MMWR_RATING_RO_ROLLUP],0),MATCH(H$9,MMWR_RATING_RO_ROLLUP[#Headers],0)),"ERROR"))</f>
        <v>116.2</v>
      </c>
      <c r="I29" s="155">
        <f>IF($B29=" ","",IFERROR(INDEX(MMWR_RATING_RO_ROLLUP[],MATCH($B29,MMWR_RATING_RO_ROLLUP[MMWR_RATING_RO_ROLLUP],0),MATCH(I$9,MMWR_RATING_RO_ROLLUP[#Headers],0)),"ERROR"))</f>
        <v>134.64492753619999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738</v>
      </c>
      <c r="D30" s="155">
        <f>IF($B30=" ","",IFERROR(INDEX(MMWR_RATING_RO_ROLLUP[],MATCH($B30,MMWR_RATING_RO_ROLLUP[MMWR_RATING_RO_ROLLUP],0),MATCH(D$9,MMWR_RATING_RO_ROLLUP[#Headers],0)),"ERROR"))</f>
        <v>89.292682926799998</v>
      </c>
      <c r="E30" s="156">
        <f>IF($B30=" ","",IFERROR(INDEX(MMWR_RATING_RO_ROLLUP[],MATCH($B30,MMWR_RATING_RO_ROLLUP[MMWR_RATING_RO_ROLLUP],0),MATCH(E$9,MMWR_RATING_RO_ROLLUP[#Headers],0))/$C30,"ERROR"))</f>
        <v>0.23306233062330622</v>
      </c>
      <c r="F30" s="154">
        <f>IF($B30=" ","",IFERROR(INDEX(MMWR_RATING_RO_ROLLUP[],MATCH($B30,MMWR_RATING_RO_ROLLUP[MMWR_RATING_RO_ROLLUP],0),MATCH(F$9,MMWR_RATING_RO_ROLLUP[#Headers],0)),"ERROR"))</f>
        <v>153</v>
      </c>
      <c r="G30" s="154">
        <f>IF($B30=" ","",IFERROR(INDEX(MMWR_RATING_RO_ROLLUP[],MATCH($B30,MMWR_RATING_RO_ROLLUP[MMWR_RATING_RO_ROLLUP],0),MATCH(G$9,MMWR_RATING_RO_ROLLUP[#Headers],0)),"ERROR"))</f>
        <v>1430</v>
      </c>
      <c r="H30" s="155">
        <f>IF($B30=" ","",IFERROR(INDEX(MMWR_RATING_RO_ROLLUP[],MATCH($B30,MMWR_RATING_RO_ROLLUP[MMWR_RATING_RO_ROLLUP],0),MATCH(H$9,MMWR_RATING_RO_ROLLUP[#Headers],0)),"ERROR"))</f>
        <v>138.1568627451</v>
      </c>
      <c r="I30" s="155">
        <f>IF($B30=" ","",IFERROR(INDEX(MMWR_RATING_RO_ROLLUP[],MATCH($B30,MMWR_RATING_RO_ROLLUP[MMWR_RATING_RO_ROLLUP],0),MATCH(I$9,MMWR_RATING_RO_ROLLUP[#Headers],0)),"ERROR"))</f>
        <v>141.56153846149999</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17247</v>
      </c>
      <c r="D31" s="155">
        <f>IF($B31=" ","",IFERROR(INDEX(MMWR_RATING_RO_ROLLUP[],MATCH($B31,MMWR_RATING_RO_ROLLUP[MMWR_RATING_RO_ROLLUP],0),MATCH(D$9,MMWR_RATING_RO_ROLLUP[#Headers],0)),"ERROR"))</f>
        <v>95.585898996899999</v>
      </c>
      <c r="E31" s="156">
        <f>IF($B31=" ","",IFERROR(INDEX(MMWR_RATING_RO_ROLLUP[],MATCH($B31,MMWR_RATING_RO_ROLLUP[MMWR_RATING_RO_ROLLUP],0),MATCH(E$9,MMWR_RATING_RO_ROLLUP[#Headers],0))/$C31,"ERROR"))</f>
        <v>0.26050907404186235</v>
      </c>
      <c r="F31" s="154">
        <f>IF($B31=" ","",IFERROR(INDEX(MMWR_RATING_RO_ROLLUP[],MATCH($B31,MMWR_RATING_RO_ROLLUP[MMWR_RATING_RO_ROLLUP],0),MATCH(F$9,MMWR_RATING_RO_ROLLUP[#Headers],0)),"ERROR"))</f>
        <v>2591</v>
      </c>
      <c r="G31" s="154">
        <f>IF($B31=" ","",IFERROR(INDEX(MMWR_RATING_RO_ROLLUP[],MATCH($B31,MMWR_RATING_RO_ROLLUP[MMWR_RATING_RO_ROLLUP],0),MATCH(G$9,MMWR_RATING_RO_ROLLUP[#Headers],0)),"ERROR"))</f>
        <v>27825</v>
      </c>
      <c r="H31" s="155">
        <f>IF($B31=" ","",IFERROR(INDEX(MMWR_RATING_RO_ROLLUP[],MATCH($B31,MMWR_RATING_RO_ROLLUP[MMWR_RATING_RO_ROLLUP],0),MATCH(H$9,MMWR_RATING_RO_ROLLUP[#Headers],0)),"ERROR"))</f>
        <v>134.54689309150001</v>
      </c>
      <c r="I31" s="155">
        <f>IF($B31=" ","",IFERROR(INDEX(MMWR_RATING_RO_ROLLUP[],MATCH($B31,MMWR_RATING_RO_ROLLUP[MMWR_RATING_RO_ROLLUP],0),MATCH(I$9,MMWR_RATING_RO_ROLLUP[#Headers],0)),"ERROR"))</f>
        <v>146.2352201258</v>
      </c>
      <c r="J31" s="42"/>
      <c r="K31" s="42"/>
      <c r="L31" s="42"/>
      <c r="M31" s="42"/>
      <c r="N31" s="28"/>
    </row>
    <row r="32" spans="1:14" x14ac:dyDescent="0.2">
      <c r="A32" s="25"/>
      <c r="B32" s="377" t="s">
        <v>734</v>
      </c>
      <c r="C32" s="378"/>
      <c r="D32" s="378"/>
      <c r="E32" s="378"/>
      <c r="F32" s="378"/>
      <c r="G32" s="378"/>
      <c r="H32" s="378"/>
      <c r="I32" s="378"/>
      <c r="J32" s="378"/>
      <c r="K32" s="378"/>
      <c r="L32" s="378"/>
      <c r="M32" s="387"/>
      <c r="N32" s="28"/>
    </row>
    <row r="33" spans="1:14" x14ac:dyDescent="0.2">
      <c r="A33" s="25"/>
      <c r="B33" s="11" t="s">
        <v>697</v>
      </c>
      <c r="C33" s="154">
        <f>IF($B33=" ","",IFERROR(INDEX(MMWR_RATING_RO_ROLLUP[],MATCH($B33,MMWR_RATING_RO_ROLLUP[MMWR_RATING_RO_ROLLUP],0),MATCH(C$9,MMWR_RATING_RO_ROLLUP[#Headers],0)),"ERROR"))</f>
        <v>28369</v>
      </c>
      <c r="D33" s="155">
        <f>IF($B33=" ","",IFERROR(INDEX(MMWR_RATING_RO_ROLLUP[],MATCH($B33,MMWR_RATING_RO_ROLLUP[MMWR_RATING_RO_ROLLUP],0),MATCH(D$9,MMWR_RATING_RO_ROLLUP[#Headers],0)),"ERROR"))</f>
        <v>65.4408685537</v>
      </c>
      <c r="E33" s="156">
        <f>IF($B33=" ","",IFERROR(INDEX(MMWR_RATING_RO_ROLLUP[],MATCH($B33,MMWR_RATING_RO_ROLLUP[MMWR_RATING_RO_ROLLUP],0),MATCH(E$9,MMWR_RATING_RO_ROLLUP[#Headers],0))/$C33,"ERROR"))</f>
        <v>0.11089569600620396</v>
      </c>
      <c r="F33" s="154">
        <f>IF($B33=" ","",IFERROR(INDEX(MMWR_RATING_RO_ROLLUP[],MATCH($B33,MMWR_RATING_RO_ROLLUP[MMWR_RATING_RO_ROLLUP],0),MATCH(F$9,MMWR_RATING_RO_ROLLUP[#Headers],0)),"ERROR"))</f>
        <v>8691</v>
      </c>
      <c r="G33" s="154">
        <f>IF($B33=" ","",IFERROR(INDEX(MMWR_RATING_RO_ROLLUP[],MATCH($B33,MMWR_RATING_RO_ROLLUP[MMWR_RATING_RO_ROLLUP],0),MATCH(G$9,MMWR_RATING_RO_ROLLUP[#Headers],0)),"ERROR"))</f>
        <v>82061</v>
      </c>
      <c r="H33" s="155">
        <f>IF($B33=" ","",IFERROR(INDEX(MMWR_RATING_RO_ROLLUP[],MATCH($B33,MMWR_RATING_RO_ROLLUP[MMWR_RATING_RO_ROLLUP],0),MATCH(H$9,MMWR_RATING_RO_ROLLUP[#Headers],0)),"ERROR"))</f>
        <v>81.268208491500005</v>
      </c>
      <c r="I33" s="155">
        <f>IF($B33=" ","",IFERROR(INDEX(MMWR_RATING_RO_ROLLUP[],MATCH($B33,MMWR_RATING_RO_ROLLUP[MMWR_RATING_RO_ROLLUP],0),MATCH(I$9,MMWR_RATING_RO_ROLLUP[#Headers],0)),"ERROR"))</f>
        <v>77.303444998200007</v>
      </c>
      <c r="J33" s="42"/>
      <c r="K33" s="42"/>
      <c r="L33" s="42"/>
      <c r="M33" s="42"/>
      <c r="N33" s="28"/>
    </row>
    <row r="34" spans="1:14" x14ac:dyDescent="0.2">
      <c r="A34" s="25"/>
      <c r="B34" s="12" t="s">
        <v>210</v>
      </c>
      <c r="C34" s="154">
        <f>IF($B34=" ","",IFERROR(INDEX(MMWR_RATING_RO_ROLLUP[],MATCH($B34,MMWR_RATING_RO_ROLLUP[MMWR_RATING_RO_ROLLUP],0),MATCH(C$9,MMWR_RATING_RO_ROLLUP[#Headers],0)),"ERROR"))</f>
        <v>13084</v>
      </c>
      <c r="D34" s="155">
        <f>IF($B34=" ","",IFERROR(INDEX(MMWR_RATING_RO_ROLLUP[],MATCH($B34,MMWR_RATING_RO_ROLLUP[MMWR_RATING_RO_ROLLUP],0),MATCH(D$9,MMWR_RATING_RO_ROLLUP[#Headers],0)),"ERROR"))</f>
        <v>66.849128706800002</v>
      </c>
      <c r="E34" s="156">
        <f>IF($B34=" ","",IFERROR(INDEX(MMWR_RATING_RO_ROLLUP[],MATCH($B34,MMWR_RATING_RO_ROLLUP[MMWR_RATING_RO_ROLLUP],0),MATCH(E$9,MMWR_RATING_RO_ROLLUP[#Headers],0))/$C34,"ERROR"))</f>
        <v>0.11502598593702232</v>
      </c>
      <c r="F34" s="154">
        <f>IF($B34=" ","",IFERROR(INDEX(MMWR_RATING_RO_ROLLUP[],MATCH($B34,MMWR_RATING_RO_ROLLUP[MMWR_RATING_RO_ROLLUP],0),MATCH(F$9,MMWR_RATING_RO_ROLLUP[#Headers],0)),"ERROR"))</f>
        <v>2814</v>
      </c>
      <c r="G34" s="154">
        <f>IF($B34=" ","",IFERROR(INDEX(MMWR_RATING_RO_ROLLUP[],MATCH($B34,MMWR_RATING_RO_ROLLUP[MMWR_RATING_RO_ROLLUP],0),MATCH(G$9,MMWR_RATING_RO_ROLLUP[#Headers],0)),"ERROR"))</f>
        <v>26374</v>
      </c>
      <c r="H34" s="155">
        <f>IF($B34=" ","",IFERROR(INDEX(MMWR_RATING_RO_ROLLUP[],MATCH($B34,MMWR_RATING_RO_ROLLUP[MMWR_RATING_RO_ROLLUP],0),MATCH(H$9,MMWR_RATING_RO_ROLLUP[#Headers],0)),"ERROR"))</f>
        <v>107.7643923241</v>
      </c>
      <c r="I34" s="155">
        <f>IF($B34=" ","",IFERROR(INDEX(MMWR_RATING_RO_ROLLUP[],MATCH($B34,MMWR_RATING_RO_ROLLUP[MMWR_RATING_RO_ROLLUP],0),MATCH(I$9,MMWR_RATING_RO_ROLLUP[#Headers],0)),"ERROR"))</f>
        <v>95.773375293900003</v>
      </c>
      <c r="J34" s="42"/>
      <c r="K34" s="42"/>
      <c r="L34" s="42"/>
      <c r="M34" s="42"/>
      <c r="N34" s="28"/>
    </row>
    <row r="35" spans="1:14" x14ac:dyDescent="0.2">
      <c r="A35" s="43"/>
      <c r="B35" s="12" t="s">
        <v>209</v>
      </c>
      <c r="C35" s="154">
        <f>IF($B35=" ","",IFERROR(INDEX(MMWR_RATING_RO_ROLLUP[],MATCH($B35,MMWR_RATING_RO_ROLLUP[MMWR_RATING_RO_ROLLUP],0),MATCH(C$9,MMWR_RATING_RO_ROLLUP[#Headers],0)),"ERROR"))</f>
        <v>6337</v>
      </c>
      <c r="D35" s="155">
        <f>IF($B35=" ","",IFERROR(INDEX(MMWR_RATING_RO_ROLLUP[],MATCH($B35,MMWR_RATING_RO_ROLLUP[MMWR_RATING_RO_ROLLUP],0),MATCH(D$9,MMWR_RATING_RO_ROLLUP[#Headers],0)),"ERROR"))</f>
        <v>62.763294934500003</v>
      </c>
      <c r="E35" s="156">
        <f>IF($B35=" ","",IFERROR(INDEX(MMWR_RATING_RO_ROLLUP[],MATCH($B35,MMWR_RATING_RO_ROLLUP[MMWR_RATING_RO_ROLLUP],0),MATCH(E$9,MMWR_RATING_RO_ROLLUP[#Headers],0))/$C35,"ERROR"))</f>
        <v>0.11346062805744044</v>
      </c>
      <c r="F35" s="154">
        <f>IF($B35=" ","",IFERROR(INDEX(MMWR_RATING_RO_ROLLUP[],MATCH($B35,MMWR_RATING_RO_ROLLUP[MMWR_RATING_RO_ROLLUP],0),MATCH(F$9,MMWR_RATING_RO_ROLLUP[#Headers],0)),"ERROR"))</f>
        <v>2408</v>
      </c>
      <c r="G35" s="154">
        <f>IF($B35=" ","",IFERROR(INDEX(MMWR_RATING_RO_ROLLUP[],MATCH($B35,MMWR_RATING_RO_ROLLUP[MMWR_RATING_RO_ROLLUP],0),MATCH(G$9,MMWR_RATING_RO_ROLLUP[#Headers],0)),"ERROR"))</f>
        <v>23415</v>
      </c>
      <c r="H35" s="155">
        <f>IF($B35=" ","",IFERROR(INDEX(MMWR_RATING_RO_ROLLUP[],MATCH($B35,MMWR_RATING_RO_ROLLUP[MMWR_RATING_RO_ROLLUP],0),MATCH(H$9,MMWR_RATING_RO_ROLLUP[#Headers],0)),"ERROR"))</f>
        <v>70.881644518300007</v>
      </c>
      <c r="I35" s="155">
        <f>IF($B35=" ","",IFERROR(INDEX(MMWR_RATING_RO_ROLLUP[],MATCH($B35,MMWR_RATING_RO_ROLLUP[MMWR_RATING_RO_ROLLUP],0),MATCH(I$9,MMWR_RATING_RO_ROLLUP[#Headers],0)),"ERROR"))</f>
        <v>71.016399743799994</v>
      </c>
      <c r="J35" s="42"/>
      <c r="K35" s="42"/>
      <c r="L35" s="42"/>
      <c r="M35" s="42"/>
      <c r="N35" s="28"/>
    </row>
    <row r="36" spans="1:14" x14ac:dyDescent="0.2">
      <c r="A36" s="25"/>
      <c r="B36" s="12" t="s">
        <v>212</v>
      </c>
      <c r="C36" s="154">
        <f>IF($B36=" ","",IFERROR(INDEX(MMWR_RATING_RO_ROLLUP[],MATCH($B36,MMWR_RATING_RO_ROLLUP[MMWR_RATING_RO_ROLLUP],0),MATCH(C$9,MMWR_RATING_RO_ROLLUP[#Headers],0)),"ERROR"))</f>
        <v>8116</v>
      </c>
      <c r="D36" s="155">
        <f>IF($B36=" ","",IFERROR(INDEX(MMWR_RATING_RO_ROLLUP[],MATCH($B36,MMWR_RATING_RO_ROLLUP[MMWR_RATING_RO_ROLLUP],0),MATCH(D$9,MMWR_RATING_RO_ROLLUP[#Headers],0)),"ERROR"))</f>
        <v>53.747166091700002</v>
      </c>
      <c r="E36" s="156">
        <f>IF($B36=" ","",IFERROR(INDEX(MMWR_RATING_RO_ROLLUP[],MATCH($B36,MMWR_RATING_RO_ROLLUP[MMWR_RATING_RO_ROLLUP],0),MATCH(E$9,MMWR_RATING_RO_ROLLUP[#Headers],0))/$C36,"ERROR"))</f>
        <v>6.2715623459832434E-2</v>
      </c>
      <c r="F36" s="154">
        <f>IF($B36=" ","",IFERROR(INDEX(MMWR_RATING_RO_ROLLUP[],MATCH($B36,MMWR_RATING_RO_ROLLUP[MMWR_RATING_RO_ROLLUP],0),MATCH(F$9,MMWR_RATING_RO_ROLLUP[#Headers],0)),"ERROR"))</f>
        <v>3115</v>
      </c>
      <c r="G36" s="154">
        <f>IF($B36=" ","",IFERROR(INDEX(MMWR_RATING_RO_ROLLUP[],MATCH($B36,MMWR_RATING_RO_ROLLUP[MMWR_RATING_RO_ROLLUP],0),MATCH(G$9,MMWR_RATING_RO_ROLLUP[#Headers],0)),"ERROR"))</f>
        <v>29274</v>
      </c>
      <c r="H36" s="155">
        <f>IF($B36=" ","",IFERROR(INDEX(MMWR_RATING_RO_ROLLUP[],MATCH($B36,MMWR_RATING_RO_ROLLUP[MMWR_RATING_RO_ROLLUP],0),MATCH(H$9,MMWR_RATING_RO_ROLLUP[#Headers],0)),"ERROR"))</f>
        <v>67.511396468699999</v>
      </c>
      <c r="I36" s="155">
        <f>IF($B36=" ","",IFERROR(INDEX(MMWR_RATING_RO_ROLLUP[],MATCH($B36,MMWR_RATING_RO_ROLLUP[MMWR_RATING_RO_ROLLUP],0),MATCH(I$9,MMWR_RATING_RO_ROLLUP[#Headers],0)),"ERROR"))</f>
        <v>67.858611737399997</v>
      </c>
      <c r="J36" s="42"/>
      <c r="K36" s="42"/>
      <c r="L36" s="42"/>
      <c r="M36" s="42"/>
      <c r="N36" s="28"/>
    </row>
    <row r="37" spans="1:14" x14ac:dyDescent="0.2">
      <c r="A37" s="25"/>
      <c r="B37" s="13" t="s">
        <v>224</v>
      </c>
      <c r="C37" s="154">
        <f>IF($B37=" ","",IFERROR(INDEX(MMWR_RATING_RO_ROLLUP[],MATCH($B37,MMWR_RATING_RO_ROLLUP[MMWR_RATING_RO_ROLLUP],0),MATCH(C$9,MMWR_RATING_RO_ROLLUP[#Headers],0)),"ERROR"))</f>
        <v>832</v>
      </c>
      <c r="D37" s="155">
        <f>IF($B37=" ","",IFERROR(INDEX(MMWR_RATING_RO_ROLLUP[],MATCH($B37,MMWR_RATING_RO_ROLLUP[MMWR_RATING_RO_ROLLUP],0),MATCH(D$9,MMWR_RATING_RO_ROLLUP[#Headers],0)),"ERROR"))</f>
        <v>177.7584134615</v>
      </c>
      <c r="E37" s="156">
        <f>IF($B37=" ","",IFERROR(INDEX(MMWR_RATING_RO_ROLLUP[],MATCH($B37,MMWR_RATING_RO_ROLLUP[MMWR_RATING_RO_ROLLUP],0),MATCH(E$9,MMWR_RATING_RO_ROLLUP[#Headers],0))/$C37,"ERROR"))</f>
        <v>0.49639423076923078</v>
      </c>
      <c r="F37" s="154">
        <f>IF($B37=" ","",IFERROR(INDEX(MMWR_RATING_RO_ROLLUP[],MATCH($B37,MMWR_RATING_RO_ROLLUP[MMWR_RATING_RO_ROLLUP],0),MATCH(F$9,MMWR_RATING_RO_ROLLUP[#Headers],0)),"ERROR"))</f>
        <v>354</v>
      </c>
      <c r="G37" s="154">
        <f>IF($B37=" ","",IFERROR(INDEX(MMWR_RATING_RO_ROLLUP[],MATCH($B37,MMWR_RATING_RO_ROLLUP[MMWR_RATING_RO_ROLLUP],0),MATCH(G$9,MMWR_RATING_RO_ROLLUP[#Headers],0)),"ERROR"))</f>
        <v>2998</v>
      </c>
      <c r="H37" s="155">
        <f>IF($B37=" ","",IFERROR(INDEX(MMWR_RATING_RO_ROLLUP[],MATCH($B37,MMWR_RATING_RO_ROLLUP[MMWR_RATING_RO_ROLLUP],0),MATCH(H$9,MMWR_RATING_RO_ROLLUP[#Headers],0)),"ERROR"))</f>
        <v>62.350282485900003</v>
      </c>
      <c r="I37" s="155">
        <f>IF($B37=" ","",IFERROR(INDEX(MMWR_RATING_RO_ROLLUP[],MATCH($B37,MMWR_RATING_RO_ROLLUP[MMWR_RATING_RO_ROLLUP],0),MATCH(I$9,MMWR_RATING_RO_ROLLUP[#Headers],0)),"ERROR"))</f>
        <v>56.147098065400002</v>
      </c>
      <c r="J37" s="42"/>
      <c r="K37" s="42"/>
      <c r="L37" s="42"/>
      <c r="M37" s="42"/>
      <c r="N37" s="28"/>
    </row>
    <row r="38" spans="1:14" x14ac:dyDescent="0.2">
      <c r="A38" s="25"/>
      <c r="B38" s="377" t="s">
        <v>917</v>
      </c>
      <c r="C38" s="378"/>
      <c r="D38" s="378"/>
      <c r="E38" s="378"/>
      <c r="F38" s="378"/>
      <c r="G38" s="378"/>
      <c r="H38" s="378"/>
      <c r="I38" s="378"/>
      <c r="J38" s="378"/>
      <c r="K38" s="378"/>
      <c r="L38" s="378"/>
      <c r="M38" s="387"/>
      <c r="N38" s="28"/>
    </row>
    <row r="39" spans="1:14" x14ac:dyDescent="0.2">
      <c r="A39" s="25"/>
      <c r="B39" s="44" t="s">
        <v>698</v>
      </c>
      <c r="C39" s="154">
        <f>IF($B39=" ","",IFERROR(INDEX(MMWR_RATING_RO_ROLLUP[],MATCH($B39,MMWR_RATING_RO_ROLLUP[MMWR_RATING_RO_ROLLUP],0),MATCH(C$9,MMWR_RATING_RO_ROLLUP[#Headers],0)),"ERROR"))</f>
        <v>8329</v>
      </c>
      <c r="D39" s="155">
        <f>IF($B39=" ","",IFERROR(INDEX(MMWR_RATING_RO_ROLLUP[],MATCH($B39,MMWR_RATING_RO_ROLLUP[MMWR_RATING_RO_ROLLUP],0),MATCH(D$9,MMWR_RATING_RO_ROLLUP[#Headers],0)),"ERROR"))</f>
        <v>88.480970104500003</v>
      </c>
      <c r="E39" s="156">
        <f>IF($B39=" ","",IFERROR(INDEX(MMWR_RATING_RO_ROLLUP[],MATCH($B39,MMWR_RATING_RO_ROLLUP[MMWR_RATING_RO_ROLLUP],0),MATCH(E$9,MMWR_RATING_RO_ROLLUP[#Headers],0))/$C39,"ERROR"))</f>
        <v>0.25501260655540881</v>
      </c>
      <c r="F39" s="154">
        <f>IF($B39=" ","",IFERROR(INDEX(MMWR_RATING_RO_ROLLUP[],MATCH($B39,MMWR_RATING_RO_ROLLUP[MMWR_RATING_RO_ROLLUP],0),MATCH(F$9,MMWR_RATING_RO_ROLLUP[#Headers],0)),"ERROR"))</f>
        <v>1926</v>
      </c>
      <c r="G39" s="154">
        <f>IF($B39=" ","",IFERROR(INDEX(MMWR_RATING_RO_ROLLUP[],MATCH($B39,MMWR_RATING_RO_ROLLUP[MMWR_RATING_RO_ROLLUP],0),MATCH(G$9,MMWR_RATING_RO_ROLLUP[#Headers],0)),"ERROR"))</f>
        <v>13499</v>
      </c>
      <c r="H39" s="155">
        <f>IF($B39=" ","",IFERROR(INDEX(MMWR_RATING_RO_ROLLUP[],MATCH($B39,MMWR_RATING_RO_ROLLUP[MMWR_RATING_RO_ROLLUP],0),MATCH(H$9,MMWR_RATING_RO_ROLLUP[#Headers],0)),"ERROR"))</f>
        <v>135.97300103840001</v>
      </c>
      <c r="I39" s="155">
        <f>IF($B39=" ","",IFERROR(INDEX(MMWR_RATING_RO_ROLLUP[],MATCH($B39,MMWR_RATING_RO_ROLLUP[MMWR_RATING_RO_ROLLUP],0),MATCH(I$9,MMWR_RATING_RO_ROLLUP[#Headers],0)),"ERROR"))</f>
        <v>144.879398474</v>
      </c>
      <c r="J39" s="42"/>
      <c r="K39" s="42"/>
      <c r="L39" s="42"/>
      <c r="M39" s="42"/>
      <c r="N39" s="28"/>
    </row>
    <row r="40" spans="1:14" x14ac:dyDescent="0.2">
      <c r="A40" s="25"/>
      <c r="B40" s="53" t="s">
        <v>957</v>
      </c>
      <c r="C40" s="154">
        <f>IF($B40=" ","",IFERROR(INDEX(MMWR_RATING_RO_ROLLUP[],MATCH($B40,MMWR_RATING_RO_ROLLUP[MMWR_RATING_RO_ROLLUP],0),MATCH(C$9,MMWR_RATING_RO_ROLLUP[#Headers],0)),"ERROR"))</f>
        <v>1224</v>
      </c>
      <c r="D40" s="155">
        <f>IF($B40=" ","",IFERROR(INDEX(MMWR_RATING_RO_ROLLUP[],MATCH($B40,MMWR_RATING_RO_ROLLUP[MMWR_RATING_RO_ROLLUP],0),MATCH(D$9,MMWR_RATING_RO_ROLLUP[#Headers],0)),"ERROR"))</f>
        <v>73.338235294100002</v>
      </c>
      <c r="E40" s="156">
        <f>IF($B40=" ","",IFERROR(INDEX(MMWR_RATING_RO_ROLLUP[],MATCH($B40,MMWR_RATING_RO_ROLLUP[MMWR_RATING_RO_ROLLUP],0),MATCH(E$9,MMWR_RATING_RO_ROLLUP[#Headers],0))/$C40,"ERROR"))</f>
        <v>0.16339869281045752</v>
      </c>
      <c r="F40" s="154">
        <f>IF($B40=" ","",IFERROR(INDEX(MMWR_RATING_RO_ROLLUP[],MATCH($B40,MMWR_RATING_RO_ROLLUP[MMWR_RATING_RO_ROLLUP],0),MATCH(F$9,MMWR_RATING_RO_ROLLUP[#Headers],0)),"ERROR"))</f>
        <v>323</v>
      </c>
      <c r="G40" s="154">
        <f>IF($B40=" ","",IFERROR(INDEX(MMWR_RATING_RO_ROLLUP[],MATCH($B40,MMWR_RATING_RO_ROLLUP[MMWR_RATING_RO_ROLLUP],0),MATCH(G$9,MMWR_RATING_RO_ROLLUP[#Headers],0)),"ERROR"))</f>
        <v>2751</v>
      </c>
      <c r="H40" s="155">
        <f>IF($B40=" ","",IFERROR(INDEX(MMWR_RATING_RO_ROLLUP[],MATCH($B40,MMWR_RATING_RO_ROLLUP[MMWR_RATING_RO_ROLLUP],0),MATCH(H$9,MMWR_RATING_RO_ROLLUP[#Headers],0)),"ERROR"))</f>
        <v>124.9566563467</v>
      </c>
      <c r="I40" s="155">
        <f>IF($B40=" ","",IFERROR(INDEX(MMWR_RATING_RO_ROLLUP[],MATCH($B40,MMWR_RATING_RO_ROLLUP[MMWR_RATING_RO_ROLLUP],0),MATCH(I$9,MMWR_RATING_RO_ROLLUP[#Headers],0)),"ERROR"))</f>
        <v>130.41875681569999</v>
      </c>
      <c r="J40" s="42"/>
      <c r="K40" s="42"/>
      <c r="L40" s="42"/>
      <c r="M40" s="42"/>
      <c r="N40" s="28"/>
    </row>
    <row r="41" spans="1:14" x14ac:dyDescent="0.2">
      <c r="A41" s="25"/>
      <c r="B41" s="53" t="s">
        <v>958</v>
      </c>
      <c r="C41" s="154">
        <f>IF($B41=" ","",IFERROR(INDEX(MMWR_RATING_RO_ROLLUP[],MATCH($B41,MMWR_RATING_RO_ROLLUP[MMWR_RATING_RO_ROLLUP],0),MATCH(C$9,MMWR_RATING_RO_ROLLUP[#Headers],0)),"ERROR"))</f>
        <v>1241</v>
      </c>
      <c r="D41" s="155">
        <f>IF($B41=" ","",IFERROR(INDEX(MMWR_RATING_RO_ROLLUP[],MATCH($B41,MMWR_RATING_RO_ROLLUP[MMWR_RATING_RO_ROLLUP],0),MATCH(D$9,MMWR_RATING_RO_ROLLUP[#Headers],0)),"ERROR"))</f>
        <v>97.415793714700001</v>
      </c>
      <c r="E41" s="156">
        <f>IF($B41=" ","",IFERROR(INDEX(MMWR_RATING_RO_ROLLUP[],MATCH($B41,MMWR_RATING_RO_ROLLUP[MMWR_RATING_RO_ROLLUP],0),MATCH(E$9,MMWR_RATING_RO_ROLLUP[#Headers],0))/$C41,"ERROR"))</f>
        <v>0.32554391619661566</v>
      </c>
      <c r="F41" s="154">
        <f>IF($B41=" ","",IFERROR(INDEX(MMWR_RATING_RO_ROLLUP[],MATCH($B41,MMWR_RATING_RO_ROLLUP[MMWR_RATING_RO_ROLLUP],0),MATCH(F$9,MMWR_RATING_RO_ROLLUP[#Headers],0)),"ERROR"))</f>
        <v>287</v>
      </c>
      <c r="G41" s="154">
        <f>IF($B41=" ","",IFERROR(INDEX(MMWR_RATING_RO_ROLLUP[],MATCH($B41,MMWR_RATING_RO_ROLLUP[MMWR_RATING_RO_ROLLUP],0),MATCH(G$9,MMWR_RATING_RO_ROLLUP[#Headers],0)),"ERROR"))</f>
        <v>2205</v>
      </c>
      <c r="H41" s="155">
        <f>IF($B41=" ","",IFERROR(INDEX(MMWR_RATING_RO_ROLLUP[],MATCH($B41,MMWR_RATING_RO_ROLLUP[MMWR_RATING_RO_ROLLUP],0),MATCH(H$9,MMWR_RATING_RO_ROLLUP[#Headers],0)),"ERROR"))</f>
        <v>149.9895470383</v>
      </c>
      <c r="I41" s="155">
        <f>IF($B41=" ","",IFERROR(INDEX(MMWR_RATING_RO_ROLLUP[],MATCH($B41,MMWR_RATING_RO_ROLLUP[MMWR_RATING_RO_ROLLUP],0),MATCH(I$9,MMWR_RATING_RO_ROLLUP[#Headers],0)),"ERROR"))</f>
        <v>156.33968253969999</v>
      </c>
      <c r="J41" s="42"/>
      <c r="K41" s="42"/>
      <c r="L41" s="42"/>
      <c r="M41" s="42"/>
      <c r="N41" s="28"/>
    </row>
    <row r="42" spans="1:14" x14ac:dyDescent="0.2">
      <c r="A42" s="25"/>
      <c r="B42" s="46" t="s">
        <v>307</v>
      </c>
      <c r="C42" s="154">
        <f>IF($B42=" ","",IFERROR(INDEX(MMWR_RATING_RO_ROLLUP[],MATCH($B42,MMWR_RATING_RO_ROLLUP[MMWR_RATING_RO_ROLLUP],0),MATCH(C$9,MMWR_RATING_RO_ROLLUP[#Headers],0)),"ERROR"))</f>
        <v>5864</v>
      </c>
      <c r="D42" s="155">
        <f>IF($B42=" ","",IFERROR(INDEX(MMWR_RATING_RO_ROLLUP[],MATCH($B42,MMWR_RATING_RO_ROLLUP[MMWR_RATING_RO_ROLLUP],0),MATCH(D$9,MMWR_RATING_RO_ROLLUP[#Headers],0)),"ERROR"))</f>
        <v>89.750852660299998</v>
      </c>
      <c r="E42" s="156">
        <f>IF($B42=" ","",IFERROR(INDEX(MMWR_RATING_RO_ROLLUP[],MATCH($B42,MMWR_RATING_RO_ROLLUP[MMWR_RATING_RO_ROLLUP],0),MATCH(E$9,MMWR_RATING_RO_ROLLUP[#Headers],0))/$C42,"ERROR"))</f>
        <v>0.25920873124147342</v>
      </c>
      <c r="F42" s="154">
        <f>IF($B42=" ","",IFERROR(INDEX(MMWR_RATING_RO_ROLLUP[],MATCH($B42,MMWR_RATING_RO_ROLLUP[MMWR_RATING_RO_ROLLUP],0),MATCH(F$9,MMWR_RATING_RO_ROLLUP[#Headers],0)),"ERROR"))</f>
        <v>1316</v>
      </c>
      <c r="G42" s="154">
        <f>IF($B42=" ","",IFERROR(INDEX(MMWR_RATING_RO_ROLLUP[],MATCH($B42,MMWR_RATING_RO_ROLLUP[MMWR_RATING_RO_ROLLUP],0),MATCH(G$9,MMWR_RATING_RO_ROLLUP[#Headers],0)),"ERROR"))</f>
        <v>8543</v>
      </c>
      <c r="H42" s="155">
        <f>IF($B42=" ","",IFERROR(INDEX(MMWR_RATING_RO_ROLLUP[],MATCH($B42,MMWR_RATING_RO_ROLLUP[MMWR_RATING_RO_ROLLUP],0),MATCH(H$9,MMWR_RATING_RO_ROLLUP[#Headers],0)),"ERROR"))</f>
        <v>135.62006079029999</v>
      </c>
      <c r="I42" s="155">
        <f>IF($B42=" ","",IFERROR(INDEX(MMWR_RATING_RO_ROLLUP[],MATCH($B42,MMWR_RATING_RO_ROLLUP[MMWR_RATING_RO_ROLLUP],0),MATCH(I$9,MMWR_RATING_RO_ROLLUP[#Headers],0)),"ERROR"))</f>
        <v>146.57801709</v>
      </c>
      <c r="J42" s="42"/>
      <c r="K42" s="42"/>
      <c r="L42" s="42"/>
      <c r="M42" s="42"/>
      <c r="N42" s="28"/>
    </row>
    <row r="43" spans="1:14" x14ac:dyDescent="0.2">
      <c r="A43" s="25"/>
      <c r="B43" s="377" t="s">
        <v>735</v>
      </c>
      <c r="C43" s="378"/>
      <c r="D43" s="378"/>
      <c r="E43" s="378"/>
      <c r="F43" s="378"/>
      <c r="G43" s="378"/>
      <c r="H43" s="378"/>
      <c r="I43" s="378"/>
      <c r="J43" s="378"/>
      <c r="K43" s="378"/>
      <c r="L43" s="378"/>
      <c r="M43" s="387"/>
      <c r="N43" s="28"/>
    </row>
    <row r="44" spans="1:14" x14ac:dyDescent="0.2">
      <c r="A44" s="25"/>
      <c r="B44" s="44" t="s">
        <v>696</v>
      </c>
      <c r="C44" s="154">
        <f>IF($B44=" ","",IFERROR(INDEX(MMWR_RATING_RO_ROLLUP[],MATCH($B44,MMWR_RATING_RO_ROLLUP[MMWR_RATING_RO_ROLLUP],0),MATCH(C$9,MMWR_RATING_RO_ROLLUP[#Headers],0)),"ERROR"))</f>
        <v>8543</v>
      </c>
      <c r="D44" s="155">
        <f>IF($B44=" ","",IFERROR(INDEX(MMWR_RATING_RO_ROLLUP[],MATCH($B44,MMWR_RATING_RO_ROLLUP[MMWR_RATING_RO_ROLLUP],0),MATCH(D$9,MMWR_RATING_RO_ROLLUP[#Headers],0)),"ERROR"))</f>
        <v>87.815638534499996</v>
      </c>
      <c r="E44" s="156">
        <f>IF($B44=" ","",IFERROR(INDEX(MMWR_RATING_RO_ROLLUP[],MATCH($B44,MMWR_RATING_RO_ROLLUP[MMWR_RATING_RO_ROLLUP],0),MATCH(E$9,MMWR_RATING_RO_ROLLUP[#Headers],0))/$C44,"ERROR"))</f>
        <v>0.22252136251902141</v>
      </c>
      <c r="F44" s="154">
        <f>IF($B44=" ","",IFERROR(INDEX(MMWR_RATING_RO_ROLLUP[],MATCH($B44,MMWR_RATING_RO_ROLLUP[MMWR_RATING_RO_ROLLUP],0),MATCH(F$9,MMWR_RATING_RO_ROLLUP[#Headers],0)),"ERROR"))</f>
        <v>1704</v>
      </c>
      <c r="G44" s="154">
        <f>IF($B44=" ","",IFERROR(INDEX(MMWR_RATING_RO_ROLLUP[],MATCH($B44,MMWR_RATING_RO_ROLLUP[MMWR_RATING_RO_ROLLUP],0),MATCH(G$9,MMWR_RATING_RO_ROLLUP[#Headers],0)),"ERROR"))</f>
        <v>15655</v>
      </c>
      <c r="H44" s="155">
        <f>IF($B44=" ","",IFERROR(INDEX(MMWR_RATING_RO_ROLLUP[],MATCH($B44,MMWR_RATING_RO_ROLLUP[MMWR_RATING_RO_ROLLUP],0),MATCH(H$9,MMWR_RATING_RO_ROLLUP[#Headers],0)),"ERROR"))</f>
        <v>127.3462441315</v>
      </c>
      <c r="I44" s="155">
        <f>IF($B44=" ","",IFERROR(INDEX(MMWR_RATING_RO_ROLLUP[],MATCH($B44,MMWR_RATING_RO_ROLLUP[MMWR_RATING_RO_ROLLUP],0),MATCH(I$9,MMWR_RATING_RO_ROLLUP[#Headers],0)),"ERROR"))</f>
        <v>137.35292238900001</v>
      </c>
      <c r="J44" s="42"/>
      <c r="K44" s="42"/>
      <c r="L44" s="42"/>
      <c r="M44" s="42"/>
      <c r="N44" s="28"/>
    </row>
    <row r="45" spans="1:14" x14ac:dyDescent="0.2">
      <c r="A45" s="25"/>
      <c r="B45" s="45" t="s">
        <v>211</v>
      </c>
      <c r="C45" s="154">
        <f>IF($B45=" ","",IFERROR(INDEX(MMWR_RATING_RO_ROLLUP[],MATCH($B45,MMWR_RATING_RO_ROLLUP[MMWR_RATING_RO_ROLLUP],0),MATCH(C$9,MMWR_RATING_RO_ROLLUP[#Headers],0)),"ERROR"))</f>
        <v>51</v>
      </c>
      <c r="D45" s="155">
        <f>IF($B45=" ","",IFERROR(INDEX(MMWR_RATING_RO_ROLLUP[],MATCH($B45,MMWR_RATING_RO_ROLLUP[MMWR_RATING_RO_ROLLUP],0),MATCH(D$9,MMWR_RATING_RO_ROLLUP[#Headers],0)),"ERROR"))</f>
        <v>81.333333333300004</v>
      </c>
      <c r="E45" s="156">
        <f>IF($B45=" ","",IFERROR(INDEX(MMWR_RATING_RO_ROLLUP[],MATCH($B45,MMWR_RATING_RO_ROLLUP[MMWR_RATING_RO_ROLLUP],0),MATCH(E$9,MMWR_RATING_RO_ROLLUP[#Headers],0))/$C45,"ERROR"))</f>
        <v>0.21568627450980393</v>
      </c>
      <c r="F45" s="154">
        <f>IF($B45=" ","",IFERROR(INDEX(MMWR_RATING_RO_ROLLUP[],MATCH($B45,MMWR_RATING_RO_ROLLUP[MMWR_RATING_RO_ROLLUP],0),MATCH(F$9,MMWR_RATING_RO_ROLLUP[#Headers],0)),"ERROR"))</f>
        <v>12</v>
      </c>
      <c r="G45" s="154">
        <f>IF($B45=" ","",IFERROR(INDEX(MMWR_RATING_RO_ROLLUP[],MATCH($B45,MMWR_RATING_RO_ROLLUP[MMWR_RATING_RO_ROLLUP],0),MATCH(G$9,MMWR_RATING_RO_ROLLUP[#Headers],0)),"ERROR"))</f>
        <v>119</v>
      </c>
      <c r="H45" s="155">
        <f>IF($B45=" ","",IFERROR(INDEX(MMWR_RATING_RO_ROLLUP[],MATCH($B45,MMWR_RATING_RO_ROLLUP[MMWR_RATING_RO_ROLLUP],0),MATCH(H$9,MMWR_RATING_RO_ROLLUP[#Headers],0)),"ERROR"))</f>
        <v>150.0833333333</v>
      </c>
      <c r="I45" s="155">
        <f>IF($B45=" ","",IFERROR(INDEX(MMWR_RATING_RO_ROLLUP[],MATCH($B45,MMWR_RATING_RO_ROLLUP[MMWR_RATING_RO_ROLLUP],0),MATCH(I$9,MMWR_RATING_RO_ROLLUP[#Headers],0)),"ERROR"))</f>
        <v>134.57142857139999</v>
      </c>
      <c r="J45" s="42"/>
      <c r="K45" s="42"/>
      <c r="L45" s="42"/>
      <c r="M45" s="42"/>
      <c r="N45" s="28"/>
    </row>
    <row r="46" spans="1:14" x14ac:dyDescent="0.2">
      <c r="A46" s="25"/>
      <c r="B46" s="45" t="s">
        <v>213</v>
      </c>
      <c r="C46" s="154">
        <f>IF($B46=" ","",IFERROR(INDEX(MMWR_RATING_RO_ROLLUP[],MATCH($B46,MMWR_RATING_RO_ROLLUP[MMWR_RATING_RO_ROLLUP],0),MATCH(C$9,MMWR_RATING_RO_ROLLUP[#Headers],0)),"ERROR"))</f>
        <v>1362</v>
      </c>
      <c r="D46" s="155">
        <f>IF($B46=" ","",IFERROR(INDEX(MMWR_RATING_RO_ROLLUP[],MATCH($B46,MMWR_RATING_RO_ROLLUP[MMWR_RATING_RO_ROLLUP],0),MATCH(D$9,MMWR_RATING_RO_ROLLUP[#Headers],0)),"ERROR"))</f>
        <v>96.585168869300006</v>
      </c>
      <c r="E46" s="156">
        <f>IF($B46=" ","",IFERROR(INDEX(MMWR_RATING_RO_ROLLUP[],MATCH($B46,MMWR_RATING_RO_ROLLUP[MMWR_RATING_RO_ROLLUP],0),MATCH(E$9,MMWR_RATING_RO_ROLLUP[#Headers],0))/$C46,"ERROR"))</f>
        <v>0.2621145374449339</v>
      </c>
      <c r="F46" s="154">
        <f>IF($B46=" ","",IFERROR(INDEX(MMWR_RATING_RO_ROLLUP[],MATCH($B46,MMWR_RATING_RO_ROLLUP[MMWR_RATING_RO_ROLLUP],0),MATCH(F$9,MMWR_RATING_RO_ROLLUP[#Headers],0)),"ERROR"))</f>
        <v>173</v>
      </c>
      <c r="G46" s="154">
        <f>IF($B46=" ","",IFERROR(INDEX(MMWR_RATING_RO_ROLLUP[],MATCH($B46,MMWR_RATING_RO_ROLLUP[MMWR_RATING_RO_ROLLUP],0),MATCH(G$9,MMWR_RATING_RO_ROLLUP[#Headers],0)),"ERROR"))</f>
        <v>2487</v>
      </c>
      <c r="H46" s="155">
        <f>IF($B46=" ","",IFERROR(INDEX(MMWR_RATING_RO_ROLLUP[],MATCH($B46,MMWR_RATING_RO_ROLLUP[MMWR_RATING_RO_ROLLUP],0),MATCH(H$9,MMWR_RATING_RO_ROLLUP[#Headers],0)),"ERROR"))</f>
        <v>153.57225433529999</v>
      </c>
      <c r="I46" s="155">
        <f>IF($B46=" ","",IFERROR(INDEX(MMWR_RATING_RO_ROLLUP[],MATCH($B46,MMWR_RATING_RO_ROLLUP[MMWR_RATING_RO_ROLLUP],0),MATCH(I$9,MMWR_RATING_RO_ROLLUP[#Headers],0)),"ERROR"))</f>
        <v>149.19219943709999</v>
      </c>
      <c r="J46" s="42"/>
      <c r="K46" s="42"/>
      <c r="L46" s="42"/>
      <c r="M46" s="42"/>
      <c r="N46" s="28"/>
    </row>
    <row r="47" spans="1:14" x14ac:dyDescent="0.2">
      <c r="A47" s="25"/>
      <c r="B47" s="47" t="s">
        <v>308</v>
      </c>
      <c r="C47" s="154">
        <f>IF($B47=" ","",IFERROR(INDEX(MMWR_RATING_RO_ROLLUP[],MATCH($B47,MMWR_RATING_RO_ROLLUP[MMWR_RATING_RO_ROLLUP],0),MATCH(C$9,MMWR_RATING_RO_ROLLUP[#Headers],0)),"ERROR"))</f>
        <v>7130</v>
      </c>
      <c r="D47" s="155">
        <f>IF($B47=" ","",IFERROR(INDEX(MMWR_RATING_RO_ROLLUP[],MATCH($B47,MMWR_RATING_RO_ROLLUP[MMWR_RATING_RO_ROLLUP],0),MATCH(D$9,MMWR_RATING_RO_ROLLUP[#Headers],0)),"ERROR"))</f>
        <v>86.186816269299996</v>
      </c>
      <c r="E47" s="156">
        <f>IF($B47=" ","",IFERROR(INDEX(MMWR_RATING_RO_ROLLUP[],MATCH($B47,MMWR_RATING_RO_ROLLUP[MMWR_RATING_RO_ROLLUP],0),MATCH(E$9,MMWR_RATING_RO_ROLLUP[#Headers],0))/$C47,"ERROR"))</f>
        <v>0.2150070126227209</v>
      </c>
      <c r="F47" s="154">
        <f>IF($B47=" ","",IFERROR(INDEX(MMWR_RATING_RO_ROLLUP[],MATCH($B47,MMWR_RATING_RO_ROLLUP[MMWR_RATING_RO_ROLLUP],0),MATCH(F$9,MMWR_RATING_RO_ROLLUP[#Headers],0)),"ERROR"))</f>
        <v>1519</v>
      </c>
      <c r="G47" s="154">
        <f>IF($B47=" ","",IFERROR(INDEX(MMWR_RATING_RO_ROLLUP[],MATCH($B47,MMWR_RATING_RO_ROLLUP[MMWR_RATING_RO_ROLLUP],0),MATCH(G$9,MMWR_RATING_RO_ROLLUP[#Headers],0)),"ERROR"))</f>
        <v>13049</v>
      </c>
      <c r="H47" s="155">
        <f>IF($B47=" ","",IFERROR(INDEX(MMWR_RATING_RO_ROLLUP[],MATCH($B47,MMWR_RATING_RO_ROLLUP[MMWR_RATING_RO_ROLLUP],0),MATCH(H$9,MMWR_RATING_RO_ROLLUP[#Headers],0)),"ERROR"))</f>
        <v>124.17972350230001</v>
      </c>
      <c r="I47" s="155">
        <f>IF($B47=" ","",IFERROR(INDEX(MMWR_RATING_RO_ROLLUP[],MATCH($B47,MMWR_RATING_RO_ROLLUP[MMWR_RATING_RO_ROLLUP],0),MATCH(I$9,MMWR_RATING_RO_ROLLUP[#Headers],0)),"ERROR"))</f>
        <v>135.12184841749999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49" t="s">
        <v>978</v>
      </c>
      <c r="D2" s="350"/>
      <c r="E2" s="350"/>
      <c r="F2" s="350"/>
      <c r="G2" s="350"/>
      <c r="H2" s="350"/>
      <c r="I2" s="350"/>
      <c r="J2" s="349" t="s">
        <v>300</v>
      </c>
      <c r="K2" s="350"/>
      <c r="L2" s="350"/>
      <c r="M2" s="351"/>
      <c r="N2" s="28"/>
    </row>
    <row r="3" spans="1:15" ht="24" customHeight="1" thickBot="1" x14ac:dyDescent="0.4">
      <c r="A3" s="25"/>
      <c r="B3" s="29"/>
      <c r="C3" s="352"/>
      <c r="D3" s="353"/>
      <c r="E3" s="353"/>
      <c r="F3" s="353"/>
      <c r="G3" s="353"/>
      <c r="H3" s="353"/>
      <c r="I3" s="353"/>
      <c r="J3" s="352" t="str">
        <f>Transformation!B4</f>
        <v>As of: April 23, 2016</v>
      </c>
      <c r="K3" s="353"/>
      <c r="L3" s="353"/>
      <c r="M3" s="354"/>
      <c r="N3" s="28"/>
    </row>
    <row r="4" spans="1:15" ht="51.75" customHeight="1" thickBot="1" x14ac:dyDescent="0.35">
      <c r="A4" s="30"/>
      <c r="B4" s="246" t="s">
        <v>456</v>
      </c>
      <c r="C4" s="355" t="s">
        <v>432</v>
      </c>
      <c r="D4" s="356"/>
      <c r="E4" s="356"/>
      <c r="F4" s="356"/>
      <c r="G4" s="356"/>
      <c r="H4" s="356"/>
      <c r="I4" s="356"/>
      <c r="J4" s="356"/>
      <c r="K4" s="356"/>
      <c r="L4" s="356"/>
      <c r="M4" s="357"/>
      <c r="N4" s="28"/>
    </row>
    <row r="5" spans="1:15" ht="27" customHeight="1" thickBot="1" x14ac:dyDescent="0.25">
      <c r="A5" s="30"/>
      <c r="B5" s="245" t="s">
        <v>370</v>
      </c>
      <c r="C5" s="358" t="s">
        <v>1042</v>
      </c>
      <c r="D5" s="359"/>
      <c r="E5" s="359"/>
      <c r="F5" s="359"/>
      <c r="G5" s="359"/>
      <c r="H5" s="359"/>
      <c r="I5" s="359"/>
      <c r="J5" s="359"/>
      <c r="K5" s="359"/>
      <c r="L5" s="359"/>
      <c r="M5" s="359"/>
      <c r="N5" s="359"/>
      <c r="O5" s="360"/>
    </row>
    <row r="6" spans="1:15"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5"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5"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5" x14ac:dyDescent="0.2">
      <c r="A9" s="28"/>
      <c r="B9" s="39"/>
      <c r="C9" s="39" t="s">
        <v>715</v>
      </c>
      <c r="D9" s="39" t="s">
        <v>717</v>
      </c>
      <c r="E9" s="39" t="s">
        <v>716</v>
      </c>
      <c r="F9" s="39" t="s">
        <v>719</v>
      </c>
      <c r="G9" s="39" t="s">
        <v>718</v>
      </c>
      <c r="H9" s="39" t="s">
        <v>721</v>
      </c>
      <c r="I9" s="39" t="s">
        <v>720</v>
      </c>
      <c r="J9" s="39"/>
      <c r="K9" s="39"/>
      <c r="L9" s="39"/>
      <c r="M9" s="39"/>
      <c r="N9" s="39"/>
    </row>
    <row r="10" spans="1:15" ht="15.75" customHeight="1" x14ac:dyDescent="0.2">
      <c r="A10" s="25"/>
      <c r="B10" s="26"/>
      <c r="C10" s="385" t="s">
        <v>293</v>
      </c>
      <c r="D10" s="385"/>
      <c r="E10" s="385"/>
      <c r="F10" s="385"/>
      <c r="G10" s="385"/>
      <c r="H10" s="385"/>
      <c r="I10" s="385"/>
      <c r="J10" s="385"/>
      <c r="K10" s="385"/>
      <c r="L10" s="385"/>
      <c r="M10" s="386"/>
      <c r="N10" s="28"/>
    </row>
    <row r="11" spans="1:15" ht="63.75" customHeight="1" x14ac:dyDescent="0.2">
      <c r="A11" s="25"/>
      <c r="B11" s="26"/>
      <c r="C11" s="52" t="s">
        <v>226</v>
      </c>
      <c r="D11" s="52" t="s">
        <v>134</v>
      </c>
      <c r="E11" s="52" t="s">
        <v>227</v>
      </c>
      <c r="F11" s="52" t="s">
        <v>189</v>
      </c>
      <c r="G11" s="52" t="s">
        <v>204</v>
      </c>
      <c r="H11" s="52" t="s">
        <v>206</v>
      </c>
      <c r="I11" s="52" t="s">
        <v>207</v>
      </c>
      <c r="J11" s="388" t="s">
        <v>973</v>
      </c>
      <c r="K11" s="389"/>
      <c r="L11" s="389"/>
      <c r="M11" s="390"/>
      <c r="N11" s="28"/>
    </row>
    <row r="12" spans="1:15" x14ac:dyDescent="0.2">
      <c r="A12" s="25"/>
      <c r="B12" s="41" t="s">
        <v>730</v>
      </c>
      <c r="C12" s="154">
        <f>IF($B12=" ","",IFERROR(INDEX(MMWR_RATING_STATE_ROLLUP_VSC[],MATCH($B12,MMWR_RATING_STATE_ROLLUP_VSC[MMWR_RATING_STATE_ROLLUP_VSC],0),MATCH(C$9,MMWR_RATING_STATE_ROLLUP_VSC[#Headers],0)),"ERROR"))</f>
        <v>350594</v>
      </c>
      <c r="D12" s="155">
        <f>IF($B12=" ","",IFERROR(INDEX(MMWR_RATING_STATE_ROLLUP_VSC[],MATCH($B12,MMWR_RATING_STATE_ROLLUP_VSC[MMWR_RATING_STATE_ROLLUP_VSC],0),MATCH(D$9,MMWR_RATING_STATE_ROLLUP_VSC[#Headers],0)),"ERROR"))</f>
        <v>88.504529455699995</v>
      </c>
      <c r="E12" s="157">
        <f>IF($B12=" ","",IFERROR(INDEX(MMWR_RATING_STATE_ROLLUP_VSC[],MATCH($B12,MMWR_RATING_STATE_ROLLUP_VSC[MMWR_RATING_STATE_ROLLUP_VSC],0),MATCH(E$9,MMWR_RATING_STATE_ROLLUP_VSC[#Headers],0))/$C12,"ERROR"))</f>
        <v>0.2239998402710828</v>
      </c>
      <c r="F12" s="154">
        <f>IF($B12=" ","",IFERROR(INDEX(MMWR_RATING_STATE_ROLLUP_VSC[],MATCH($B12,MMWR_RATING_STATE_ROLLUP_VSC[MMWR_RATING_STATE_ROLLUP_VSC],0),MATCH(F$9,MMWR_RATING_STATE_ROLLUP_VSC[#Headers],0)),"ERROR"))</f>
        <v>80743</v>
      </c>
      <c r="G12" s="154">
        <f>IF($B12=" ","",IFERROR(INDEX(MMWR_RATING_STATE_ROLLUP_VSC[],MATCH($B12,MMWR_RATING_STATE_ROLLUP_VSC[MMWR_RATING_STATE_ROLLUP_VSC],0),MATCH(G$9,MMWR_RATING_STATE_ROLLUP_VSC[#Headers],0)),"ERROR"))</f>
        <v>713456</v>
      </c>
      <c r="H12" s="155">
        <f>IF($B12=" ","",IFERROR(INDEX(MMWR_RATING_STATE_ROLLUP_VSC[],MATCH($B12,MMWR_RATING_STATE_ROLLUP_VSC[MMWR_RATING_STATE_ROLLUP_VSC],0),MATCH(H$9,MMWR_RATING_STATE_ROLLUP_VSC[#Headers],0)),"ERROR"))</f>
        <v>116.1460436199</v>
      </c>
      <c r="I12" s="155">
        <f>IF($B12=" ","",IFERROR(INDEX(MMWR_RATING_STATE_ROLLUP_VSC[],MATCH($B12,MMWR_RATING_STATE_ROLLUP_VSC[MMWR_RATING_STATE_ROLLUP_VSC],0),MATCH(I$9,MMWR_RATING_STATE_ROLLUP_VSC[#Headers],0)),"ERROR"))</f>
        <v>124.9372687314</v>
      </c>
      <c r="J12" s="42"/>
      <c r="K12" s="42"/>
      <c r="L12" s="42"/>
      <c r="M12" s="42"/>
      <c r="N12" s="28"/>
    </row>
    <row r="13" spans="1:15" x14ac:dyDescent="0.2">
      <c r="A13" s="25"/>
      <c r="B13" s="377" t="s">
        <v>959</v>
      </c>
      <c r="C13" s="378"/>
      <c r="D13" s="378"/>
      <c r="E13" s="378"/>
      <c r="F13" s="378"/>
      <c r="G13" s="378"/>
      <c r="H13" s="378"/>
      <c r="I13" s="378"/>
      <c r="J13" s="378"/>
      <c r="K13" s="378"/>
      <c r="L13" s="378"/>
      <c r="M13" s="387"/>
      <c r="N13" s="28"/>
    </row>
    <row r="14" spans="1:15" x14ac:dyDescent="0.2">
      <c r="A14" s="25"/>
      <c r="B14" s="41" t="s">
        <v>1036</v>
      </c>
      <c r="C14" s="154">
        <f>IF($B14=" ","",IFERROR(INDEX(MMWR_RATING_STATE_ROLLUP_VSC[],MATCH($B14,MMWR_RATING_STATE_ROLLUP_VSC[MMWR_RATING_STATE_ROLLUP_VSC],0),MATCH(C$9,MMWR_RATING_STATE_ROLLUP_VSC[#Headers],0)),"ERROR"))</f>
        <v>305354</v>
      </c>
      <c r="D14" s="155">
        <f>IF($B14=" ","",IFERROR(INDEX(MMWR_RATING_STATE_ROLLUP_VSC[],MATCH($B14,MMWR_RATING_STATE_ROLLUP_VSC[MMWR_RATING_STATE_ROLLUP_VSC],0),MATCH(D$9,MMWR_RATING_STATE_ROLLUP_VSC[#Headers],0)),"ERROR"))</f>
        <v>90.668303018800003</v>
      </c>
      <c r="E14" s="156">
        <f>IF($B14=" ","",IFERROR(INDEX(MMWR_RATING_STATE_ROLLUP_VSC[],MATCH($B14,MMWR_RATING_STATE_ROLLUP_VSC[MMWR_RATING_STATE_ROLLUP_VSC],0),MATCH(E$9,MMWR_RATING_STATE_ROLLUP_VSC[#Headers],0))/$C14,"ERROR"))</f>
        <v>0.23370579720586598</v>
      </c>
      <c r="F14" s="154">
        <f>IF($B14=" ","",IFERROR(INDEX(MMWR_RATING_STATE_ROLLUP_VSC[],MATCH($B14,MMWR_RATING_STATE_ROLLUP_VSC[MMWR_RATING_STATE_ROLLUP_VSC],0),MATCH(F$9,MMWR_RATING_STATE_ROLLUP_VSC[#Headers],0)),"ERROR"))</f>
        <v>68422</v>
      </c>
      <c r="G14" s="154">
        <f>IF($B14=" ","",IFERROR(INDEX(MMWR_RATING_STATE_ROLLUP_VSC[],MATCH($B14,MMWR_RATING_STATE_ROLLUP_VSC[MMWR_RATING_STATE_ROLLUP_VSC],0),MATCH(G$9,MMWR_RATING_STATE_ROLLUP_VSC[#Headers],0)),"ERROR"))</f>
        <v>602241</v>
      </c>
      <c r="H14" s="155">
        <f>IF($B14=" ","",IFERROR(INDEX(MMWR_RATING_STATE_ROLLUP_VSC[],MATCH($B14,MMWR_RATING_STATE_ROLLUP_VSC[MMWR_RATING_STATE_ROLLUP_VSC],0),MATCH(H$9,MMWR_RATING_STATE_ROLLUP_VSC[#Headers],0)),"ERROR"))</f>
        <v>119.73920668789999</v>
      </c>
      <c r="I14" s="155">
        <f>IF($B14=" ","",IFERROR(INDEX(MMWR_RATING_STATE_ROLLUP_VSC[],MATCH($B14,MMWR_RATING_STATE_ROLLUP_VSC[MMWR_RATING_STATE_ROLLUP_VSC],0),MATCH(I$9,MMWR_RATING_STATE_ROLLUP_VSC[#Headers],0)),"ERROR"))</f>
        <v>130.65809036580001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67364</v>
      </c>
      <c r="D15" s="155">
        <f>IF($B15=" ","",IFERROR(INDEX(MMWR_RATING_STATE_ROLLUP_VSC[],MATCH($B15,MMWR_RATING_STATE_ROLLUP_VSC[MMWR_RATING_STATE_ROLLUP_VSC],0),MATCH(D$9,MMWR_RATING_STATE_ROLLUP_VSC[#Headers],0)),"ERROR"))</f>
        <v>92.566519209099994</v>
      </c>
      <c r="E15" s="156">
        <f>IF($B15=" ","",IFERROR(INDEX(MMWR_RATING_STATE_ROLLUP_VSC[],MATCH($B15,MMWR_RATING_STATE_ROLLUP_VSC[MMWR_RATING_STATE_ROLLUP_VSC],0),MATCH(E$9,MMWR_RATING_STATE_ROLLUP_VSC[#Headers],0))/$C15,"ERROR"))</f>
        <v>0.24670447123092454</v>
      </c>
      <c r="F15" s="154">
        <f>IF($B15=" ","",IFERROR(INDEX(MMWR_RATING_STATE_ROLLUP_VSC[],MATCH($B15,MMWR_RATING_STATE_ROLLUP_VSC[MMWR_RATING_STATE_ROLLUP_VSC],0),MATCH(F$9,MMWR_RATING_STATE_ROLLUP_VSC[#Headers],0)),"ERROR"))</f>
        <v>14063</v>
      </c>
      <c r="G15" s="154">
        <f>IF($B15=" ","",IFERROR(INDEX(MMWR_RATING_STATE_ROLLUP_VSC[],MATCH($B15,MMWR_RATING_STATE_ROLLUP_VSC[MMWR_RATING_STATE_ROLLUP_VSC],0),MATCH(G$9,MMWR_RATING_STATE_ROLLUP_VSC[#Headers],0)),"ERROR"))</f>
        <v>124787</v>
      </c>
      <c r="H15" s="155">
        <f>IF($B15=" ","",IFERROR(INDEX(MMWR_RATING_STATE_ROLLUP_VSC[],MATCH($B15,MMWR_RATING_STATE_ROLLUP_VSC[MMWR_RATING_STATE_ROLLUP_VSC],0),MATCH(H$9,MMWR_RATING_STATE_ROLLUP_VSC[#Headers],0)),"ERROR"))</f>
        <v>122.2564175496</v>
      </c>
      <c r="I15" s="155">
        <f>IF($B15=" ","",IFERROR(INDEX(MMWR_RATING_STATE_ROLLUP_VSC[],MATCH($B15,MMWR_RATING_STATE_ROLLUP_VSC[MMWR_RATING_STATE_ROLLUP_VSC],0),MATCH(I$9,MMWR_RATING_STATE_ROLLUP_VSC[#Headers],0)),"ERROR"))</f>
        <v>134.14420572660001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1681</v>
      </c>
      <c r="D16" s="155">
        <f>IF($B16=" ","",IFERROR(INDEX(MMWR_RATING_STATE_ROLLUP_VSC[],MATCH($B16,MMWR_RATING_STATE_ROLLUP_VSC[MMWR_RATING_STATE_ROLLUP_VSC],0),MATCH(D$9,MMWR_RATING_STATE_ROLLUP_VSC[#Headers],0)),"ERROR"))</f>
        <v>87.901249256400007</v>
      </c>
      <c r="E16" s="156">
        <f>IF($B16=" ","",IFERROR(INDEX(MMWR_RATING_STATE_ROLLUP_VSC[],MATCH($B16,MMWR_RATING_STATE_ROLLUP_VSC[MMWR_RATING_STATE_ROLLUP_VSC],0),MATCH(E$9,MMWR_RATING_STATE_ROLLUP_VSC[#Headers],0))/$C16,"ERROR"))</f>
        <v>0.24271267102914931</v>
      </c>
      <c r="F16" s="154">
        <f>IF($B16=" ","",IFERROR(INDEX(MMWR_RATING_STATE_ROLLUP_VSC[],MATCH($B16,MMWR_RATING_STATE_ROLLUP_VSC[MMWR_RATING_STATE_ROLLUP_VSC],0),MATCH(F$9,MMWR_RATING_STATE_ROLLUP_VSC[#Headers],0)),"ERROR"))</f>
        <v>438</v>
      </c>
      <c r="G16" s="154">
        <f>IF($B16=" ","",IFERROR(INDEX(MMWR_RATING_STATE_ROLLUP_VSC[],MATCH($B16,MMWR_RATING_STATE_ROLLUP_VSC[MMWR_RATING_STATE_ROLLUP_VSC],0),MATCH(G$9,MMWR_RATING_STATE_ROLLUP_VSC[#Headers],0)),"ERROR"))</f>
        <v>3796</v>
      </c>
      <c r="H16" s="155">
        <f>IF($B16=" ","",IFERROR(INDEX(MMWR_RATING_STATE_ROLLUP_VSC[],MATCH($B16,MMWR_RATING_STATE_ROLLUP_VSC[MMWR_RATING_STATE_ROLLUP_VSC],0),MATCH(H$9,MMWR_RATING_STATE_ROLLUP_VSC[#Headers],0)),"ERROR"))</f>
        <v>115.1187214612</v>
      </c>
      <c r="I16" s="155">
        <f>IF($B16=" ","",IFERROR(INDEX(MMWR_RATING_STATE_ROLLUP_VSC[],MATCH($B16,MMWR_RATING_STATE_ROLLUP_VSC[MMWR_RATING_STATE_ROLLUP_VSC],0),MATCH(I$9,MMWR_RATING_STATE_ROLLUP_VSC[#Headers],0)),"ERROR"))</f>
        <v>114.8003161222</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847</v>
      </c>
      <c r="D17" s="155">
        <f>IF($B17=" ","",IFERROR(INDEX(MMWR_RATING_STATE_ROLLUP_VSC[],MATCH($B17,MMWR_RATING_STATE_ROLLUP_VSC[MMWR_RATING_STATE_ROLLUP_VSC],0),MATCH(D$9,MMWR_RATING_STATE_ROLLUP_VSC[#Headers],0)),"ERROR"))</f>
        <v>91.974025974</v>
      </c>
      <c r="E17" s="156">
        <f>IF($B17=" ","",IFERROR(INDEX(MMWR_RATING_STATE_ROLLUP_VSC[],MATCH($B17,MMWR_RATING_STATE_ROLLUP_VSC[MMWR_RATING_STATE_ROLLUP_VSC],0),MATCH(E$9,MMWR_RATING_STATE_ROLLUP_VSC[#Headers],0))/$C17,"ERROR"))</f>
        <v>0.23730814639905548</v>
      </c>
      <c r="F17" s="154">
        <f>IF($B17=" ","",IFERROR(INDEX(MMWR_RATING_STATE_ROLLUP_VSC[],MATCH($B17,MMWR_RATING_STATE_ROLLUP_VSC[MMWR_RATING_STATE_ROLLUP_VSC],0),MATCH(F$9,MMWR_RATING_STATE_ROLLUP_VSC[#Headers],0)),"ERROR"))</f>
        <v>187</v>
      </c>
      <c r="G17" s="154">
        <f>IF($B17=" ","",IFERROR(INDEX(MMWR_RATING_STATE_ROLLUP_VSC[],MATCH($B17,MMWR_RATING_STATE_ROLLUP_VSC[MMWR_RATING_STATE_ROLLUP_VSC],0),MATCH(G$9,MMWR_RATING_STATE_ROLLUP_VSC[#Headers],0)),"ERROR"))</f>
        <v>1707</v>
      </c>
      <c r="H17" s="155">
        <f>IF($B17=" ","",IFERROR(INDEX(MMWR_RATING_STATE_ROLLUP_VSC[],MATCH($B17,MMWR_RATING_STATE_ROLLUP_VSC[MMWR_RATING_STATE_ROLLUP_VSC],0),MATCH(H$9,MMWR_RATING_STATE_ROLLUP_VSC[#Headers],0)),"ERROR"))</f>
        <v>130.7326203209</v>
      </c>
      <c r="I17" s="155">
        <f>IF($B17=" ","",IFERROR(INDEX(MMWR_RATING_STATE_ROLLUP_VSC[],MATCH($B17,MMWR_RATING_STATE_ROLLUP_VSC[MMWR_RATING_STATE_ROLLUP_VSC],0),MATCH(I$9,MMWR_RATING_STATE_ROLLUP_VSC[#Headers],0)),"ERROR"))</f>
        <v>139.74575278270001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387</v>
      </c>
      <c r="D18" s="155">
        <f>IF($B18=" ","",IFERROR(INDEX(MMWR_RATING_STATE_ROLLUP_VSC[],MATCH($B18,MMWR_RATING_STATE_ROLLUP_VSC[MMWR_RATING_STATE_ROLLUP_VSC],0),MATCH(D$9,MMWR_RATING_STATE_ROLLUP_VSC[#Headers],0)),"ERROR"))</f>
        <v>84.291989664100001</v>
      </c>
      <c r="E18" s="156">
        <f>IF($B18=" ","",IFERROR(INDEX(MMWR_RATING_STATE_ROLLUP_VSC[],MATCH($B18,MMWR_RATING_STATE_ROLLUP_VSC[MMWR_RATING_STATE_ROLLUP_VSC],0),MATCH(E$9,MMWR_RATING_STATE_ROLLUP_VSC[#Headers],0))/$C18,"ERROR"))</f>
        <v>0.19379844961240311</v>
      </c>
      <c r="F18" s="154">
        <f>IF($B18=" ","",IFERROR(INDEX(MMWR_RATING_STATE_ROLLUP_VSC[],MATCH($B18,MMWR_RATING_STATE_ROLLUP_VSC[MMWR_RATING_STATE_ROLLUP_VSC],0),MATCH(F$9,MMWR_RATING_STATE_ROLLUP_VSC[#Headers],0)),"ERROR"))</f>
        <v>91</v>
      </c>
      <c r="G18" s="154">
        <f>IF($B18=" ","",IFERROR(INDEX(MMWR_RATING_STATE_ROLLUP_VSC[],MATCH($B18,MMWR_RATING_STATE_ROLLUP_VSC[MMWR_RATING_STATE_ROLLUP_VSC],0),MATCH(G$9,MMWR_RATING_STATE_ROLLUP_VSC[#Headers],0)),"ERROR"))</f>
        <v>780</v>
      </c>
      <c r="H18" s="155">
        <f>IF($B18=" ","",IFERROR(INDEX(MMWR_RATING_STATE_ROLLUP_VSC[],MATCH($B18,MMWR_RATING_STATE_ROLLUP_VSC[MMWR_RATING_STATE_ROLLUP_VSC],0),MATCH(H$9,MMWR_RATING_STATE_ROLLUP_VSC[#Headers],0)),"ERROR"))</f>
        <v>141</v>
      </c>
      <c r="I18" s="155">
        <f>IF($B18=" ","",IFERROR(INDEX(MMWR_RATING_STATE_ROLLUP_VSC[],MATCH($B18,MMWR_RATING_STATE_ROLLUP_VSC[MMWR_RATING_STATE_ROLLUP_VSC],0),MATCH(I$9,MMWR_RATING_STATE_ROLLUP_VSC[#Headers],0)),"ERROR"))</f>
        <v>145.30769230769999</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1294</v>
      </c>
      <c r="D19" s="155">
        <f>IF($B19=" ","",IFERROR(INDEX(MMWR_RATING_STATE_ROLLUP_VSC[],MATCH($B19,MMWR_RATING_STATE_ROLLUP_VSC[MMWR_RATING_STATE_ROLLUP_VSC],0),MATCH(D$9,MMWR_RATING_STATE_ROLLUP_VSC[#Headers],0)),"ERROR"))</f>
        <v>70.472952086600003</v>
      </c>
      <c r="E19" s="156">
        <f>IF($B19=" ","",IFERROR(INDEX(MMWR_RATING_STATE_ROLLUP_VSC[],MATCH($B19,MMWR_RATING_STATE_ROLLUP_VSC[MMWR_RATING_STATE_ROLLUP_VSC],0),MATCH(E$9,MMWR_RATING_STATE_ROLLUP_VSC[#Headers],0))/$C19,"ERROR"))</f>
        <v>0.15842349304482226</v>
      </c>
      <c r="F19" s="154">
        <f>IF($B19=" ","",IFERROR(INDEX(MMWR_RATING_STATE_ROLLUP_VSC[],MATCH($B19,MMWR_RATING_STATE_ROLLUP_VSC[MMWR_RATING_STATE_ROLLUP_VSC],0),MATCH(F$9,MMWR_RATING_STATE_ROLLUP_VSC[#Headers],0)),"ERROR"))</f>
        <v>556</v>
      </c>
      <c r="G19" s="154">
        <f>IF($B19=" ","",IFERROR(INDEX(MMWR_RATING_STATE_ROLLUP_VSC[],MATCH($B19,MMWR_RATING_STATE_ROLLUP_VSC[MMWR_RATING_STATE_ROLLUP_VSC],0),MATCH(G$9,MMWR_RATING_STATE_ROLLUP_VSC[#Headers],0)),"ERROR"))</f>
        <v>2841</v>
      </c>
      <c r="H19" s="155">
        <f>IF($B19=" ","",IFERROR(INDEX(MMWR_RATING_STATE_ROLLUP_VSC[],MATCH($B19,MMWR_RATING_STATE_ROLLUP_VSC[MMWR_RATING_STATE_ROLLUP_VSC],0),MATCH(H$9,MMWR_RATING_STATE_ROLLUP_VSC[#Headers],0)),"ERROR"))</f>
        <v>98.6690647482</v>
      </c>
      <c r="I19" s="155">
        <f>IF($B19=" ","",IFERROR(INDEX(MMWR_RATING_STATE_ROLLUP_VSC[],MATCH($B19,MMWR_RATING_STATE_ROLLUP_VSC[MMWR_RATING_STATE_ROLLUP_VSC],0),MATCH(I$9,MMWR_RATING_STATE_ROLLUP_VSC[#Headers],0)),"ERROR"))</f>
        <v>110.1383315734</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4844</v>
      </c>
      <c r="D20" s="155">
        <f>IF($B20=" ","",IFERROR(INDEX(MMWR_RATING_STATE_ROLLUP_VSC[],MATCH($B20,MMWR_RATING_STATE_ROLLUP_VSC[MMWR_RATING_STATE_ROLLUP_VSC],0),MATCH(D$9,MMWR_RATING_STATE_ROLLUP_VSC[#Headers],0)),"ERROR"))</f>
        <v>102.38976052850001</v>
      </c>
      <c r="E20" s="156">
        <f>IF($B20=" ","",IFERROR(INDEX(MMWR_RATING_STATE_ROLLUP_VSC[],MATCH($B20,MMWR_RATING_STATE_ROLLUP_VSC[MMWR_RATING_STATE_ROLLUP_VSC],0),MATCH(E$9,MMWR_RATING_STATE_ROLLUP_VSC[#Headers],0))/$C20,"ERROR"))</f>
        <v>0.27601156069364163</v>
      </c>
      <c r="F20" s="154">
        <f>IF($B20=" ","",IFERROR(INDEX(MMWR_RATING_STATE_ROLLUP_VSC[],MATCH($B20,MMWR_RATING_STATE_ROLLUP_VSC[MMWR_RATING_STATE_ROLLUP_VSC],0),MATCH(F$9,MMWR_RATING_STATE_ROLLUP_VSC[#Headers],0)),"ERROR"))</f>
        <v>1279</v>
      </c>
      <c r="G20" s="154">
        <f>IF($B20=" ","",IFERROR(INDEX(MMWR_RATING_STATE_ROLLUP_VSC[],MATCH($B20,MMWR_RATING_STATE_ROLLUP_VSC[MMWR_RATING_STATE_ROLLUP_VSC],0),MATCH(G$9,MMWR_RATING_STATE_ROLLUP_VSC[#Headers],0)),"ERROR"))</f>
        <v>9971</v>
      </c>
      <c r="H20" s="155">
        <f>IF($B20=" ","",IFERROR(INDEX(MMWR_RATING_STATE_ROLLUP_VSC[],MATCH($B20,MMWR_RATING_STATE_ROLLUP_VSC[MMWR_RATING_STATE_ROLLUP_VSC],0),MATCH(H$9,MMWR_RATING_STATE_ROLLUP_VSC[#Headers],0)),"ERROR"))</f>
        <v>130.379202502</v>
      </c>
      <c r="I20" s="155">
        <f>IF($B20=" ","",IFERROR(INDEX(MMWR_RATING_STATE_ROLLUP_VSC[],MATCH($B20,MMWR_RATING_STATE_ROLLUP_VSC[MMWR_RATING_STATE_ROLLUP_VSC],0),MATCH(I$9,MMWR_RATING_STATE_ROLLUP_VSC[#Headers],0)),"ERROR"))</f>
        <v>137.714271387</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4419</v>
      </c>
      <c r="D21" s="155">
        <f>IF($B21=" ","",IFERROR(INDEX(MMWR_RATING_STATE_ROLLUP_VSC[],MATCH($B21,MMWR_RATING_STATE_ROLLUP_VSC[MMWR_RATING_STATE_ROLLUP_VSC],0),MATCH(D$9,MMWR_RATING_STATE_ROLLUP_VSC[#Headers],0)),"ERROR"))</f>
        <v>87.236252545799999</v>
      </c>
      <c r="E21" s="156">
        <f>IF($B21=" ","",IFERROR(INDEX(MMWR_RATING_STATE_ROLLUP_VSC[],MATCH($B21,MMWR_RATING_STATE_ROLLUP_VSC[MMWR_RATING_STATE_ROLLUP_VSC],0),MATCH(E$9,MMWR_RATING_STATE_ROLLUP_VSC[#Headers],0))/$C21,"ERROR"))</f>
        <v>0.22742701968771215</v>
      </c>
      <c r="F21" s="154">
        <f>IF($B21=" ","",IFERROR(INDEX(MMWR_RATING_STATE_ROLLUP_VSC[],MATCH($B21,MMWR_RATING_STATE_ROLLUP_VSC[MMWR_RATING_STATE_ROLLUP_VSC],0),MATCH(F$9,MMWR_RATING_STATE_ROLLUP_VSC[#Headers],0)),"ERROR"))</f>
        <v>952</v>
      </c>
      <c r="G21" s="154">
        <f>IF($B21=" ","",IFERROR(INDEX(MMWR_RATING_STATE_ROLLUP_VSC[],MATCH($B21,MMWR_RATING_STATE_ROLLUP_VSC[MMWR_RATING_STATE_ROLLUP_VSC],0),MATCH(G$9,MMWR_RATING_STATE_ROLLUP_VSC[#Headers],0)),"ERROR"))</f>
        <v>7738</v>
      </c>
      <c r="H21" s="155">
        <f>IF($B21=" ","",IFERROR(INDEX(MMWR_RATING_STATE_ROLLUP_VSC[],MATCH($B21,MMWR_RATING_STATE_ROLLUP_VSC[MMWR_RATING_STATE_ROLLUP_VSC],0),MATCH(H$9,MMWR_RATING_STATE_ROLLUP_VSC[#Headers],0)),"ERROR"))</f>
        <v>120.6228991597</v>
      </c>
      <c r="I21" s="155">
        <f>IF($B21=" ","",IFERROR(INDEX(MMWR_RATING_STATE_ROLLUP_VSC[],MATCH($B21,MMWR_RATING_STATE_ROLLUP_VSC[MMWR_RATING_STATE_ROLLUP_VSC],0),MATCH(I$9,MMWR_RATING_STATE_ROLLUP_VSC[#Headers],0)),"ERROR"))</f>
        <v>131.01757560089999</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1202</v>
      </c>
      <c r="D22" s="155">
        <f>IF($B22=" ","",IFERROR(INDEX(MMWR_RATING_STATE_ROLLUP_VSC[],MATCH($B22,MMWR_RATING_STATE_ROLLUP_VSC[MMWR_RATING_STATE_ROLLUP_VSC],0),MATCH(D$9,MMWR_RATING_STATE_ROLLUP_VSC[#Headers],0)),"ERROR"))</f>
        <v>76.219633943399998</v>
      </c>
      <c r="E22" s="156">
        <f>IF($B22=" ","",IFERROR(INDEX(MMWR_RATING_STATE_ROLLUP_VSC[],MATCH($B22,MMWR_RATING_STATE_ROLLUP_VSC[MMWR_RATING_STATE_ROLLUP_VSC],0),MATCH(E$9,MMWR_RATING_STATE_ROLLUP_VSC[#Headers],0))/$C22,"ERROR"))</f>
        <v>0.16389351081530781</v>
      </c>
      <c r="F22" s="154">
        <f>IF($B22=" ","",IFERROR(INDEX(MMWR_RATING_STATE_ROLLUP_VSC[],MATCH($B22,MMWR_RATING_STATE_ROLLUP_VSC[MMWR_RATING_STATE_ROLLUP_VSC],0),MATCH(F$9,MMWR_RATING_STATE_ROLLUP_VSC[#Headers],0)),"ERROR"))</f>
        <v>249</v>
      </c>
      <c r="G22" s="154">
        <f>IF($B22=" ","",IFERROR(INDEX(MMWR_RATING_STATE_ROLLUP_VSC[],MATCH($B22,MMWR_RATING_STATE_ROLLUP_VSC[MMWR_RATING_STATE_ROLLUP_VSC],0),MATCH(G$9,MMWR_RATING_STATE_ROLLUP_VSC[#Headers],0)),"ERROR"))</f>
        <v>2359</v>
      </c>
      <c r="H22" s="155">
        <f>IF($B22=" ","",IFERROR(INDEX(MMWR_RATING_STATE_ROLLUP_VSC[],MATCH($B22,MMWR_RATING_STATE_ROLLUP_VSC[MMWR_RATING_STATE_ROLLUP_VSC],0),MATCH(H$9,MMWR_RATING_STATE_ROLLUP_VSC[#Headers],0)),"ERROR"))</f>
        <v>114.5863453815</v>
      </c>
      <c r="I22" s="155">
        <f>IF($B22=" ","",IFERROR(INDEX(MMWR_RATING_STATE_ROLLUP_VSC[],MATCH($B22,MMWR_RATING_STATE_ROLLUP_VSC[MMWR_RATING_STATE_ROLLUP_VSC],0),MATCH(I$9,MMWR_RATING_STATE_ROLLUP_VSC[#Headers],0)),"ERROR"))</f>
        <v>133.5256464604</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4127</v>
      </c>
      <c r="D23" s="155">
        <f>IF($B23=" ","",IFERROR(INDEX(MMWR_RATING_STATE_ROLLUP_VSC[],MATCH($B23,MMWR_RATING_STATE_ROLLUP_VSC[MMWR_RATING_STATE_ROLLUP_VSC],0),MATCH(D$9,MMWR_RATING_STATE_ROLLUP_VSC[#Headers],0)),"ERROR"))</f>
        <v>93.432759873999998</v>
      </c>
      <c r="E23" s="156">
        <f>IF($B23=" ","",IFERROR(INDEX(MMWR_RATING_STATE_ROLLUP_VSC[],MATCH($B23,MMWR_RATING_STATE_ROLLUP_VSC[MMWR_RATING_STATE_ROLLUP_VSC],0),MATCH(E$9,MMWR_RATING_STATE_ROLLUP_VSC[#Headers],0))/$C23,"ERROR"))</f>
        <v>0.24545674824327599</v>
      </c>
      <c r="F23" s="154">
        <f>IF($B23=" ","",IFERROR(INDEX(MMWR_RATING_STATE_ROLLUP_VSC[],MATCH($B23,MMWR_RATING_STATE_ROLLUP_VSC[MMWR_RATING_STATE_ROLLUP_VSC],0),MATCH(F$9,MMWR_RATING_STATE_ROLLUP_VSC[#Headers],0)),"ERROR"))</f>
        <v>767</v>
      </c>
      <c r="G23" s="154">
        <f>IF($B23=" ","",IFERROR(INDEX(MMWR_RATING_STATE_ROLLUP_VSC[],MATCH($B23,MMWR_RATING_STATE_ROLLUP_VSC[MMWR_RATING_STATE_ROLLUP_VSC],0),MATCH(G$9,MMWR_RATING_STATE_ROLLUP_VSC[#Headers],0)),"ERROR"))</f>
        <v>7051</v>
      </c>
      <c r="H23" s="155">
        <f>IF($B23=" ","",IFERROR(INDEX(MMWR_RATING_STATE_ROLLUP_VSC[],MATCH($B23,MMWR_RATING_STATE_ROLLUP_VSC[MMWR_RATING_STATE_ROLLUP_VSC],0),MATCH(H$9,MMWR_RATING_STATE_ROLLUP_VSC[#Headers],0)),"ERROR"))</f>
        <v>125.6936114733</v>
      </c>
      <c r="I23" s="155">
        <f>IF($B23=" ","",IFERROR(INDEX(MMWR_RATING_STATE_ROLLUP_VSC[],MATCH($B23,MMWR_RATING_STATE_ROLLUP_VSC[MMWR_RATING_STATE_ROLLUP_VSC],0),MATCH(I$9,MMWR_RATING_STATE_ROLLUP_VSC[#Headers],0)),"ERROR"))</f>
        <v>139.19231314710001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8373</v>
      </c>
      <c r="D24" s="155">
        <f>IF($B24=" ","",IFERROR(INDEX(MMWR_RATING_STATE_ROLLUP_VSC[],MATCH($B24,MMWR_RATING_STATE_ROLLUP_VSC[MMWR_RATING_STATE_ROLLUP_VSC],0),MATCH(D$9,MMWR_RATING_STATE_ROLLUP_VSC[#Headers],0)),"ERROR"))</f>
        <v>93.002985787699998</v>
      </c>
      <c r="E24" s="156">
        <f>IF($B24=" ","",IFERROR(INDEX(MMWR_RATING_STATE_ROLLUP_VSC[],MATCH($B24,MMWR_RATING_STATE_ROLLUP_VSC[MMWR_RATING_STATE_ROLLUP_VSC],0),MATCH(E$9,MMWR_RATING_STATE_ROLLUP_VSC[#Headers],0))/$C24,"ERROR"))</f>
        <v>0.24005732712289501</v>
      </c>
      <c r="F24" s="154">
        <f>IF($B24=" ","",IFERROR(INDEX(MMWR_RATING_STATE_ROLLUP_VSC[],MATCH($B24,MMWR_RATING_STATE_ROLLUP_VSC[MMWR_RATING_STATE_ROLLUP_VSC],0),MATCH(F$9,MMWR_RATING_STATE_ROLLUP_VSC[#Headers],0)),"ERROR"))</f>
        <v>1987</v>
      </c>
      <c r="G24" s="154">
        <f>IF($B24=" ","",IFERROR(INDEX(MMWR_RATING_STATE_ROLLUP_VSC[],MATCH($B24,MMWR_RATING_STATE_ROLLUP_VSC[MMWR_RATING_STATE_ROLLUP_VSC],0),MATCH(G$9,MMWR_RATING_STATE_ROLLUP_VSC[#Headers],0)),"ERROR"))</f>
        <v>16138</v>
      </c>
      <c r="H24" s="155">
        <f>IF($B24=" ","",IFERROR(INDEX(MMWR_RATING_STATE_ROLLUP_VSC[],MATCH($B24,MMWR_RATING_STATE_ROLLUP_VSC[MMWR_RATING_STATE_ROLLUP_VSC],0),MATCH(H$9,MMWR_RATING_STATE_ROLLUP_VSC[#Headers],0)),"ERROR"))</f>
        <v>119.5420231505</v>
      </c>
      <c r="I24" s="155">
        <f>IF($B24=" ","",IFERROR(INDEX(MMWR_RATING_STATE_ROLLUP_VSC[],MATCH($B24,MMWR_RATING_STATE_ROLLUP_VSC[MMWR_RATING_STATE_ROLLUP_VSC],0),MATCH(I$9,MMWR_RATING_STATE_ROLLUP_VSC[#Headers],0)),"ERROR"))</f>
        <v>131.76601809389999</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16702</v>
      </c>
      <c r="D25" s="155">
        <f>IF($B25=" ","",IFERROR(INDEX(MMWR_RATING_STATE_ROLLUP_VSC[],MATCH($B25,MMWR_RATING_STATE_ROLLUP_VSC[MMWR_RATING_STATE_ROLLUP_VSC],0),MATCH(D$9,MMWR_RATING_STATE_ROLLUP_VSC[#Headers],0)),"ERROR"))</f>
        <v>95.098790563999998</v>
      </c>
      <c r="E25" s="156">
        <f>IF($B25=" ","",IFERROR(INDEX(MMWR_RATING_STATE_ROLLUP_VSC[],MATCH($B25,MMWR_RATING_STATE_ROLLUP_VSC[MMWR_RATING_STATE_ROLLUP_VSC],0),MATCH(E$9,MMWR_RATING_STATE_ROLLUP_VSC[#Headers],0))/$C25,"ERROR"))</f>
        <v>0.26080708897138066</v>
      </c>
      <c r="F25" s="154">
        <f>IF($B25=" ","",IFERROR(INDEX(MMWR_RATING_STATE_ROLLUP_VSC[],MATCH($B25,MMWR_RATING_STATE_ROLLUP_VSC[MMWR_RATING_STATE_ROLLUP_VSC],0),MATCH(F$9,MMWR_RATING_STATE_ROLLUP_VSC[#Headers],0)),"ERROR"))</f>
        <v>2802</v>
      </c>
      <c r="G25" s="154">
        <f>IF($B25=" ","",IFERROR(INDEX(MMWR_RATING_STATE_ROLLUP_VSC[],MATCH($B25,MMWR_RATING_STATE_ROLLUP_VSC[MMWR_RATING_STATE_ROLLUP_VSC],0),MATCH(G$9,MMWR_RATING_STATE_ROLLUP_VSC[#Headers],0)),"ERROR"))</f>
        <v>28152</v>
      </c>
      <c r="H25" s="155">
        <f>IF($B25=" ","",IFERROR(INDEX(MMWR_RATING_STATE_ROLLUP_VSC[],MATCH($B25,MMWR_RATING_STATE_ROLLUP_VSC[MMWR_RATING_STATE_ROLLUP_VSC],0),MATCH(H$9,MMWR_RATING_STATE_ROLLUP_VSC[#Headers],0)),"ERROR"))</f>
        <v>122.7394718059</v>
      </c>
      <c r="I25" s="155">
        <f>IF($B25=" ","",IFERROR(INDEX(MMWR_RATING_STATE_ROLLUP_VSC[],MATCH($B25,MMWR_RATING_STATE_ROLLUP_VSC[MMWR_RATING_STATE_ROLLUP_VSC],0),MATCH(I$9,MMWR_RATING_STATE_ROLLUP_VSC[#Headers],0)),"ERROR"))</f>
        <v>138.8054134697</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9085</v>
      </c>
      <c r="D26" s="155">
        <f>IF($B26=" ","",IFERROR(INDEX(MMWR_RATING_STATE_ROLLUP_VSC[],MATCH($B26,MMWR_RATING_STATE_ROLLUP_VSC[MMWR_RATING_STATE_ROLLUP_VSC],0),MATCH(D$9,MMWR_RATING_STATE_ROLLUP_VSC[#Headers],0)),"ERROR"))</f>
        <v>99.8033021464</v>
      </c>
      <c r="E26" s="156">
        <f>IF($B26=" ","",IFERROR(INDEX(MMWR_RATING_STATE_ROLLUP_VSC[],MATCH($B26,MMWR_RATING_STATE_ROLLUP_VSC[MMWR_RATING_STATE_ROLLUP_VSC],0),MATCH(E$9,MMWR_RATING_STATE_ROLLUP_VSC[#Headers],0))/$C26,"ERROR"))</f>
        <v>0.2747385800770501</v>
      </c>
      <c r="F26" s="154">
        <f>IF($B26=" ","",IFERROR(INDEX(MMWR_RATING_STATE_ROLLUP_VSC[],MATCH($B26,MMWR_RATING_STATE_ROLLUP_VSC[MMWR_RATING_STATE_ROLLUP_VSC],0),MATCH(F$9,MMWR_RATING_STATE_ROLLUP_VSC[#Headers],0)),"ERROR"))</f>
        <v>1579</v>
      </c>
      <c r="G26" s="154">
        <f>IF($B26=" ","",IFERROR(INDEX(MMWR_RATING_STATE_ROLLUP_VSC[],MATCH($B26,MMWR_RATING_STATE_ROLLUP_VSC[MMWR_RATING_STATE_ROLLUP_VSC],0),MATCH(G$9,MMWR_RATING_STATE_ROLLUP_VSC[#Headers],0)),"ERROR"))</f>
        <v>16687</v>
      </c>
      <c r="H26" s="155">
        <f>IF($B26=" ","",IFERROR(INDEX(MMWR_RATING_STATE_ROLLUP_VSC[],MATCH($B26,MMWR_RATING_STATE_ROLLUP_VSC[MMWR_RATING_STATE_ROLLUP_VSC],0),MATCH(H$9,MMWR_RATING_STATE_ROLLUP_VSC[#Headers],0)),"ERROR"))</f>
        <v>128.7948068398</v>
      </c>
      <c r="I26" s="155">
        <f>IF($B26=" ","",IFERROR(INDEX(MMWR_RATING_STATE_ROLLUP_VSC[],MATCH($B26,MMWR_RATING_STATE_ROLLUP_VSC[MMWR_RATING_STATE_ROLLUP_VSC],0),MATCH(I$9,MMWR_RATING_STATE_ROLLUP_VSC[#Headers],0)),"ERROR"))</f>
        <v>141.2164559238</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922</v>
      </c>
      <c r="D27" s="155">
        <f>IF($B27=" ","",IFERROR(INDEX(MMWR_RATING_STATE_ROLLUP_VSC[],MATCH($B27,MMWR_RATING_STATE_ROLLUP_VSC[MMWR_RATING_STATE_ROLLUP_VSC],0),MATCH(D$9,MMWR_RATING_STATE_ROLLUP_VSC[#Headers],0)),"ERROR"))</f>
        <v>77.601952277699993</v>
      </c>
      <c r="E27" s="156">
        <f>IF($B27=" ","",IFERROR(INDEX(MMWR_RATING_STATE_ROLLUP_VSC[],MATCH($B27,MMWR_RATING_STATE_ROLLUP_VSC[MMWR_RATING_STATE_ROLLUP_VSC],0),MATCH(E$9,MMWR_RATING_STATE_ROLLUP_VSC[#Headers],0))/$C27,"ERROR"))</f>
        <v>0.18763557483731019</v>
      </c>
      <c r="F27" s="154">
        <f>IF($B27=" ","",IFERROR(INDEX(MMWR_RATING_STATE_ROLLUP_VSC[],MATCH($B27,MMWR_RATING_STATE_ROLLUP_VSC[MMWR_RATING_STATE_ROLLUP_VSC],0),MATCH(F$9,MMWR_RATING_STATE_ROLLUP_VSC[#Headers],0)),"ERROR"))</f>
        <v>226</v>
      </c>
      <c r="G27" s="154">
        <f>IF($B27=" ","",IFERROR(INDEX(MMWR_RATING_STATE_ROLLUP_VSC[],MATCH($B27,MMWR_RATING_STATE_ROLLUP_VSC[MMWR_RATING_STATE_ROLLUP_VSC],0),MATCH(G$9,MMWR_RATING_STATE_ROLLUP_VSC[#Headers],0)),"ERROR"))</f>
        <v>1824</v>
      </c>
      <c r="H27" s="155">
        <f>IF($B27=" ","",IFERROR(INDEX(MMWR_RATING_STATE_ROLLUP_VSC[],MATCH($B27,MMWR_RATING_STATE_ROLLUP_VSC[MMWR_RATING_STATE_ROLLUP_VSC],0),MATCH(H$9,MMWR_RATING_STATE_ROLLUP_VSC[#Headers],0)),"ERROR"))</f>
        <v>97.234513274299999</v>
      </c>
      <c r="I27" s="155">
        <f>IF($B27=" ","",IFERROR(INDEX(MMWR_RATING_STATE_ROLLUP_VSC[],MATCH($B27,MMWR_RATING_STATE_ROLLUP_VSC[MMWR_RATING_STATE_ROLLUP_VSC],0),MATCH(I$9,MMWR_RATING_STATE_ROLLUP_VSC[#Headers],0)),"ERROR"))</f>
        <v>113.8256578947</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473</v>
      </c>
      <c r="D28" s="155">
        <f>IF($B28=" ","",IFERROR(INDEX(MMWR_RATING_STATE_ROLLUP_VSC[],MATCH($B28,MMWR_RATING_STATE_ROLLUP_VSC[MMWR_RATING_STATE_ROLLUP_VSC],0),MATCH(D$9,MMWR_RATING_STATE_ROLLUP_VSC[#Headers],0)),"ERROR"))</f>
        <v>97.479915433399995</v>
      </c>
      <c r="E28" s="156">
        <f>IF($B28=" ","",IFERROR(INDEX(MMWR_RATING_STATE_ROLLUP_VSC[],MATCH($B28,MMWR_RATING_STATE_ROLLUP_VSC[MMWR_RATING_STATE_ROLLUP_VSC],0),MATCH(E$9,MMWR_RATING_STATE_ROLLUP_VSC[#Headers],0))/$C28,"ERROR"))</f>
        <v>0.31289640591966172</v>
      </c>
      <c r="F28" s="154">
        <f>IF($B28=" ","",IFERROR(INDEX(MMWR_RATING_STATE_ROLLUP_VSC[],MATCH($B28,MMWR_RATING_STATE_ROLLUP_VSC[MMWR_RATING_STATE_ROLLUP_VSC],0),MATCH(F$9,MMWR_RATING_STATE_ROLLUP_VSC[#Headers],0)),"ERROR"))</f>
        <v>80</v>
      </c>
      <c r="G28" s="154">
        <f>IF($B28=" ","",IFERROR(INDEX(MMWR_RATING_STATE_ROLLUP_VSC[],MATCH($B28,MMWR_RATING_STATE_ROLLUP_VSC[MMWR_RATING_STATE_ROLLUP_VSC],0),MATCH(G$9,MMWR_RATING_STATE_ROLLUP_VSC[#Headers],0)),"ERROR"))</f>
        <v>820</v>
      </c>
      <c r="H28" s="155">
        <f>IF($B28=" ","",IFERROR(INDEX(MMWR_RATING_STATE_ROLLUP_VSC[],MATCH($B28,MMWR_RATING_STATE_ROLLUP_VSC[MMWR_RATING_STATE_ROLLUP_VSC],0),MATCH(H$9,MMWR_RATING_STATE_ROLLUP_VSC[#Headers],0)),"ERROR"))</f>
        <v>114.1375</v>
      </c>
      <c r="I28" s="155">
        <f>IF($B28=" ","",IFERROR(INDEX(MMWR_RATING_STATE_ROLLUP_VSC[],MATCH($B28,MMWR_RATING_STATE_ROLLUP_VSC[MMWR_RATING_STATE_ROLLUP_VSC],0),MATCH(I$9,MMWR_RATING_STATE_ROLLUP_VSC[#Headers],0)),"ERROR"))</f>
        <v>131.3024390244</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10142</v>
      </c>
      <c r="D29" s="155">
        <f>IF($B29=" ","",IFERROR(INDEX(MMWR_RATING_STATE_ROLLUP_VSC[],MATCH($B29,MMWR_RATING_STATE_ROLLUP_VSC[MMWR_RATING_STATE_ROLLUP_VSC],0),MATCH(D$9,MMWR_RATING_STATE_ROLLUP_VSC[#Headers],0)),"ERROR"))</f>
        <v>89.5699073161</v>
      </c>
      <c r="E29" s="156">
        <f>IF($B29=" ","",IFERROR(INDEX(MMWR_RATING_STATE_ROLLUP_VSC[],MATCH($B29,MMWR_RATING_STATE_ROLLUP_VSC[MMWR_RATING_STATE_ROLLUP_VSC],0),MATCH(E$9,MMWR_RATING_STATE_ROLLUP_VSC[#Headers],0))/$C29,"ERROR"))</f>
        <v>0.24087951094458687</v>
      </c>
      <c r="F29" s="154">
        <f>IF($B29=" ","",IFERROR(INDEX(MMWR_RATING_STATE_ROLLUP_VSC[],MATCH($B29,MMWR_RATING_STATE_ROLLUP_VSC[MMWR_RATING_STATE_ROLLUP_VSC],0),MATCH(F$9,MMWR_RATING_STATE_ROLLUP_VSC[#Headers],0)),"ERROR"))</f>
        <v>2305</v>
      </c>
      <c r="G29" s="154">
        <f>IF($B29=" ","",IFERROR(INDEX(MMWR_RATING_STATE_ROLLUP_VSC[],MATCH($B29,MMWR_RATING_STATE_ROLLUP_VSC[MMWR_RATING_STATE_ROLLUP_VSC],0),MATCH(G$9,MMWR_RATING_STATE_ROLLUP_VSC[#Headers],0)),"ERROR"))</f>
        <v>19989</v>
      </c>
      <c r="H29" s="155">
        <f>IF($B29=" ","",IFERROR(INDEX(MMWR_RATING_STATE_ROLLUP_VSC[],MATCH($B29,MMWR_RATING_STATE_ROLLUP_VSC[MMWR_RATING_STATE_ROLLUP_VSC],0),MATCH(H$9,MMWR_RATING_STATE_ROLLUP_VSC[#Headers],0)),"ERROR"))</f>
        <v>127.5596529284</v>
      </c>
      <c r="I29" s="155">
        <f>IF($B29=" ","",IFERROR(INDEX(MMWR_RATING_STATE_ROLLUP_VSC[],MATCH($B29,MMWR_RATING_STATE_ROLLUP_VSC[MMWR_RATING_STATE_ROLLUP_VSC],0),MATCH(I$9,MMWR_RATING_STATE_ROLLUP_VSC[#Headers],0)),"ERROR"))</f>
        <v>132.72534894189999</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2866</v>
      </c>
      <c r="D30" s="155">
        <f>IF($B30=" ","",IFERROR(INDEX(MMWR_RATING_STATE_ROLLUP_VSC[],MATCH($B30,MMWR_RATING_STATE_ROLLUP_VSC[MMWR_RATING_STATE_ROLLUP_VSC],0),MATCH(D$9,MMWR_RATING_STATE_ROLLUP_VSC[#Headers],0)),"ERROR"))</f>
        <v>79.429867411000004</v>
      </c>
      <c r="E30" s="156">
        <f>IF($B30=" ","",IFERROR(INDEX(MMWR_RATING_STATE_ROLLUP_VSC[],MATCH($B30,MMWR_RATING_STATE_ROLLUP_VSC[MMWR_RATING_STATE_ROLLUP_VSC],0),MATCH(E$9,MMWR_RATING_STATE_ROLLUP_VSC[#Headers],0))/$C30,"ERROR"))</f>
        <v>0.19260293091416608</v>
      </c>
      <c r="F30" s="154">
        <f>IF($B30=" ","",IFERROR(INDEX(MMWR_RATING_STATE_ROLLUP_VSC[],MATCH($B30,MMWR_RATING_STATE_ROLLUP_VSC[MMWR_RATING_STATE_ROLLUP_VSC],0),MATCH(F$9,MMWR_RATING_STATE_ROLLUP_VSC[#Headers],0)),"ERROR"))</f>
        <v>565</v>
      </c>
      <c r="G30" s="154">
        <f>IF($B30=" ","",IFERROR(INDEX(MMWR_RATING_STATE_ROLLUP_VSC[],MATCH($B30,MMWR_RATING_STATE_ROLLUP_VSC[MMWR_RATING_STATE_ROLLUP_VSC],0),MATCH(G$9,MMWR_RATING_STATE_ROLLUP_VSC[#Headers],0)),"ERROR"))</f>
        <v>4934</v>
      </c>
      <c r="H30" s="155">
        <f>IF($B30=" ","",IFERROR(INDEX(MMWR_RATING_STATE_ROLLUP_VSC[],MATCH($B30,MMWR_RATING_STATE_ROLLUP_VSC[MMWR_RATING_STATE_ROLLUP_VSC],0),MATCH(H$9,MMWR_RATING_STATE_ROLLUP_VSC[#Headers],0)),"ERROR"))</f>
        <v>106.6566371681</v>
      </c>
      <c r="I30" s="155">
        <f>IF($B30=" ","",IFERROR(INDEX(MMWR_RATING_STATE_ROLLUP_VSC[],MATCH($B30,MMWR_RATING_STATE_ROLLUP_VSC[MMWR_RATING_STATE_ROLLUP_VSC],0),MATCH(I$9,MMWR_RATING_STATE_ROLLUP_VSC[#Headers],0)),"ERROR"))</f>
        <v>120.9130522902</v>
      </c>
      <c r="J30" s="42"/>
      <c r="K30" s="42"/>
      <c r="L30" s="42"/>
      <c r="M30" s="42"/>
      <c r="N30" s="28"/>
    </row>
    <row r="31" spans="1:14" x14ac:dyDescent="0.2">
      <c r="A31" s="25"/>
      <c r="B31" s="377" t="s">
        <v>960</v>
      </c>
      <c r="C31" s="378"/>
      <c r="D31" s="378"/>
      <c r="E31" s="378"/>
      <c r="F31" s="378"/>
      <c r="G31" s="378"/>
      <c r="H31" s="378"/>
      <c r="I31" s="378"/>
      <c r="J31" s="378"/>
      <c r="K31" s="378"/>
      <c r="L31" s="378"/>
      <c r="M31" s="387"/>
      <c r="N31" s="28"/>
    </row>
    <row r="32" spans="1:14" x14ac:dyDescent="0.2">
      <c r="A32" s="25"/>
      <c r="B32" s="41" t="s">
        <v>1038</v>
      </c>
      <c r="C32" s="154">
        <f>IF($B32=" ","",IFERROR(INDEX(MMWR_RATING_STATE_ROLLUP_PMC[],MATCH($B32,MMWR_RATING_STATE_ROLLUP_PMC[MMWR_RATING_STATE_ROLLUP_PMC],0),MATCH(C$9,MMWR_RATING_STATE_ROLLUP_PMC[#Headers],0)),"ERROR"))</f>
        <v>28368</v>
      </c>
      <c r="D32" s="155">
        <f>IF($B32=" ","",IFERROR(INDEX(MMWR_RATING_STATE_ROLLUP_PMC[],MATCH($B32,MMWR_RATING_STATE_ROLLUP_PMC[MMWR_RATING_STATE_ROLLUP_PMC],0),MATCH(D$9,MMWR_RATING_STATE_ROLLUP_PMC[#Headers],0)),"ERROR"))</f>
        <v>65.427982233500003</v>
      </c>
      <c r="E32" s="156">
        <f>IF($B32=" ","",IFERROR(INDEX(MMWR_RATING_STATE_ROLLUP_PMC[],MATCH($B32,MMWR_RATING_STATE_ROLLUP_PMC[MMWR_RATING_STATE_ROLLUP_PMC],0),MATCH(E$9,MMWR_RATING_STATE_ROLLUP_PMC[#Headers],0))/$C32,"ERROR"))</f>
        <v>0.11086435420191765</v>
      </c>
      <c r="F32" s="154">
        <f>IF($B32=" ","",IFERROR(INDEX(MMWR_RATING_STATE_ROLLUP_PMC[],MATCH($B32,MMWR_RATING_STATE_ROLLUP_PMC[MMWR_RATING_STATE_ROLLUP_PMC],0),MATCH(F$9,MMWR_RATING_STATE_ROLLUP_PMC[#Headers],0)),"ERROR"))</f>
        <v>8691</v>
      </c>
      <c r="G32" s="154">
        <f>IF($B32=" ","",IFERROR(INDEX(MMWR_RATING_STATE_ROLLUP_PMC[],MATCH($B32,MMWR_RATING_STATE_ROLLUP_PMC[MMWR_RATING_STATE_ROLLUP_PMC],0),MATCH(G$9,MMWR_RATING_STATE_ROLLUP_PMC[#Headers],0)),"ERROR"))</f>
        <v>82061</v>
      </c>
      <c r="H32" s="155">
        <f>IF($B32=" ","",IFERROR(INDEX(MMWR_RATING_STATE_ROLLUP_PMC[],MATCH($B32,MMWR_RATING_STATE_ROLLUP_PMC[MMWR_RATING_STATE_ROLLUP_PMC],0),MATCH(H$9,MMWR_RATING_STATE_ROLLUP_PMC[#Headers],0)),"ERROR"))</f>
        <v>81.268208491500005</v>
      </c>
      <c r="I32" s="155">
        <f>IF($B32=" ","",IFERROR(INDEX(MMWR_RATING_STATE_ROLLUP_PMC[],MATCH($B32,MMWR_RATING_STATE_ROLLUP_PMC[MMWR_RATING_STATE_ROLLUP_PMC],0),MATCH(I$9,MMWR_RATING_STATE_ROLLUP_PMC[#Headers],0)),"ERROR"))</f>
        <v>77.303444998200007</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7835</v>
      </c>
      <c r="D33" s="155">
        <f>IF($B33=" ","",IFERROR(INDEX(MMWR_RATING_STATE_ROLLUP_PMC[],MATCH($B33,MMWR_RATING_STATE_ROLLUP_PMC[MMWR_RATING_STATE_ROLLUP_PMC],0),MATCH(D$9,MMWR_RATING_STATE_ROLLUP_PMC[#Headers],0)),"ERROR"))</f>
        <v>70.5167836631</v>
      </c>
      <c r="E33" s="156">
        <f>IF($B33=" ","",IFERROR(INDEX(MMWR_RATING_STATE_ROLLUP_PMC[],MATCH($B33,MMWR_RATING_STATE_ROLLUP_PMC[MMWR_RATING_STATE_ROLLUP_PMC],0),MATCH(E$9,MMWR_RATING_STATE_ROLLUP_PMC[#Headers],0))/$C33,"ERROR"))</f>
        <v>0.13324824505424379</v>
      </c>
      <c r="F33" s="154">
        <f>IF($B33=" ","",IFERROR(INDEX(MMWR_RATING_STATE_ROLLUP_PMC[],MATCH($B33,MMWR_RATING_STATE_ROLLUP_PMC[MMWR_RATING_STATE_ROLLUP_PMC],0),MATCH(F$9,MMWR_RATING_STATE_ROLLUP_PMC[#Headers],0)),"ERROR"))</f>
        <v>1703</v>
      </c>
      <c r="G33" s="154">
        <f>IF($B33=" ","",IFERROR(INDEX(MMWR_RATING_STATE_ROLLUP_PMC[],MATCH($B33,MMWR_RATING_STATE_ROLLUP_PMC[MMWR_RATING_STATE_ROLLUP_PMC],0),MATCH(G$9,MMWR_RATING_STATE_ROLLUP_PMC[#Headers],0)),"ERROR"))</f>
        <v>16263</v>
      </c>
      <c r="H33" s="155">
        <f>IF($B33=" ","",IFERROR(INDEX(MMWR_RATING_STATE_ROLLUP_PMC[],MATCH($B33,MMWR_RATING_STATE_ROLLUP_PMC[MMWR_RATING_STATE_ROLLUP_PMC],0),MATCH(H$9,MMWR_RATING_STATE_ROLLUP_PMC[#Headers],0)),"ERROR"))</f>
        <v>107.77686435699999</v>
      </c>
      <c r="I33" s="155">
        <f>IF($B33=" ","",IFERROR(INDEX(MMWR_RATING_STATE_ROLLUP_PMC[],MATCH($B33,MMWR_RATING_STATE_ROLLUP_PMC[MMWR_RATING_STATE_ROLLUP_PMC],0),MATCH(I$9,MMWR_RATING_STATE_ROLLUP_PMC[#Headers],0)),"ERROR"))</f>
        <v>94.815163253999998</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230</v>
      </c>
      <c r="D34" s="155">
        <f>IF($B34=" ","",IFERROR(INDEX(MMWR_RATING_STATE_ROLLUP_PMC[],MATCH($B34,MMWR_RATING_STATE_ROLLUP_PMC[MMWR_RATING_STATE_ROLLUP_PMC],0),MATCH(D$9,MMWR_RATING_STATE_ROLLUP_PMC[#Headers],0)),"ERROR"))</f>
        <v>69.304347826099999</v>
      </c>
      <c r="E34" s="156">
        <f>IF($B34=" ","",IFERROR(INDEX(MMWR_RATING_STATE_ROLLUP_PMC[],MATCH($B34,MMWR_RATING_STATE_ROLLUP_PMC[MMWR_RATING_STATE_ROLLUP_PMC],0),MATCH(E$9,MMWR_RATING_STATE_ROLLUP_PMC[#Headers],0))/$C34,"ERROR"))</f>
        <v>9.5652173913043481E-2</v>
      </c>
      <c r="F34" s="154">
        <f>IF($B34=" ","",IFERROR(INDEX(MMWR_RATING_STATE_ROLLUP_PMC[],MATCH($B34,MMWR_RATING_STATE_ROLLUP_PMC[MMWR_RATING_STATE_ROLLUP_PMC],0),MATCH(F$9,MMWR_RATING_STATE_ROLLUP_PMC[#Headers],0)),"ERROR"))</f>
        <v>46</v>
      </c>
      <c r="G34" s="154">
        <f>IF($B34=" ","",IFERROR(INDEX(MMWR_RATING_STATE_ROLLUP_PMC[],MATCH($B34,MMWR_RATING_STATE_ROLLUP_PMC[MMWR_RATING_STATE_ROLLUP_PMC],0),MATCH(G$9,MMWR_RATING_STATE_ROLLUP_PMC[#Headers],0)),"ERROR"))</f>
        <v>482</v>
      </c>
      <c r="H34" s="155">
        <f>IF($B34=" ","",IFERROR(INDEX(MMWR_RATING_STATE_ROLLUP_PMC[],MATCH($B34,MMWR_RATING_STATE_ROLLUP_PMC[MMWR_RATING_STATE_ROLLUP_PMC],0),MATCH(H$9,MMWR_RATING_STATE_ROLLUP_PMC[#Headers],0)),"ERROR"))</f>
        <v>107.8913043478</v>
      </c>
      <c r="I34" s="155">
        <f>IF($B34=" ","",IFERROR(INDEX(MMWR_RATING_STATE_ROLLUP_PMC[],MATCH($B34,MMWR_RATING_STATE_ROLLUP_PMC[MMWR_RATING_STATE_ROLLUP_PMC],0),MATCH(I$9,MMWR_RATING_STATE_ROLLUP_PMC[#Headers],0)),"ERROR"))</f>
        <v>92.753112033199997</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88</v>
      </c>
      <c r="D35" s="155">
        <f>IF($B35=" ","",IFERROR(INDEX(MMWR_RATING_STATE_ROLLUP_PMC[],MATCH($B35,MMWR_RATING_STATE_ROLLUP_PMC[MMWR_RATING_STATE_ROLLUP_PMC],0),MATCH(D$9,MMWR_RATING_STATE_ROLLUP_PMC[#Headers],0)),"ERROR"))</f>
        <v>74.761363636400006</v>
      </c>
      <c r="E35" s="156">
        <f>IF($B35=" ","",IFERROR(INDEX(MMWR_RATING_STATE_ROLLUP_PMC[],MATCH($B35,MMWR_RATING_STATE_ROLLUP_PMC[MMWR_RATING_STATE_ROLLUP_PMC],0),MATCH(E$9,MMWR_RATING_STATE_ROLLUP_PMC[#Headers],0))/$C35,"ERROR"))</f>
        <v>0.17045454545454544</v>
      </c>
      <c r="F35" s="154">
        <f>IF($B35=" ","",IFERROR(INDEX(MMWR_RATING_STATE_ROLLUP_PMC[],MATCH($B35,MMWR_RATING_STATE_ROLLUP_PMC[MMWR_RATING_STATE_ROLLUP_PMC],0),MATCH(F$9,MMWR_RATING_STATE_ROLLUP_PMC[#Headers],0)),"ERROR"))</f>
        <v>23</v>
      </c>
      <c r="G35" s="154">
        <f>IF($B35=" ","",IFERROR(INDEX(MMWR_RATING_STATE_ROLLUP_PMC[],MATCH($B35,MMWR_RATING_STATE_ROLLUP_PMC[MMWR_RATING_STATE_ROLLUP_PMC],0),MATCH(G$9,MMWR_RATING_STATE_ROLLUP_PMC[#Headers],0)),"ERROR"))</f>
        <v>161</v>
      </c>
      <c r="H35" s="155">
        <f>IF($B35=" ","",IFERROR(INDEX(MMWR_RATING_STATE_ROLLUP_PMC[],MATCH($B35,MMWR_RATING_STATE_ROLLUP_PMC[MMWR_RATING_STATE_ROLLUP_PMC],0),MATCH(H$9,MMWR_RATING_STATE_ROLLUP_PMC[#Headers],0)),"ERROR"))</f>
        <v>110.13043478260001</v>
      </c>
      <c r="I35" s="155">
        <f>IF($B35=" ","",IFERROR(INDEX(MMWR_RATING_STATE_ROLLUP_PMC[],MATCH($B35,MMWR_RATING_STATE_ROLLUP_PMC[MMWR_RATING_STATE_ROLLUP_PMC],0),MATCH(I$9,MMWR_RATING_STATE_ROLLUP_PMC[#Headers],0)),"ERROR"))</f>
        <v>94.428571428599994</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57</v>
      </c>
      <c r="D36" s="155">
        <f>IF($B36=" ","",IFERROR(INDEX(MMWR_RATING_STATE_ROLLUP_PMC[],MATCH($B36,MMWR_RATING_STATE_ROLLUP_PMC[MMWR_RATING_STATE_ROLLUP_PMC],0),MATCH(D$9,MMWR_RATING_STATE_ROLLUP_PMC[#Headers],0)),"ERROR"))</f>
        <v>88.350877193000002</v>
      </c>
      <c r="E36" s="156">
        <f>IF($B36=" ","",IFERROR(INDEX(MMWR_RATING_STATE_ROLLUP_PMC[],MATCH($B36,MMWR_RATING_STATE_ROLLUP_PMC[MMWR_RATING_STATE_ROLLUP_PMC],0),MATCH(E$9,MMWR_RATING_STATE_ROLLUP_PMC[#Headers],0))/$C36,"ERROR"))</f>
        <v>0.21052631578947367</v>
      </c>
      <c r="F36" s="154">
        <f>IF($B36=" ","",IFERROR(INDEX(MMWR_RATING_STATE_ROLLUP_PMC[],MATCH($B36,MMWR_RATING_STATE_ROLLUP_PMC[MMWR_RATING_STATE_ROLLUP_PMC],0),MATCH(F$9,MMWR_RATING_STATE_ROLLUP_PMC[#Headers],0)),"ERROR"))</f>
        <v>14</v>
      </c>
      <c r="G36" s="154">
        <f>IF($B36=" ","",IFERROR(INDEX(MMWR_RATING_STATE_ROLLUP_PMC[],MATCH($B36,MMWR_RATING_STATE_ROLLUP_PMC[MMWR_RATING_STATE_ROLLUP_PMC],0),MATCH(G$9,MMWR_RATING_STATE_ROLLUP_PMC[#Headers],0)),"ERROR"))</f>
        <v>153</v>
      </c>
      <c r="H36" s="155">
        <f>IF($B36=" ","",IFERROR(INDEX(MMWR_RATING_STATE_ROLLUP_PMC[],MATCH($B36,MMWR_RATING_STATE_ROLLUP_PMC[MMWR_RATING_STATE_ROLLUP_PMC],0),MATCH(H$9,MMWR_RATING_STATE_ROLLUP_PMC[#Headers],0)),"ERROR"))</f>
        <v>91.428571428599994</v>
      </c>
      <c r="I36" s="155">
        <f>IF($B36=" ","",IFERROR(INDEX(MMWR_RATING_STATE_ROLLUP_PMC[],MATCH($B36,MMWR_RATING_STATE_ROLLUP_PMC[MMWR_RATING_STATE_ROLLUP_PMC],0),MATCH(I$9,MMWR_RATING_STATE_ROLLUP_PMC[#Headers],0)),"ERROR"))</f>
        <v>99.006535947700002</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128</v>
      </c>
      <c r="D37" s="155">
        <f>IF($B37=" ","",IFERROR(INDEX(MMWR_RATING_STATE_ROLLUP_PMC[],MATCH($B37,MMWR_RATING_STATE_ROLLUP_PMC[MMWR_RATING_STATE_ROLLUP_PMC],0),MATCH(D$9,MMWR_RATING_STATE_ROLLUP_PMC[#Headers],0)),"ERROR"))</f>
        <v>66.71875</v>
      </c>
      <c r="E37" s="156">
        <f>IF($B37=" ","",IFERROR(INDEX(MMWR_RATING_STATE_ROLLUP_PMC[],MATCH($B37,MMWR_RATING_STATE_ROLLUP_PMC[MMWR_RATING_STATE_ROLLUP_PMC],0),MATCH(E$9,MMWR_RATING_STATE_ROLLUP_PMC[#Headers],0))/$C37,"ERROR"))</f>
        <v>0.1328125</v>
      </c>
      <c r="F37" s="154">
        <f>IF($B37=" ","",IFERROR(INDEX(MMWR_RATING_STATE_ROLLUP_PMC[],MATCH($B37,MMWR_RATING_STATE_ROLLUP_PMC[MMWR_RATING_STATE_ROLLUP_PMC],0),MATCH(F$9,MMWR_RATING_STATE_ROLLUP_PMC[#Headers],0)),"ERROR"))</f>
        <v>37</v>
      </c>
      <c r="G37" s="154">
        <f>IF($B37=" ","",IFERROR(INDEX(MMWR_RATING_STATE_ROLLUP_PMC[],MATCH($B37,MMWR_RATING_STATE_ROLLUP_PMC[MMWR_RATING_STATE_ROLLUP_PMC],0),MATCH(G$9,MMWR_RATING_STATE_ROLLUP_PMC[#Headers],0)),"ERROR"))</f>
        <v>315</v>
      </c>
      <c r="H37" s="155">
        <f>IF($B37=" ","",IFERROR(INDEX(MMWR_RATING_STATE_ROLLUP_PMC[],MATCH($B37,MMWR_RATING_STATE_ROLLUP_PMC[MMWR_RATING_STATE_ROLLUP_PMC],0),MATCH(H$9,MMWR_RATING_STATE_ROLLUP_PMC[#Headers],0)),"ERROR"))</f>
        <v>95.675675675700006</v>
      </c>
      <c r="I37" s="155">
        <f>IF($B37=" ","",IFERROR(INDEX(MMWR_RATING_STATE_ROLLUP_PMC[],MATCH($B37,MMWR_RATING_STATE_ROLLUP_PMC[MMWR_RATING_STATE_ROLLUP_PMC],0),MATCH(I$9,MMWR_RATING_STATE_ROLLUP_PMC[#Headers],0)),"ERROR"))</f>
        <v>82.825396825400006</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466</v>
      </c>
      <c r="D38" s="155">
        <f>IF($B38=" ","",IFERROR(INDEX(MMWR_RATING_STATE_ROLLUP_PMC[],MATCH($B38,MMWR_RATING_STATE_ROLLUP_PMC[MMWR_RATING_STATE_ROLLUP_PMC],0),MATCH(D$9,MMWR_RATING_STATE_ROLLUP_PMC[#Headers],0)),"ERROR"))</f>
        <v>71.474248927000005</v>
      </c>
      <c r="E38" s="156">
        <f>IF($B38=" ","",IFERROR(INDEX(MMWR_RATING_STATE_ROLLUP_PMC[],MATCH($B38,MMWR_RATING_STATE_ROLLUP_PMC[MMWR_RATING_STATE_ROLLUP_PMC],0),MATCH(E$9,MMWR_RATING_STATE_ROLLUP_PMC[#Headers],0))/$C38,"ERROR"))</f>
        <v>0.14592274678111589</v>
      </c>
      <c r="F38" s="154">
        <f>IF($B38=" ","",IFERROR(INDEX(MMWR_RATING_STATE_ROLLUP_PMC[],MATCH($B38,MMWR_RATING_STATE_ROLLUP_PMC[MMWR_RATING_STATE_ROLLUP_PMC],0),MATCH(F$9,MMWR_RATING_STATE_ROLLUP_PMC[#Headers],0)),"ERROR"))</f>
        <v>112</v>
      </c>
      <c r="G38" s="154">
        <f>IF($B38=" ","",IFERROR(INDEX(MMWR_RATING_STATE_ROLLUP_PMC[],MATCH($B38,MMWR_RATING_STATE_ROLLUP_PMC[MMWR_RATING_STATE_ROLLUP_PMC],0),MATCH(G$9,MMWR_RATING_STATE_ROLLUP_PMC[#Headers],0)),"ERROR"))</f>
        <v>1073</v>
      </c>
      <c r="H38" s="155">
        <f>IF($B38=" ","",IFERROR(INDEX(MMWR_RATING_STATE_ROLLUP_PMC[],MATCH($B38,MMWR_RATING_STATE_ROLLUP_PMC[MMWR_RATING_STATE_ROLLUP_PMC],0),MATCH(H$9,MMWR_RATING_STATE_ROLLUP_PMC[#Headers],0)),"ERROR"))</f>
        <v>112.2321428571</v>
      </c>
      <c r="I38" s="155">
        <f>IF($B38=" ","",IFERROR(INDEX(MMWR_RATING_STATE_ROLLUP_PMC[],MATCH($B38,MMWR_RATING_STATE_ROLLUP_PMC[MMWR_RATING_STATE_ROLLUP_PMC],0),MATCH(I$9,MMWR_RATING_STATE_ROLLUP_PMC[#Headers],0)),"ERROR"))</f>
        <v>96.752096924499995</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450</v>
      </c>
      <c r="D39" s="155">
        <f>IF($B39=" ","",IFERROR(INDEX(MMWR_RATING_STATE_ROLLUP_PMC[],MATCH($B39,MMWR_RATING_STATE_ROLLUP_PMC[MMWR_RATING_STATE_ROLLUP_PMC],0),MATCH(D$9,MMWR_RATING_STATE_ROLLUP_PMC[#Headers],0)),"ERROR"))</f>
        <v>70.024444444400004</v>
      </c>
      <c r="E39" s="156">
        <f>IF($B39=" ","",IFERROR(INDEX(MMWR_RATING_STATE_ROLLUP_PMC[],MATCH($B39,MMWR_RATING_STATE_ROLLUP_PMC[MMWR_RATING_STATE_ROLLUP_PMC],0),MATCH(E$9,MMWR_RATING_STATE_ROLLUP_PMC[#Headers],0))/$C39,"ERROR"))</f>
        <v>0.12666666666666668</v>
      </c>
      <c r="F39" s="154">
        <f>IF($B39=" ","",IFERROR(INDEX(MMWR_RATING_STATE_ROLLUP_PMC[],MATCH($B39,MMWR_RATING_STATE_ROLLUP_PMC[MMWR_RATING_STATE_ROLLUP_PMC],0),MATCH(F$9,MMWR_RATING_STATE_ROLLUP_PMC[#Headers],0)),"ERROR"))</f>
        <v>108</v>
      </c>
      <c r="G39" s="154">
        <f>IF($B39=" ","",IFERROR(INDEX(MMWR_RATING_STATE_ROLLUP_PMC[],MATCH($B39,MMWR_RATING_STATE_ROLLUP_PMC[MMWR_RATING_STATE_ROLLUP_PMC],0),MATCH(G$9,MMWR_RATING_STATE_ROLLUP_PMC[#Headers],0)),"ERROR"))</f>
        <v>1036</v>
      </c>
      <c r="H39" s="155">
        <f>IF($B39=" ","",IFERROR(INDEX(MMWR_RATING_STATE_ROLLUP_PMC[],MATCH($B39,MMWR_RATING_STATE_ROLLUP_PMC[MMWR_RATING_STATE_ROLLUP_PMC],0),MATCH(H$9,MMWR_RATING_STATE_ROLLUP_PMC[#Headers],0)),"ERROR"))</f>
        <v>109.9259259259</v>
      </c>
      <c r="I39" s="155">
        <f>IF($B39=" ","",IFERROR(INDEX(MMWR_RATING_STATE_ROLLUP_PMC[],MATCH($B39,MMWR_RATING_STATE_ROLLUP_PMC[MMWR_RATING_STATE_ROLLUP_PMC],0),MATCH(I$9,MMWR_RATING_STATE_ROLLUP_PMC[#Headers],0)),"ERROR"))</f>
        <v>90.0241312741</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120</v>
      </c>
      <c r="D40" s="155">
        <f>IF($B40=" ","",IFERROR(INDEX(MMWR_RATING_STATE_ROLLUP_PMC[],MATCH($B40,MMWR_RATING_STATE_ROLLUP_PMC[MMWR_RATING_STATE_ROLLUP_PMC],0),MATCH(D$9,MMWR_RATING_STATE_ROLLUP_PMC[#Headers],0)),"ERROR"))</f>
        <v>66.158333333300007</v>
      </c>
      <c r="E40" s="156">
        <f>IF($B40=" ","",IFERROR(INDEX(MMWR_RATING_STATE_ROLLUP_PMC[],MATCH($B40,MMWR_RATING_STATE_ROLLUP_PMC[MMWR_RATING_STATE_ROLLUP_PMC],0),MATCH(E$9,MMWR_RATING_STATE_ROLLUP_PMC[#Headers],0))/$C40,"ERROR"))</f>
        <v>0.1</v>
      </c>
      <c r="F40" s="154">
        <f>IF($B40=" ","",IFERROR(INDEX(MMWR_RATING_STATE_ROLLUP_PMC[],MATCH($B40,MMWR_RATING_STATE_ROLLUP_PMC[MMWR_RATING_STATE_ROLLUP_PMC],0),MATCH(F$9,MMWR_RATING_STATE_ROLLUP_PMC[#Headers],0)),"ERROR"))</f>
        <v>23</v>
      </c>
      <c r="G40" s="154">
        <f>IF($B40=" ","",IFERROR(INDEX(MMWR_RATING_STATE_ROLLUP_PMC[],MATCH($B40,MMWR_RATING_STATE_ROLLUP_PMC[MMWR_RATING_STATE_ROLLUP_PMC],0),MATCH(G$9,MMWR_RATING_STATE_ROLLUP_PMC[#Headers],0)),"ERROR"))</f>
        <v>240</v>
      </c>
      <c r="H40" s="155">
        <f>IF($B40=" ","",IFERROR(INDEX(MMWR_RATING_STATE_ROLLUP_PMC[],MATCH($B40,MMWR_RATING_STATE_ROLLUP_PMC[MMWR_RATING_STATE_ROLLUP_PMC],0),MATCH(H$9,MMWR_RATING_STATE_ROLLUP_PMC[#Headers],0)),"ERROR"))</f>
        <v>96.043478260900002</v>
      </c>
      <c r="I40" s="155">
        <f>IF($B40=" ","",IFERROR(INDEX(MMWR_RATING_STATE_ROLLUP_PMC[],MATCH($B40,MMWR_RATING_STATE_ROLLUP_PMC[MMWR_RATING_STATE_ROLLUP_PMC],0),MATCH(I$9,MMWR_RATING_STATE_ROLLUP_PMC[#Headers],0)),"ERROR"))</f>
        <v>94.883333333300001</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548</v>
      </c>
      <c r="D41" s="155">
        <f>IF($B41=" ","",IFERROR(INDEX(MMWR_RATING_STATE_ROLLUP_PMC[],MATCH($B41,MMWR_RATING_STATE_ROLLUP_PMC[MMWR_RATING_STATE_ROLLUP_PMC],0),MATCH(D$9,MMWR_RATING_STATE_ROLLUP_PMC[#Headers],0)),"ERROR"))</f>
        <v>71.788321167899994</v>
      </c>
      <c r="E41" s="156">
        <f>IF($B41=" ","",IFERROR(INDEX(MMWR_RATING_STATE_ROLLUP_PMC[],MATCH($B41,MMWR_RATING_STATE_ROLLUP_PMC[MMWR_RATING_STATE_ROLLUP_PMC],0),MATCH(E$9,MMWR_RATING_STATE_ROLLUP_PMC[#Headers],0))/$C41,"ERROR"))</f>
        <v>0.13868613138686131</v>
      </c>
      <c r="F41" s="154">
        <f>IF($B41=" ","",IFERROR(INDEX(MMWR_RATING_STATE_ROLLUP_PMC[],MATCH($B41,MMWR_RATING_STATE_ROLLUP_PMC[MMWR_RATING_STATE_ROLLUP_PMC],0),MATCH(F$9,MMWR_RATING_STATE_ROLLUP_PMC[#Headers],0)),"ERROR"))</f>
        <v>99</v>
      </c>
      <c r="G41" s="154">
        <f>IF($B41=" ","",IFERROR(INDEX(MMWR_RATING_STATE_ROLLUP_PMC[],MATCH($B41,MMWR_RATING_STATE_ROLLUP_PMC[MMWR_RATING_STATE_ROLLUP_PMC],0),MATCH(G$9,MMWR_RATING_STATE_ROLLUP_PMC[#Headers],0)),"ERROR"))</f>
        <v>1091</v>
      </c>
      <c r="H41" s="155">
        <f>IF($B41=" ","",IFERROR(INDEX(MMWR_RATING_STATE_ROLLUP_PMC[],MATCH($B41,MMWR_RATING_STATE_ROLLUP_PMC[MMWR_RATING_STATE_ROLLUP_PMC],0),MATCH(H$9,MMWR_RATING_STATE_ROLLUP_PMC[#Headers],0)),"ERROR"))</f>
        <v>100.1313131313</v>
      </c>
      <c r="I41" s="155">
        <f>IF($B41=" ","",IFERROR(INDEX(MMWR_RATING_STATE_ROLLUP_PMC[],MATCH($B41,MMWR_RATING_STATE_ROLLUP_PMC[MMWR_RATING_STATE_ROLLUP_PMC],0),MATCH(I$9,MMWR_RATING_STATE_ROLLUP_PMC[#Headers],0)),"ERROR"))</f>
        <v>92.894592117299993</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1337</v>
      </c>
      <c r="D42" s="155">
        <f>IF($B42=" ","",IFERROR(INDEX(MMWR_RATING_STATE_ROLLUP_PMC[],MATCH($B42,MMWR_RATING_STATE_ROLLUP_PMC[MMWR_RATING_STATE_ROLLUP_PMC],0),MATCH(D$9,MMWR_RATING_STATE_ROLLUP_PMC[#Headers],0)),"ERROR"))</f>
        <v>71.170531039599993</v>
      </c>
      <c r="E42" s="156">
        <f>IF($B42=" ","",IFERROR(INDEX(MMWR_RATING_STATE_ROLLUP_PMC[],MATCH($B42,MMWR_RATING_STATE_ROLLUP_PMC[MMWR_RATING_STATE_ROLLUP_PMC],0),MATCH(E$9,MMWR_RATING_STATE_ROLLUP_PMC[#Headers],0))/$C42,"ERROR"))</f>
        <v>0.1286462228870606</v>
      </c>
      <c r="F42" s="154">
        <f>IF($B42=" ","",IFERROR(INDEX(MMWR_RATING_STATE_ROLLUP_PMC[],MATCH($B42,MMWR_RATING_STATE_ROLLUP_PMC[MMWR_RATING_STATE_ROLLUP_PMC],0),MATCH(F$9,MMWR_RATING_STATE_ROLLUP_PMC[#Headers],0)),"ERROR"))</f>
        <v>296</v>
      </c>
      <c r="G42" s="154">
        <f>IF($B42=" ","",IFERROR(INDEX(MMWR_RATING_STATE_ROLLUP_PMC[],MATCH($B42,MMWR_RATING_STATE_ROLLUP_PMC[MMWR_RATING_STATE_ROLLUP_PMC],0),MATCH(G$9,MMWR_RATING_STATE_ROLLUP_PMC[#Headers],0)),"ERROR"))</f>
        <v>2818</v>
      </c>
      <c r="H42" s="155">
        <f>IF($B42=" ","",IFERROR(INDEX(MMWR_RATING_STATE_ROLLUP_PMC[],MATCH($B42,MMWR_RATING_STATE_ROLLUP_PMC[MMWR_RATING_STATE_ROLLUP_PMC],0),MATCH(H$9,MMWR_RATING_STATE_ROLLUP_PMC[#Headers],0)),"ERROR"))</f>
        <v>111.8513513514</v>
      </c>
      <c r="I42" s="155">
        <f>IF($B42=" ","",IFERROR(INDEX(MMWR_RATING_STATE_ROLLUP_PMC[],MATCH($B42,MMWR_RATING_STATE_ROLLUP_PMC[MMWR_RATING_STATE_ROLLUP_PMC],0),MATCH(I$9,MMWR_RATING_STATE_ROLLUP_PMC[#Headers],0)),"ERROR"))</f>
        <v>96.249112846000003</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1459</v>
      </c>
      <c r="D43" s="155">
        <f>IF($B43=" ","",IFERROR(INDEX(MMWR_RATING_STATE_ROLLUP_PMC[],MATCH($B43,MMWR_RATING_STATE_ROLLUP_PMC[MMWR_RATING_STATE_ROLLUP_PMC],0),MATCH(D$9,MMWR_RATING_STATE_ROLLUP_PMC[#Headers],0)),"ERROR"))</f>
        <v>71.836874571600006</v>
      </c>
      <c r="E43" s="156">
        <f>IF($B43=" ","",IFERROR(INDEX(MMWR_RATING_STATE_ROLLUP_PMC[],MATCH($B43,MMWR_RATING_STATE_ROLLUP_PMC[MMWR_RATING_STATE_ROLLUP_PMC],0),MATCH(E$9,MMWR_RATING_STATE_ROLLUP_PMC[#Headers],0))/$C43,"ERROR"))</f>
        <v>0.1343385880740233</v>
      </c>
      <c r="F43" s="154">
        <f>IF($B43=" ","",IFERROR(INDEX(MMWR_RATING_STATE_ROLLUP_PMC[],MATCH($B43,MMWR_RATING_STATE_ROLLUP_PMC[MMWR_RATING_STATE_ROLLUP_PMC],0),MATCH(F$9,MMWR_RATING_STATE_ROLLUP_PMC[#Headers],0)),"ERROR"))</f>
        <v>307</v>
      </c>
      <c r="G43" s="154">
        <f>IF($B43=" ","",IFERROR(INDEX(MMWR_RATING_STATE_ROLLUP_PMC[],MATCH($B43,MMWR_RATING_STATE_ROLLUP_PMC[MMWR_RATING_STATE_ROLLUP_PMC],0),MATCH(G$9,MMWR_RATING_STATE_ROLLUP_PMC[#Headers],0)),"ERROR"))</f>
        <v>2817</v>
      </c>
      <c r="H43" s="155">
        <f>IF($B43=" ","",IFERROR(INDEX(MMWR_RATING_STATE_ROLLUP_PMC[],MATCH($B43,MMWR_RATING_STATE_ROLLUP_PMC[MMWR_RATING_STATE_ROLLUP_PMC],0),MATCH(H$9,MMWR_RATING_STATE_ROLLUP_PMC[#Headers],0)),"ERROR"))</f>
        <v>114.4885993485</v>
      </c>
      <c r="I43" s="155">
        <f>IF($B43=" ","",IFERROR(INDEX(MMWR_RATING_STATE_ROLLUP_PMC[],MATCH($B43,MMWR_RATING_STATE_ROLLUP_PMC[MMWR_RATING_STATE_ROLLUP_PMC],0),MATCH(I$9,MMWR_RATING_STATE_ROLLUP_PMC[#Headers],0)),"ERROR"))</f>
        <v>95.6627618033</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1607</v>
      </c>
      <c r="D44" s="155">
        <f>IF($B44=" ","",IFERROR(INDEX(MMWR_RATING_STATE_ROLLUP_PMC[],MATCH($B44,MMWR_RATING_STATE_ROLLUP_PMC[MMWR_RATING_STATE_ROLLUP_PMC],0),MATCH(D$9,MMWR_RATING_STATE_ROLLUP_PMC[#Headers],0)),"ERROR"))</f>
        <v>69.968886123199994</v>
      </c>
      <c r="E44" s="156">
        <f>IF($B44=" ","",IFERROR(INDEX(MMWR_RATING_STATE_ROLLUP_PMC[],MATCH($B44,MMWR_RATING_STATE_ROLLUP_PMC[MMWR_RATING_STATE_ROLLUP_PMC],0),MATCH(E$9,MMWR_RATING_STATE_ROLLUP_PMC[#Headers],0))/$C44,"ERROR"))</f>
        <v>0.13005600497822029</v>
      </c>
      <c r="F44" s="154">
        <f>IF($B44=" ","",IFERROR(INDEX(MMWR_RATING_STATE_ROLLUP_PMC[],MATCH($B44,MMWR_RATING_STATE_ROLLUP_PMC[MMWR_RATING_STATE_ROLLUP_PMC],0),MATCH(F$9,MMWR_RATING_STATE_ROLLUP_PMC[#Headers],0)),"ERROR"))</f>
        <v>346</v>
      </c>
      <c r="G44" s="154">
        <f>IF($B44=" ","",IFERROR(INDEX(MMWR_RATING_STATE_ROLLUP_PMC[],MATCH($B44,MMWR_RATING_STATE_ROLLUP_PMC[MMWR_RATING_STATE_ROLLUP_PMC],0),MATCH(G$9,MMWR_RATING_STATE_ROLLUP_PMC[#Headers],0)),"ERROR"))</f>
        <v>3334</v>
      </c>
      <c r="H44" s="155">
        <f>IF($B44=" ","",IFERROR(INDEX(MMWR_RATING_STATE_ROLLUP_PMC[],MATCH($B44,MMWR_RATING_STATE_ROLLUP_PMC[MMWR_RATING_STATE_ROLLUP_PMC],0),MATCH(H$9,MMWR_RATING_STATE_ROLLUP_PMC[#Headers],0)),"ERROR"))</f>
        <v>107.57514450870001</v>
      </c>
      <c r="I44" s="155">
        <f>IF($B44=" ","",IFERROR(INDEX(MMWR_RATING_STATE_ROLLUP_PMC[],MATCH($B44,MMWR_RATING_STATE_ROLLUP_PMC[MMWR_RATING_STATE_ROLLUP_PMC],0),MATCH(I$9,MMWR_RATING_STATE_ROLLUP_PMC[#Headers],0)),"ERROR"))</f>
        <v>93.013797240599999</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125</v>
      </c>
      <c r="D45" s="155">
        <f>IF($B45=" ","",IFERROR(INDEX(MMWR_RATING_STATE_ROLLUP_PMC[],MATCH($B45,MMWR_RATING_STATE_ROLLUP_PMC[MMWR_RATING_STATE_ROLLUP_PMC],0),MATCH(D$9,MMWR_RATING_STATE_ROLLUP_PMC[#Headers],0)),"ERROR"))</f>
        <v>65.808000000000007</v>
      </c>
      <c r="E45" s="156">
        <f>IF($B45=" ","",IFERROR(INDEX(MMWR_RATING_STATE_ROLLUP_PMC[],MATCH($B45,MMWR_RATING_STATE_ROLLUP_PMC[MMWR_RATING_STATE_ROLLUP_PMC],0),MATCH(E$9,MMWR_RATING_STATE_ROLLUP_PMC[#Headers],0))/$C45,"ERROR"))</f>
        <v>0.128</v>
      </c>
      <c r="F45" s="154">
        <f>IF($B45=" ","",IFERROR(INDEX(MMWR_RATING_STATE_ROLLUP_PMC[],MATCH($B45,MMWR_RATING_STATE_ROLLUP_PMC[MMWR_RATING_STATE_ROLLUP_PMC],0),MATCH(F$9,MMWR_RATING_STATE_ROLLUP_PMC[#Headers],0)),"ERROR"))</f>
        <v>21</v>
      </c>
      <c r="G45" s="154">
        <f>IF($B45=" ","",IFERROR(INDEX(MMWR_RATING_STATE_ROLLUP_PMC[],MATCH($B45,MMWR_RATING_STATE_ROLLUP_PMC[MMWR_RATING_STATE_ROLLUP_PMC],0),MATCH(G$9,MMWR_RATING_STATE_ROLLUP_PMC[#Headers],0)),"ERROR"))</f>
        <v>263</v>
      </c>
      <c r="H45" s="155">
        <f>IF($B45=" ","",IFERROR(INDEX(MMWR_RATING_STATE_ROLLUP_PMC[],MATCH($B45,MMWR_RATING_STATE_ROLLUP_PMC[MMWR_RATING_STATE_ROLLUP_PMC],0),MATCH(H$9,MMWR_RATING_STATE_ROLLUP_PMC[#Headers],0)),"ERROR"))</f>
        <v>114.19047619049999</v>
      </c>
      <c r="I45" s="155">
        <f>IF($B45=" ","",IFERROR(INDEX(MMWR_RATING_STATE_ROLLUP_PMC[],MATCH($B45,MMWR_RATING_STATE_ROLLUP_PMC[MMWR_RATING_STATE_ROLLUP_PMC],0),MATCH(I$9,MMWR_RATING_STATE_ROLLUP_PMC[#Headers],0)),"ERROR"))</f>
        <v>94.935361216700002</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44</v>
      </c>
      <c r="D46" s="155">
        <f>IF($B46=" ","",IFERROR(INDEX(MMWR_RATING_STATE_ROLLUP_PMC[],MATCH($B46,MMWR_RATING_STATE_ROLLUP_PMC[MMWR_RATING_STATE_ROLLUP_PMC],0),MATCH(D$9,MMWR_RATING_STATE_ROLLUP_PMC[#Headers],0)),"ERROR"))</f>
        <v>85.25</v>
      </c>
      <c r="E46" s="156">
        <f>IF($B46=" ","",IFERROR(INDEX(MMWR_RATING_STATE_ROLLUP_PMC[],MATCH($B46,MMWR_RATING_STATE_ROLLUP_PMC[MMWR_RATING_STATE_ROLLUP_PMC],0),MATCH(E$9,MMWR_RATING_STATE_ROLLUP_PMC[#Headers],0))/$C46,"ERROR"))</f>
        <v>0.18181818181818182</v>
      </c>
      <c r="F46" s="154">
        <f>IF($B46=" ","",IFERROR(INDEX(MMWR_RATING_STATE_ROLLUP_PMC[],MATCH($B46,MMWR_RATING_STATE_ROLLUP_PMC[MMWR_RATING_STATE_ROLLUP_PMC],0),MATCH(F$9,MMWR_RATING_STATE_ROLLUP_PMC[#Headers],0)),"ERROR"))</f>
        <v>13</v>
      </c>
      <c r="G46" s="154">
        <f>IF($B46=" ","",IFERROR(INDEX(MMWR_RATING_STATE_ROLLUP_PMC[],MATCH($B46,MMWR_RATING_STATE_ROLLUP_PMC[MMWR_RATING_STATE_ROLLUP_PMC],0),MATCH(G$9,MMWR_RATING_STATE_ROLLUP_PMC[#Headers],0)),"ERROR"))</f>
        <v>93</v>
      </c>
      <c r="H46" s="155">
        <f>IF($B46=" ","",IFERROR(INDEX(MMWR_RATING_STATE_ROLLUP_PMC[],MATCH($B46,MMWR_RATING_STATE_ROLLUP_PMC[MMWR_RATING_STATE_ROLLUP_PMC],0),MATCH(H$9,MMWR_RATING_STATE_ROLLUP_PMC[#Headers],0)),"ERROR"))</f>
        <v>115.4615384615</v>
      </c>
      <c r="I46" s="155">
        <f>IF($B46=" ","",IFERROR(INDEX(MMWR_RATING_STATE_ROLLUP_PMC[],MATCH($B46,MMWR_RATING_STATE_ROLLUP_PMC[MMWR_RATING_STATE_ROLLUP_PMC],0),MATCH(I$9,MMWR_RATING_STATE_ROLLUP_PMC[#Headers],0)),"ERROR"))</f>
        <v>95.430107526900002</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897</v>
      </c>
      <c r="D47" s="155">
        <f>IF($B47=" ","",IFERROR(INDEX(MMWR_RATING_STATE_ROLLUP_PMC[],MATCH($B47,MMWR_RATING_STATE_ROLLUP_PMC[MMWR_RATING_STATE_ROLLUP_PMC],0),MATCH(D$9,MMWR_RATING_STATE_ROLLUP_PMC[#Headers],0)),"ERROR"))</f>
        <v>68.395763656599996</v>
      </c>
      <c r="E47" s="156">
        <f>IF($B47=" ","",IFERROR(INDEX(MMWR_RATING_STATE_ROLLUP_PMC[],MATCH($B47,MMWR_RATING_STATE_ROLLUP_PMC[MMWR_RATING_STATE_ROLLUP_PMC],0),MATCH(E$9,MMWR_RATING_STATE_ROLLUP_PMC[#Headers],0))/$C47,"ERROR"))</f>
        <v>0.14046822742474915</v>
      </c>
      <c r="F47" s="154">
        <f>IF($B47=" ","",IFERROR(INDEX(MMWR_RATING_STATE_ROLLUP_PMC[],MATCH($B47,MMWR_RATING_STATE_ROLLUP_PMC[MMWR_RATING_STATE_ROLLUP_PMC],0),MATCH(F$9,MMWR_RATING_STATE_ROLLUP_PMC[#Headers],0)),"ERROR"))</f>
        <v>193</v>
      </c>
      <c r="G47" s="154">
        <f>IF($B47=" ","",IFERROR(INDEX(MMWR_RATING_STATE_ROLLUP_PMC[],MATCH($B47,MMWR_RATING_STATE_ROLLUP_PMC[MMWR_RATING_STATE_ROLLUP_PMC],0),MATCH(G$9,MMWR_RATING_STATE_ROLLUP_PMC[#Headers],0)),"ERROR"))</f>
        <v>1785</v>
      </c>
      <c r="H47" s="155">
        <f>IF($B47=" ","",IFERROR(INDEX(MMWR_RATING_STATE_ROLLUP_PMC[],MATCH($B47,MMWR_RATING_STATE_ROLLUP_PMC[MMWR_RATING_STATE_ROLLUP_PMC],0),MATCH(H$9,MMWR_RATING_STATE_ROLLUP_PMC[#Headers],0)),"ERROR"))</f>
        <v>95.1606217617</v>
      </c>
      <c r="I47" s="155">
        <f>IF($B47=" ","",IFERROR(INDEX(MMWR_RATING_STATE_ROLLUP_PMC[],MATCH($B47,MMWR_RATING_STATE_ROLLUP_PMC[MMWR_RATING_STATE_ROLLUP_PMC],0),MATCH(I$9,MMWR_RATING_STATE_ROLLUP_PMC[#Headers],0)),"ERROR"))</f>
        <v>99.247619047599997</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279</v>
      </c>
      <c r="D48" s="155">
        <f>IF($B48=" ","",IFERROR(INDEX(MMWR_RATING_STATE_ROLLUP_PMC[],MATCH($B48,MMWR_RATING_STATE_ROLLUP_PMC[MMWR_RATING_STATE_ROLLUP_PMC],0),MATCH(D$9,MMWR_RATING_STATE_ROLLUP_PMC[#Headers],0)),"ERROR"))</f>
        <v>66.573476702500002</v>
      </c>
      <c r="E48" s="156">
        <f>IF($B48=" ","",IFERROR(INDEX(MMWR_RATING_STATE_ROLLUP_PMC[],MATCH($B48,MMWR_RATING_STATE_ROLLUP_PMC[MMWR_RATING_STATE_ROLLUP_PMC],0),MATCH(E$9,MMWR_RATING_STATE_ROLLUP_PMC[#Headers],0))/$C48,"ERROR"))</f>
        <v>0.13620071684587814</v>
      </c>
      <c r="F48" s="154">
        <f>IF($B48=" ","",IFERROR(INDEX(MMWR_RATING_STATE_ROLLUP_PMC[],MATCH($B48,MMWR_RATING_STATE_ROLLUP_PMC[MMWR_RATING_STATE_ROLLUP_PMC],0),MATCH(F$9,MMWR_RATING_STATE_ROLLUP_PMC[#Headers],0)),"ERROR"))</f>
        <v>65</v>
      </c>
      <c r="G48" s="154">
        <f>IF($B48=" ","",IFERROR(INDEX(MMWR_RATING_STATE_ROLLUP_PMC[],MATCH($B48,MMWR_RATING_STATE_ROLLUP_PMC[MMWR_RATING_STATE_ROLLUP_PMC],0),MATCH(G$9,MMWR_RATING_STATE_ROLLUP_PMC[#Headers],0)),"ERROR"))</f>
        <v>602</v>
      </c>
      <c r="H48" s="155">
        <f>IF($B48=" ","",IFERROR(INDEX(MMWR_RATING_STATE_ROLLUP_PMC[],MATCH($B48,MMWR_RATING_STATE_ROLLUP_PMC[MMWR_RATING_STATE_ROLLUP_PMC],0),MATCH(H$9,MMWR_RATING_STATE_ROLLUP_PMC[#Headers],0)),"ERROR"))</f>
        <v>106.4923076923</v>
      </c>
      <c r="I48" s="155">
        <f>IF($B48=" ","",IFERROR(INDEX(MMWR_RATING_STATE_ROLLUP_PMC[],MATCH($B48,MMWR_RATING_STATE_ROLLUP_PMC[MMWR_RATING_STATE_ROLLUP_PMC],0),MATCH(I$9,MMWR_RATING_STATE_ROLLUP_PMC[#Headers],0)),"ERROR"))</f>
        <v>96.031561461799996</v>
      </c>
      <c r="J48" s="42"/>
      <c r="K48" s="42"/>
      <c r="L48" s="42"/>
      <c r="M48" s="42"/>
      <c r="N48" s="28"/>
    </row>
    <row r="49" spans="1:14" x14ac:dyDescent="0.2">
      <c r="A49" s="25"/>
      <c r="B49" s="377" t="s">
        <v>1040</v>
      </c>
      <c r="C49" s="378"/>
      <c r="D49" s="378"/>
      <c r="E49" s="378"/>
      <c r="F49" s="378"/>
      <c r="G49" s="378"/>
      <c r="H49" s="378"/>
      <c r="I49" s="378"/>
      <c r="J49" s="378"/>
      <c r="K49" s="378"/>
      <c r="L49" s="378"/>
      <c r="M49" s="387"/>
      <c r="N49" s="28"/>
    </row>
    <row r="50" spans="1:14" x14ac:dyDescent="0.2">
      <c r="A50" s="25"/>
      <c r="B50" s="41" t="s">
        <v>1039</v>
      </c>
      <c r="C50" s="154">
        <f>IF($B50=" ","",IFERROR(INDEX(MMWR_RATING_STATE_ROLLUP_QST[],MATCH($B50,MMWR_RATING_STATE_ROLLUP_QST[MMWR_RATING_STATE_ROLLUP_QST],0),MATCH(C$9,MMWR_RATING_STATE_ROLLUP_QST[#Headers],0)),"ERROR"))</f>
        <v>8329</v>
      </c>
      <c r="D50" s="155">
        <f>IF($B50=" ","",IFERROR(INDEX(MMWR_RATING_STATE_ROLLUP_QST[],MATCH($B50,MMWR_RATING_STATE_ROLLUP_QST[MMWR_RATING_STATE_ROLLUP_QST],0),MATCH(D$9,MMWR_RATING_STATE_ROLLUP_QST[#Headers],0)),"ERROR"))</f>
        <v>88.480970104500003</v>
      </c>
      <c r="E50" s="156">
        <f>IF($B50=" ","",IFERROR(INDEX(MMWR_RATING_STATE_ROLLUP_QST[],MATCH($B50,MMWR_RATING_STATE_ROLLUP_QST[MMWR_RATING_STATE_ROLLUP_QST],0),MATCH(E$9,MMWR_RATING_STATE_ROLLUP_QST[#Headers],0))/$C50,"ERROR"))</f>
        <v>0.25501260655540881</v>
      </c>
      <c r="F50" s="154">
        <f>IF($B50=" ","",IFERROR(INDEX(MMWR_RATING_STATE_ROLLUP_QST[],MATCH($B50,MMWR_RATING_STATE_ROLLUP_QST[MMWR_RATING_STATE_ROLLUP_QST],0),MATCH(F$9,MMWR_RATING_STATE_ROLLUP_QST[#Headers],0)),"ERROR"))</f>
        <v>1926</v>
      </c>
      <c r="G50" s="154">
        <f>IF($B50=" ","",IFERROR(INDEX(MMWR_RATING_STATE_ROLLUP_QST[],MATCH($B50,MMWR_RATING_STATE_ROLLUP_QST[MMWR_RATING_STATE_ROLLUP_QST],0),MATCH(G$9,MMWR_RATING_STATE_ROLLUP_QST[#Headers],0)),"ERROR"))</f>
        <v>13499</v>
      </c>
      <c r="H50" s="155">
        <f>IF($B50=" ","",IFERROR(INDEX(MMWR_RATING_STATE_ROLLUP_QST[],MATCH($B50,MMWR_RATING_STATE_ROLLUP_QST[MMWR_RATING_STATE_ROLLUP_QST],0),MATCH(H$9,MMWR_RATING_STATE_ROLLUP_QST[#Headers],0)),"ERROR"))</f>
        <v>135.97300103840001</v>
      </c>
      <c r="I50" s="155">
        <f>IF($B50=" ","",IFERROR(INDEX(MMWR_RATING_STATE_ROLLUP_QST[],MATCH($B50,MMWR_RATING_STATE_ROLLUP_QST[MMWR_RATING_STATE_ROLLUP_QST],0),MATCH(I$9,MMWR_RATING_STATE_ROLLUP_QST[#Headers],0)),"ERROR"))</f>
        <v>144.879398474</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1981</v>
      </c>
      <c r="D51" s="155">
        <f>IF($B51=" ","",IFERROR(INDEX(MMWR_RATING_STATE_ROLLUP_QST[],MATCH($B51,MMWR_RATING_STATE_ROLLUP_QST[MMWR_RATING_STATE_ROLLUP_QST],0),MATCH(D$9,MMWR_RATING_STATE_ROLLUP_QST[#Headers],0)),"ERROR"))</f>
        <v>90.867743563900007</v>
      </c>
      <c r="E51" s="156">
        <f>IF($B51=" ","",IFERROR(INDEX(MMWR_RATING_STATE_ROLLUP_QST[],MATCH($B51,MMWR_RATING_STATE_ROLLUP_QST[MMWR_RATING_STATE_ROLLUP_QST],0),MATCH(E$9,MMWR_RATING_STATE_ROLLUP_QST[#Headers],0))/$C51,"ERROR"))</f>
        <v>0.27158001009591115</v>
      </c>
      <c r="F51" s="154">
        <f>IF($B51=" ","",IFERROR(INDEX(MMWR_RATING_STATE_ROLLUP_QST[],MATCH($B51,MMWR_RATING_STATE_ROLLUP_QST[MMWR_RATING_STATE_ROLLUP_QST],0),MATCH(F$9,MMWR_RATING_STATE_ROLLUP_QST[#Headers],0)),"ERROR"))</f>
        <v>324</v>
      </c>
      <c r="G51" s="154">
        <f>IF($B51=" ","",IFERROR(INDEX(MMWR_RATING_STATE_ROLLUP_QST[],MATCH($B51,MMWR_RATING_STATE_ROLLUP_QST[MMWR_RATING_STATE_ROLLUP_QST],0),MATCH(G$9,MMWR_RATING_STATE_ROLLUP_QST[#Headers],0)),"ERROR"))</f>
        <v>2947</v>
      </c>
      <c r="H51" s="155">
        <f>IF($B51=" ","",IFERROR(INDEX(MMWR_RATING_STATE_ROLLUP_QST[],MATCH($B51,MMWR_RATING_STATE_ROLLUP_QST[MMWR_RATING_STATE_ROLLUP_QST],0),MATCH(H$9,MMWR_RATING_STATE_ROLLUP_QST[#Headers],0)),"ERROR"))</f>
        <v>152.9537037037</v>
      </c>
      <c r="I51" s="155">
        <f>IF($B51=" ","",IFERROR(INDEX(MMWR_RATING_STATE_ROLLUP_QST[],MATCH($B51,MMWR_RATING_STATE_ROLLUP_QST[MMWR_RATING_STATE_ROLLUP_QST],0),MATCH(I$9,MMWR_RATING_STATE_ROLLUP_QST[#Headers],0)),"ERROR"))</f>
        <v>153.09569053269999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50</v>
      </c>
      <c r="D52" s="155">
        <f>IF($B52=" ","",IFERROR(INDEX(MMWR_RATING_STATE_ROLLUP_QST[],MATCH($B52,MMWR_RATING_STATE_ROLLUP_QST[MMWR_RATING_STATE_ROLLUP_QST],0),MATCH(D$9,MMWR_RATING_STATE_ROLLUP_QST[#Headers],0)),"ERROR"))</f>
        <v>66.84</v>
      </c>
      <c r="E52" s="156">
        <f>IF($B52=" ","",IFERROR(INDEX(MMWR_RATING_STATE_ROLLUP_QST[],MATCH($B52,MMWR_RATING_STATE_ROLLUP_QST[MMWR_RATING_STATE_ROLLUP_QST],0),MATCH(E$9,MMWR_RATING_STATE_ROLLUP_QST[#Headers],0))/$C52,"ERROR"))</f>
        <v>0.14000000000000001</v>
      </c>
      <c r="F52" s="154">
        <f>IF($B52=" ","",IFERROR(INDEX(MMWR_RATING_STATE_ROLLUP_QST[],MATCH($B52,MMWR_RATING_STATE_ROLLUP_QST[MMWR_RATING_STATE_ROLLUP_QST],0),MATCH(F$9,MMWR_RATING_STATE_ROLLUP_QST[#Headers],0)),"ERROR"))</f>
        <v>7</v>
      </c>
      <c r="G52" s="154">
        <f>IF($B52=" ","",IFERROR(INDEX(MMWR_RATING_STATE_ROLLUP_QST[],MATCH($B52,MMWR_RATING_STATE_ROLLUP_QST[MMWR_RATING_STATE_ROLLUP_QST],0),MATCH(G$9,MMWR_RATING_STATE_ROLLUP_QST[#Headers],0)),"ERROR"))</f>
        <v>74</v>
      </c>
      <c r="H52" s="155">
        <f>IF($B52=" ","",IFERROR(INDEX(MMWR_RATING_STATE_ROLLUP_QST[],MATCH($B52,MMWR_RATING_STATE_ROLLUP_QST[MMWR_RATING_STATE_ROLLUP_QST],0),MATCH(H$9,MMWR_RATING_STATE_ROLLUP_QST[#Headers],0)),"ERROR"))</f>
        <v>177.28571428570001</v>
      </c>
      <c r="I52" s="155">
        <f>IF($B52=" ","",IFERROR(INDEX(MMWR_RATING_STATE_ROLLUP_QST[],MATCH($B52,MMWR_RATING_STATE_ROLLUP_QST[MMWR_RATING_STATE_ROLLUP_QST],0),MATCH(I$9,MMWR_RATING_STATE_ROLLUP_QST[#Headers],0)),"ERROR"))</f>
        <v>146.2567567568</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18</v>
      </c>
      <c r="D53" s="155">
        <f>IF($B53=" ","",IFERROR(INDEX(MMWR_RATING_STATE_ROLLUP_QST[],MATCH($B53,MMWR_RATING_STATE_ROLLUP_QST[MMWR_RATING_STATE_ROLLUP_QST],0),MATCH(D$9,MMWR_RATING_STATE_ROLLUP_QST[#Headers],0)),"ERROR"))</f>
        <v>123.7777777778</v>
      </c>
      <c r="E53" s="156">
        <f>IF($B53=" ","",IFERROR(INDEX(MMWR_RATING_STATE_ROLLUP_QST[],MATCH($B53,MMWR_RATING_STATE_ROLLUP_QST[MMWR_RATING_STATE_ROLLUP_QST],0),MATCH(E$9,MMWR_RATING_STATE_ROLLUP_QST[#Headers],0))/$C53,"ERROR"))</f>
        <v>0.3888888888888889</v>
      </c>
      <c r="F53" s="154">
        <f>IF($B53=" ","",IFERROR(INDEX(MMWR_RATING_STATE_ROLLUP_QST[],MATCH($B53,MMWR_RATING_STATE_ROLLUP_QST[MMWR_RATING_STATE_ROLLUP_QST],0),MATCH(F$9,MMWR_RATING_STATE_ROLLUP_QST[#Headers],0)),"ERROR"))</f>
        <v>2</v>
      </c>
      <c r="G53" s="154">
        <f>IF($B53=" ","",IFERROR(INDEX(MMWR_RATING_STATE_ROLLUP_QST[],MATCH($B53,MMWR_RATING_STATE_ROLLUP_QST[MMWR_RATING_STATE_ROLLUP_QST],0),MATCH(G$9,MMWR_RATING_STATE_ROLLUP_QST[#Headers],0)),"ERROR"))</f>
        <v>22</v>
      </c>
      <c r="H53" s="155">
        <f>IF($B53=" ","",IFERROR(INDEX(MMWR_RATING_STATE_ROLLUP_QST[],MATCH($B53,MMWR_RATING_STATE_ROLLUP_QST[MMWR_RATING_STATE_ROLLUP_QST],0),MATCH(H$9,MMWR_RATING_STATE_ROLLUP_QST[#Headers],0)),"ERROR"))</f>
        <v>144.5</v>
      </c>
      <c r="I53" s="155">
        <f>IF($B53=" ","",IFERROR(INDEX(MMWR_RATING_STATE_ROLLUP_QST[],MATCH($B53,MMWR_RATING_STATE_ROLLUP_QST[MMWR_RATING_STATE_ROLLUP_QST],0),MATCH(I$9,MMWR_RATING_STATE_ROLLUP_QST[#Headers],0)),"ERROR"))</f>
        <v>142.5909090909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17</v>
      </c>
      <c r="D54" s="155">
        <f>IF($B54=" ","",IFERROR(INDEX(MMWR_RATING_STATE_ROLLUP_QST[],MATCH($B54,MMWR_RATING_STATE_ROLLUP_QST[MMWR_RATING_STATE_ROLLUP_QST],0),MATCH(D$9,MMWR_RATING_STATE_ROLLUP_QST[#Headers],0)),"ERROR"))</f>
        <v>97.705882352900005</v>
      </c>
      <c r="E54" s="156">
        <f>IF($B54=" ","",IFERROR(INDEX(MMWR_RATING_STATE_ROLLUP_QST[],MATCH($B54,MMWR_RATING_STATE_ROLLUP_QST[MMWR_RATING_STATE_ROLLUP_QST],0),MATCH(E$9,MMWR_RATING_STATE_ROLLUP_QST[#Headers],0))/$C54,"ERROR"))</f>
        <v>0.35294117647058826</v>
      </c>
      <c r="F54" s="154">
        <f>IF($B54=" ","",IFERROR(INDEX(MMWR_RATING_STATE_ROLLUP_QST[],MATCH($B54,MMWR_RATING_STATE_ROLLUP_QST[MMWR_RATING_STATE_ROLLUP_QST],0),MATCH(F$9,MMWR_RATING_STATE_ROLLUP_QST[#Headers],0)),"ERROR"))</f>
        <v>2</v>
      </c>
      <c r="G54" s="154">
        <f>IF($B54=" ","",IFERROR(INDEX(MMWR_RATING_STATE_ROLLUP_QST[],MATCH($B54,MMWR_RATING_STATE_ROLLUP_QST[MMWR_RATING_STATE_ROLLUP_QST],0),MATCH(G$9,MMWR_RATING_STATE_ROLLUP_QST[#Headers],0)),"ERROR"))</f>
        <v>23</v>
      </c>
      <c r="H54" s="155">
        <f>IF($B54=" ","",IFERROR(INDEX(MMWR_RATING_STATE_ROLLUP_QST[],MATCH($B54,MMWR_RATING_STATE_ROLLUP_QST[MMWR_RATING_STATE_ROLLUP_QST],0),MATCH(H$9,MMWR_RATING_STATE_ROLLUP_QST[#Headers],0)),"ERROR"))</f>
        <v>117.5</v>
      </c>
      <c r="I54" s="155">
        <f>IF($B54=" ","",IFERROR(INDEX(MMWR_RATING_STATE_ROLLUP_QST[],MATCH($B54,MMWR_RATING_STATE_ROLLUP_QST[MMWR_RATING_STATE_ROLLUP_QST],0),MATCH(I$9,MMWR_RATING_STATE_ROLLUP_QST[#Headers],0)),"ERROR"))</f>
        <v>159.21739130430001</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18</v>
      </c>
      <c r="D55" s="155">
        <f>IF($B55=" ","",IFERROR(INDEX(MMWR_RATING_STATE_ROLLUP_QST[],MATCH($B55,MMWR_RATING_STATE_ROLLUP_QST[MMWR_RATING_STATE_ROLLUP_QST],0),MATCH(D$9,MMWR_RATING_STATE_ROLLUP_QST[#Headers],0)),"ERROR"))</f>
        <v>102.8333333333</v>
      </c>
      <c r="E55" s="156">
        <f>IF($B55=" ","",IFERROR(INDEX(MMWR_RATING_STATE_ROLLUP_QST[],MATCH($B55,MMWR_RATING_STATE_ROLLUP_QST[MMWR_RATING_STATE_ROLLUP_QST],0),MATCH(E$9,MMWR_RATING_STATE_ROLLUP_QST[#Headers],0))/$C55,"ERROR"))</f>
        <v>0.44444444444444442</v>
      </c>
      <c r="F55" s="154">
        <f>IF($B55=" ","",IFERROR(INDEX(MMWR_RATING_STATE_ROLLUP_QST[],MATCH($B55,MMWR_RATING_STATE_ROLLUP_QST[MMWR_RATING_STATE_ROLLUP_QST],0),MATCH(F$9,MMWR_RATING_STATE_ROLLUP_QST[#Headers],0)),"ERROR"))</f>
        <v>2</v>
      </c>
      <c r="G55" s="154">
        <f>IF($B55=" ","",IFERROR(INDEX(MMWR_RATING_STATE_ROLLUP_QST[],MATCH($B55,MMWR_RATING_STATE_ROLLUP_QST[MMWR_RATING_STATE_ROLLUP_QST],0),MATCH(G$9,MMWR_RATING_STATE_ROLLUP_QST[#Headers],0)),"ERROR"))</f>
        <v>31</v>
      </c>
      <c r="H55" s="155">
        <f>IF($B55=" ","",IFERROR(INDEX(MMWR_RATING_STATE_ROLLUP_QST[],MATCH($B55,MMWR_RATING_STATE_ROLLUP_QST[MMWR_RATING_STATE_ROLLUP_QST],0),MATCH(H$9,MMWR_RATING_STATE_ROLLUP_QST[#Headers],0)),"ERROR"))</f>
        <v>189</v>
      </c>
      <c r="I55" s="155">
        <f>IF($B55=" ","",IFERROR(INDEX(MMWR_RATING_STATE_ROLLUP_QST[],MATCH($B55,MMWR_RATING_STATE_ROLLUP_QST[MMWR_RATING_STATE_ROLLUP_QST],0),MATCH(I$9,MMWR_RATING_STATE_ROLLUP_QST[#Headers],0)),"ERROR"))</f>
        <v>152.90322580649999</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202</v>
      </c>
      <c r="D56" s="155">
        <f>IF($B56=" ","",IFERROR(INDEX(MMWR_RATING_STATE_ROLLUP_QST[],MATCH($B56,MMWR_RATING_STATE_ROLLUP_QST[MMWR_RATING_STATE_ROLLUP_QST],0),MATCH(D$9,MMWR_RATING_STATE_ROLLUP_QST[#Headers],0)),"ERROR"))</f>
        <v>87.831683168300003</v>
      </c>
      <c r="E56" s="156">
        <f>IF($B56=" ","",IFERROR(INDEX(MMWR_RATING_STATE_ROLLUP_QST[],MATCH($B56,MMWR_RATING_STATE_ROLLUP_QST[MMWR_RATING_STATE_ROLLUP_QST],0),MATCH(E$9,MMWR_RATING_STATE_ROLLUP_QST[#Headers],0))/$C56,"ERROR"))</f>
        <v>0.25247524752475248</v>
      </c>
      <c r="F56" s="154">
        <f>IF($B56=" ","",IFERROR(INDEX(MMWR_RATING_STATE_ROLLUP_QST[],MATCH($B56,MMWR_RATING_STATE_ROLLUP_QST[MMWR_RATING_STATE_ROLLUP_QST],0),MATCH(F$9,MMWR_RATING_STATE_ROLLUP_QST[#Headers],0)),"ERROR"))</f>
        <v>32</v>
      </c>
      <c r="G56" s="154">
        <f>IF($B56=" ","",IFERROR(INDEX(MMWR_RATING_STATE_ROLLUP_QST[],MATCH($B56,MMWR_RATING_STATE_ROLLUP_QST[MMWR_RATING_STATE_ROLLUP_QST],0),MATCH(G$9,MMWR_RATING_STATE_ROLLUP_QST[#Headers],0)),"ERROR"))</f>
        <v>323</v>
      </c>
      <c r="H56" s="155">
        <f>IF($B56=" ","",IFERROR(INDEX(MMWR_RATING_STATE_ROLLUP_QST[],MATCH($B56,MMWR_RATING_STATE_ROLLUP_QST[MMWR_RATING_STATE_ROLLUP_QST],0),MATCH(H$9,MMWR_RATING_STATE_ROLLUP_QST[#Headers],0)),"ERROR"))</f>
        <v>154.8125</v>
      </c>
      <c r="I56" s="155">
        <f>IF($B56=" ","",IFERROR(INDEX(MMWR_RATING_STATE_ROLLUP_QST[],MATCH($B56,MMWR_RATING_STATE_ROLLUP_QST[MMWR_RATING_STATE_ROLLUP_QST],0),MATCH(I$9,MMWR_RATING_STATE_ROLLUP_QST[#Headers],0)),"ERROR"))</f>
        <v>151.83900928790001</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69</v>
      </c>
      <c r="D57" s="155">
        <f>IF($B57=" ","",IFERROR(INDEX(MMWR_RATING_STATE_ROLLUP_QST[],MATCH($B57,MMWR_RATING_STATE_ROLLUP_QST[MMWR_RATING_STATE_ROLLUP_QST],0),MATCH(D$9,MMWR_RATING_STATE_ROLLUP_QST[#Headers],0)),"ERROR"))</f>
        <v>72.797101449300001</v>
      </c>
      <c r="E57" s="156">
        <f>IF($B57=" ","",IFERROR(INDEX(MMWR_RATING_STATE_ROLLUP_QST[],MATCH($B57,MMWR_RATING_STATE_ROLLUP_QST[MMWR_RATING_STATE_ROLLUP_QST],0),MATCH(E$9,MMWR_RATING_STATE_ROLLUP_QST[#Headers],0))/$C57,"ERROR"))</f>
        <v>0.15942028985507245</v>
      </c>
      <c r="F57" s="154">
        <f>IF($B57=" ","",IFERROR(INDEX(MMWR_RATING_STATE_ROLLUP_QST[],MATCH($B57,MMWR_RATING_STATE_ROLLUP_QST[MMWR_RATING_STATE_ROLLUP_QST],0),MATCH(F$9,MMWR_RATING_STATE_ROLLUP_QST[#Headers],0)),"ERROR"))</f>
        <v>17</v>
      </c>
      <c r="G57" s="154">
        <f>IF($B57=" ","",IFERROR(INDEX(MMWR_RATING_STATE_ROLLUP_QST[],MATCH($B57,MMWR_RATING_STATE_ROLLUP_QST[MMWR_RATING_STATE_ROLLUP_QST],0),MATCH(G$9,MMWR_RATING_STATE_ROLLUP_QST[#Headers],0)),"ERROR"))</f>
        <v>133</v>
      </c>
      <c r="H57" s="155">
        <f>IF($B57=" ","",IFERROR(INDEX(MMWR_RATING_STATE_ROLLUP_QST[],MATCH($B57,MMWR_RATING_STATE_ROLLUP_QST[MMWR_RATING_STATE_ROLLUP_QST],0),MATCH(H$9,MMWR_RATING_STATE_ROLLUP_QST[#Headers],0)),"ERROR"))</f>
        <v>150.1764705882</v>
      </c>
      <c r="I57" s="155">
        <f>IF($B57=" ","",IFERROR(INDEX(MMWR_RATING_STATE_ROLLUP_QST[],MATCH($B57,MMWR_RATING_STATE_ROLLUP_QST[MMWR_RATING_STATE_ROLLUP_QST],0),MATCH(I$9,MMWR_RATING_STATE_ROLLUP_QST[#Headers],0)),"ERROR"))</f>
        <v>147.23308270679999</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21</v>
      </c>
      <c r="D58" s="155">
        <f>IF($B58=" ","",IFERROR(INDEX(MMWR_RATING_STATE_ROLLUP_QST[],MATCH($B58,MMWR_RATING_STATE_ROLLUP_QST[MMWR_RATING_STATE_ROLLUP_QST],0),MATCH(D$9,MMWR_RATING_STATE_ROLLUP_QST[#Headers],0)),"ERROR"))</f>
        <v>98.761904761899999</v>
      </c>
      <c r="E58" s="156">
        <f>IF($B58=" ","",IFERROR(INDEX(MMWR_RATING_STATE_ROLLUP_QST[],MATCH($B58,MMWR_RATING_STATE_ROLLUP_QST[MMWR_RATING_STATE_ROLLUP_QST],0),MATCH(E$9,MMWR_RATING_STATE_ROLLUP_QST[#Headers],0))/$C58,"ERROR"))</f>
        <v>0.38095238095238093</v>
      </c>
      <c r="F58" s="154">
        <f>IF($B58=" ","",IFERROR(INDEX(MMWR_RATING_STATE_ROLLUP_QST[],MATCH($B58,MMWR_RATING_STATE_ROLLUP_QST[MMWR_RATING_STATE_ROLLUP_QST],0),MATCH(F$9,MMWR_RATING_STATE_ROLLUP_QST[#Headers],0)),"ERROR"))</f>
        <v>2</v>
      </c>
      <c r="G58" s="154">
        <f>IF($B58=" ","",IFERROR(INDEX(MMWR_RATING_STATE_ROLLUP_QST[],MATCH($B58,MMWR_RATING_STATE_ROLLUP_QST[MMWR_RATING_STATE_ROLLUP_QST],0),MATCH(G$9,MMWR_RATING_STATE_ROLLUP_QST[#Headers],0)),"ERROR"))</f>
        <v>31</v>
      </c>
      <c r="H58" s="155">
        <f>IF($B58=" ","",IFERROR(INDEX(MMWR_RATING_STATE_ROLLUP_QST[],MATCH($B58,MMWR_RATING_STATE_ROLLUP_QST[MMWR_RATING_STATE_ROLLUP_QST],0),MATCH(H$9,MMWR_RATING_STATE_ROLLUP_QST[#Headers],0)),"ERROR"))</f>
        <v>93</v>
      </c>
      <c r="I58" s="155">
        <f>IF($B58=" ","",IFERROR(INDEX(MMWR_RATING_STATE_ROLLUP_QST[],MATCH($B58,MMWR_RATING_STATE_ROLLUP_QST[MMWR_RATING_STATE_ROLLUP_QST],0),MATCH(I$9,MMWR_RATING_STATE_ROLLUP_QST[#Headers],0)),"ERROR"))</f>
        <v>150.32258064519999</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107</v>
      </c>
      <c r="D59" s="155">
        <f>IF($B59=" ","",IFERROR(INDEX(MMWR_RATING_STATE_ROLLUP_QST[],MATCH($B59,MMWR_RATING_STATE_ROLLUP_QST[MMWR_RATING_STATE_ROLLUP_QST],0),MATCH(D$9,MMWR_RATING_STATE_ROLLUP_QST[#Headers],0)),"ERROR"))</f>
        <v>97.102803738299997</v>
      </c>
      <c r="E59" s="156">
        <f>IF($B59=" ","",IFERROR(INDEX(MMWR_RATING_STATE_ROLLUP_QST[],MATCH($B59,MMWR_RATING_STATE_ROLLUP_QST[MMWR_RATING_STATE_ROLLUP_QST],0),MATCH(E$9,MMWR_RATING_STATE_ROLLUP_QST[#Headers],0))/$C59,"ERROR"))</f>
        <v>0.31775700934579437</v>
      </c>
      <c r="F59" s="154">
        <f>IF($B59=" ","",IFERROR(INDEX(MMWR_RATING_STATE_ROLLUP_QST[],MATCH($B59,MMWR_RATING_STATE_ROLLUP_QST[MMWR_RATING_STATE_ROLLUP_QST],0),MATCH(F$9,MMWR_RATING_STATE_ROLLUP_QST[#Headers],0)),"ERROR"))</f>
        <v>16</v>
      </c>
      <c r="G59" s="154">
        <f>IF($B59=" ","",IFERROR(INDEX(MMWR_RATING_STATE_ROLLUP_QST[],MATCH($B59,MMWR_RATING_STATE_ROLLUP_QST[MMWR_RATING_STATE_ROLLUP_QST],0),MATCH(G$9,MMWR_RATING_STATE_ROLLUP_QST[#Headers],0)),"ERROR"))</f>
        <v>127</v>
      </c>
      <c r="H59" s="155">
        <f>IF($B59=" ","",IFERROR(INDEX(MMWR_RATING_STATE_ROLLUP_QST[],MATCH($B59,MMWR_RATING_STATE_ROLLUP_QST[MMWR_RATING_STATE_ROLLUP_QST],0),MATCH(H$9,MMWR_RATING_STATE_ROLLUP_QST[#Headers],0)),"ERROR"))</f>
        <v>137.1875</v>
      </c>
      <c r="I59" s="155">
        <f>IF($B59=" ","",IFERROR(INDEX(MMWR_RATING_STATE_ROLLUP_QST[],MATCH($B59,MMWR_RATING_STATE_ROLLUP_QST[MMWR_RATING_STATE_ROLLUP_QST],0),MATCH(I$9,MMWR_RATING_STATE_ROLLUP_QST[#Headers],0)),"ERROR"))</f>
        <v>147.75590551179999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235</v>
      </c>
      <c r="D60" s="155">
        <f>IF($B60=" ","",IFERROR(INDEX(MMWR_RATING_STATE_ROLLUP_QST[],MATCH($B60,MMWR_RATING_STATE_ROLLUP_QST[MMWR_RATING_STATE_ROLLUP_QST],0),MATCH(D$9,MMWR_RATING_STATE_ROLLUP_QST[#Headers],0)),"ERROR"))</f>
        <v>84.825531914899997</v>
      </c>
      <c r="E60" s="156">
        <f>IF($B60=" ","",IFERROR(INDEX(MMWR_RATING_STATE_ROLLUP_QST[],MATCH($B60,MMWR_RATING_STATE_ROLLUP_QST[MMWR_RATING_STATE_ROLLUP_QST],0),MATCH(E$9,MMWR_RATING_STATE_ROLLUP_QST[#Headers],0))/$C60,"ERROR"))</f>
        <v>0.24255319148936169</v>
      </c>
      <c r="F60" s="154">
        <f>IF($B60=" ","",IFERROR(INDEX(MMWR_RATING_STATE_ROLLUP_QST[],MATCH($B60,MMWR_RATING_STATE_ROLLUP_QST[MMWR_RATING_STATE_ROLLUP_QST],0),MATCH(F$9,MMWR_RATING_STATE_ROLLUP_QST[#Headers],0)),"ERROR"))</f>
        <v>33</v>
      </c>
      <c r="G60" s="154">
        <f>IF($B60=" ","",IFERROR(INDEX(MMWR_RATING_STATE_ROLLUP_QST[],MATCH($B60,MMWR_RATING_STATE_ROLLUP_QST[MMWR_RATING_STATE_ROLLUP_QST],0),MATCH(G$9,MMWR_RATING_STATE_ROLLUP_QST[#Headers],0)),"ERROR"))</f>
        <v>313</v>
      </c>
      <c r="H60" s="155">
        <f>IF($B60=" ","",IFERROR(INDEX(MMWR_RATING_STATE_ROLLUP_QST[],MATCH($B60,MMWR_RATING_STATE_ROLLUP_QST[MMWR_RATING_STATE_ROLLUP_QST],0),MATCH(H$9,MMWR_RATING_STATE_ROLLUP_QST[#Headers],0)),"ERROR"))</f>
        <v>141.0909090909</v>
      </c>
      <c r="I60" s="155">
        <f>IF($B60=" ","",IFERROR(INDEX(MMWR_RATING_STATE_ROLLUP_QST[],MATCH($B60,MMWR_RATING_STATE_ROLLUP_QST[MMWR_RATING_STATE_ROLLUP_QST],0),MATCH(I$9,MMWR_RATING_STATE_ROLLUP_QST[#Headers],0)),"ERROR"))</f>
        <v>140.71884984030001</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479</v>
      </c>
      <c r="D61" s="155">
        <f>IF($B61=" ","",IFERROR(INDEX(MMWR_RATING_STATE_ROLLUP_QST[],MATCH($B61,MMWR_RATING_STATE_ROLLUP_QST[MMWR_RATING_STATE_ROLLUP_QST],0),MATCH(D$9,MMWR_RATING_STATE_ROLLUP_QST[#Headers],0)),"ERROR"))</f>
        <v>97.192066805799996</v>
      </c>
      <c r="E61" s="156">
        <f>IF($B61=" ","",IFERROR(INDEX(MMWR_RATING_STATE_ROLLUP_QST[],MATCH($B61,MMWR_RATING_STATE_ROLLUP_QST[MMWR_RATING_STATE_ROLLUP_QST],0),MATCH(E$9,MMWR_RATING_STATE_ROLLUP_QST[#Headers],0))/$C61,"ERROR"))</f>
        <v>0.32359081419624219</v>
      </c>
      <c r="F61" s="154">
        <f>IF($B61=" ","",IFERROR(INDEX(MMWR_RATING_STATE_ROLLUP_QST[],MATCH($B61,MMWR_RATING_STATE_ROLLUP_QST[MMWR_RATING_STATE_ROLLUP_QST],0),MATCH(F$9,MMWR_RATING_STATE_ROLLUP_QST[#Headers],0)),"ERROR"))</f>
        <v>90</v>
      </c>
      <c r="G61" s="154">
        <f>IF($B61=" ","",IFERROR(INDEX(MMWR_RATING_STATE_ROLLUP_QST[],MATCH($B61,MMWR_RATING_STATE_ROLLUP_QST[MMWR_RATING_STATE_ROLLUP_QST],0),MATCH(G$9,MMWR_RATING_STATE_ROLLUP_QST[#Headers],0)),"ERROR"))</f>
        <v>729</v>
      </c>
      <c r="H61" s="155">
        <f>IF($B61=" ","",IFERROR(INDEX(MMWR_RATING_STATE_ROLLUP_QST[],MATCH($B61,MMWR_RATING_STATE_ROLLUP_QST[MMWR_RATING_STATE_ROLLUP_QST],0),MATCH(H$9,MMWR_RATING_STATE_ROLLUP_QST[#Headers],0)),"ERROR"))</f>
        <v>152.94444444440001</v>
      </c>
      <c r="I61" s="155">
        <f>IF($B61=" ","",IFERROR(INDEX(MMWR_RATING_STATE_ROLLUP_QST[],MATCH($B61,MMWR_RATING_STATE_ROLLUP_QST[MMWR_RATING_STATE_ROLLUP_QST],0),MATCH(I$9,MMWR_RATING_STATE_ROLLUP_QST[#Headers],0)),"ERROR"))</f>
        <v>153.9615912209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163</v>
      </c>
      <c r="D62" s="155">
        <f>IF($B62=" ","",IFERROR(INDEX(MMWR_RATING_STATE_ROLLUP_QST[],MATCH($B62,MMWR_RATING_STATE_ROLLUP_QST[MMWR_RATING_STATE_ROLLUP_QST],0),MATCH(D$9,MMWR_RATING_STATE_ROLLUP_QST[#Headers],0)),"ERROR"))</f>
        <v>94.496932515300003</v>
      </c>
      <c r="E62" s="156">
        <f>IF($B62=" ","",IFERROR(INDEX(MMWR_RATING_STATE_ROLLUP_QST[],MATCH($B62,MMWR_RATING_STATE_ROLLUP_QST[MMWR_RATING_STATE_ROLLUP_QST],0),MATCH(E$9,MMWR_RATING_STATE_ROLLUP_QST[#Headers],0))/$C62,"ERROR"))</f>
        <v>0.24539877300613497</v>
      </c>
      <c r="F62" s="154">
        <f>IF($B62=" ","",IFERROR(INDEX(MMWR_RATING_STATE_ROLLUP_QST[],MATCH($B62,MMWR_RATING_STATE_ROLLUP_QST[MMWR_RATING_STATE_ROLLUP_QST],0),MATCH(F$9,MMWR_RATING_STATE_ROLLUP_QST[#Headers],0)),"ERROR"))</f>
        <v>27</v>
      </c>
      <c r="G62" s="154">
        <f>IF($B62=" ","",IFERROR(INDEX(MMWR_RATING_STATE_ROLLUP_QST[],MATCH($B62,MMWR_RATING_STATE_ROLLUP_QST[MMWR_RATING_STATE_ROLLUP_QST],0),MATCH(G$9,MMWR_RATING_STATE_ROLLUP_QST[#Headers],0)),"ERROR"))</f>
        <v>261</v>
      </c>
      <c r="H62" s="155">
        <f>IF($B62=" ","",IFERROR(INDEX(MMWR_RATING_STATE_ROLLUP_QST[],MATCH($B62,MMWR_RATING_STATE_ROLLUP_QST[MMWR_RATING_STATE_ROLLUP_QST],0),MATCH(H$9,MMWR_RATING_STATE_ROLLUP_QST[#Headers],0)),"ERROR"))</f>
        <v>153.1111111111</v>
      </c>
      <c r="I62" s="155">
        <f>IF($B62=" ","",IFERROR(INDEX(MMWR_RATING_STATE_ROLLUP_QST[],MATCH($B62,MMWR_RATING_STATE_ROLLUP_QST[MMWR_RATING_STATE_ROLLUP_QST],0),MATCH(I$9,MMWR_RATING_STATE_ROLLUP_QST[#Headers],0)),"ERROR"))</f>
        <v>145.82758620690001</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12</v>
      </c>
      <c r="D63" s="155">
        <f>IF($B63=" ","",IFERROR(INDEX(MMWR_RATING_STATE_ROLLUP_QST[],MATCH($B63,MMWR_RATING_STATE_ROLLUP_QST[MMWR_RATING_STATE_ROLLUP_QST],0),MATCH(D$9,MMWR_RATING_STATE_ROLLUP_QST[#Headers],0)),"ERROR"))</f>
        <v>95.416666666699996</v>
      </c>
      <c r="E63" s="156">
        <f>IF($B63=" ","",IFERROR(INDEX(MMWR_RATING_STATE_ROLLUP_QST[],MATCH($B63,MMWR_RATING_STATE_ROLLUP_QST[MMWR_RATING_STATE_ROLLUP_QST],0),MATCH(E$9,MMWR_RATING_STATE_ROLLUP_QST[#Headers],0))/$C63,"ERROR"))</f>
        <v>0.25</v>
      </c>
      <c r="F63" s="154">
        <f>IF($B63=" ","",IFERROR(INDEX(MMWR_RATING_STATE_ROLLUP_QST[],MATCH($B63,MMWR_RATING_STATE_ROLLUP_QST[MMWR_RATING_STATE_ROLLUP_QST],0),MATCH(F$9,MMWR_RATING_STATE_ROLLUP_QST[#Headers],0)),"ERROR"))</f>
        <v>1</v>
      </c>
      <c r="G63" s="154">
        <f>IF($B63=" ","",IFERROR(INDEX(MMWR_RATING_STATE_ROLLUP_QST[],MATCH($B63,MMWR_RATING_STATE_ROLLUP_QST[MMWR_RATING_STATE_ROLLUP_QST],0),MATCH(G$9,MMWR_RATING_STATE_ROLLUP_QST[#Headers],0)),"ERROR"))</f>
        <v>15</v>
      </c>
      <c r="H63" s="155">
        <f>IF($B63=" ","",IFERROR(INDEX(MMWR_RATING_STATE_ROLLUP_QST[],MATCH($B63,MMWR_RATING_STATE_ROLLUP_QST[MMWR_RATING_STATE_ROLLUP_QST],0),MATCH(H$9,MMWR_RATING_STATE_ROLLUP_QST[#Headers],0)),"ERROR"))</f>
        <v>234</v>
      </c>
      <c r="I63" s="155">
        <f>IF($B63=" ","",IFERROR(INDEX(MMWR_RATING_STATE_ROLLUP_QST[],MATCH($B63,MMWR_RATING_STATE_ROLLUP_QST[MMWR_RATING_STATE_ROLLUP_QST],0),MATCH(I$9,MMWR_RATING_STATE_ROLLUP_QST[#Headers],0)),"ERROR"))</f>
        <v>177.13333333329999</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7</v>
      </c>
      <c r="D64" s="155">
        <f>IF($B64=" ","",IFERROR(INDEX(MMWR_RATING_STATE_ROLLUP_QST[],MATCH($B64,MMWR_RATING_STATE_ROLLUP_QST[MMWR_RATING_STATE_ROLLUP_QST],0),MATCH(D$9,MMWR_RATING_STATE_ROLLUP_QST[#Headers],0)),"ERROR"))</f>
        <v>69.142857142899999</v>
      </c>
      <c r="E64" s="156">
        <f>IF($B64=" ","",IFERROR(INDEX(MMWR_RATING_STATE_ROLLUP_QST[],MATCH($B64,MMWR_RATING_STATE_ROLLUP_QST[MMWR_RATING_STATE_ROLLUP_QST],0),MATCH(E$9,MMWR_RATING_STATE_ROLLUP_QST[#Headers],0))/$C64,"ERROR"))</f>
        <v>0.2857142857142857</v>
      </c>
      <c r="F64" s="154">
        <f>IF($B64=" ","",IFERROR(INDEX(MMWR_RATING_STATE_ROLLUP_QST[],MATCH($B64,MMWR_RATING_STATE_ROLLUP_QST[MMWR_RATING_STATE_ROLLUP_QST],0),MATCH(F$9,MMWR_RATING_STATE_ROLLUP_QST[#Headers],0)),"ERROR"))</f>
        <v>0</v>
      </c>
      <c r="G64" s="154">
        <f>IF($B64=" ","",IFERROR(INDEX(MMWR_RATING_STATE_ROLLUP_QST[],MATCH($B64,MMWR_RATING_STATE_ROLLUP_QST[MMWR_RATING_STATE_ROLLUP_QST],0),MATCH(G$9,MMWR_RATING_STATE_ROLLUP_QST[#Headers],0)),"ERROR"))</f>
        <v>6</v>
      </c>
      <c r="H64" s="155">
        <f>IF($B64=" ","",IFERROR(INDEX(MMWR_RATING_STATE_ROLLUP_QST[],MATCH($B64,MMWR_RATING_STATE_ROLLUP_QST[MMWR_RATING_STATE_ROLLUP_QST],0),MATCH(H$9,MMWR_RATING_STATE_ROLLUP_QST[#Headers],0)),"ERROR"))</f>
        <v>0</v>
      </c>
      <c r="I64" s="155">
        <f>IF($B64=" ","",IFERROR(INDEX(MMWR_RATING_STATE_ROLLUP_QST[],MATCH($B64,MMWR_RATING_STATE_ROLLUP_QST[MMWR_RATING_STATE_ROLLUP_QST],0),MATCH(I$9,MMWR_RATING_STATE_ROLLUP_QST[#Headers],0)),"ERROR"))</f>
        <v>135.1666666667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564</v>
      </c>
      <c r="D65" s="155">
        <f>IF($B65=" ","",IFERROR(INDEX(MMWR_RATING_STATE_ROLLUP_QST[],MATCH($B65,MMWR_RATING_STATE_ROLLUP_QST[MMWR_RATING_STATE_ROLLUP_QST],0),MATCH(D$9,MMWR_RATING_STATE_ROLLUP_QST[#Headers],0)),"ERROR"))</f>
        <v>90.085106382999996</v>
      </c>
      <c r="E65" s="156">
        <f>IF($B65=" ","",IFERROR(INDEX(MMWR_RATING_STATE_ROLLUP_QST[],MATCH($B65,MMWR_RATING_STATE_ROLLUP_QST[MMWR_RATING_STATE_ROLLUP_QST],0),MATCH(E$9,MMWR_RATING_STATE_ROLLUP_QST[#Headers],0))/$C65,"ERROR"))</f>
        <v>0.25886524822695034</v>
      </c>
      <c r="F65" s="154">
        <f>IF($B65=" ","",IFERROR(INDEX(MMWR_RATING_STATE_ROLLUP_QST[],MATCH($B65,MMWR_RATING_STATE_ROLLUP_QST[MMWR_RATING_STATE_ROLLUP_QST],0),MATCH(F$9,MMWR_RATING_STATE_ROLLUP_QST[#Headers],0)),"ERROR"))</f>
        <v>90</v>
      </c>
      <c r="G65" s="154">
        <f>IF($B65=" ","",IFERROR(INDEX(MMWR_RATING_STATE_ROLLUP_QST[],MATCH($B65,MMWR_RATING_STATE_ROLLUP_QST[MMWR_RATING_STATE_ROLLUP_QST],0),MATCH(G$9,MMWR_RATING_STATE_ROLLUP_QST[#Headers],0)),"ERROR"))</f>
        <v>830</v>
      </c>
      <c r="H65" s="155">
        <f>IF($B65=" ","",IFERROR(INDEX(MMWR_RATING_STATE_ROLLUP_QST[],MATCH($B65,MMWR_RATING_STATE_ROLLUP_QST[MMWR_RATING_STATE_ROLLUP_QST],0),MATCH(H$9,MMWR_RATING_STATE_ROLLUP_QST[#Headers],0)),"ERROR"))</f>
        <v>157.5666666667</v>
      </c>
      <c r="I65" s="155">
        <f>IF($B65=" ","",IFERROR(INDEX(MMWR_RATING_STATE_ROLLUP_QST[],MATCH($B65,MMWR_RATING_STATE_ROLLUP_QST[MMWR_RATING_STATE_ROLLUP_QST],0),MATCH(I$9,MMWR_RATING_STATE_ROLLUP_QST[#Headers],0)),"ERROR"))</f>
        <v>162.16385542169999</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19</v>
      </c>
      <c r="D66" s="155">
        <f>IF($B66=" ","",IFERROR(INDEX(MMWR_RATING_STATE_ROLLUP_QST[],MATCH($B66,MMWR_RATING_STATE_ROLLUP_QST[MMWR_RATING_STATE_ROLLUP_QST],0),MATCH(D$9,MMWR_RATING_STATE_ROLLUP_QST[#Headers],0)),"ERROR"))</f>
        <v>72.052631578900005</v>
      </c>
      <c r="E66" s="156">
        <f>IF($B66=" ","",IFERROR(INDEX(MMWR_RATING_STATE_ROLLUP_QST[],MATCH($B66,MMWR_RATING_STATE_ROLLUP_QST[MMWR_RATING_STATE_ROLLUP_QST],0),MATCH(E$9,MMWR_RATING_STATE_ROLLUP_QST[#Headers],0))/$C66,"ERROR"))</f>
        <v>0.15789473684210525</v>
      </c>
      <c r="F66" s="154">
        <f>IF($B66=" ","",IFERROR(INDEX(MMWR_RATING_STATE_ROLLUP_QST[],MATCH($B66,MMWR_RATING_STATE_ROLLUP_QST[MMWR_RATING_STATE_ROLLUP_QST],0),MATCH(F$9,MMWR_RATING_STATE_ROLLUP_QST[#Headers],0)),"ERROR"))</f>
        <v>3</v>
      </c>
      <c r="G66" s="154">
        <f>IF($B66=" ","",IFERROR(INDEX(MMWR_RATING_STATE_ROLLUP_QST[],MATCH($B66,MMWR_RATING_STATE_ROLLUP_QST[MMWR_RATING_STATE_ROLLUP_QST],0),MATCH(G$9,MMWR_RATING_STATE_ROLLUP_QST[#Headers],0)),"ERROR"))</f>
        <v>29</v>
      </c>
      <c r="H66" s="155">
        <f>IF($B66=" ","",IFERROR(INDEX(MMWR_RATING_STATE_ROLLUP_QST[],MATCH($B66,MMWR_RATING_STATE_ROLLUP_QST[MMWR_RATING_STATE_ROLLUP_QST],0),MATCH(H$9,MMWR_RATING_STATE_ROLLUP_QST[#Headers],0)),"ERROR"))</f>
        <v>185.3333333333</v>
      </c>
      <c r="I66" s="155">
        <f>IF($B66=" ","",IFERROR(INDEX(MMWR_RATING_STATE_ROLLUP_QST[],MATCH($B66,MMWR_RATING_STATE_ROLLUP_QST[MMWR_RATING_STATE_ROLLUP_QST],0),MATCH(I$9,MMWR_RATING_STATE_ROLLUP_QST[#Headers],0)),"ERROR"))</f>
        <v>150.06896551720001</v>
      </c>
      <c r="J66" s="42"/>
      <c r="K66" s="42"/>
      <c r="L66" s="42"/>
      <c r="M66" s="42"/>
      <c r="N66" s="28"/>
    </row>
    <row r="67" spans="1:14" x14ac:dyDescent="0.2">
      <c r="A67" s="25"/>
      <c r="B67" s="377" t="s">
        <v>1041</v>
      </c>
      <c r="C67" s="378"/>
      <c r="D67" s="378"/>
      <c r="E67" s="378"/>
      <c r="F67" s="378"/>
      <c r="G67" s="378"/>
      <c r="H67" s="378"/>
      <c r="I67" s="378"/>
      <c r="J67" s="378"/>
      <c r="K67" s="378"/>
      <c r="L67" s="378"/>
      <c r="M67" s="387"/>
      <c r="N67" s="28"/>
    </row>
    <row r="68" spans="1:14" ht="25.5" x14ac:dyDescent="0.2">
      <c r="A68" s="25"/>
      <c r="B68" s="250" t="s">
        <v>1037</v>
      </c>
      <c r="C68" s="154">
        <f>IF($B68=" ","",IFERROR(INDEX(MMWR_RATING_STATE_ROLLUP_BDD[],MATCH($B68,MMWR_RATING_STATE_ROLLUP_BDD[MMWR_RATING_STATE_ROLLUP_BDD],0),MATCH(C$9,MMWR_RATING_STATE_ROLLUP_BDD[#Headers],0)),"ERROR"))</f>
        <v>8543</v>
      </c>
      <c r="D68" s="155">
        <f>IF($B68=" ","",IFERROR(INDEX(MMWR_RATING_STATE_ROLLUP_BDD[],MATCH($B68,MMWR_RATING_STATE_ROLLUP_BDD[MMWR_RATING_STATE_ROLLUP_BDD],0),MATCH(D$9,MMWR_RATING_STATE_ROLLUP_BDD[#Headers],0)),"ERROR"))</f>
        <v>87.815638534499996</v>
      </c>
      <c r="E68" s="156">
        <f>IF($B68=" ","",IFERROR(INDEX(MMWR_RATING_STATE_ROLLUP_BDD[],MATCH($B68,MMWR_RATING_STATE_ROLLUP_BDD[MMWR_RATING_STATE_ROLLUP_BDD],0),MATCH(E$9,MMWR_RATING_STATE_ROLLUP_BDD[#Headers],0))/$C68,"ERROR"))</f>
        <v>0.22252136251902141</v>
      </c>
      <c r="F68" s="154">
        <f>IF($B68=" ","",IFERROR(INDEX(MMWR_RATING_STATE_ROLLUP_BDD[],MATCH($B68,MMWR_RATING_STATE_ROLLUP_BDD[MMWR_RATING_STATE_ROLLUP_BDD],0),MATCH(F$9,MMWR_RATING_STATE_ROLLUP_BDD[#Headers],0)),"ERROR"))</f>
        <v>1704</v>
      </c>
      <c r="G68" s="154">
        <f>IF($B68=" ","",IFERROR(INDEX(MMWR_RATING_STATE_ROLLUP_BDD[],MATCH($B68,MMWR_RATING_STATE_ROLLUP_BDD[MMWR_RATING_STATE_ROLLUP_BDD],0),MATCH(G$9,MMWR_RATING_STATE_ROLLUP_BDD[#Headers],0)),"ERROR"))</f>
        <v>15655</v>
      </c>
      <c r="H68" s="155">
        <f>IF($B68=" ","",IFERROR(INDEX(MMWR_RATING_STATE_ROLLUP_BDD[],MATCH($B68,MMWR_RATING_STATE_ROLLUP_BDD[MMWR_RATING_STATE_ROLLUP_BDD],0),MATCH(H$9,MMWR_RATING_STATE_ROLLUP_BDD[#Headers],0)),"ERROR"))</f>
        <v>127.3462441315</v>
      </c>
      <c r="I68" s="155">
        <f>IF($B68=" ","",IFERROR(INDEX(MMWR_RATING_STATE_ROLLUP_BDD[],MATCH($B68,MMWR_RATING_STATE_ROLLUP_BDD[MMWR_RATING_STATE_ROLLUP_BDD],0),MATCH(I$9,MMWR_RATING_STATE_ROLLUP_BDD[#Headers],0)),"ERROR"))</f>
        <v>137.35292238900001</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2532</v>
      </c>
      <c r="D69" s="155">
        <f>IF($B69=" ","",IFERROR(INDEX(MMWR_RATING_STATE_ROLLUP_BDD[],MATCH($B69,MMWR_RATING_STATE_ROLLUP_BDD[MMWR_RATING_STATE_ROLLUP_BDD],0),MATCH(D$9,MMWR_RATING_STATE_ROLLUP_BDD[#Headers],0)),"ERROR"))</f>
        <v>92.465244865700001</v>
      </c>
      <c r="E69" s="156">
        <f>IF($B69=" ","",IFERROR(INDEX(MMWR_RATING_STATE_ROLLUP_BDD[],MATCH($B69,MMWR_RATING_STATE_ROLLUP_BDD[MMWR_RATING_STATE_ROLLUP_BDD],0),MATCH(E$9,MMWR_RATING_STATE_ROLLUP_BDD[#Headers],0))/$C69,"ERROR"))</f>
        <v>0.23262243285939968</v>
      </c>
      <c r="F69" s="154">
        <f>IF($B69=" ","",IFERROR(INDEX(MMWR_RATING_STATE_ROLLUP_BDD[],MATCH($B69,MMWR_RATING_STATE_ROLLUP_BDD[MMWR_RATING_STATE_ROLLUP_BDD],0),MATCH(F$9,MMWR_RATING_STATE_ROLLUP_BDD[#Headers],0)),"ERROR"))</f>
        <v>386</v>
      </c>
      <c r="G69" s="154">
        <f>IF($B69=" ","",IFERROR(INDEX(MMWR_RATING_STATE_ROLLUP_BDD[],MATCH($B69,MMWR_RATING_STATE_ROLLUP_BDD[MMWR_RATING_STATE_ROLLUP_BDD],0),MATCH(G$9,MMWR_RATING_STATE_ROLLUP_BDD[#Headers],0)),"ERROR"))</f>
        <v>4018</v>
      </c>
      <c r="H69" s="155">
        <f>IF($B69=" ","",IFERROR(INDEX(MMWR_RATING_STATE_ROLLUP_BDD[],MATCH($B69,MMWR_RATING_STATE_ROLLUP_BDD[MMWR_RATING_STATE_ROLLUP_BDD],0),MATCH(H$9,MMWR_RATING_STATE_ROLLUP_BDD[#Headers],0)),"ERROR"))</f>
        <v>147.26424870470001</v>
      </c>
      <c r="I69" s="155">
        <f>IF($B69=" ","",IFERROR(INDEX(MMWR_RATING_STATE_ROLLUP_BDD[],MATCH($B69,MMWR_RATING_STATE_ROLLUP_BDD[MMWR_RATING_STATE_ROLLUP_BDD],0),MATCH(I$9,MMWR_RATING_STATE_ROLLUP_BDD[#Headers],0)),"ERROR"))</f>
        <v>148.97486311599999</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39</v>
      </c>
      <c r="D70" s="155">
        <f>IF($B70=" ","",IFERROR(INDEX(MMWR_RATING_STATE_ROLLUP_BDD[],MATCH($B70,MMWR_RATING_STATE_ROLLUP_BDD[MMWR_RATING_STATE_ROLLUP_BDD],0),MATCH(D$9,MMWR_RATING_STATE_ROLLUP_BDD[#Headers],0)),"ERROR"))</f>
        <v>91.205128205099996</v>
      </c>
      <c r="E70" s="156">
        <f>IF($B70=" ","",IFERROR(INDEX(MMWR_RATING_STATE_ROLLUP_BDD[],MATCH($B70,MMWR_RATING_STATE_ROLLUP_BDD[MMWR_RATING_STATE_ROLLUP_BDD],0),MATCH(E$9,MMWR_RATING_STATE_ROLLUP_BDD[#Headers],0))/$C70,"ERROR"))</f>
        <v>0.23076923076923078</v>
      </c>
      <c r="F70" s="154">
        <f>IF($B70=" ","",IFERROR(INDEX(MMWR_RATING_STATE_ROLLUP_BDD[],MATCH($B70,MMWR_RATING_STATE_ROLLUP_BDD[MMWR_RATING_STATE_ROLLUP_BDD],0),MATCH(F$9,MMWR_RATING_STATE_ROLLUP_BDD[#Headers],0)),"ERROR"))</f>
        <v>7</v>
      </c>
      <c r="G70" s="154">
        <f>IF($B70=" ","",IFERROR(INDEX(MMWR_RATING_STATE_ROLLUP_BDD[],MATCH($B70,MMWR_RATING_STATE_ROLLUP_BDD[MMWR_RATING_STATE_ROLLUP_BDD],0),MATCH(G$9,MMWR_RATING_STATE_ROLLUP_BDD[#Headers],0)),"ERROR"))</f>
        <v>87</v>
      </c>
      <c r="H70" s="155">
        <f>IF($B70=" ","",IFERROR(INDEX(MMWR_RATING_STATE_ROLLUP_BDD[],MATCH($B70,MMWR_RATING_STATE_ROLLUP_BDD[MMWR_RATING_STATE_ROLLUP_BDD],0),MATCH(H$9,MMWR_RATING_STATE_ROLLUP_BDD[#Headers],0)),"ERROR"))</f>
        <v>142.57142857139999</v>
      </c>
      <c r="I70" s="155">
        <f>IF($B70=" ","",IFERROR(INDEX(MMWR_RATING_STATE_ROLLUP_BDD[],MATCH($B70,MMWR_RATING_STATE_ROLLUP_BDD[MMWR_RATING_STATE_ROLLUP_BDD],0),MATCH(I$9,MMWR_RATING_STATE_ROLLUP_BDD[#Headers],0)),"ERROR"))</f>
        <v>146.85057471260001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20</v>
      </c>
      <c r="D71" s="155">
        <f>IF($B71=" ","",IFERROR(INDEX(MMWR_RATING_STATE_ROLLUP_BDD[],MATCH($B71,MMWR_RATING_STATE_ROLLUP_BDD[MMWR_RATING_STATE_ROLLUP_BDD],0),MATCH(D$9,MMWR_RATING_STATE_ROLLUP_BDD[#Headers],0)),"ERROR"))</f>
        <v>98.15</v>
      </c>
      <c r="E71" s="156">
        <f>IF($B71=" ","",IFERROR(INDEX(MMWR_RATING_STATE_ROLLUP_BDD[],MATCH($B71,MMWR_RATING_STATE_ROLLUP_BDD[MMWR_RATING_STATE_ROLLUP_BDD],0),MATCH(E$9,MMWR_RATING_STATE_ROLLUP_BDD[#Headers],0))/$C71,"ERROR"))</f>
        <v>0.25</v>
      </c>
      <c r="F71" s="154">
        <f>IF($B71=" ","",IFERROR(INDEX(MMWR_RATING_STATE_ROLLUP_BDD[],MATCH($B71,MMWR_RATING_STATE_ROLLUP_BDD[MMWR_RATING_STATE_ROLLUP_BDD],0),MATCH(F$9,MMWR_RATING_STATE_ROLLUP_BDD[#Headers],0)),"ERROR"))</f>
        <v>0</v>
      </c>
      <c r="G71" s="154">
        <f>IF($B71=" ","",IFERROR(INDEX(MMWR_RATING_STATE_ROLLUP_BDD[],MATCH($B71,MMWR_RATING_STATE_ROLLUP_BDD[MMWR_RATING_STATE_ROLLUP_BDD],0),MATCH(G$9,MMWR_RATING_STATE_ROLLUP_BDD[#Headers],0)),"ERROR"))</f>
        <v>30</v>
      </c>
      <c r="H71" s="155">
        <f>IF($B71=" ","",IFERROR(INDEX(MMWR_RATING_STATE_ROLLUP_BDD[],MATCH($B71,MMWR_RATING_STATE_ROLLUP_BDD[MMWR_RATING_STATE_ROLLUP_BDD],0),MATCH(H$9,MMWR_RATING_STATE_ROLLUP_BDD[#Headers],0)),"ERROR"))</f>
        <v>0</v>
      </c>
      <c r="I71" s="155">
        <f>IF($B71=" ","",IFERROR(INDEX(MMWR_RATING_STATE_ROLLUP_BDD[],MATCH($B71,MMWR_RATING_STATE_ROLLUP_BDD[MMWR_RATING_STATE_ROLLUP_BDD],0),MATCH(I$9,MMWR_RATING_STATE_ROLLUP_BDD[#Headers],0)),"ERROR"))</f>
        <v>157.80000000000001</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20</v>
      </c>
      <c r="D72" s="155">
        <f>IF($B72=" ","",IFERROR(INDEX(MMWR_RATING_STATE_ROLLUP_BDD[],MATCH($B72,MMWR_RATING_STATE_ROLLUP_BDD[MMWR_RATING_STATE_ROLLUP_BDD],0),MATCH(D$9,MMWR_RATING_STATE_ROLLUP_BDD[#Headers],0)),"ERROR"))</f>
        <v>69.5</v>
      </c>
      <c r="E72" s="156">
        <f>IF($B72=" ","",IFERROR(INDEX(MMWR_RATING_STATE_ROLLUP_BDD[],MATCH($B72,MMWR_RATING_STATE_ROLLUP_BDD[MMWR_RATING_STATE_ROLLUP_BDD],0),MATCH(E$9,MMWR_RATING_STATE_ROLLUP_BDD[#Headers],0))/$C72,"ERROR"))</f>
        <v>0</v>
      </c>
      <c r="F72" s="154">
        <f>IF($B72=" ","",IFERROR(INDEX(MMWR_RATING_STATE_ROLLUP_BDD[],MATCH($B72,MMWR_RATING_STATE_ROLLUP_BDD[MMWR_RATING_STATE_ROLLUP_BDD],0),MATCH(F$9,MMWR_RATING_STATE_ROLLUP_BDD[#Headers],0)),"ERROR"))</f>
        <v>3</v>
      </c>
      <c r="G72" s="154">
        <f>IF($B72=" ","",IFERROR(INDEX(MMWR_RATING_STATE_ROLLUP_BDD[],MATCH($B72,MMWR_RATING_STATE_ROLLUP_BDD[MMWR_RATING_STATE_ROLLUP_BDD],0),MATCH(G$9,MMWR_RATING_STATE_ROLLUP_BDD[#Headers],0)),"ERROR"))</f>
        <v>33</v>
      </c>
      <c r="H72" s="155">
        <f>IF($B72=" ","",IFERROR(INDEX(MMWR_RATING_STATE_ROLLUP_BDD[],MATCH($B72,MMWR_RATING_STATE_ROLLUP_BDD[MMWR_RATING_STATE_ROLLUP_BDD],0),MATCH(H$9,MMWR_RATING_STATE_ROLLUP_BDD[#Headers],0)),"ERROR"))</f>
        <v>157</v>
      </c>
      <c r="I72" s="155">
        <f>IF($B72=" ","",IFERROR(INDEX(MMWR_RATING_STATE_ROLLUP_BDD[],MATCH($B72,MMWR_RATING_STATE_ROLLUP_BDD[MMWR_RATING_STATE_ROLLUP_BDD],0),MATCH(I$9,MMWR_RATING_STATE_ROLLUP_BDD[#Headers],0)),"ERROR"))</f>
        <v>142.75757575759999</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12</v>
      </c>
      <c r="D73" s="155">
        <f>IF($B73=" ","",IFERROR(INDEX(MMWR_RATING_STATE_ROLLUP_BDD[],MATCH($B73,MMWR_RATING_STATE_ROLLUP_BDD[MMWR_RATING_STATE_ROLLUP_BDD],0),MATCH(D$9,MMWR_RATING_STATE_ROLLUP_BDD[#Headers],0)),"ERROR"))</f>
        <v>99.666666666699996</v>
      </c>
      <c r="E73" s="156">
        <f>IF($B73=" ","",IFERROR(INDEX(MMWR_RATING_STATE_ROLLUP_BDD[],MATCH($B73,MMWR_RATING_STATE_ROLLUP_BDD[MMWR_RATING_STATE_ROLLUP_BDD],0),MATCH(E$9,MMWR_RATING_STATE_ROLLUP_BDD[#Headers],0))/$C73,"ERROR"))</f>
        <v>0.25</v>
      </c>
      <c r="F73" s="154">
        <f>IF($B73=" ","",IFERROR(INDEX(MMWR_RATING_STATE_ROLLUP_BDD[],MATCH($B73,MMWR_RATING_STATE_ROLLUP_BDD[MMWR_RATING_STATE_ROLLUP_BDD],0),MATCH(F$9,MMWR_RATING_STATE_ROLLUP_BDD[#Headers],0)),"ERROR"))</f>
        <v>5</v>
      </c>
      <c r="G73" s="154">
        <f>IF($B73=" ","",IFERROR(INDEX(MMWR_RATING_STATE_ROLLUP_BDD[],MATCH($B73,MMWR_RATING_STATE_ROLLUP_BDD[MMWR_RATING_STATE_ROLLUP_BDD],0),MATCH(G$9,MMWR_RATING_STATE_ROLLUP_BDD[#Headers],0)),"ERROR"))</f>
        <v>33</v>
      </c>
      <c r="H73" s="155">
        <f>IF($B73=" ","",IFERROR(INDEX(MMWR_RATING_STATE_ROLLUP_BDD[],MATCH($B73,MMWR_RATING_STATE_ROLLUP_BDD[MMWR_RATING_STATE_ROLLUP_BDD],0),MATCH(H$9,MMWR_RATING_STATE_ROLLUP_BDD[#Headers],0)),"ERROR"))</f>
        <v>112</v>
      </c>
      <c r="I73" s="155">
        <f>IF($B73=" ","",IFERROR(INDEX(MMWR_RATING_STATE_ROLLUP_BDD[],MATCH($B73,MMWR_RATING_STATE_ROLLUP_BDD[MMWR_RATING_STATE_ROLLUP_BDD],0),MATCH(I$9,MMWR_RATING_STATE_ROLLUP_BDD[#Headers],0)),"ERROR"))</f>
        <v>151.54545454550001</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266</v>
      </c>
      <c r="D74" s="155">
        <f>IF($B74=" ","",IFERROR(INDEX(MMWR_RATING_STATE_ROLLUP_BDD[],MATCH($B74,MMWR_RATING_STATE_ROLLUP_BDD[MMWR_RATING_STATE_ROLLUP_BDD],0),MATCH(D$9,MMWR_RATING_STATE_ROLLUP_BDD[#Headers],0)),"ERROR"))</f>
        <v>93.503759398499994</v>
      </c>
      <c r="E74" s="156">
        <f>IF($B74=" ","",IFERROR(INDEX(MMWR_RATING_STATE_ROLLUP_BDD[],MATCH($B74,MMWR_RATING_STATE_ROLLUP_BDD[MMWR_RATING_STATE_ROLLUP_BDD],0),MATCH(E$9,MMWR_RATING_STATE_ROLLUP_BDD[#Headers],0))/$C74,"ERROR"))</f>
        <v>0.23308270676691728</v>
      </c>
      <c r="F74" s="154">
        <f>IF($B74=" ","",IFERROR(INDEX(MMWR_RATING_STATE_ROLLUP_BDD[],MATCH($B74,MMWR_RATING_STATE_ROLLUP_BDD[MMWR_RATING_STATE_ROLLUP_BDD],0),MATCH(F$9,MMWR_RATING_STATE_ROLLUP_BDD[#Headers],0)),"ERROR"))</f>
        <v>40</v>
      </c>
      <c r="G74" s="154">
        <f>IF($B74=" ","",IFERROR(INDEX(MMWR_RATING_STATE_ROLLUP_BDD[],MATCH($B74,MMWR_RATING_STATE_ROLLUP_BDD[MMWR_RATING_STATE_ROLLUP_BDD],0),MATCH(G$9,MMWR_RATING_STATE_ROLLUP_BDD[#Headers],0)),"ERROR"))</f>
        <v>438</v>
      </c>
      <c r="H74" s="155">
        <f>IF($B74=" ","",IFERROR(INDEX(MMWR_RATING_STATE_ROLLUP_BDD[],MATCH($B74,MMWR_RATING_STATE_ROLLUP_BDD[MMWR_RATING_STATE_ROLLUP_BDD],0),MATCH(H$9,MMWR_RATING_STATE_ROLLUP_BDD[#Headers],0)),"ERROR"))</f>
        <v>143.85</v>
      </c>
      <c r="I74" s="155">
        <f>IF($B74=" ","",IFERROR(INDEX(MMWR_RATING_STATE_ROLLUP_BDD[],MATCH($B74,MMWR_RATING_STATE_ROLLUP_BDD[MMWR_RATING_STATE_ROLLUP_BDD],0),MATCH(I$9,MMWR_RATING_STATE_ROLLUP_BDD[#Headers],0)),"ERROR"))</f>
        <v>149.78082191780001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34</v>
      </c>
      <c r="D75" s="155">
        <f>IF($B75=" ","",IFERROR(INDEX(MMWR_RATING_STATE_ROLLUP_BDD[],MATCH($B75,MMWR_RATING_STATE_ROLLUP_BDD[MMWR_RATING_STATE_ROLLUP_BDD],0),MATCH(D$9,MMWR_RATING_STATE_ROLLUP_BDD[#Headers],0)),"ERROR"))</f>
        <v>58.970588235299999</v>
      </c>
      <c r="E75" s="156">
        <f>IF($B75=" ","",IFERROR(INDEX(MMWR_RATING_STATE_ROLLUP_BDD[],MATCH($B75,MMWR_RATING_STATE_ROLLUP_BDD[MMWR_RATING_STATE_ROLLUP_BDD],0),MATCH(E$9,MMWR_RATING_STATE_ROLLUP_BDD[#Headers],0))/$C75,"ERROR"))</f>
        <v>8.8235294117647065E-2</v>
      </c>
      <c r="F75" s="154">
        <f>IF($B75=" ","",IFERROR(INDEX(MMWR_RATING_STATE_ROLLUP_BDD[],MATCH($B75,MMWR_RATING_STATE_ROLLUP_BDD[MMWR_RATING_STATE_ROLLUP_BDD],0),MATCH(F$9,MMWR_RATING_STATE_ROLLUP_BDD[#Headers],0)),"ERROR"))</f>
        <v>10</v>
      </c>
      <c r="G75" s="154">
        <f>IF($B75=" ","",IFERROR(INDEX(MMWR_RATING_STATE_ROLLUP_BDD[],MATCH($B75,MMWR_RATING_STATE_ROLLUP_BDD[MMWR_RATING_STATE_ROLLUP_BDD],0),MATCH(G$9,MMWR_RATING_STATE_ROLLUP_BDD[#Headers],0)),"ERROR"))</f>
        <v>82</v>
      </c>
      <c r="H75" s="155">
        <f>IF($B75=" ","",IFERROR(INDEX(MMWR_RATING_STATE_ROLLUP_BDD[],MATCH($B75,MMWR_RATING_STATE_ROLLUP_BDD[MMWR_RATING_STATE_ROLLUP_BDD],0),MATCH(H$9,MMWR_RATING_STATE_ROLLUP_BDD[#Headers],0)),"ERROR"))</f>
        <v>133.6</v>
      </c>
      <c r="I75" s="155">
        <f>IF($B75=" ","",IFERROR(INDEX(MMWR_RATING_STATE_ROLLUP_BDD[],MATCH($B75,MMWR_RATING_STATE_ROLLUP_BDD[MMWR_RATING_STATE_ROLLUP_BDD],0),MATCH(I$9,MMWR_RATING_STATE_ROLLUP_BDD[#Headers],0)),"ERROR"))</f>
        <v>134.8780487805</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15</v>
      </c>
      <c r="D76" s="155">
        <f>IF($B76=" ","",IFERROR(INDEX(MMWR_RATING_STATE_ROLLUP_BDD[],MATCH($B76,MMWR_RATING_STATE_ROLLUP_BDD[MMWR_RATING_STATE_ROLLUP_BDD],0),MATCH(D$9,MMWR_RATING_STATE_ROLLUP_BDD[#Headers],0)),"ERROR"))</f>
        <v>100.1333333333</v>
      </c>
      <c r="E76" s="156">
        <f>IF($B76=" ","",IFERROR(INDEX(MMWR_RATING_STATE_ROLLUP_BDD[],MATCH($B76,MMWR_RATING_STATE_ROLLUP_BDD[MMWR_RATING_STATE_ROLLUP_BDD],0),MATCH(E$9,MMWR_RATING_STATE_ROLLUP_BDD[#Headers],0))/$C76,"ERROR"))</f>
        <v>0.26666666666666666</v>
      </c>
      <c r="F76" s="154">
        <f>IF($B76=" ","",IFERROR(INDEX(MMWR_RATING_STATE_ROLLUP_BDD[],MATCH($B76,MMWR_RATING_STATE_ROLLUP_BDD[MMWR_RATING_STATE_ROLLUP_BDD],0),MATCH(F$9,MMWR_RATING_STATE_ROLLUP_BDD[#Headers],0)),"ERROR"))</f>
        <v>1</v>
      </c>
      <c r="G76" s="154">
        <f>IF($B76=" ","",IFERROR(INDEX(MMWR_RATING_STATE_ROLLUP_BDD[],MATCH($B76,MMWR_RATING_STATE_ROLLUP_BDD[MMWR_RATING_STATE_ROLLUP_BDD],0),MATCH(G$9,MMWR_RATING_STATE_ROLLUP_BDD[#Headers],0)),"ERROR"))</f>
        <v>32</v>
      </c>
      <c r="H76" s="155">
        <f>IF($B76=" ","",IFERROR(INDEX(MMWR_RATING_STATE_ROLLUP_BDD[],MATCH($B76,MMWR_RATING_STATE_ROLLUP_BDD[MMWR_RATING_STATE_ROLLUP_BDD],0),MATCH(H$9,MMWR_RATING_STATE_ROLLUP_BDD[#Headers],0)),"ERROR"))</f>
        <v>158</v>
      </c>
      <c r="I76" s="155">
        <f>IF($B76=" ","",IFERROR(INDEX(MMWR_RATING_STATE_ROLLUP_BDD[],MATCH($B76,MMWR_RATING_STATE_ROLLUP_BDD[MMWR_RATING_STATE_ROLLUP_BDD],0),MATCH(I$9,MMWR_RATING_STATE_ROLLUP_BDD[#Headers],0)),"ERROR"))</f>
        <v>135.75</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57</v>
      </c>
      <c r="D77" s="155">
        <f>IF($B77=" ","",IFERROR(INDEX(MMWR_RATING_STATE_ROLLUP_BDD[],MATCH($B77,MMWR_RATING_STATE_ROLLUP_BDD[MMWR_RATING_STATE_ROLLUP_BDD],0),MATCH(D$9,MMWR_RATING_STATE_ROLLUP_BDD[#Headers],0)),"ERROR"))</f>
        <v>88.438596491200002</v>
      </c>
      <c r="E77" s="156">
        <f>IF($B77=" ","",IFERROR(INDEX(MMWR_RATING_STATE_ROLLUP_BDD[],MATCH($B77,MMWR_RATING_STATE_ROLLUP_BDD[MMWR_RATING_STATE_ROLLUP_BDD],0),MATCH(E$9,MMWR_RATING_STATE_ROLLUP_BDD[#Headers],0))/$C77,"ERROR"))</f>
        <v>0.26315789473684209</v>
      </c>
      <c r="F77" s="154">
        <f>IF($B77=" ","",IFERROR(INDEX(MMWR_RATING_STATE_ROLLUP_BDD[],MATCH($B77,MMWR_RATING_STATE_ROLLUP_BDD[MMWR_RATING_STATE_ROLLUP_BDD],0),MATCH(F$9,MMWR_RATING_STATE_ROLLUP_BDD[#Headers],0)),"ERROR"))</f>
        <v>11</v>
      </c>
      <c r="G77" s="154">
        <f>IF($B77=" ","",IFERROR(INDEX(MMWR_RATING_STATE_ROLLUP_BDD[],MATCH($B77,MMWR_RATING_STATE_ROLLUP_BDD[MMWR_RATING_STATE_ROLLUP_BDD],0),MATCH(G$9,MMWR_RATING_STATE_ROLLUP_BDD[#Headers],0)),"ERROR"))</f>
        <v>122</v>
      </c>
      <c r="H77" s="155">
        <f>IF($B77=" ","",IFERROR(INDEX(MMWR_RATING_STATE_ROLLUP_BDD[],MATCH($B77,MMWR_RATING_STATE_ROLLUP_BDD[MMWR_RATING_STATE_ROLLUP_BDD],0),MATCH(H$9,MMWR_RATING_STATE_ROLLUP_BDD[#Headers],0)),"ERROR"))</f>
        <v>138.8181818182</v>
      </c>
      <c r="I77" s="155">
        <f>IF($B77=" ","",IFERROR(INDEX(MMWR_RATING_STATE_ROLLUP_BDD[],MATCH($B77,MMWR_RATING_STATE_ROLLUP_BDD[MMWR_RATING_STATE_ROLLUP_BDD],0),MATCH(I$9,MMWR_RATING_STATE_ROLLUP_BDD[#Headers],0)),"ERROR"))</f>
        <v>141.0573770492</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141</v>
      </c>
      <c r="D78" s="155">
        <f>IF($B78=" ","",IFERROR(INDEX(MMWR_RATING_STATE_ROLLUP_BDD[],MATCH($B78,MMWR_RATING_STATE_ROLLUP_BDD[MMWR_RATING_STATE_ROLLUP_BDD],0),MATCH(D$9,MMWR_RATING_STATE_ROLLUP_BDD[#Headers],0)),"ERROR"))</f>
        <v>85.2553191489</v>
      </c>
      <c r="E78" s="156">
        <f>IF($B78=" ","",IFERROR(INDEX(MMWR_RATING_STATE_ROLLUP_BDD[],MATCH($B78,MMWR_RATING_STATE_ROLLUP_BDD[MMWR_RATING_STATE_ROLLUP_BDD],0),MATCH(E$9,MMWR_RATING_STATE_ROLLUP_BDD[#Headers],0))/$C78,"ERROR"))</f>
        <v>0.20567375886524822</v>
      </c>
      <c r="F78" s="154">
        <f>IF($B78=" ","",IFERROR(INDEX(MMWR_RATING_STATE_ROLLUP_BDD[],MATCH($B78,MMWR_RATING_STATE_ROLLUP_BDD[MMWR_RATING_STATE_ROLLUP_BDD],0),MATCH(F$9,MMWR_RATING_STATE_ROLLUP_BDD[#Headers],0)),"ERROR"))</f>
        <v>22</v>
      </c>
      <c r="G78" s="154">
        <f>IF($B78=" ","",IFERROR(INDEX(MMWR_RATING_STATE_ROLLUP_BDD[],MATCH($B78,MMWR_RATING_STATE_ROLLUP_BDD[MMWR_RATING_STATE_ROLLUP_BDD],0),MATCH(G$9,MMWR_RATING_STATE_ROLLUP_BDD[#Headers],0)),"ERROR"))</f>
        <v>229</v>
      </c>
      <c r="H78" s="155">
        <f>IF($B78=" ","",IFERROR(INDEX(MMWR_RATING_STATE_ROLLUP_BDD[],MATCH($B78,MMWR_RATING_STATE_ROLLUP_BDD[MMWR_RATING_STATE_ROLLUP_BDD],0),MATCH(H$9,MMWR_RATING_STATE_ROLLUP_BDD[#Headers],0)),"ERROR"))</f>
        <v>152.5909090909</v>
      </c>
      <c r="I78" s="155">
        <f>IF($B78=" ","",IFERROR(INDEX(MMWR_RATING_STATE_ROLLUP_BDD[],MATCH($B78,MMWR_RATING_STATE_ROLLUP_BDD[MMWR_RATING_STATE_ROLLUP_BDD],0),MATCH(I$9,MMWR_RATING_STATE_ROLLUP_BDD[#Headers],0)),"ERROR"))</f>
        <v>139.42794759829999</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886</v>
      </c>
      <c r="D79" s="155">
        <f>IF($B79=" ","",IFERROR(INDEX(MMWR_RATING_STATE_ROLLUP_BDD[],MATCH($B79,MMWR_RATING_STATE_ROLLUP_BDD[MMWR_RATING_STATE_ROLLUP_BDD],0),MATCH(D$9,MMWR_RATING_STATE_ROLLUP_BDD[#Headers],0)),"ERROR"))</f>
        <v>91.529345372500003</v>
      </c>
      <c r="E79" s="156">
        <f>IF($B79=" ","",IFERROR(INDEX(MMWR_RATING_STATE_ROLLUP_BDD[],MATCH($B79,MMWR_RATING_STATE_ROLLUP_BDD[MMWR_RATING_STATE_ROLLUP_BDD],0),MATCH(E$9,MMWR_RATING_STATE_ROLLUP_BDD[#Headers],0))/$C79,"ERROR"))</f>
        <v>0.21783295711060949</v>
      </c>
      <c r="F79" s="154">
        <f>IF($B79=" ","",IFERROR(INDEX(MMWR_RATING_STATE_ROLLUP_BDD[],MATCH($B79,MMWR_RATING_STATE_ROLLUP_BDD[MMWR_RATING_STATE_ROLLUP_BDD],0),MATCH(F$9,MMWR_RATING_STATE_ROLLUP_BDD[#Headers],0)),"ERROR"))</f>
        <v>113</v>
      </c>
      <c r="G79" s="154">
        <f>IF($B79=" ","",IFERROR(INDEX(MMWR_RATING_STATE_ROLLUP_BDD[],MATCH($B79,MMWR_RATING_STATE_ROLLUP_BDD[MMWR_RATING_STATE_ROLLUP_BDD],0),MATCH(G$9,MMWR_RATING_STATE_ROLLUP_BDD[#Headers],0)),"ERROR"))</f>
        <v>1273</v>
      </c>
      <c r="H79" s="155">
        <f>IF($B79=" ","",IFERROR(INDEX(MMWR_RATING_STATE_ROLLUP_BDD[],MATCH($B79,MMWR_RATING_STATE_ROLLUP_BDD[MMWR_RATING_STATE_ROLLUP_BDD],0),MATCH(H$9,MMWR_RATING_STATE_ROLLUP_BDD[#Headers],0)),"ERROR"))</f>
        <v>150.39823008849999</v>
      </c>
      <c r="I79" s="155">
        <f>IF($B79=" ","",IFERROR(INDEX(MMWR_RATING_STATE_ROLLUP_BDD[],MATCH($B79,MMWR_RATING_STATE_ROLLUP_BDD[MMWR_RATING_STATE_ROLLUP_BDD],0),MATCH(I$9,MMWR_RATING_STATE_ROLLUP_BDD[#Headers],0)),"ERROR"))</f>
        <v>147.46661429689999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111</v>
      </c>
      <c r="D80" s="155">
        <f>IF($B80=" ","",IFERROR(INDEX(MMWR_RATING_STATE_ROLLUP_BDD[],MATCH($B80,MMWR_RATING_STATE_ROLLUP_BDD[MMWR_RATING_STATE_ROLLUP_BDD],0),MATCH(D$9,MMWR_RATING_STATE_ROLLUP_BDD[#Headers],0)),"ERROR"))</f>
        <v>84.5495495495</v>
      </c>
      <c r="E80" s="156">
        <f>IF($B80=" ","",IFERROR(INDEX(MMWR_RATING_STATE_ROLLUP_BDD[],MATCH($B80,MMWR_RATING_STATE_ROLLUP_BDD[MMWR_RATING_STATE_ROLLUP_BDD],0),MATCH(E$9,MMWR_RATING_STATE_ROLLUP_BDD[#Headers],0))/$C80,"ERROR"))</f>
        <v>0.18018018018018017</v>
      </c>
      <c r="F80" s="154">
        <f>IF($B80=" ","",IFERROR(INDEX(MMWR_RATING_STATE_ROLLUP_BDD[],MATCH($B80,MMWR_RATING_STATE_ROLLUP_BDD[MMWR_RATING_STATE_ROLLUP_BDD],0),MATCH(F$9,MMWR_RATING_STATE_ROLLUP_BDD[#Headers],0)),"ERROR"))</f>
        <v>22</v>
      </c>
      <c r="G80" s="154">
        <f>IF($B80=" ","",IFERROR(INDEX(MMWR_RATING_STATE_ROLLUP_BDD[],MATCH($B80,MMWR_RATING_STATE_ROLLUP_BDD[MMWR_RATING_STATE_ROLLUP_BDD],0),MATCH(G$9,MMWR_RATING_STATE_ROLLUP_BDD[#Headers],0)),"ERROR"))</f>
        <v>235</v>
      </c>
      <c r="H80" s="155">
        <f>IF($B80=" ","",IFERROR(INDEX(MMWR_RATING_STATE_ROLLUP_BDD[],MATCH($B80,MMWR_RATING_STATE_ROLLUP_BDD[MMWR_RATING_STATE_ROLLUP_BDD],0),MATCH(H$9,MMWR_RATING_STATE_ROLLUP_BDD[#Headers],0)),"ERROR"))</f>
        <v>100.95454545450001</v>
      </c>
      <c r="I80" s="155">
        <f>IF($B80=" ","",IFERROR(INDEX(MMWR_RATING_STATE_ROLLUP_BDD[],MATCH($B80,MMWR_RATING_STATE_ROLLUP_BDD[MMWR_RATING_STATE_ROLLUP_BDD],0),MATCH(I$9,MMWR_RATING_STATE_ROLLUP_BDD[#Headers],0)),"ERROR"))</f>
        <v>132.32340425530001</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3</v>
      </c>
      <c r="D81" s="155">
        <f>IF($B81=" ","",IFERROR(INDEX(MMWR_RATING_STATE_ROLLUP_BDD[],MATCH($B81,MMWR_RATING_STATE_ROLLUP_BDD[MMWR_RATING_STATE_ROLLUP_BDD],0),MATCH(D$9,MMWR_RATING_STATE_ROLLUP_BDD[#Headers],0)),"ERROR"))</f>
        <v>110.6666666667</v>
      </c>
      <c r="E81" s="156">
        <f>IF($B81=" ","",IFERROR(INDEX(MMWR_RATING_STATE_ROLLUP_BDD[],MATCH($B81,MMWR_RATING_STATE_ROLLUP_BDD[MMWR_RATING_STATE_ROLLUP_BDD],0),MATCH(E$9,MMWR_RATING_STATE_ROLLUP_BDD[#Headers],0))/$C81,"ERROR"))</f>
        <v>0.33333333333333331</v>
      </c>
      <c r="F81" s="154">
        <f>IF($B81=" ","",IFERROR(INDEX(MMWR_RATING_STATE_ROLLUP_BDD[],MATCH($B81,MMWR_RATING_STATE_ROLLUP_BDD[MMWR_RATING_STATE_ROLLUP_BDD],0),MATCH(F$9,MMWR_RATING_STATE_ROLLUP_BDD[#Headers],0)),"ERROR"))</f>
        <v>2</v>
      </c>
      <c r="G81" s="154">
        <f>IF($B81=" ","",IFERROR(INDEX(MMWR_RATING_STATE_ROLLUP_BDD[],MATCH($B81,MMWR_RATING_STATE_ROLLUP_BDD[MMWR_RATING_STATE_ROLLUP_BDD],0),MATCH(G$9,MMWR_RATING_STATE_ROLLUP_BDD[#Headers],0)),"ERROR"))</f>
        <v>19</v>
      </c>
      <c r="H81" s="155">
        <f>IF($B81=" ","",IFERROR(INDEX(MMWR_RATING_STATE_ROLLUP_BDD[],MATCH($B81,MMWR_RATING_STATE_ROLLUP_BDD[MMWR_RATING_STATE_ROLLUP_BDD],0),MATCH(H$9,MMWR_RATING_STATE_ROLLUP_BDD[#Headers],0)),"ERROR"))</f>
        <v>75</v>
      </c>
      <c r="I81" s="155">
        <f>IF($B81=" ","",IFERROR(INDEX(MMWR_RATING_STATE_ROLLUP_BDD[],MATCH($B81,MMWR_RATING_STATE_ROLLUP_BDD[MMWR_RATING_STATE_ROLLUP_BDD],0),MATCH(I$9,MMWR_RATING_STATE_ROLLUP_BDD[#Headers],0)),"ERROR"))</f>
        <v>127.4736842105</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3</v>
      </c>
      <c r="D82" s="155">
        <f>IF($B82=" ","",IFERROR(INDEX(MMWR_RATING_STATE_ROLLUP_BDD[],MATCH($B82,MMWR_RATING_STATE_ROLLUP_BDD[MMWR_RATING_STATE_ROLLUP_BDD],0),MATCH(D$9,MMWR_RATING_STATE_ROLLUP_BDD[#Headers],0)),"ERROR"))</f>
        <v>113.3333333333</v>
      </c>
      <c r="E82" s="156">
        <f>IF($B82=" ","",IFERROR(INDEX(MMWR_RATING_STATE_ROLLUP_BDD[],MATCH($B82,MMWR_RATING_STATE_ROLLUP_BDD[MMWR_RATING_STATE_ROLLUP_BDD],0),MATCH(E$9,MMWR_RATING_STATE_ROLLUP_BDD[#Headers],0))/$C82,"ERROR"))</f>
        <v>0.33333333333333331</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10</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112.9</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899</v>
      </c>
      <c r="D83" s="155">
        <f>IF($B83=" ","",IFERROR(INDEX(MMWR_RATING_STATE_ROLLUP_BDD[],MATCH($B83,MMWR_RATING_STATE_ROLLUP_BDD[MMWR_RATING_STATE_ROLLUP_BDD],0),MATCH(D$9,MMWR_RATING_STATE_ROLLUP_BDD[#Headers],0)),"ERROR"))</f>
        <v>96.969966629599995</v>
      </c>
      <c r="E83" s="156">
        <f>IF($B83=" ","",IFERROR(INDEX(MMWR_RATING_STATE_ROLLUP_BDD[],MATCH($B83,MMWR_RATING_STATE_ROLLUP_BDD[MMWR_RATING_STATE_ROLLUP_BDD],0),MATCH(E$9,MMWR_RATING_STATE_ROLLUP_BDD[#Headers],0))/$C83,"ERROR"))</f>
        <v>0.26473859844271413</v>
      </c>
      <c r="F83" s="154">
        <f>IF($B83=" ","",IFERROR(INDEX(MMWR_RATING_STATE_ROLLUP_BDD[],MATCH($B83,MMWR_RATING_STATE_ROLLUP_BDD[MMWR_RATING_STATE_ROLLUP_BDD],0),MATCH(F$9,MMWR_RATING_STATE_ROLLUP_BDD[#Headers],0)),"ERROR"))</f>
        <v>148</v>
      </c>
      <c r="G83" s="154">
        <f>IF($B83=" ","",IFERROR(INDEX(MMWR_RATING_STATE_ROLLUP_BDD[],MATCH($B83,MMWR_RATING_STATE_ROLLUP_BDD[MMWR_RATING_STATE_ROLLUP_BDD],0),MATCH(G$9,MMWR_RATING_STATE_ROLLUP_BDD[#Headers],0)),"ERROR"))</f>
        <v>1349</v>
      </c>
      <c r="H83" s="155">
        <f>IF($B83=" ","",IFERROR(INDEX(MMWR_RATING_STATE_ROLLUP_BDD[],MATCH($B83,MMWR_RATING_STATE_ROLLUP_BDD[MMWR_RATING_STATE_ROLLUP_BDD],0),MATCH(H$9,MMWR_RATING_STATE_ROLLUP_BDD[#Headers],0)),"ERROR"))</f>
        <v>155.027027027</v>
      </c>
      <c r="I83" s="155">
        <f>IF($B83=" ","",IFERROR(INDEX(MMWR_RATING_STATE_ROLLUP_BDD[],MATCH($B83,MMWR_RATING_STATE_ROLLUP_BDD[MMWR_RATING_STATE_ROLLUP_BDD],0),MATCH(I$9,MMWR_RATING_STATE_ROLLUP_BDD[#Headers],0)),"ERROR"))</f>
        <v>157.10452186809999</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26</v>
      </c>
      <c r="D84" s="155">
        <f>IF($B84=" ","",IFERROR(INDEX(MMWR_RATING_STATE_ROLLUP_BDD[],MATCH($B84,MMWR_RATING_STATE_ROLLUP_BDD[MMWR_RATING_STATE_ROLLUP_BDD],0),MATCH(D$9,MMWR_RATING_STATE_ROLLUP_BDD[#Headers],0)),"ERROR"))</f>
        <v>86.423076923099998</v>
      </c>
      <c r="E84" s="156">
        <f>IF($B84=" ","",IFERROR(INDEX(MMWR_RATING_STATE_ROLLUP_BDD[],MATCH($B84,MMWR_RATING_STATE_ROLLUP_BDD[MMWR_RATING_STATE_ROLLUP_BDD],0),MATCH(E$9,MMWR_RATING_STATE_ROLLUP_BDD[#Headers],0))/$C84,"ERROR"))</f>
        <v>0.23076923076923078</v>
      </c>
      <c r="F84" s="154">
        <f>IF($B84=" ","",IFERROR(INDEX(MMWR_RATING_STATE_ROLLUP_BDD[],MATCH($B84,MMWR_RATING_STATE_ROLLUP_BDD[MMWR_RATING_STATE_ROLLUP_BDD],0),MATCH(F$9,MMWR_RATING_STATE_ROLLUP_BDD[#Headers],0)),"ERROR"))</f>
        <v>2</v>
      </c>
      <c r="G84" s="154">
        <f>IF($B84=" ","",IFERROR(INDEX(MMWR_RATING_STATE_ROLLUP_BDD[],MATCH($B84,MMWR_RATING_STATE_ROLLUP_BDD[MMWR_RATING_STATE_ROLLUP_BDD],0),MATCH(G$9,MMWR_RATING_STATE_ROLLUP_BDD[#Headers],0)),"ERROR"))</f>
        <v>46</v>
      </c>
      <c r="H84" s="155">
        <f>IF($B84=" ","",IFERROR(INDEX(MMWR_RATING_STATE_ROLLUP_BDD[],MATCH($B84,MMWR_RATING_STATE_ROLLUP_BDD[MMWR_RATING_STATE_ROLLUP_BDD],0),MATCH(H$9,MMWR_RATING_STATE_ROLLUP_BDD[#Headers],0)),"ERROR"))</f>
        <v>186.5</v>
      </c>
      <c r="I84" s="155">
        <f>IF($B84=" ","",IFERROR(INDEX(MMWR_RATING_STATE_ROLLUP_BDD[],MATCH($B84,MMWR_RATING_STATE_ROLLUP_BDD[MMWR_RATING_STATE_ROLLUP_BDD],0),MATCH(I$9,MMWR_RATING_STATE_ROLLUP_BDD[#Headers],0)),"ERROR"))</f>
        <v>150.15217391300001</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5" t="s">
        <v>296</v>
      </c>
      <c r="C2" s="416"/>
      <c r="D2" s="416"/>
      <c r="E2" s="416"/>
      <c r="F2" s="416"/>
      <c r="G2" s="416"/>
      <c r="H2" s="416"/>
      <c r="I2" s="416"/>
      <c r="J2" s="416"/>
      <c r="K2" s="416"/>
      <c r="L2" s="416"/>
      <c r="M2" s="416"/>
      <c r="N2" s="416"/>
      <c r="O2" s="416"/>
      <c r="P2" s="416"/>
      <c r="Q2" s="416"/>
      <c r="R2" s="416"/>
      <c r="S2" s="416"/>
      <c r="T2" s="416"/>
      <c r="U2" s="417"/>
      <c r="V2" s="25"/>
    </row>
    <row r="3" spans="1:22" s="1" customFormat="1" ht="63" customHeight="1" thickBot="1" x14ac:dyDescent="0.25">
      <c r="A3" s="25"/>
      <c r="B3" s="424" t="s">
        <v>311</v>
      </c>
      <c r="C3" s="425"/>
      <c r="D3" s="425"/>
      <c r="E3" s="425"/>
      <c r="F3" s="425"/>
      <c r="G3" s="425"/>
      <c r="H3" s="425"/>
      <c r="I3" s="425"/>
      <c r="J3" s="425"/>
      <c r="K3" s="425"/>
      <c r="L3" s="425"/>
      <c r="M3" s="425"/>
      <c r="N3" s="425"/>
      <c r="O3" s="425"/>
      <c r="P3" s="425"/>
      <c r="Q3" s="425"/>
      <c r="R3" s="425"/>
      <c r="S3" s="425"/>
      <c r="T3" s="425"/>
      <c r="U3" s="426"/>
      <c r="V3" s="25"/>
    </row>
    <row r="4" spans="1:22" s="1" customFormat="1" ht="32.25" customHeight="1" thickBot="1" x14ac:dyDescent="0.25">
      <c r="A4" s="25"/>
      <c r="B4" s="421" t="str">
        <f>Transformation!B4</f>
        <v>As of: April 23, 2016</v>
      </c>
      <c r="C4" s="422"/>
      <c r="D4" s="422"/>
      <c r="E4" s="422"/>
      <c r="F4" s="422"/>
      <c r="G4" s="422"/>
      <c r="H4" s="422"/>
      <c r="I4" s="422"/>
      <c r="J4" s="422"/>
      <c r="K4" s="422"/>
      <c r="L4" s="422"/>
      <c r="M4" s="422"/>
      <c r="N4" s="422"/>
      <c r="O4" s="422"/>
      <c r="P4" s="422"/>
      <c r="Q4" s="422"/>
      <c r="R4" s="422"/>
      <c r="S4" s="422"/>
      <c r="T4" s="422"/>
      <c r="U4" s="423"/>
      <c r="V4" s="25"/>
    </row>
    <row r="5" spans="1:22" s="1" customFormat="1" ht="27" customHeight="1" thickBot="1" x14ac:dyDescent="0.45">
      <c r="A5" s="25"/>
      <c r="B5" s="428" t="s">
        <v>239</v>
      </c>
      <c r="C5" s="429"/>
      <c r="D5" s="429"/>
      <c r="E5" s="429"/>
      <c r="F5" s="429"/>
      <c r="G5" s="429"/>
      <c r="H5" s="430"/>
      <c r="I5" s="55"/>
      <c r="J5" s="428" t="s">
        <v>236</v>
      </c>
      <c r="K5" s="429"/>
      <c r="L5" s="429"/>
      <c r="M5" s="429"/>
      <c r="N5" s="430"/>
      <c r="O5" s="56"/>
      <c r="P5" s="431" t="s">
        <v>11</v>
      </c>
      <c r="Q5" s="432"/>
      <c r="R5" s="432"/>
      <c r="S5" s="432"/>
      <c r="T5" s="432"/>
      <c r="U5" s="433"/>
      <c r="V5" s="25"/>
    </row>
    <row r="6" spans="1:22" s="1" customFormat="1" ht="65.25" customHeight="1" thickBot="1" x14ac:dyDescent="0.25">
      <c r="A6" s="25"/>
      <c r="B6" s="418" t="s">
        <v>279</v>
      </c>
      <c r="C6" s="419"/>
      <c r="D6" s="419"/>
      <c r="E6" s="420"/>
      <c r="F6" s="57" t="s">
        <v>12</v>
      </c>
      <c r="G6" s="58" t="s">
        <v>3</v>
      </c>
      <c r="H6" s="59" t="s">
        <v>4</v>
      </c>
      <c r="I6" s="25"/>
      <c r="J6" s="407" t="s">
        <v>279</v>
      </c>
      <c r="K6" s="408"/>
      <c r="L6" s="60" t="s">
        <v>12</v>
      </c>
      <c r="M6" s="61" t="s">
        <v>3</v>
      </c>
      <c r="N6" s="62" t="s">
        <v>4</v>
      </c>
      <c r="O6" s="63"/>
      <c r="P6" s="434" t="s">
        <v>279</v>
      </c>
      <c r="Q6" s="435"/>
      <c r="R6" s="64" t="s">
        <v>489</v>
      </c>
      <c r="S6" s="436" t="s">
        <v>279</v>
      </c>
      <c r="T6" s="437"/>
      <c r="U6" s="65" t="s">
        <v>134</v>
      </c>
      <c r="V6" s="25"/>
    </row>
    <row r="7" spans="1:22" s="1" customFormat="1" ht="32.25" customHeight="1" thickBot="1" x14ac:dyDescent="0.25">
      <c r="A7" s="25"/>
      <c r="B7" s="401" t="s">
        <v>298</v>
      </c>
      <c r="C7" s="402"/>
      <c r="D7" s="402"/>
      <c r="E7" s="402"/>
      <c r="F7" s="166">
        <f>SUM(F8:F10)</f>
        <v>112048</v>
      </c>
      <c r="G7" s="167">
        <f>SUM(G8:G10)</f>
        <v>32030</v>
      </c>
      <c r="H7" s="168">
        <f t="shared" ref="H7:H44" si="0">IF(G7="--", 0, G7/F7)</f>
        <v>0.28585963158646294</v>
      </c>
      <c r="I7" s="25"/>
      <c r="J7" s="401" t="s">
        <v>264</v>
      </c>
      <c r="K7" s="402"/>
      <c r="L7" s="167">
        <f>SUM(L8:L10)</f>
        <v>32810</v>
      </c>
      <c r="M7" s="167">
        <f>SUM(M8:M10)</f>
        <v>5085</v>
      </c>
      <c r="N7" s="178">
        <f>IF(M7="--", 0, M7/L7)</f>
        <v>0.15498323681804327</v>
      </c>
      <c r="O7" s="66"/>
      <c r="P7" s="401" t="s">
        <v>967</v>
      </c>
      <c r="Q7" s="402"/>
      <c r="R7" s="179">
        <f>R8+R9+R10+R11+R12</f>
        <v>327947</v>
      </c>
      <c r="S7" s="401"/>
      <c r="T7" s="402"/>
      <c r="U7" s="67"/>
      <c r="V7" s="25"/>
    </row>
    <row r="8" spans="1:22" s="1" customFormat="1" ht="51" customHeight="1" x14ac:dyDescent="0.2">
      <c r="A8" s="25"/>
      <c r="B8" s="285" t="s">
        <v>249</v>
      </c>
      <c r="C8" s="286"/>
      <c r="D8" s="286"/>
      <c r="E8" s="427"/>
      <c r="F8" s="169">
        <f>IFERROR(VLOOKUP(MID(B8,4,3),MMWR_TRAD_AGG_NATIONAL[],2,0),"--")</f>
        <v>297</v>
      </c>
      <c r="G8" s="170">
        <f>IFERROR(VLOOKUP(MID(B8,4,3),MMWR_TRAD_AGG_NATIONAL[],3,0),"--")</f>
        <v>140</v>
      </c>
      <c r="H8" s="171">
        <f t="shared" si="0"/>
        <v>0.4713804713804714</v>
      </c>
      <c r="I8" s="25"/>
      <c r="J8" s="403" t="s">
        <v>266</v>
      </c>
      <c r="K8" s="404"/>
      <c r="L8" s="169">
        <f>IFERROR(VLOOKUP(MID(J8,4,3),MMWR_TRAD_AGG_NATIONAL[],2,0),"--")</f>
        <v>7740</v>
      </c>
      <c r="M8" s="170">
        <f>IFERROR(VLOOKUP(MID(J8,4,3),MMWR_TRAD_AGG_NATIONAL[],3,0),"--")</f>
        <v>628</v>
      </c>
      <c r="N8" s="171">
        <f>IF(M8="--", 0, M8/L8)</f>
        <v>8.1136950904392768E-2</v>
      </c>
      <c r="O8" s="68" t="s">
        <v>310</v>
      </c>
      <c r="P8" s="438" t="s">
        <v>240</v>
      </c>
      <c r="Q8" s="439"/>
      <c r="R8" s="180">
        <f>VLOOKUP(P8,MMWR_APP_NATIONAL[],2,0)</f>
        <v>239133</v>
      </c>
      <c r="S8" s="406" t="s">
        <v>229</v>
      </c>
      <c r="T8" s="405"/>
      <c r="U8" s="181">
        <f>VLOOKUP(P8,MMWR_APP_NATIONAL[],3,0)</f>
        <v>403.5522132776</v>
      </c>
      <c r="V8" s="25"/>
    </row>
    <row r="9" spans="1:22" s="1" customFormat="1" ht="45" customHeight="1" x14ac:dyDescent="0.2">
      <c r="A9" s="25"/>
      <c r="B9" s="285" t="s">
        <v>247</v>
      </c>
      <c r="C9" s="286"/>
      <c r="D9" s="286"/>
      <c r="E9" s="427"/>
      <c r="F9" s="169">
        <f>IFERROR(VLOOKUP(MID(B9,4,3),MMWR_TRAD_AGG_NATIONAL[],2,0),"--")</f>
        <v>35661</v>
      </c>
      <c r="G9" s="170">
        <f>IFERROR(VLOOKUP(MID(B9,4,3),MMWR_TRAD_AGG_NATIONAL[],3,0),"--")</f>
        <v>11933</v>
      </c>
      <c r="H9" s="171">
        <f t="shared" si="0"/>
        <v>0.33462325790078795</v>
      </c>
      <c r="I9" s="68" t="s">
        <v>310</v>
      </c>
      <c r="J9" s="285" t="s">
        <v>265</v>
      </c>
      <c r="K9" s="286"/>
      <c r="L9" s="169">
        <f>IFERROR(VLOOKUP(MID(J9,4,3),MMWR_TRAD_AGG_NATIONAL[],2,0),"--")</f>
        <v>8509</v>
      </c>
      <c r="M9" s="170">
        <f>IFERROR(VLOOKUP(MID(J9,4,3),MMWR_TRAD_AGG_NATIONAL[],3,0),"--")</f>
        <v>499</v>
      </c>
      <c r="N9" s="171">
        <f>IF(M9="--", 0, M9/L9)</f>
        <v>5.8643788929368904E-2</v>
      </c>
      <c r="O9" s="68" t="s">
        <v>310</v>
      </c>
      <c r="P9" s="449" t="s">
        <v>241</v>
      </c>
      <c r="Q9" s="450"/>
      <c r="R9" s="182">
        <f>VLOOKUP(P9,MMWR_APP_NATIONAL[],2,0)</f>
        <v>53721</v>
      </c>
      <c r="S9" s="451" t="s">
        <v>230</v>
      </c>
      <c r="T9" s="396"/>
      <c r="U9" s="183">
        <f>VLOOKUP(P9,MMWR_APP_NATIONAL[],3,0)</f>
        <v>571.37672418609998</v>
      </c>
      <c r="V9" s="25"/>
    </row>
    <row r="10" spans="1:22" s="1" customFormat="1" ht="63" customHeight="1" thickBot="1" x14ac:dyDescent="0.25">
      <c r="A10" s="25"/>
      <c r="B10" s="285" t="s">
        <v>248</v>
      </c>
      <c r="C10" s="286"/>
      <c r="D10" s="286"/>
      <c r="E10" s="427"/>
      <c r="F10" s="169">
        <f>IFERROR(VLOOKUP(MID(B10,4,3),MMWR_TRAD_AGG_NATIONAL[],2,0),"--")</f>
        <v>76090</v>
      </c>
      <c r="G10" s="170">
        <f>IFERROR(VLOOKUP(MID(B10,4,3),MMWR_TRAD_AGG_NATIONAL[],3,0),"--")</f>
        <v>19957</v>
      </c>
      <c r="H10" s="171">
        <f t="shared" si="0"/>
        <v>0.26228150873965039</v>
      </c>
      <c r="I10" s="68" t="s">
        <v>310</v>
      </c>
      <c r="J10" s="287" t="s">
        <v>267</v>
      </c>
      <c r="K10" s="288"/>
      <c r="L10" s="169">
        <f>IFERROR(VLOOKUP(MID(J10,4,3),MMWR_TRAD_AGG_NATIONAL[],2,0),"--")</f>
        <v>16561</v>
      </c>
      <c r="M10" s="170">
        <f>IFERROR(VLOOKUP(MID(J10,4,3),MMWR_TRAD_AGG_NATIONAL[],3,0),"--")</f>
        <v>3958</v>
      </c>
      <c r="N10" s="171">
        <f>IF(M10="--", 0, M10/L10)</f>
        <v>0.23899522975665721</v>
      </c>
      <c r="O10" s="69"/>
      <c r="P10" s="449" t="s">
        <v>242</v>
      </c>
      <c r="Q10" s="450"/>
      <c r="R10" s="182">
        <f>VLOOKUP(P10,MMWR_APP_NATIONAL[],2,0)</f>
        <v>24145</v>
      </c>
      <c r="S10" s="451" t="s">
        <v>231</v>
      </c>
      <c r="T10" s="396"/>
      <c r="U10" s="183">
        <f>VLOOKUP(P10,MMWR_APP_NATIONAL[],3,0)</f>
        <v>516.58830108949996</v>
      </c>
      <c r="V10" s="25"/>
    </row>
    <row r="11" spans="1:22" s="1" customFormat="1" ht="45" customHeight="1" thickBot="1" x14ac:dyDescent="0.25">
      <c r="A11" s="25"/>
      <c r="B11" s="401" t="s">
        <v>299</v>
      </c>
      <c r="C11" s="402"/>
      <c r="D11" s="402"/>
      <c r="E11" s="402"/>
      <c r="F11" s="166">
        <f>SUM(F12:F13)</f>
        <v>11256</v>
      </c>
      <c r="G11" s="167">
        <f>SUM(G12:G13)</f>
        <v>2608</v>
      </c>
      <c r="H11" s="168">
        <f t="shared" si="0"/>
        <v>0.23169864960909736</v>
      </c>
      <c r="I11" s="25"/>
      <c r="J11" s="401" t="s">
        <v>237</v>
      </c>
      <c r="K11" s="402"/>
      <c r="L11" s="166">
        <f>SUM(L12:L17)</f>
        <v>34337</v>
      </c>
      <c r="M11" s="166">
        <f>SUM(M12:M17)</f>
        <v>5930</v>
      </c>
      <c r="N11" s="159">
        <f>IF(M11="--", 0, M11/L11)</f>
        <v>0.17270000291231033</v>
      </c>
      <c r="O11" s="69"/>
      <c r="P11" s="449" t="s">
        <v>968</v>
      </c>
      <c r="Q11" s="450"/>
      <c r="R11" s="182">
        <f>VLOOKUP(P11,MMWR_APP_NATIONAL[],2,0)</f>
        <v>10339</v>
      </c>
      <c r="S11" s="451" t="s">
        <v>232</v>
      </c>
      <c r="T11" s="396"/>
      <c r="U11" s="183">
        <f>VLOOKUP(P11,MMWR_APP_NATIONAL[],3,0)</f>
        <v>177.2032504595</v>
      </c>
      <c r="V11" s="25"/>
    </row>
    <row r="12" spans="1:22" s="1" customFormat="1" ht="46.5" customHeight="1" thickBot="1" x14ac:dyDescent="0.25">
      <c r="A12" s="25"/>
      <c r="B12" s="397" t="s">
        <v>269</v>
      </c>
      <c r="C12" s="398"/>
      <c r="D12" s="398"/>
      <c r="E12" s="399"/>
      <c r="F12" s="169">
        <f>IFERROR(VLOOKUP(MID(B12,4,3),MMWR_TRAD_AGG_NATIONAL[],2,0),"--")</f>
        <v>9981</v>
      </c>
      <c r="G12" s="170">
        <f>IFERROR(VLOOKUP(MID(B12,4,3),MMWR_TRAD_AGG_NATIONAL[],3,0),"--")</f>
        <v>1717</v>
      </c>
      <c r="H12" s="171">
        <f t="shared" si="0"/>
        <v>0.17202685101693216</v>
      </c>
      <c r="I12" s="68" t="s">
        <v>310</v>
      </c>
      <c r="J12" s="287" t="s">
        <v>259</v>
      </c>
      <c r="K12" s="396"/>
      <c r="L12" s="169">
        <f>IFERROR(VLOOKUP(MID(J12,4,3)&amp;"p",MMWR_TRAD_AGG_NATIONAL[],2,0),"--")</f>
        <v>1598</v>
      </c>
      <c r="M12" s="170">
        <f>IFERROR(VLOOKUP(MID(J12,4,3)&amp;"p",MMWR_TRAD_AGG_NATIONAL[],3,0),"--")</f>
        <v>238</v>
      </c>
      <c r="N12" s="171">
        <f t="shared" ref="N12:N17" si="1">IF(L12="--", 0,M12/L12)</f>
        <v>0.14893617021276595</v>
      </c>
      <c r="O12" s="69"/>
      <c r="P12" s="449" t="s">
        <v>949</v>
      </c>
      <c r="Q12" s="450"/>
      <c r="R12" s="182">
        <f>VLOOKUP(P12,MMWR_APP_NATIONAL[],2,0)</f>
        <v>609</v>
      </c>
      <c r="S12" s="452" t="s">
        <v>966</v>
      </c>
      <c r="T12" s="400"/>
      <c r="U12" s="183">
        <f>VLOOKUP(P12,MMWR_APP_NATIONAL[],3,0)</f>
        <v>439.89162561580002</v>
      </c>
      <c r="V12" s="25"/>
    </row>
    <row r="13" spans="1:22" s="1" customFormat="1" ht="49.5" customHeight="1" thickBot="1" x14ac:dyDescent="0.25">
      <c r="A13" s="25"/>
      <c r="B13" s="397" t="s">
        <v>1058</v>
      </c>
      <c r="C13" s="398"/>
      <c r="D13" s="398"/>
      <c r="E13" s="399"/>
      <c r="F13" s="169">
        <f>IFERROR(VLOOKUP(MID(B13,4,3),MMWR_TRAD_AGG_NATIONAL[],2,0),"--")</f>
        <v>1275</v>
      </c>
      <c r="G13" s="170">
        <f>IFERROR(VLOOKUP(MID(B13,4,3),MMWR_TRAD_AGG_NATIONAL[],3,0),"--")</f>
        <v>891</v>
      </c>
      <c r="H13" s="171">
        <f t="shared" si="0"/>
        <v>0.69882352941176473</v>
      </c>
      <c r="I13" s="25"/>
      <c r="J13" s="287" t="s">
        <v>268</v>
      </c>
      <c r="K13" s="396"/>
      <c r="L13" s="169">
        <f>IFERROR(VLOOKUP(MID(J13,4,3),MMWR_TRAD_AGG_NATIONAL[],2,0),"--")</f>
        <v>5854</v>
      </c>
      <c r="M13" s="170">
        <f>IFERROR(VLOOKUP(MID(J13,4,3),MMWR_TRAD_AGG_NATIONAL[],3,0),"--")</f>
        <v>876</v>
      </c>
      <c r="N13" s="171">
        <f t="shared" si="1"/>
        <v>0.14964127092586266</v>
      </c>
      <c r="O13" s="69"/>
      <c r="P13" s="401" t="s">
        <v>977</v>
      </c>
      <c r="Q13" s="402"/>
      <c r="R13" s="445"/>
      <c r="S13" s="446">
        <f>VLOOKUP(P13,MMWR_APP_NATIONAL[],2,0)</f>
        <v>28601</v>
      </c>
      <c r="T13" s="447"/>
      <c r="U13" s="448"/>
      <c r="V13" s="25"/>
    </row>
    <row r="14" spans="1:22" s="1" customFormat="1" ht="45" customHeight="1" thickBot="1" x14ac:dyDescent="0.25">
      <c r="A14" s="25"/>
      <c r="B14" s="401" t="s">
        <v>1</v>
      </c>
      <c r="C14" s="402"/>
      <c r="D14" s="402"/>
      <c r="E14" s="402"/>
      <c r="F14" s="166">
        <f>SUM(F15:F21)</f>
        <v>197321</v>
      </c>
      <c r="G14" s="167">
        <f>SUM(G15:G21)</f>
        <v>40706</v>
      </c>
      <c r="H14" s="168">
        <f t="shared" si="0"/>
        <v>0.20629329873657645</v>
      </c>
      <c r="I14" s="25"/>
      <c r="J14" s="287" t="s">
        <v>270</v>
      </c>
      <c r="K14" s="396"/>
      <c r="L14" s="169">
        <f>IFERROR(VLOOKUP(MID(J14,4,3),MMWR_TRAD_AGG_NATIONAL[],2,0),"--")</f>
        <v>18696</v>
      </c>
      <c r="M14" s="170">
        <f>IFERROR(VLOOKUP(MID(J14,4,3),MMWR_TRAD_AGG_NATIONAL[],3,0),"--")</f>
        <v>3074</v>
      </c>
      <c r="N14" s="171">
        <f t="shared" si="1"/>
        <v>0.16442019683354728</v>
      </c>
      <c r="O14" s="69"/>
      <c r="P14" s="21"/>
      <c r="Q14" s="21"/>
      <c r="R14" s="21"/>
      <c r="S14" s="28"/>
      <c r="T14" s="28"/>
      <c r="U14" s="70"/>
      <c r="V14" s="25"/>
    </row>
    <row r="15" spans="1:22" s="1" customFormat="1" ht="44.25" customHeight="1" thickBot="1" x14ac:dyDescent="0.25">
      <c r="A15" s="25"/>
      <c r="B15" s="285" t="s">
        <v>250</v>
      </c>
      <c r="C15" s="286"/>
      <c r="D15" s="286"/>
      <c r="E15" s="427"/>
      <c r="F15" s="169">
        <f>IFERROR(VLOOKUP(MID(B15,4,3),MMWR_TRAD_AGG_NATIONAL[],2,0),"--")</f>
        <v>196613</v>
      </c>
      <c r="G15" s="170">
        <f>IFERROR(VLOOKUP(MID(B15,4,3),MMWR_TRAD_AGG_NATIONAL[],3,0),"--")</f>
        <v>40509</v>
      </c>
      <c r="H15" s="171">
        <f t="shared" si="0"/>
        <v>0.20603418899055506</v>
      </c>
      <c r="I15" s="68" t="s">
        <v>310</v>
      </c>
      <c r="J15" s="287" t="s">
        <v>271</v>
      </c>
      <c r="K15" s="396"/>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287" t="s">
        <v>251</v>
      </c>
      <c r="C16" s="288"/>
      <c r="D16" s="288"/>
      <c r="E16" s="396"/>
      <c r="F16" s="169">
        <f>IFERROR(VLOOKUP(MID(B16,4,3),MMWR_TRAD_AGG_NATIONAL[],2,0),"--")</f>
        <v>426</v>
      </c>
      <c r="G16" s="170">
        <f>IFERROR(VLOOKUP(MID(B16,4,3),MMWR_TRAD_AGG_NATIONAL[],3,0),"--")</f>
        <v>21</v>
      </c>
      <c r="H16" s="171">
        <f t="shared" si="0"/>
        <v>4.9295774647887321E-2</v>
      </c>
      <c r="I16" s="68" t="s">
        <v>310</v>
      </c>
      <c r="J16" s="287" t="s">
        <v>272</v>
      </c>
      <c r="K16" s="396"/>
      <c r="L16" s="169">
        <f>IFERROR(VLOOKUP(MID(J16,4,3),MMWR_TRAD_AGG_NATIONAL[],2,0),"--")</f>
        <v>3452</v>
      </c>
      <c r="M16" s="170">
        <f>IFERROR(VLOOKUP(MID(J16,4,3),MMWR_TRAD_AGG_NATIONAL[],3,0),"--")</f>
        <v>794</v>
      </c>
      <c r="N16" s="171">
        <f t="shared" si="1"/>
        <v>0.23001158748551565</v>
      </c>
      <c r="O16" s="69"/>
      <c r="P16" s="431" t="s">
        <v>950</v>
      </c>
      <c r="Q16" s="432"/>
      <c r="R16" s="432"/>
      <c r="S16" s="433"/>
      <c r="T16" s="28"/>
      <c r="U16" s="71"/>
      <c r="V16" s="25"/>
    </row>
    <row r="17" spans="1:22" s="1" customFormat="1" ht="31.5" customHeight="1" thickBot="1" x14ac:dyDescent="0.25">
      <c r="A17" s="25"/>
      <c r="B17" s="287" t="s">
        <v>252</v>
      </c>
      <c r="C17" s="288"/>
      <c r="D17" s="288"/>
      <c r="E17" s="396"/>
      <c r="F17" s="169">
        <f>IFERROR(VLOOKUP(MID(B17,4,3),MMWR_TRAD_AGG_NATIONAL[],2,0),"--")</f>
        <v>243</v>
      </c>
      <c r="G17" s="170">
        <f>IFERROR(VLOOKUP(MID(B17,4,3),MMWR_TRAD_AGG_NATIONAL[],3,0),"--")</f>
        <v>167</v>
      </c>
      <c r="H17" s="171">
        <f t="shared" si="0"/>
        <v>0.68724279835390945</v>
      </c>
      <c r="I17" s="25"/>
      <c r="J17" s="287" t="s">
        <v>273</v>
      </c>
      <c r="K17" s="396"/>
      <c r="L17" s="169">
        <f>IFERROR(VLOOKUP(MID(J17,4,3),MMWR_TRAD_AGG_NATIONAL[],2,0),"--")</f>
        <v>4736</v>
      </c>
      <c r="M17" s="170">
        <f>IFERROR(VLOOKUP(MID(J17,4,3),MMWR_TRAD_AGG_NATIONAL[],3,0),"--")</f>
        <v>947</v>
      </c>
      <c r="N17" s="171">
        <f t="shared" si="1"/>
        <v>0.19995777027027026</v>
      </c>
      <c r="O17" s="72"/>
      <c r="P17" s="440" t="s">
        <v>245</v>
      </c>
      <c r="Q17" s="441"/>
      <c r="R17" s="441"/>
      <c r="S17" s="184">
        <f>IFERROR(VLOOKUP("160",MMWR_TRAD_AGG_NATIONAL[],2,0),"--")</f>
        <v>34578</v>
      </c>
      <c r="T17" s="28"/>
      <c r="U17" s="71"/>
      <c r="V17" s="25"/>
    </row>
    <row r="18" spans="1:22" s="1" customFormat="1" ht="32.25" customHeight="1" thickBot="1" x14ac:dyDescent="0.25">
      <c r="A18" s="25"/>
      <c r="B18" s="287" t="s">
        <v>253</v>
      </c>
      <c r="C18" s="288"/>
      <c r="D18" s="288"/>
      <c r="E18" s="396"/>
      <c r="F18" s="169">
        <f>IFERROR(VLOOKUP(MID(B18,4,3),MMWR_TRAD_AGG_NATIONAL[],2,0),"--")</f>
        <v>12</v>
      </c>
      <c r="G18" s="170">
        <f>IFERROR(VLOOKUP(MID(B18,4,3),MMWR_TRAD_AGG_NATIONAL[],3,0),"--")</f>
        <v>8</v>
      </c>
      <c r="H18" s="171">
        <f t="shared" si="0"/>
        <v>0.66666666666666663</v>
      </c>
      <c r="I18" s="68" t="s">
        <v>310</v>
      </c>
      <c r="J18" s="401" t="s">
        <v>15</v>
      </c>
      <c r="K18" s="402"/>
      <c r="L18" s="166">
        <f>SUM(L19:L21)</f>
        <v>307</v>
      </c>
      <c r="M18" s="166">
        <f>SUM(M19:M21)</f>
        <v>280</v>
      </c>
      <c r="N18" s="159">
        <f t="shared" ref="N18:N26" si="2">IF(M18="--", 0, M18/L18)</f>
        <v>0.91205211726384361</v>
      </c>
      <c r="O18" s="73"/>
      <c r="P18" s="442" t="s">
        <v>246</v>
      </c>
      <c r="Q18" s="443"/>
      <c r="R18" s="443"/>
      <c r="S18" s="185">
        <f>IFERROR(VLOOKUP("165",MMWR_TRAD_AGG_NATIONAL[],2,0),"--")</f>
        <v>10626</v>
      </c>
      <c r="T18" s="28"/>
      <c r="U18" s="71"/>
      <c r="V18" s="25"/>
    </row>
    <row r="19" spans="1:22" s="1" customFormat="1" ht="41.25" customHeight="1" x14ac:dyDescent="0.4">
      <c r="A19" s="25"/>
      <c r="B19" s="287" t="s">
        <v>254</v>
      </c>
      <c r="C19" s="288"/>
      <c r="D19" s="288"/>
      <c r="E19" s="396"/>
      <c r="F19" s="169">
        <f>IFERROR(VLOOKUP(MID(B19,4,3),MMWR_TRAD_AGG_NATIONAL[],2,0),"--")</f>
        <v>1</v>
      </c>
      <c r="G19" s="170">
        <f>IFERROR(VLOOKUP(MID(B19,4,3),MMWR_TRAD_AGG_NATIONAL[],3,0),"--")</f>
        <v>1</v>
      </c>
      <c r="H19" s="171">
        <f t="shared" si="0"/>
        <v>1</v>
      </c>
      <c r="I19" s="68" t="s">
        <v>310</v>
      </c>
      <c r="J19" s="287" t="s">
        <v>274</v>
      </c>
      <c r="K19" s="396"/>
      <c r="L19" s="169">
        <f>IFERROR(VLOOKUP(MID(J19,4,3),MMWR_TRAD_AGG_NATIONAL[],2,0),"--")</f>
        <v>217</v>
      </c>
      <c r="M19" s="170">
        <f>IFERROR(VLOOKUP(MID(J19,4,3),MMWR_TRAD_AGG_NATIONAL[],3,0),"--")</f>
        <v>216</v>
      </c>
      <c r="N19" s="171">
        <f t="shared" si="2"/>
        <v>0.99539170506912444</v>
      </c>
      <c r="O19" s="56"/>
      <c r="P19" s="25"/>
      <c r="Q19" s="25"/>
      <c r="R19" s="25"/>
      <c r="S19" s="25"/>
      <c r="T19" s="28"/>
      <c r="U19" s="71"/>
      <c r="V19" s="25"/>
    </row>
    <row r="20" spans="1:22" s="1" customFormat="1" ht="40.5" customHeight="1" x14ac:dyDescent="0.4">
      <c r="A20" s="25"/>
      <c r="B20" s="287" t="s">
        <v>255</v>
      </c>
      <c r="C20" s="288"/>
      <c r="D20" s="288"/>
      <c r="E20" s="396"/>
      <c r="F20" s="169">
        <f>IFERROR(VLOOKUP(MID(B20,4,3),MMWR_TRAD_AGG_NATIONAL[],2,0),"--")</f>
        <v>20</v>
      </c>
      <c r="G20" s="170">
        <f>IFERROR(VLOOKUP(MID(B20,4,3),MMWR_TRAD_AGG_NATIONAL[],3,0),"--")</f>
        <v>0</v>
      </c>
      <c r="H20" s="171">
        <f t="shared" si="0"/>
        <v>0</v>
      </c>
      <c r="I20" s="68" t="s">
        <v>310</v>
      </c>
      <c r="J20" s="287" t="s">
        <v>297</v>
      </c>
      <c r="K20" s="396"/>
      <c r="L20" s="169">
        <f>IFERROR(VLOOKUP(MID(J20,4,3),MMWR_TRAD_AGG_NATIONAL[],2,0),"--")</f>
        <v>60</v>
      </c>
      <c r="M20" s="170">
        <f>IFERROR(VLOOKUP(MID(J20,4,3),MMWR_TRAD_AGG_NATIONAL[],3,0),"--")</f>
        <v>47</v>
      </c>
      <c r="N20" s="171">
        <f t="shared" si="2"/>
        <v>0.78333333333333333</v>
      </c>
      <c r="O20" s="56"/>
      <c r="P20" s="56"/>
      <c r="Q20" s="56"/>
      <c r="R20" s="56"/>
      <c r="S20" s="56"/>
      <c r="T20" s="56"/>
      <c r="U20" s="74"/>
      <c r="V20" s="25"/>
    </row>
    <row r="21" spans="1:22" s="1" customFormat="1" ht="39" customHeight="1" thickBot="1" x14ac:dyDescent="0.45">
      <c r="A21" s="25"/>
      <c r="B21" s="287" t="s">
        <v>256</v>
      </c>
      <c r="C21" s="288"/>
      <c r="D21" s="288"/>
      <c r="E21" s="396"/>
      <c r="F21" s="169">
        <f>IFERROR(VLOOKUP(MID(B21,4,3),MMWR_TRAD_AGG_NATIONAL[],2,0),"--")</f>
        <v>6</v>
      </c>
      <c r="G21" s="170">
        <f>IFERROR(VLOOKUP(MID(B21,4,3),MMWR_TRAD_AGG_NATIONAL[],3,0),"--")</f>
        <v>0</v>
      </c>
      <c r="H21" s="171">
        <f t="shared" si="0"/>
        <v>0</v>
      </c>
      <c r="I21" s="68" t="s">
        <v>310</v>
      </c>
      <c r="J21" s="287" t="s">
        <v>275</v>
      </c>
      <c r="K21" s="396"/>
      <c r="L21" s="169">
        <f>IFERROR(VLOOKUP(MID(J21,4,3),MMWR_TRAD_AGG_NATIONAL[],2,0),"--")</f>
        <v>30</v>
      </c>
      <c r="M21" s="170">
        <f>IFERROR(VLOOKUP(MID(J21,4,3),MMWR_TRAD_AGG_NATIONAL[],3,0),"--")</f>
        <v>17</v>
      </c>
      <c r="N21" s="171">
        <f t="shared" si="2"/>
        <v>0.56666666666666665</v>
      </c>
      <c r="O21" s="56"/>
      <c r="P21" s="56"/>
      <c r="Q21" s="56"/>
      <c r="R21" s="56"/>
      <c r="S21" s="56"/>
      <c r="T21" s="56"/>
      <c r="U21" s="74"/>
      <c r="V21" s="25"/>
    </row>
    <row r="22" spans="1:22" s="1" customFormat="1" ht="32.25" customHeight="1" thickBot="1" x14ac:dyDescent="0.45">
      <c r="A22" s="25"/>
      <c r="B22" s="401" t="s">
        <v>13</v>
      </c>
      <c r="C22" s="402"/>
      <c r="D22" s="402"/>
      <c r="E22" s="402"/>
      <c r="F22" s="166">
        <f>SUM(F23:F29)</f>
        <v>389608</v>
      </c>
      <c r="G22" s="167">
        <f>SUM(G23:G29)</f>
        <v>259765</v>
      </c>
      <c r="H22" s="168">
        <f t="shared" si="0"/>
        <v>0.66673425597010327</v>
      </c>
      <c r="I22" s="25"/>
      <c r="J22" s="401" t="s">
        <v>224</v>
      </c>
      <c r="K22" s="402"/>
      <c r="L22" s="166">
        <f>SUM(L23:L26)</f>
        <v>2143</v>
      </c>
      <c r="M22" s="166">
        <f>SUM(M23:M26)</f>
        <v>569</v>
      </c>
      <c r="N22" s="159">
        <f t="shared" si="2"/>
        <v>0.26551563229118058</v>
      </c>
      <c r="O22" s="56"/>
      <c r="P22" s="25"/>
      <c r="Q22" s="25"/>
      <c r="R22" s="25"/>
      <c r="S22" s="25"/>
      <c r="T22" s="56"/>
      <c r="U22" s="74"/>
      <c r="V22" s="25"/>
    </row>
    <row r="23" spans="1:22" s="1" customFormat="1" ht="26.25" customHeight="1" x14ac:dyDescent="0.4">
      <c r="A23" s="25"/>
      <c r="B23" s="397" t="s">
        <v>257</v>
      </c>
      <c r="C23" s="398"/>
      <c r="D23" s="398"/>
      <c r="E23" s="399"/>
      <c r="F23" s="169">
        <f>IFERROR(VLOOKUP(MID(B23,4,3),MMWR_TRAD_AGG_NATIONAL[],2,0),"--")</f>
        <v>164377</v>
      </c>
      <c r="G23" s="170">
        <f>IFERROR(VLOOKUP(MID(B23,4,3),MMWR_TRAD_AGG_NATIONAL[],3,0),"--")</f>
        <v>111972</v>
      </c>
      <c r="H23" s="171">
        <f t="shared" si="0"/>
        <v>0.68119019084178445</v>
      </c>
      <c r="I23" s="25"/>
      <c r="J23" s="403" t="s">
        <v>278</v>
      </c>
      <c r="K23" s="405"/>
      <c r="L23" s="172">
        <f>IFERROR(VLOOKUP(MID(J23,4,3),MMWR_TRAD_AGG_NATIONAL[],2,0),"--")</f>
        <v>512</v>
      </c>
      <c r="M23" s="173">
        <f>IFERROR(VLOOKUP(MID(J23,4,3),MMWR_TRAD_AGG_NATIONAL[],3,0),"--")</f>
        <v>148</v>
      </c>
      <c r="N23" s="174">
        <f t="shared" si="2"/>
        <v>0.2890625</v>
      </c>
      <c r="O23" s="56"/>
      <c r="P23" s="25"/>
      <c r="Q23" s="25"/>
      <c r="R23" s="25"/>
      <c r="S23" s="25"/>
      <c r="T23" s="56"/>
      <c r="U23" s="74"/>
      <c r="V23" s="25"/>
    </row>
    <row r="24" spans="1:22" s="1" customFormat="1" ht="39.75" customHeight="1" x14ac:dyDescent="0.4">
      <c r="A24" s="25"/>
      <c r="B24" s="397" t="s">
        <v>258</v>
      </c>
      <c r="C24" s="398"/>
      <c r="D24" s="398"/>
      <c r="E24" s="399"/>
      <c r="F24" s="169">
        <f>IFERROR(VLOOKUP(MID(B24,4,3),MMWR_TRAD_AGG_NATIONAL[],2,0),"--")</f>
        <v>159</v>
      </c>
      <c r="G24" s="170">
        <f>IFERROR(VLOOKUP(MID(B24,4,3),MMWR_TRAD_AGG_NATIONAL[],3,0),"--")</f>
        <v>103</v>
      </c>
      <c r="H24" s="171">
        <f t="shared" si="0"/>
        <v>0.64779874213836475</v>
      </c>
      <c r="I24" s="25"/>
      <c r="J24" s="287" t="s">
        <v>277</v>
      </c>
      <c r="K24" s="396"/>
      <c r="L24" s="169">
        <f>IFERROR(VLOOKUP(MID(J24,4,3),MMWR_TRAD_AGG_NATIONAL[],2,0),"--")</f>
        <v>732</v>
      </c>
      <c r="M24" s="170">
        <f>IFERROR(VLOOKUP(MID(J24,4,3),MMWR_TRAD_AGG_NATIONAL[],3,0),"--")</f>
        <v>22</v>
      </c>
      <c r="N24" s="171">
        <f t="shared" si="2"/>
        <v>3.0054644808743168E-2</v>
      </c>
      <c r="O24" s="56"/>
      <c r="P24" s="25"/>
      <c r="Q24" s="25"/>
      <c r="R24" s="25"/>
      <c r="S24" s="25"/>
      <c r="T24" s="56"/>
      <c r="U24" s="74"/>
      <c r="V24" s="25"/>
    </row>
    <row r="25" spans="1:22" s="1" customFormat="1" ht="37.5" customHeight="1" x14ac:dyDescent="0.4">
      <c r="A25" s="25"/>
      <c r="B25" s="397" t="s">
        <v>259</v>
      </c>
      <c r="C25" s="398"/>
      <c r="D25" s="398"/>
      <c r="E25" s="399"/>
      <c r="F25" s="169">
        <f>IFERROR(VLOOKUP(MID(B25,4,3),MMWR_TRAD_AGG_NATIONAL[],2,0),"--")</f>
        <v>294</v>
      </c>
      <c r="G25" s="170">
        <f>IFERROR(VLOOKUP(MID(B25,4,3),MMWR_TRAD_AGG_NATIONAL[],3,0),"--")</f>
        <v>238</v>
      </c>
      <c r="H25" s="171">
        <f t="shared" si="0"/>
        <v>0.80952380952380953</v>
      </c>
      <c r="I25" s="25"/>
      <c r="J25" s="287" t="s">
        <v>276</v>
      </c>
      <c r="K25" s="396"/>
      <c r="L25" s="169">
        <f>IFERROR(VLOOKUP(MID(J25,4,3),MMWR_TRAD_AGG_NATIONAL[],2,0),"--")</f>
        <v>854</v>
      </c>
      <c r="M25" s="170">
        <f>IFERROR(VLOOKUP(MID(J25,4,3),MMWR_TRAD_AGG_NATIONAL[],3,0),"--")</f>
        <v>368</v>
      </c>
      <c r="N25" s="171">
        <f t="shared" si="2"/>
        <v>0.43091334894613581</v>
      </c>
      <c r="O25" s="56"/>
      <c r="P25" s="56"/>
      <c r="Q25" s="56"/>
      <c r="R25" s="56"/>
      <c r="S25" s="56"/>
      <c r="T25" s="56"/>
      <c r="U25" s="74"/>
      <c r="V25" s="25"/>
    </row>
    <row r="26" spans="1:22" s="1" customFormat="1" ht="37.5" customHeight="1" thickBot="1" x14ac:dyDescent="0.45">
      <c r="A26" s="25"/>
      <c r="B26" s="397" t="s">
        <v>260</v>
      </c>
      <c r="C26" s="398"/>
      <c r="D26" s="398"/>
      <c r="E26" s="399"/>
      <c r="F26" s="169">
        <f>IFERROR(VLOOKUP(MID(B26,4,3),MMWR_TRAD_AGG_NATIONAL[],2,0),"--")</f>
        <v>97963</v>
      </c>
      <c r="G26" s="170">
        <f>IFERROR(VLOOKUP(MID(B26,4,3),MMWR_TRAD_AGG_NATIONAL[],3,0),"--")</f>
        <v>76592</v>
      </c>
      <c r="H26" s="171">
        <f t="shared" si="0"/>
        <v>0.78184620724150955</v>
      </c>
      <c r="I26" s="56"/>
      <c r="J26" s="292" t="s">
        <v>313</v>
      </c>
      <c r="K26" s="400"/>
      <c r="L26" s="175">
        <f>IFERROR(VLOOKUP(MID(J26,4,3),MMWR_TRAD_AGG_NATIONAL[],2,0),"--")</f>
        <v>45</v>
      </c>
      <c r="M26" s="176">
        <f>IFERROR(VLOOKUP(MID(J26,4,3),MMWR_TRAD_AGG_NATIONAL[],3,0),"--")</f>
        <v>31</v>
      </c>
      <c r="N26" s="177">
        <f t="shared" si="2"/>
        <v>0.68888888888888888</v>
      </c>
      <c r="O26" s="56"/>
      <c r="P26" s="56"/>
      <c r="Q26" s="56"/>
      <c r="R26" s="56"/>
      <c r="S26" s="56"/>
      <c r="T26" s="56"/>
      <c r="U26" s="74"/>
      <c r="V26" s="25"/>
    </row>
    <row r="27" spans="1:22" s="1" customFormat="1" ht="26.25" customHeight="1" thickBot="1" x14ac:dyDescent="0.45">
      <c r="A27" s="25"/>
      <c r="B27" s="397" t="s">
        <v>261</v>
      </c>
      <c r="C27" s="398"/>
      <c r="D27" s="398"/>
      <c r="E27" s="399"/>
      <c r="F27" s="169">
        <f>IFERROR(VLOOKUP(MID(B27,4,3),MMWR_TRAD_AGG_NATIONAL[],2,0),"--")</f>
        <v>223</v>
      </c>
      <c r="G27" s="170">
        <f>IFERROR(VLOOKUP(MID(B27,4,3),MMWR_TRAD_AGG_NATIONAL[],3,0),"--")</f>
        <v>40</v>
      </c>
      <c r="H27" s="171">
        <f t="shared" si="0"/>
        <v>0.17937219730941703</v>
      </c>
      <c r="I27" s="56"/>
      <c r="J27" s="56"/>
      <c r="K27" s="56"/>
      <c r="L27" s="56"/>
      <c r="M27" s="56"/>
      <c r="N27" s="56"/>
      <c r="O27" s="56"/>
      <c r="P27" s="56"/>
      <c r="Q27" s="56"/>
      <c r="R27" s="56"/>
      <c r="S27" s="56"/>
      <c r="T27" s="56"/>
      <c r="U27" s="74"/>
      <c r="V27" s="25"/>
    </row>
    <row r="28" spans="1:22" s="1" customFormat="1" ht="32.25" customHeight="1" x14ac:dyDescent="0.4">
      <c r="A28" s="25"/>
      <c r="B28" s="397" t="s">
        <v>262</v>
      </c>
      <c r="C28" s="398"/>
      <c r="D28" s="398"/>
      <c r="E28" s="399"/>
      <c r="F28" s="169">
        <f>IFERROR(VLOOKUP(MID(B28,4,3),MMWR_TRAD_AGG_NATIONAL[],2,0),"--")</f>
        <v>15535</v>
      </c>
      <c r="G28" s="170">
        <f>IFERROR(VLOOKUP(MID(B28,4,3),MMWR_TRAD_AGG_NATIONAL[],3,0),"--")</f>
        <v>3260</v>
      </c>
      <c r="H28" s="171">
        <f t="shared" si="0"/>
        <v>0.20984872867718057</v>
      </c>
      <c r="I28" s="68" t="s">
        <v>310</v>
      </c>
      <c r="J28" s="409" t="s">
        <v>312</v>
      </c>
      <c r="K28" s="410"/>
      <c r="L28" s="410"/>
      <c r="M28" s="410"/>
      <c r="N28" s="411"/>
      <c r="O28" s="444" t="s">
        <v>310</v>
      </c>
      <c r="P28" s="75"/>
      <c r="Q28" s="56"/>
      <c r="R28" s="56"/>
      <c r="S28" s="56"/>
      <c r="T28" s="56"/>
      <c r="U28" s="74"/>
      <c r="V28" s="25"/>
    </row>
    <row r="29" spans="1:22" s="1" customFormat="1" ht="27" customHeight="1" thickBot="1" x14ac:dyDescent="0.45">
      <c r="A29" s="25"/>
      <c r="B29" s="397" t="s">
        <v>263</v>
      </c>
      <c r="C29" s="398"/>
      <c r="D29" s="398"/>
      <c r="E29" s="399"/>
      <c r="F29" s="169">
        <f>IFERROR(VLOOKUP(MID(B29,4,3),MMWR_TRAD_AGG_NATIONAL[],2,0),"--")</f>
        <v>111057</v>
      </c>
      <c r="G29" s="170">
        <f>IFERROR(VLOOKUP(MID(B29,4,3),MMWR_TRAD_AGG_NATIONAL[],3,0),"--")</f>
        <v>67560</v>
      </c>
      <c r="H29" s="171">
        <f t="shared" si="0"/>
        <v>0.60833625975850236</v>
      </c>
      <c r="I29" s="56"/>
      <c r="J29" s="412"/>
      <c r="K29" s="413"/>
      <c r="L29" s="413"/>
      <c r="M29" s="413"/>
      <c r="N29" s="414"/>
      <c r="O29" s="444"/>
      <c r="P29" s="76"/>
      <c r="Q29" s="56"/>
      <c r="R29" s="56"/>
      <c r="S29" s="56"/>
      <c r="T29" s="56"/>
      <c r="U29" s="74"/>
      <c r="V29" s="25"/>
    </row>
    <row r="30" spans="1:22" s="1" customFormat="1" ht="32.25" customHeight="1" thickBot="1" x14ac:dyDescent="0.45">
      <c r="A30" s="25"/>
      <c r="B30" s="401" t="s">
        <v>29</v>
      </c>
      <c r="C30" s="402"/>
      <c r="D30" s="402"/>
      <c r="E30" s="402"/>
      <c r="F30" s="167">
        <f>SUM(F31:F37)</f>
        <v>120296</v>
      </c>
      <c r="G30" s="167">
        <f>SUM(G31:G37)</f>
        <v>94322</v>
      </c>
      <c r="H30" s="159">
        <f t="shared" si="0"/>
        <v>0.78408259626255239</v>
      </c>
      <c r="I30" s="56"/>
      <c r="J30" s="28"/>
      <c r="K30" s="28"/>
      <c r="L30" s="28"/>
      <c r="M30" s="28"/>
      <c r="N30" s="28"/>
      <c r="O30" s="28"/>
      <c r="P30" s="56"/>
      <c r="Q30" s="56"/>
      <c r="R30" s="56"/>
      <c r="S30" s="56"/>
      <c r="T30" s="56"/>
      <c r="U30" s="74"/>
      <c r="V30" s="25"/>
    </row>
    <row r="31" spans="1:22" s="1" customFormat="1" ht="33.75" customHeight="1" x14ac:dyDescent="0.4">
      <c r="A31" s="25"/>
      <c r="B31" s="287" t="s">
        <v>280</v>
      </c>
      <c r="C31" s="288"/>
      <c r="D31" s="288"/>
      <c r="E31" s="396"/>
      <c r="F31" s="169">
        <f>IFERROR(VLOOKUP(MID(B31,4,3),MMWR_TRAD_AGG_NATIONAL[],2,0),"--")</f>
        <v>40</v>
      </c>
      <c r="G31" s="170">
        <f>IFERROR(VLOOKUP(MID(B31,4,3),MMWR_TRAD_AGG_NATIONAL[],3,0),"--")</f>
        <v>39</v>
      </c>
      <c r="H31" s="171">
        <f t="shared" si="0"/>
        <v>0.97499999999999998</v>
      </c>
      <c r="I31" s="56"/>
      <c r="J31" s="56"/>
      <c r="K31" s="56"/>
      <c r="L31" s="56"/>
      <c r="M31" s="56"/>
      <c r="N31" s="56"/>
      <c r="O31" s="56"/>
      <c r="P31" s="56"/>
      <c r="Q31" s="56"/>
      <c r="R31" s="56"/>
      <c r="S31" s="56"/>
      <c r="T31" s="56"/>
      <c r="U31" s="74"/>
      <c r="V31" s="25"/>
    </row>
    <row r="32" spans="1:22" s="1" customFormat="1" ht="32.25" customHeight="1" x14ac:dyDescent="0.4">
      <c r="A32" s="25"/>
      <c r="B32" s="287" t="s">
        <v>281</v>
      </c>
      <c r="C32" s="288"/>
      <c r="D32" s="288"/>
      <c r="E32" s="396"/>
      <c r="F32" s="169">
        <f>IFERROR(VLOOKUP(MID(B32,4,3),MMWR_TRAD_AGG_NATIONAL[],2,0),"--")</f>
        <v>36137</v>
      </c>
      <c r="G32" s="170">
        <f>IFERROR(VLOOKUP(MID(B32,4,3),MMWR_TRAD_AGG_NATIONAL[],3,0),"--")</f>
        <v>25024</v>
      </c>
      <c r="H32" s="171">
        <f t="shared" si="0"/>
        <v>0.69247585577109338</v>
      </c>
      <c r="I32" s="56"/>
      <c r="J32" s="56"/>
      <c r="K32" s="56"/>
      <c r="L32" s="56"/>
      <c r="M32" s="56"/>
      <c r="N32" s="56"/>
      <c r="O32" s="56"/>
      <c r="P32" s="56"/>
      <c r="Q32" s="56"/>
      <c r="R32" s="56"/>
      <c r="S32" s="56"/>
      <c r="T32" s="56"/>
      <c r="U32" s="74"/>
      <c r="V32" s="25"/>
    </row>
    <row r="33" spans="1:22" s="1" customFormat="1" ht="32.25" customHeight="1" x14ac:dyDescent="0.4">
      <c r="A33" s="25"/>
      <c r="B33" s="287" t="s">
        <v>282</v>
      </c>
      <c r="C33" s="288"/>
      <c r="D33" s="288"/>
      <c r="E33" s="396"/>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7" t="s">
        <v>283</v>
      </c>
      <c r="C34" s="288"/>
      <c r="D34" s="288"/>
      <c r="E34" s="396"/>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7" t="s">
        <v>284</v>
      </c>
      <c r="C35" s="288"/>
      <c r="D35" s="288"/>
      <c r="E35" s="396"/>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7" t="s">
        <v>285</v>
      </c>
      <c r="C36" s="288"/>
      <c r="D36" s="288"/>
      <c r="E36" s="396"/>
      <c r="F36" s="169">
        <f>IFERROR(VLOOKUP(MID(B36,4,3),MMWR_TRAD_AGG_NATIONAL[],2,0),"--")</f>
        <v>21275</v>
      </c>
      <c r="G36" s="170">
        <f>IFERROR(VLOOKUP(MID(B36,4,3),MMWR_TRAD_AGG_NATIONAL[],3,0),"--")</f>
        <v>15107</v>
      </c>
      <c r="H36" s="171">
        <f t="shared" si="0"/>
        <v>0.71008225616921272</v>
      </c>
      <c r="I36" s="56"/>
      <c r="J36" s="56"/>
      <c r="K36" s="56"/>
      <c r="L36" s="56"/>
      <c r="M36" s="56"/>
      <c r="N36" s="56"/>
      <c r="O36" s="56"/>
      <c r="P36" s="56"/>
      <c r="Q36" s="56"/>
      <c r="R36" s="56"/>
      <c r="S36" s="56"/>
      <c r="T36" s="56"/>
      <c r="U36" s="74"/>
      <c r="V36" s="25"/>
    </row>
    <row r="37" spans="1:22" s="1" customFormat="1" ht="27" customHeight="1" thickBot="1" x14ac:dyDescent="0.45">
      <c r="A37" s="25"/>
      <c r="B37" s="287" t="s">
        <v>286</v>
      </c>
      <c r="C37" s="288"/>
      <c r="D37" s="288"/>
      <c r="E37" s="396"/>
      <c r="F37" s="169">
        <f>IFERROR(VLOOKUP(MID(B37,4,3)&amp;"G",MMWR_TRAD_AGG_NATIONAL[],2,0),"--")</f>
        <v>62844</v>
      </c>
      <c r="G37" s="170">
        <f>IFERROR(VLOOKUP(MID(B37,4,3)&amp;"G",MMWR_TRAD_AGG_NATIONAL[],3,0),"--")</f>
        <v>54152</v>
      </c>
      <c r="H37" s="171">
        <f t="shared" si="0"/>
        <v>0.86168926230029919</v>
      </c>
      <c r="I37" s="56"/>
      <c r="J37" s="56"/>
      <c r="K37" s="56"/>
      <c r="L37" s="56"/>
      <c r="M37" s="56"/>
      <c r="N37" s="56"/>
      <c r="O37" s="56"/>
      <c r="P37" s="56"/>
      <c r="Q37" s="56"/>
      <c r="R37" s="56"/>
      <c r="S37" s="56"/>
      <c r="T37" s="56"/>
      <c r="U37" s="74"/>
      <c r="V37" s="25"/>
    </row>
    <row r="38" spans="1:22" s="1" customFormat="1" ht="32.25" customHeight="1" thickBot="1" x14ac:dyDescent="0.45">
      <c r="A38" s="25"/>
      <c r="B38" s="401" t="s">
        <v>238</v>
      </c>
      <c r="C38" s="402"/>
      <c r="D38" s="402"/>
      <c r="E38" s="402"/>
      <c r="F38" s="166">
        <f>SUM(F39:F44)</f>
        <v>167602</v>
      </c>
      <c r="G38" s="167">
        <f>SUM(G39:G44)</f>
        <v>109906</v>
      </c>
      <c r="H38" s="168">
        <f t="shared" si="0"/>
        <v>0.65575589790097966</v>
      </c>
      <c r="I38" s="56"/>
      <c r="J38" s="56"/>
      <c r="K38" s="75"/>
      <c r="L38" s="75"/>
      <c r="M38" s="75"/>
      <c r="N38" s="75"/>
      <c r="O38" s="75"/>
      <c r="P38" s="56"/>
      <c r="Q38" s="56"/>
      <c r="R38" s="56"/>
      <c r="S38" s="56"/>
      <c r="T38" s="56"/>
      <c r="U38" s="74"/>
      <c r="V38" s="25"/>
    </row>
    <row r="39" spans="1:22" s="1" customFormat="1" ht="26.25" customHeight="1" x14ac:dyDescent="0.4">
      <c r="A39" s="25"/>
      <c r="B39" s="403" t="s">
        <v>287</v>
      </c>
      <c r="C39" s="404"/>
      <c r="D39" s="404"/>
      <c r="E39" s="405"/>
      <c r="F39" s="172">
        <f>IFERROR(VLOOKUP(MID(B39,4,3),MMWR_TRAD_AGG_NATIONAL[],2,0),"--")</f>
        <v>7602</v>
      </c>
      <c r="G39" s="173">
        <f>IFERROR(VLOOKUP(MID(B39,4,3),MMWR_TRAD_AGG_NATIONAL[],3,0),"--")</f>
        <v>5913</v>
      </c>
      <c r="H39" s="174">
        <f t="shared" si="0"/>
        <v>0.77782162588792425</v>
      </c>
      <c r="I39" s="56"/>
      <c r="J39" s="56"/>
      <c r="K39" s="75"/>
      <c r="L39" s="75"/>
      <c r="M39" s="75"/>
      <c r="N39" s="75"/>
      <c r="O39" s="75"/>
      <c r="P39" s="56"/>
      <c r="Q39" s="56"/>
      <c r="R39" s="56"/>
      <c r="S39" s="56"/>
      <c r="T39" s="56"/>
      <c r="U39" s="74"/>
      <c r="V39" s="25"/>
    </row>
    <row r="40" spans="1:22" s="1" customFormat="1" ht="26.25" customHeight="1" x14ac:dyDescent="0.4">
      <c r="A40" s="25"/>
      <c r="B40" s="287" t="s">
        <v>288</v>
      </c>
      <c r="C40" s="288"/>
      <c r="D40" s="288"/>
      <c r="E40" s="396"/>
      <c r="F40" s="169">
        <f>IFERROR(VLOOKUP(MID(B40,4,3),MMWR_TRAD_AGG_NATIONAL[],2,0),"--")</f>
        <v>67513</v>
      </c>
      <c r="G40" s="170">
        <f>IFERROR(VLOOKUP(MID(B40,4,3),MMWR_TRAD_AGG_NATIONAL[],3,0),"--")</f>
        <v>49882</v>
      </c>
      <c r="H40" s="171">
        <f t="shared" si="0"/>
        <v>0.73885029549864467</v>
      </c>
      <c r="I40" s="56"/>
      <c r="J40" s="56"/>
      <c r="K40" s="56"/>
      <c r="L40" s="56"/>
      <c r="M40" s="56"/>
      <c r="N40" s="56"/>
      <c r="O40" s="56"/>
      <c r="P40" s="56"/>
      <c r="Q40" s="56"/>
      <c r="R40" s="56"/>
      <c r="S40" s="56"/>
      <c r="T40" s="56"/>
      <c r="U40" s="74"/>
      <c r="V40" s="25"/>
    </row>
    <row r="41" spans="1:22" s="1" customFormat="1" ht="26.25" customHeight="1" x14ac:dyDescent="0.4">
      <c r="A41" s="25"/>
      <c r="B41" s="287" t="s">
        <v>289</v>
      </c>
      <c r="C41" s="288"/>
      <c r="D41" s="288"/>
      <c r="E41" s="396"/>
      <c r="F41" s="169">
        <f>IFERROR(VLOOKUP(MID(B41,4,3),MMWR_TRAD_AGG_NATIONAL[],2,0),"--")</f>
        <v>1080</v>
      </c>
      <c r="G41" s="170">
        <f>IFERROR(VLOOKUP(MID(B41,4,3),MMWR_TRAD_AGG_NATIONAL[],3,0),"--")</f>
        <v>305</v>
      </c>
      <c r="H41" s="171">
        <f t="shared" si="0"/>
        <v>0.28240740740740738</v>
      </c>
      <c r="I41" s="56"/>
      <c r="J41" s="56"/>
      <c r="K41" s="56"/>
      <c r="L41" s="56"/>
      <c r="M41" s="56"/>
      <c r="N41" s="56"/>
      <c r="O41" s="56"/>
      <c r="P41" s="56"/>
      <c r="Q41" s="56"/>
      <c r="R41" s="56"/>
      <c r="S41" s="56"/>
      <c r="T41" s="56"/>
      <c r="U41" s="74"/>
      <c r="V41" s="25"/>
    </row>
    <row r="42" spans="1:22" s="1" customFormat="1" ht="36" customHeight="1" x14ac:dyDescent="0.4">
      <c r="A42" s="25"/>
      <c r="B42" s="287" t="s">
        <v>290</v>
      </c>
      <c r="C42" s="288"/>
      <c r="D42" s="288"/>
      <c r="E42" s="396"/>
      <c r="F42" s="169">
        <f>IFERROR(VLOOKUP(MID(B42,4,3),MMWR_TRAD_AGG_NATIONAL[],2,0),"--")</f>
        <v>71531</v>
      </c>
      <c r="G42" s="170">
        <f>IFERROR(VLOOKUP(MID(B42,4,3),MMWR_TRAD_AGG_NATIONAL[],3,0),"--")</f>
        <v>40690</v>
      </c>
      <c r="H42" s="171">
        <f t="shared" si="0"/>
        <v>0.56884427730634268</v>
      </c>
      <c r="I42" s="56"/>
      <c r="J42" s="56"/>
      <c r="K42" s="56"/>
      <c r="L42" s="56"/>
      <c r="M42" s="56"/>
      <c r="N42" s="56"/>
      <c r="O42" s="56"/>
      <c r="P42" s="56"/>
      <c r="Q42" s="56"/>
      <c r="R42" s="56"/>
      <c r="S42" s="56"/>
      <c r="T42" s="56"/>
      <c r="U42" s="74"/>
      <c r="V42" s="25"/>
    </row>
    <row r="43" spans="1:22" s="1" customFormat="1" ht="33" customHeight="1" x14ac:dyDescent="0.4">
      <c r="A43" s="25"/>
      <c r="B43" s="287" t="s">
        <v>291</v>
      </c>
      <c r="C43" s="288"/>
      <c r="D43" s="288"/>
      <c r="E43" s="396"/>
      <c r="F43" s="169">
        <f>IFERROR(VLOOKUP(MID(B43,4,3),MMWR_TRAD_AGG_NATIONAL[],2,0),"--")</f>
        <v>19353</v>
      </c>
      <c r="G43" s="170">
        <f>IFERROR(VLOOKUP(MID(B43,4,3),MMWR_TRAD_AGG_NATIONAL[],3,0),"--")</f>
        <v>12669</v>
      </c>
      <c r="H43" s="171">
        <f t="shared" si="0"/>
        <v>0.65462718958301036</v>
      </c>
      <c r="I43" s="56"/>
      <c r="J43" s="56"/>
      <c r="K43" s="56"/>
      <c r="L43" s="56"/>
      <c r="M43" s="56"/>
      <c r="N43" s="56"/>
      <c r="O43" s="56"/>
      <c r="P43" s="56"/>
      <c r="Q43" s="56"/>
      <c r="R43" s="56"/>
      <c r="S43" s="56"/>
      <c r="T43" s="56"/>
      <c r="U43" s="74"/>
      <c r="V43" s="25"/>
    </row>
    <row r="44" spans="1:22" s="1" customFormat="1" ht="27" customHeight="1" thickBot="1" x14ac:dyDescent="0.45">
      <c r="A44" s="25"/>
      <c r="B44" s="292" t="s">
        <v>292</v>
      </c>
      <c r="C44" s="293"/>
      <c r="D44" s="293"/>
      <c r="E44" s="400"/>
      <c r="F44" s="175">
        <f>IFERROR(VLOOKUP(MID(B44,4,3),MMWR_TRAD_AGG_NATIONAL[],2,0),"--")</f>
        <v>523</v>
      </c>
      <c r="G44" s="176">
        <f>IFERROR(VLOOKUP(MID(B44,4,3),MMWR_TRAD_AGG_NATIONAL[],3,0),"--")</f>
        <v>447</v>
      </c>
      <c r="H44" s="177">
        <f t="shared" si="0"/>
        <v>0.85468451242829824</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APRIL 23, 2016</v>
      </c>
      <c r="D2" s="454"/>
      <c r="E2" s="454"/>
      <c r="F2" s="454"/>
      <c r="G2" s="454"/>
      <c r="H2" s="454"/>
      <c r="I2" s="454"/>
      <c r="J2" s="454"/>
      <c r="K2" s="454"/>
      <c r="L2" s="454"/>
      <c r="M2" s="454"/>
      <c r="N2" s="454"/>
      <c r="O2" s="454"/>
      <c r="P2" s="454"/>
      <c r="Q2" s="454"/>
      <c r="R2" s="454"/>
      <c r="S2" s="455"/>
      <c r="T2" s="25"/>
    </row>
    <row r="3" spans="1:20" x14ac:dyDescent="0.2">
      <c r="A3" s="25"/>
      <c r="B3" s="26"/>
      <c r="C3" s="456" t="s">
        <v>225</v>
      </c>
      <c r="D3" s="457"/>
      <c r="E3" s="458" t="s">
        <v>205</v>
      </c>
      <c r="F3" s="459"/>
      <c r="G3" s="460"/>
      <c r="H3" s="458" t="s">
        <v>7</v>
      </c>
      <c r="I3" s="459"/>
      <c r="J3" s="460"/>
      <c r="K3" s="458" t="s">
        <v>30</v>
      </c>
      <c r="L3" s="459"/>
      <c r="M3" s="460"/>
      <c r="N3" s="458" t="s">
        <v>8</v>
      </c>
      <c r="O3" s="459"/>
      <c r="P3" s="460"/>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489</v>
      </c>
      <c r="T4" s="91"/>
    </row>
    <row r="5" spans="1:20" ht="26.25" x14ac:dyDescent="0.4">
      <c r="A5" s="25"/>
      <c r="B5" s="26"/>
      <c r="C5" s="453" t="s">
        <v>487</v>
      </c>
      <c r="D5" s="454"/>
      <c r="E5" s="454"/>
      <c r="F5" s="454"/>
      <c r="G5" s="454"/>
      <c r="H5" s="454"/>
      <c r="I5" s="454"/>
      <c r="J5" s="454"/>
      <c r="K5" s="454"/>
      <c r="L5" s="454"/>
      <c r="M5" s="454"/>
      <c r="N5" s="454"/>
      <c r="O5" s="454"/>
      <c r="P5" s="454"/>
      <c r="Q5" s="454"/>
      <c r="R5" s="454"/>
      <c r="S5" s="455"/>
      <c r="T5" s="25"/>
    </row>
    <row r="6" spans="1:20" x14ac:dyDescent="0.2">
      <c r="A6" s="92"/>
      <c r="B6" s="93" t="s">
        <v>462</v>
      </c>
      <c r="C6" s="208">
        <f>IFERROR(VLOOKUP($B6,MMWR_TRAD_AGG_DISTRICT_COMP[],C$1,0),"ERROR")</f>
        <v>262623</v>
      </c>
      <c r="D6" s="186">
        <f>IFERROR(VLOOKUP($B6,MMWR_TRAD_AGG_DISTRICT_COMP[],D$1,0),"ERROR")</f>
        <v>383.73709461850001</v>
      </c>
      <c r="E6" s="194">
        <f>IFERROR(VLOOKUP($B6,MMWR_TRAD_AGG_DISTRICT_COMP[],E$1,0),"ERROR")</f>
        <v>320625</v>
      </c>
      <c r="F6" s="188">
        <f>IFERROR(VLOOKUP($B6,MMWR_TRAD_AGG_DISTRICT_COMP[],F$1,0),"ERROR")</f>
        <v>75344</v>
      </c>
      <c r="G6" s="211">
        <f t="shared" ref="G6:G69" si="0">IFERROR(F6/E6,"0%")</f>
        <v>0.23499103313840156</v>
      </c>
      <c r="H6" s="187">
        <f>IFERROR(VLOOKUP($B6,MMWR_TRAD_AGG_DISTRICT_COMP[],H$1,0),"ERROR")</f>
        <v>389608</v>
      </c>
      <c r="I6" s="188">
        <f>IFERROR(VLOOKUP($B6,MMWR_TRAD_AGG_DISTRICT_COMP[],I$1,0),"ERROR")</f>
        <v>259765</v>
      </c>
      <c r="J6" s="211">
        <f t="shared" ref="J6:J69" si="1">IFERROR(I6/H6,"0%")</f>
        <v>0.66673425597010327</v>
      </c>
      <c r="K6" s="187">
        <f>IFERROR(VLOOKUP($B6,MMWR_TRAD_AGG_DISTRICT_COMP[],K$1,0),"ERROR")</f>
        <v>124069</v>
      </c>
      <c r="L6" s="188">
        <f>IFERROR(VLOOKUP($B6,MMWR_TRAD_AGG_DISTRICT_COMP[],L$1,0),"ERROR")</f>
        <v>97944</v>
      </c>
      <c r="M6" s="211">
        <f t="shared" ref="M6:M69" si="2">IFERROR(L6/K6,"0%")</f>
        <v>0.78943168720631263</v>
      </c>
      <c r="N6" s="187">
        <f>IFERROR(VLOOKUP($B6,MMWR_TRAD_AGG_DISTRICT_COMP[],N$1,0),"ERROR")</f>
        <v>168843</v>
      </c>
      <c r="O6" s="188">
        <f>IFERROR(VLOOKUP($B6,MMWR_TRAD_AGG_DISTRICT_COMP[],O$1,0),"ERROR")</f>
        <v>110642</v>
      </c>
      <c r="P6" s="211">
        <f t="shared" ref="P6:P69" si="3">IFERROR(O6/N6,"0%")</f>
        <v>0.65529515585484743</v>
      </c>
      <c r="Q6" s="200">
        <f>IFERROR(VLOOKUP($B6,MMWR_TRAD_AGG_DISTRICT_COMP[],Q$1,0),"ERROR")</f>
        <v>22709</v>
      </c>
      <c r="R6" s="200">
        <f>IFERROR(VLOOKUP($B6,MMWR_TRAD_AGG_DISTRICT_COMP[],R$1,0),"ERROR")</f>
        <v>4269</v>
      </c>
      <c r="S6" s="203">
        <f>S7+S25+S38+S49+S62+S70</f>
        <v>321620</v>
      </c>
      <c r="T6" s="25"/>
    </row>
    <row r="7" spans="1:20" x14ac:dyDescent="0.2">
      <c r="A7" s="92"/>
      <c r="B7" s="101" t="s">
        <v>370</v>
      </c>
      <c r="C7" s="212">
        <f>IFERROR(VLOOKUP($B7,MMWR_TRAD_AGG_DISTRICT_COMP[],C$1,0),"ERROR")</f>
        <v>74030</v>
      </c>
      <c r="D7" s="197">
        <f>IFERROR(VLOOKUP($B7,MMWR_TRAD_AGG_DISTRICT_COMP[],D$1,0),"ERROR")</f>
        <v>434.14433337840001</v>
      </c>
      <c r="E7" s="213">
        <f>IFERROR(VLOOKUP($B7,MMWR_TRAD_AGG_DISTRICT_COMP[],E$1,0),"ERROR")</f>
        <v>77267</v>
      </c>
      <c r="F7" s="212">
        <f>IFERROR(VLOOKUP($B7,MMWR_TRAD_AGG_DISTRICT_COMP[],F$1,0),"ERROR")</f>
        <v>19608</v>
      </c>
      <c r="G7" s="214">
        <f t="shared" si="0"/>
        <v>0.25376939702589724</v>
      </c>
      <c r="H7" s="212">
        <f>IFERROR(VLOOKUP($B7,MMWR_TRAD_AGG_DISTRICT_COMP[],H$1,0),"ERROR")</f>
        <v>105406</v>
      </c>
      <c r="I7" s="212">
        <f>IFERROR(VLOOKUP($B7,MMWR_TRAD_AGG_DISTRICT_COMP[],I$1,0),"ERROR")</f>
        <v>74863</v>
      </c>
      <c r="J7" s="214">
        <f t="shared" si="1"/>
        <v>0.7102347114964993</v>
      </c>
      <c r="K7" s="212">
        <f>IFERROR(VLOOKUP($B7,MMWR_TRAD_AGG_DISTRICT_COMP[],K$1,0),"ERROR")</f>
        <v>39500</v>
      </c>
      <c r="L7" s="212">
        <f>IFERROR(VLOOKUP($B7,MMWR_TRAD_AGG_DISTRICT_COMP[],L$1,0),"ERROR")</f>
        <v>31870</v>
      </c>
      <c r="M7" s="214">
        <f t="shared" si="2"/>
        <v>0.80683544303797472</v>
      </c>
      <c r="N7" s="212">
        <f>IFERROR(VLOOKUP($B7,MMWR_TRAD_AGG_DISTRICT_COMP[],N$1,0),"ERROR")</f>
        <v>28667</v>
      </c>
      <c r="O7" s="212">
        <f>IFERROR(VLOOKUP($B7,MMWR_TRAD_AGG_DISTRICT_COMP[],O$1,0),"ERROR")</f>
        <v>20551</v>
      </c>
      <c r="P7" s="214">
        <f t="shared" si="3"/>
        <v>0.71688701294170998</v>
      </c>
      <c r="Q7" s="212">
        <f>IFERROR(VLOOKUP($B7,MMWR_TRAD_AGG_DISTRICT_COMP[],Q$1,0),"ERROR")</f>
        <v>13644</v>
      </c>
      <c r="R7" s="215">
        <f>IFERROR(VLOOKUP($B7,MMWR_TRAD_AGG_DISTRICT_COMP[],R$1,0),"ERROR")</f>
        <v>55</v>
      </c>
      <c r="S7" s="215">
        <f>IFERROR(VLOOKUP($B7,MMWR_APP_RO[],S$1,0),"ERROR")</f>
        <v>56958</v>
      </c>
      <c r="T7" s="25"/>
    </row>
    <row r="8" spans="1:20" x14ac:dyDescent="0.2">
      <c r="A8" s="107"/>
      <c r="B8" s="108" t="s">
        <v>33</v>
      </c>
      <c r="C8" s="209">
        <f>IFERROR(VLOOKUP($B8,MMWR_TRAD_AGG_RO_COMP[],C$1,0),"ERROR")</f>
        <v>8914</v>
      </c>
      <c r="D8" s="198">
        <f>IFERROR(VLOOKUP($B8,MMWR_TRAD_AGG_RO_COMP[],D$1,0),"ERROR")</f>
        <v>737.73883778330003</v>
      </c>
      <c r="E8" s="195">
        <f>IFERROR(VLOOKUP($B8,MMWR_TRAD_AGG_RO_COMP[],E$1,0),"ERROR")</f>
        <v>4381</v>
      </c>
      <c r="F8" s="191">
        <f>IFERROR(VLOOKUP($B8,MMWR_TRAD_AGG_RO_COMP[],F$1,0),"ERROR")</f>
        <v>1147</v>
      </c>
      <c r="G8" s="216">
        <f t="shared" si="0"/>
        <v>0.26181237160465648</v>
      </c>
      <c r="H8" s="190">
        <f>IFERROR(VLOOKUP($B8,MMWR_TRAD_AGG_RO_COMP[],H$1,0),"ERROR")</f>
        <v>10409</v>
      </c>
      <c r="I8" s="191">
        <f>IFERROR(VLOOKUP($B8,MMWR_TRAD_AGG_RO_COMP[],I$1,0),"ERROR")</f>
        <v>8633</v>
      </c>
      <c r="J8" s="216">
        <f t="shared" si="1"/>
        <v>0.82937842251897398</v>
      </c>
      <c r="K8" s="204">
        <f>IFERROR(VLOOKUP($B8,MMWR_TRAD_AGG_RO_COMP[],K$1,0),"ERROR")</f>
        <v>2961</v>
      </c>
      <c r="L8" s="205">
        <f>IFERROR(VLOOKUP($B8,MMWR_TRAD_AGG_RO_COMP[],L$1,0),"ERROR")</f>
        <v>2665</v>
      </c>
      <c r="M8" s="216">
        <f t="shared" si="2"/>
        <v>0.9000337723741979</v>
      </c>
      <c r="N8" s="204">
        <f>IFERROR(VLOOKUP($B8,MMWR_TRAD_AGG_RO_COMP[],N$1,0),"ERROR")</f>
        <v>1485</v>
      </c>
      <c r="O8" s="205">
        <f>IFERROR(VLOOKUP($B8,MMWR_TRAD_AGG_RO_COMP[],O$1,0),"ERROR")</f>
        <v>1123</v>
      </c>
      <c r="P8" s="216">
        <f t="shared" si="3"/>
        <v>0.75622895622895625</v>
      </c>
      <c r="Q8" s="201">
        <f>IFERROR(VLOOKUP($B8,MMWR_TRAD_AGG_RO_COMP[],Q$1,0),"ERROR")</f>
        <v>0</v>
      </c>
      <c r="R8" s="201">
        <f>IFERROR(VLOOKUP($B8,MMWR_TRAD_AGG_RO_COMP[],R$1,0),"ERROR")</f>
        <v>6</v>
      </c>
      <c r="S8" s="201">
        <f>IFERROR(VLOOKUP($B8,MMWR_APP_RO[],S$1,0),"ERROR")</f>
        <v>5456</v>
      </c>
      <c r="T8" s="25"/>
    </row>
    <row r="9" spans="1:20" x14ac:dyDescent="0.2">
      <c r="A9" s="107"/>
      <c r="B9" s="108" t="s">
        <v>35</v>
      </c>
      <c r="C9" s="209">
        <f>IFERROR(VLOOKUP($B9,MMWR_TRAD_AGG_RO_COMP[],C$1,0),"ERROR")</f>
        <v>4059</v>
      </c>
      <c r="D9" s="198">
        <f>IFERROR(VLOOKUP($B9,MMWR_TRAD_AGG_RO_COMP[],D$1,0),"ERROR")</f>
        <v>628.721606307</v>
      </c>
      <c r="E9" s="195">
        <f>IFERROR(VLOOKUP($B9,MMWR_TRAD_AGG_RO_COMP[],E$1,0),"ERROR")</f>
        <v>3441</v>
      </c>
      <c r="F9" s="191">
        <f>IFERROR(VLOOKUP($B9,MMWR_TRAD_AGG_RO_COMP[],F$1,0),"ERROR")</f>
        <v>815</v>
      </c>
      <c r="G9" s="216">
        <f t="shared" si="0"/>
        <v>0.23684975297878524</v>
      </c>
      <c r="H9" s="190">
        <f>IFERROR(VLOOKUP($B9,MMWR_TRAD_AGG_RO_COMP[],H$1,0),"ERROR")</f>
        <v>5562</v>
      </c>
      <c r="I9" s="191">
        <f>IFERROR(VLOOKUP($B9,MMWR_TRAD_AGG_RO_COMP[],I$1,0),"ERROR")</f>
        <v>4250</v>
      </c>
      <c r="J9" s="216">
        <f t="shared" si="1"/>
        <v>0.76411362819129813</v>
      </c>
      <c r="K9" s="204">
        <f>IFERROR(VLOOKUP($B9,MMWR_TRAD_AGG_RO_COMP[],K$1,0),"ERROR")</f>
        <v>2723</v>
      </c>
      <c r="L9" s="205">
        <f>IFERROR(VLOOKUP($B9,MMWR_TRAD_AGG_RO_COMP[],L$1,0),"ERROR")</f>
        <v>2183</v>
      </c>
      <c r="M9" s="216">
        <f t="shared" si="2"/>
        <v>0.80168931325743664</v>
      </c>
      <c r="N9" s="204">
        <f>IFERROR(VLOOKUP($B9,MMWR_TRAD_AGG_RO_COMP[],N$1,0),"ERROR")</f>
        <v>640</v>
      </c>
      <c r="O9" s="205">
        <f>IFERROR(VLOOKUP($B9,MMWR_TRAD_AGG_RO_COMP[],O$1,0),"ERROR")</f>
        <v>570</v>
      </c>
      <c r="P9" s="216">
        <f t="shared" si="3"/>
        <v>0.890625</v>
      </c>
      <c r="Q9" s="201">
        <f>IFERROR(VLOOKUP($B9,MMWR_TRAD_AGG_RO_COMP[],Q$1,0),"ERROR")</f>
        <v>0</v>
      </c>
      <c r="R9" s="201">
        <f>IFERROR(VLOOKUP($B9,MMWR_TRAD_AGG_RO_COMP[],R$1,0),"ERROR")</f>
        <v>1</v>
      </c>
      <c r="S9" s="201">
        <f>IFERROR(VLOOKUP($B9,MMWR_APP_RO[],S$1,0),"ERROR")</f>
        <v>3214</v>
      </c>
      <c r="T9" s="25"/>
    </row>
    <row r="10" spans="1:20" x14ac:dyDescent="0.2">
      <c r="A10" s="107"/>
      <c r="B10" s="108" t="s">
        <v>24</v>
      </c>
      <c r="C10" s="209">
        <f>IFERROR(VLOOKUP($B10,MMWR_TRAD_AGG_RO_COMP[],C$1,0),"ERROR")</f>
        <v>625</v>
      </c>
      <c r="D10" s="198">
        <f>IFERROR(VLOOKUP($B10,MMWR_TRAD_AGG_RO_COMP[],D$1,0),"ERROR")</f>
        <v>159.79519999999999</v>
      </c>
      <c r="E10" s="195">
        <f>IFERROR(VLOOKUP($B10,MMWR_TRAD_AGG_RO_COMP[],E$1,0),"ERROR")</f>
        <v>3937</v>
      </c>
      <c r="F10" s="191">
        <f>IFERROR(VLOOKUP($B10,MMWR_TRAD_AGG_RO_COMP[],F$1,0),"ERROR")</f>
        <v>808</v>
      </c>
      <c r="G10" s="216">
        <f t="shared" si="0"/>
        <v>0.20523241046482094</v>
      </c>
      <c r="H10" s="190">
        <f>IFERROR(VLOOKUP($B10,MMWR_TRAD_AGG_RO_COMP[],H$1,0),"ERROR")</f>
        <v>1725</v>
      </c>
      <c r="I10" s="191">
        <f>IFERROR(VLOOKUP($B10,MMWR_TRAD_AGG_RO_COMP[],I$1,0),"ERROR")</f>
        <v>801</v>
      </c>
      <c r="J10" s="216">
        <f t="shared" si="1"/>
        <v>0.46434782608695652</v>
      </c>
      <c r="K10" s="204">
        <f>IFERROR(VLOOKUP($B10,MMWR_TRAD_AGG_RO_COMP[],K$1,0),"ERROR")</f>
        <v>985</v>
      </c>
      <c r="L10" s="205">
        <f>IFERROR(VLOOKUP($B10,MMWR_TRAD_AGG_RO_COMP[],L$1,0),"ERROR")</f>
        <v>602</v>
      </c>
      <c r="M10" s="216">
        <f t="shared" si="2"/>
        <v>0.6111675126903553</v>
      </c>
      <c r="N10" s="204">
        <f>IFERROR(VLOOKUP($B10,MMWR_TRAD_AGG_RO_COMP[],N$1,0),"ERROR")</f>
        <v>323</v>
      </c>
      <c r="O10" s="205">
        <f>IFERROR(VLOOKUP($B10,MMWR_TRAD_AGG_RO_COMP[],O$1,0),"ERROR")</f>
        <v>142</v>
      </c>
      <c r="P10" s="216">
        <f t="shared" si="3"/>
        <v>0.43962848297213625</v>
      </c>
      <c r="Q10" s="201">
        <f>IFERROR(VLOOKUP($B10,MMWR_TRAD_AGG_RO_COMP[],Q$1,0),"ERROR")</f>
        <v>0</v>
      </c>
      <c r="R10" s="201">
        <f>IFERROR(VLOOKUP($B10,MMWR_TRAD_AGG_RO_COMP[],R$1,0),"ERROR")</f>
        <v>0</v>
      </c>
      <c r="S10" s="201">
        <f>IFERROR(VLOOKUP($B10,MMWR_APP_RO[],S$1,0),"ERROR")</f>
        <v>1813</v>
      </c>
      <c r="T10" s="25"/>
    </row>
    <row r="11" spans="1:20" x14ac:dyDescent="0.2">
      <c r="A11" s="107"/>
      <c r="B11" s="108" t="s">
        <v>44</v>
      </c>
      <c r="C11" s="209">
        <f>IFERROR(VLOOKUP($B11,MMWR_TRAD_AGG_RO_COMP[],C$1,0),"ERROR")</f>
        <v>783</v>
      </c>
      <c r="D11" s="198">
        <f>IFERROR(VLOOKUP($B11,MMWR_TRAD_AGG_RO_COMP[],D$1,0),"ERROR")</f>
        <v>280.3690932312</v>
      </c>
      <c r="E11" s="195">
        <f>IFERROR(VLOOKUP($B11,MMWR_TRAD_AGG_RO_COMP[],E$1,0),"ERROR")</f>
        <v>1696</v>
      </c>
      <c r="F11" s="191">
        <f>IFERROR(VLOOKUP($B11,MMWR_TRAD_AGG_RO_COMP[],F$1,0),"ERROR")</f>
        <v>426</v>
      </c>
      <c r="G11" s="216">
        <f t="shared" si="0"/>
        <v>0.25117924528301888</v>
      </c>
      <c r="H11" s="190">
        <f>IFERROR(VLOOKUP($B11,MMWR_TRAD_AGG_RO_COMP[],H$1,0),"ERROR")</f>
        <v>2323</v>
      </c>
      <c r="I11" s="191">
        <f>IFERROR(VLOOKUP($B11,MMWR_TRAD_AGG_RO_COMP[],I$1,0),"ERROR")</f>
        <v>1406</v>
      </c>
      <c r="J11" s="216">
        <f t="shared" si="1"/>
        <v>0.60525182953077916</v>
      </c>
      <c r="K11" s="204">
        <f>IFERROR(VLOOKUP($B11,MMWR_TRAD_AGG_RO_COMP[],K$1,0),"ERROR")</f>
        <v>456</v>
      </c>
      <c r="L11" s="205">
        <f>IFERROR(VLOOKUP($B11,MMWR_TRAD_AGG_RO_COMP[],L$1,0),"ERROR")</f>
        <v>267</v>
      </c>
      <c r="M11" s="216">
        <f t="shared" si="2"/>
        <v>0.58552631578947367</v>
      </c>
      <c r="N11" s="204">
        <f>IFERROR(VLOOKUP($B11,MMWR_TRAD_AGG_RO_COMP[],N$1,0),"ERROR")</f>
        <v>824</v>
      </c>
      <c r="O11" s="205">
        <f>IFERROR(VLOOKUP($B11,MMWR_TRAD_AGG_RO_COMP[],O$1,0),"ERROR")</f>
        <v>648</v>
      </c>
      <c r="P11" s="216">
        <f t="shared" si="3"/>
        <v>0.78640776699029125</v>
      </c>
      <c r="Q11" s="201">
        <f>IFERROR(VLOOKUP($B11,MMWR_TRAD_AGG_RO_COMP[],Q$1,0),"ERROR")</f>
        <v>0</v>
      </c>
      <c r="R11" s="201">
        <f>IFERROR(VLOOKUP($B11,MMWR_TRAD_AGG_RO_COMP[],R$1,0),"ERROR")</f>
        <v>5</v>
      </c>
      <c r="S11" s="201">
        <f>IFERROR(VLOOKUP($B11,MMWR_APP_RO[],S$1,0),"ERROR")</f>
        <v>1268</v>
      </c>
      <c r="T11" s="25"/>
    </row>
    <row r="12" spans="1:20" x14ac:dyDescent="0.2">
      <c r="A12" s="107"/>
      <c r="B12" s="108" t="s">
        <v>47</v>
      </c>
      <c r="C12" s="209">
        <f>IFERROR(VLOOKUP($B12,MMWR_TRAD_AGG_RO_COMP[],C$1,0),"ERROR")</f>
        <v>1873</v>
      </c>
      <c r="D12" s="198">
        <f>IFERROR(VLOOKUP($B12,MMWR_TRAD_AGG_RO_COMP[],D$1,0),"ERROR")</f>
        <v>243.4767752269</v>
      </c>
      <c r="E12" s="195">
        <f>IFERROR(VLOOKUP($B12,MMWR_TRAD_AGG_RO_COMP[],E$1,0),"ERROR")</f>
        <v>2621</v>
      </c>
      <c r="F12" s="191">
        <f>IFERROR(VLOOKUP($B12,MMWR_TRAD_AGG_RO_COMP[],F$1,0),"ERROR")</f>
        <v>548</v>
      </c>
      <c r="G12" s="216">
        <f t="shared" si="0"/>
        <v>0.20908050362457078</v>
      </c>
      <c r="H12" s="190">
        <f>IFERROR(VLOOKUP($B12,MMWR_TRAD_AGG_RO_COMP[],H$1,0),"ERROR")</f>
        <v>3060</v>
      </c>
      <c r="I12" s="191">
        <f>IFERROR(VLOOKUP($B12,MMWR_TRAD_AGG_RO_COMP[],I$1,0),"ERROR")</f>
        <v>2045</v>
      </c>
      <c r="J12" s="216">
        <f t="shared" si="1"/>
        <v>0.6683006535947712</v>
      </c>
      <c r="K12" s="204">
        <f>IFERROR(VLOOKUP($B12,MMWR_TRAD_AGG_RO_COMP[],K$1,0),"ERROR")</f>
        <v>430</v>
      </c>
      <c r="L12" s="205">
        <f>IFERROR(VLOOKUP($B12,MMWR_TRAD_AGG_RO_COMP[],L$1,0),"ERROR")</f>
        <v>356</v>
      </c>
      <c r="M12" s="216">
        <f t="shared" si="2"/>
        <v>0.82790697674418601</v>
      </c>
      <c r="N12" s="204">
        <f>IFERROR(VLOOKUP($B12,MMWR_TRAD_AGG_RO_COMP[],N$1,0),"ERROR")</f>
        <v>1211</v>
      </c>
      <c r="O12" s="205">
        <f>IFERROR(VLOOKUP($B12,MMWR_TRAD_AGG_RO_COMP[],O$1,0),"ERROR")</f>
        <v>874</v>
      </c>
      <c r="P12" s="216">
        <f t="shared" si="3"/>
        <v>0.7217175887696119</v>
      </c>
      <c r="Q12" s="201">
        <f>IFERROR(VLOOKUP($B12,MMWR_TRAD_AGG_RO_COMP[],Q$1,0),"ERROR")</f>
        <v>0</v>
      </c>
      <c r="R12" s="201">
        <f>IFERROR(VLOOKUP($B12,MMWR_TRAD_AGG_RO_COMP[],R$1,0),"ERROR")</f>
        <v>10</v>
      </c>
      <c r="S12" s="201">
        <f>IFERROR(VLOOKUP($B12,MMWR_APP_RO[],S$1,0),"ERROR")</f>
        <v>2185</v>
      </c>
      <c r="T12" s="25"/>
    </row>
    <row r="13" spans="1:20" x14ac:dyDescent="0.2">
      <c r="A13" s="107"/>
      <c r="B13" s="108" t="s">
        <v>54</v>
      </c>
      <c r="C13" s="209">
        <f>IFERROR(VLOOKUP($B13,MMWR_TRAD_AGG_RO_COMP[],C$1,0),"ERROR")</f>
        <v>1097</v>
      </c>
      <c r="D13" s="198">
        <f>IFERROR(VLOOKUP($B13,MMWR_TRAD_AGG_RO_COMP[],D$1,0),"ERROR")</f>
        <v>303.18049225160001</v>
      </c>
      <c r="E13" s="195">
        <f>IFERROR(VLOOKUP($B13,MMWR_TRAD_AGG_RO_COMP[],E$1,0),"ERROR")</f>
        <v>1046</v>
      </c>
      <c r="F13" s="191">
        <f>IFERROR(VLOOKUP($B13,MMWR_TRAD_AGG_RO_COMP[],F$1,0),"ERROR")</f>
        <v>170</v>
      </c>
      <c r="G13" s="216">
        <f t="shared" si="0"/>
        <v>0.16252390057361377</v>
      </c>
      <c r="H13" s="190">
        <f>IFERROR(VLOOKUP($B13,MMWR_TRAD_AGG_RO_COMP[],H$1,0),"ERROR")</f>
        <v>1567</v>
      </c>
      <c r="I13" s="191">
        <f>IFERROR(VLOOKUP($B13,MMWR_TRAD_AGG_RO_COMP[],I$1,0),"ERROR")</f>
        <v>995</v>
      </c>
      <c r="J13" s="216">
        <f t="shared" si="1"/>
        <v>0.63497128270580727</v>
      </c>
      <c r="K13" s="204">
        <f>IFERROR(VLOOKUP($B13,MMWR_TRAD_AGG_RO_COMP[],K$1,0),"ERROR")</f>
        <v>266</v>
      </c>
      <c r="L13" s="205">
        <f>IFERROR(VLOOKUP($B13,MMWR_TRAD_AGG_RO_COMP[],L$1,0),"ERROR")</f>
        <v>227</v>
      </c>
      <c r="M13" s="216">
        <f t="shared" si="2"/>
        <v>0.85338345864661658</v>
      </c>
      <c r="N13" s="204">
        <f>IFERROR(VLOOKUP($B13,MMWR_TRAD_AGG_RO_COMP[],N$1,0),"ERROR")</f>
        <v>102</v>
      </c>
      <c r="O13" s="205">
        <f>IFERROR(VLOOKUP($B13,MMWR_TRAD_AGG_RO_COMP[],O$1,0),"ERROR")</f>
        <v>38</v>
      </c>
      <c r="P13" s="216">
        <f t="shared" si="3"/>
        <v>0.37254901960784315</v>
      </c>
      <c r="Q13" s="201">
        <f>IFERROR(VLOOKUP($B13,MMWR_TRAD_AGG_RO_COMP[],Q$1,0),"ERROR")</f>
        <v>0</v>
      </c>
      <c r="R13" s="201">
        <f>IFERROR(VLOOKUP($B13,MMWR_TRAD_AGG_RO_COMP[],R$1,0),"ERROR")</f>
        <v>1</v>
      </c>
      <c r="S13" s="201">
        <f>IFERROR(VLOOKUP($B13,MMWR_APP_RO[],S$1,0),"ERROR")</f>
        <v>573</v>
      </c>
      <c r="T13" s="25"/>
    </row>
    <row r="14" spans="1:20" x14ac:dyDescent="0.2">
      <c r="A14" s="107"/>
      <c r="B14" s="108" t="s">
        <v>60</v>
      </c>
      <c r="C14" s="209">
        <f>IFERROR(VLOOKUP($B14,MMWR_TRAD_AGG_RO_COMP[],C$1,0),"ERROR")</f>
        <v>2860</v>
      </c>
      <c r="D14" s="198">
        <f>IFERROR(VLOOKUP($B14,MMWR_TRAD_AGG_RO_COMP[],D$1,0),"ERROR")</f>
        <v>287.51573426570002</v>
      </c>
      <c r="E14" s="195">
        <f>IFERROR(VLOOKUP($B14,MMWR_TRAD_AGG_RO_COMP[],E$1,0),"ERROR")</f>
        <v>4600</v>
      </c>
      <c r="F14" s="191">
        <f>IFERROR(VLOOKUP($B14,MMWR_TRAD_AGG_RO_COMP[],F$1,0),"ERROR")</f>
        <v>1295</v>
      </c>
      <c r="G14" s="216">
        <f t="shared" si="0"/>
        <v>0.28152173913043477</v>
      </c>
      <c r="H14" s="190">
        <f>IFERROR(VLOOKUP($B14,MMWR_TRAD_AGG_RO_COMP[],H$1,0),"ERROR")</f>
        <v>4287</v>
      </c>
      <c r="I14" s="191">
        <f>IFERROR(VLOOKUP($B14,MMWR_TRAD_AGG_RO_COMP[],I$1,0),"ERROR")</f>
        <v>2587</v>
      </c>
      <c r="J14" s="216">
        <f t="shared" si="1"/>
        <v>0.60345229764404007</v>
      </c>
      <c r="K14" s="204">
        <f>IFERROR(VLOOKUP($B14,MMWR_TRAD_AGG_RO_COMP[],K$1,0),"ERROR")</f>
        <v>2835</v>
      </c>
      <c r="L14" s="205">
        <f>IFERROR(VLOOKUP($B14,MMWR_TRAD_AGG_RO_COMP[],L$1,0),"ERROR")</f>
        <v>2394</v>
      </c>
      <c r="M14" s="216">
        <f t="shared" si="2"/>
        <v>0.84444444444444444</v>
      </c>
      <c r="N14" s="204">
        <f>IFERROR(VLOOKUP($B14,MMWR_TRAD_AGG_RO_COMP[],N$1,0),"ERROR")</f>
        <v>3831</v>
      </c>
      <c r="O14" s="205">
        <f>IFERROR(VLOOKUP($B14,MMWR_TRAD_AGG_RO_COMP[],O$1,0),"ERROR")</f>
        <v>634</v>
      </c>
      <c r="P14" s="216">
        <f t="shared" si="3"/>
        <v>0.1654920386322109</v>
      </c>
      <c r="Q14" s="201">
        <f>IFERROR(VLOOKUP($B14,MMWR_TRAD_AGG_RO_COMP[],Q$1,0),"ERROR")</f>
        <v>0</v>
      </c>
      <c r="R14" s="201">
        <f>IFERROR(VLOOKUP($B14,MMWR_TRAD_AGG_RO_COMP[],R$1,0),"ERROR")</f>
        <v>3</v>
      </c>
      <c r="S14" s="201">
        <f>IFERROR(VLOOKUP($B14,MMWR_APP_RO[],S$1,0),"ERROR")</f>
        <v>3030</v>
      </c>
      <c r="T14" s="25"/>
    </row>
    <row r="15" spans="1:20" x14ac:dyDescent="0.2">
      <c r="A15" s="107"/>
      <c r="B15" s="108" t="s">
        <v>61</v>
      </c>
      <c r="C15" s="209">
        <f>IFERROR(VLOOKUP($B15,MMWR_TRAD_AGG_RO_COMP[],C$1,0),"ERROR")</f>
        <v>463</v>
      </c>
      <c r="D15" s="198">
        <f>IFERROR(VLOOKUP($B15,MMWR_TRAD_AGG_RO_COMP[],D$1,0),"ERROR")</f>
        <v>174.68250539959999</v>
      </c>
      <c r="E15" s="195">
        <f>IFERROR(VLOOKUP($B15,MMWR_TRAD_AGG_RO_COMP[],E$1,0),"ERROR")</f>
        <v>2725</v>
      </c>
      <c r="F15" s="191">
        <f>IFERROR(VLOOKUP($B15,MMWR_TRAD_AGG_RO_COMP[],F$1,0),"ERROR")</f>
        <v>612</v>
      </c>
      <c r="G15" s="216">
        <f t="shared" si="0"/>
        <v>0.22458715596330275</v>
      </c>
      <c r="H15" s="190">
        <f>IFERROR(VLOOKUP($B15,MMWR_TRAD_AGG_RO_COMP[],H$1,0),"ERROR")</f>
        <v>1076</v>
      </c>
      <c r="I15" s="191">
        <f>IFERROR(VLOOKUP($B15,MMWR_TRAD_AGG_RO_COMP[],I$1,0),"ERROR")</f>
        <v>404</v>
      </c>
      <c r="J15" s="216">
        <f t="shared" si="1"/>
        <v>0.37546468401486988</v>
      </c>
      <c r="K15" s="204">
        <f>IFERROR(VLOOKUP($B15,MMWR_TRAD_AGG_RO_COMP[],K$1,0),"ERROR")</f>
        <v>689</v>
      </c>
      <c r="L15" s="205">
        <f>IFERROR(VLOOKUP($B15,MMWR_TRAD_AGG_RO_COMP[],L$1,0),"ERROR")</f>
        <v>629</v>
      </c>
      <c r="M15" s="216">
        <f t="shared" si="2"/>
        <v>0.91291727140783741</v>
      </c>
      <c r="N15" s="204">
        <f>IFERROR(VLOOKUP($B15,MMWR_TRAD_AGG_RO_COMP[],N$1,0),"ERROR")</f>
        <v>1503</v>
      </c>
      <c r="O15" s="205">
        <f>IFERROR(VLOOKUP($B15,MMWR_TRAD_AGG_RO_COMP[],O$1,0),"ERROR")</f>
        <v>1125</v>
      </c>
      <c r="P15" s="216">
        <f t="shared" si="3"/>
        <v>0.74850299401197606</v>
      </c>
      <c r="Q15" s="201">
        <f>IFERROR(VLOOKUP($B15,MMWR_TRAD_AGG_RO_COMP[],Q$1,0),"ERROR")</f>
        <v>0</v>
      </c>
      <c r="R15" s="201">
        <f>IFERROR(VLOOKUP($B15,MMWR_TRAD_AGG_RO_COMP[],R$1,0),"ERROR")</f>
        <v>0</v>
      </c>
      <c r="S15" s="201">
        <f>IFERROR(VLOOKUP($B15,MMWR_APP_RO[],S$1,0),"ERROR")</f>
        <v>2592</v>
      </c>
      <c r="T15" s="25"/>
    </row>
    <row r="16" spans="1:20" x14ac:dyDescent="0.2">
      <c r="A16" s="107"/>
      <c r="B16" s="108" t="s">
        <v>63</v>
      </c>
      <c r="C16" s="209">
        <f>IFERROR(VLOOKUP($B16,MMWR_TRAD_AGG_RO_COMP[],C$1,0),"ERROR")</f>
        <v>5238</v>
      </c>
      <c r="D16" s="198">
        <f>IFERROR(VLOOKUP($B16,MMWR_TRAD_AGG_RO_COMP[],D$1,0),"ERROR")</f>
        <v>425.43088965250001</v>
      </c>
      <c r="E16" s="195">
        <f>IFERROR(VLOOKUP($B16,MMWR_TRAD_AGG_RO_COMP[],E$1,0),"ERROR")</f>
        <v>12923</v>
      </c>
      <c r="F16" s="191">
        <f>IFERROR(VLOOKUP($B16,MMWR_TRAD_AGG_RO_COMP[],F$1,0),"ERROR")</f>
        <v>3182</v>
      </c>
      <c r="G16" s="216">
        <f t="shared" si="0"/>
        <v>0.2462276561170007</v>
      </c>
      <c r="H16" s="190">
        <f>IFERROR(VLOOKUP($B16,MMWR_TRAD_AGG_RO_COMP[],H$1,0),"ERROR")</f>
        <v>8553</v>
      </c>
      <c r="I16" s="191">
        <f>IFERROR(VLOOKUP($B16,MMWR_TRAD_AGG_RO_COMP[],I$1,0),"ERROR")</f>
        <v>6371</v>
      </c>
      <c r="J16" s="216">
        <f t="shared" si="1"/>
        <v>0.74488483573015318</v>
      </c>
      <c r="K16" s="204">
        <f>IFERROR(VLOOKUP($B16,MMWR_TRAD_AGG_RO_COMP[],K$1,0),"ERROR")</f>
        <v>2476</v>
      </c>
      <c r="L16" s="205">
        <f>IFERROR(VLOOKUP($B16,MMWR_TRAD_AGG_RO_COMP[],L$1,0),"ERROR")</f>
        <v>1496</v>
      </c>
      <c r="M16" s="216">
        <f t="shared" si="2"/>
        <v>0.60420032310177707</v>
      </c>
      <c r="N16" s="204">
        <f>IFERROR(VLOOKUP($B16,MMWR_TRAD_AGG_RO_COMP[],N$1,0),"ERROR")</f>
        <v>7210</v>
      </c>
      <c r="O16" s="205">
        <f>IFERROR(VLOOKUP($B16,MMWR_TRAD_AGG_RO_COMP[],O$1,0),"ERROR")</f>
        <v>6370</v>
      </c>
      <c r="P16" s="216">
        <f t="shared" si="3"/>
        <v>0.88349514563106801</v>
      </c>
      <c r="Q16" s="201">
        <f>IFERROR(VLOOKUP($B16,MMWR_TRAD_AGG_RO_COMP[],Q$1,0),"ERROR")</f>
        <v>13638</v>
      </c>
      <c r="R16" s="201">
        <f>IFERROR(VLOOKUP($B16,MMWR_TRAD_AGG_RO_COMP[],R$1,0),"ERROR")</f>
        <v>0</v>
      </c>
      <c r="S16" s="201">
        <f>IFERROR(VLOOKUP($B16,MMWR_APP_RO[],S$1,0),"ERROR")</f>
        <v>5873</v>
      </c>
      <c r="T16" s="25"/>
    </row>
    <row r="17" spans="1:20" x14ac:dyDescent="0.2">
      <c r="A17" s="107"/>
      <c r="B17" s="108" t="s">
        <v>65</v>
      </c>
      <c r="C17" s="209">
        <f>IFERROR(VLOOKUP($B17,MMWR_TRAD_AGG_RO_COMP[],C$1,0),"ERROR")</f>
        <v>3779</v>
      </c>
      <c r="D17" s="198">
        <f>IFERROR(VLOOKUP($B17,MMWR_TRAD_AGG_RO_COMP[],D$1,0),"ERROR")</f>
        <v>448.04022228100001</v>
      </c>
      <c r="E17" s="195">
        <f>IFERROR(VLOOKUP($B17,MMWR_TRAD_AGG_RO_COMP[],E$1,0),"ERROR")</f>
        <v>5194</v>
      </c>
      <c r="F17" s="191">
        <f>IFERROR(VLOOKUP($B17,MMWR_TRAD_AGG_RO_COMP[],F$1,0),"ERROR")</f>
        <v>1687</v>
      </c>
      <c r="G17" s="216">
        <f t="shared" si="0"/>
        <v>0.32479784366576819</v>
      </c>
      <c r="H17" s="190">
        <f>IFERROR(VLOOKUP($B17,MMWR_TRAD_AGG_RO_COMP[],H$1,0),"ERROR")</f>
        <v>5182</v>
      </c>
      <c r="I17" s="191">
        <f>IFERROR(VLOOKUP($B17,MMWR_TRAD_AGG_RO_COMP[],I$1,0),"ERROR")</f>
        <v>3749</v>
      </c>
      <c r="J17" s="216">
        <f t="shared" si="1"/>
        <v>0.72346584330374375</v>
      </c>
      <c r="K17" s="204">
        <f>IFERROR(VLOOKUP($B17,MMWR_TRAD_AGG_RO_COMP[],K$1,0),"ERROR")</f>
        <v>467</v>
      </c>
      <c r="L17" s="205">
        <f>IFERROR(VLOOKUP($B17,MMWR_TRAD_AGG_RO_COMP[],L$1,0),"ERROR")</f>
        <v>359</v>
      </c>
      <c r="M17" s="216">
        <f t="shared" si="2"/>
        <v>0.76873661670235549</v>
      </c>
      <c r="N17" s="204">
        <f>IFERROR(VLOOKUP($B17,MMWR_TRAD_AGG_RO_COMP[],N$1,0),"ERROR")</f>
        <v>811</v>
      </c>
      <c r="O17" s="205">
        <f>IFERROR(VLOOKUP($B17,MMWR_TRAD_AGG_RO_COMP[],O$1,0),"ERROR")</f>
        <v>531</v>
      </c>
      <c r="P17" s="216">
        <f t="shared" si="3"/>
        <v>0.654747225647349</v>
      </c>
      <c r="Q17" s="201">
        <f>IFERROR(VLOOKUP($B17,MMWR_TRAD_AGG_RO_COMP[],Q$1,0),"ERROR")</f>
        <v>0</v>
      </c>
      <c r="R17" s="201">
        <f>IFERROR(VLOOKUP($B17,MMWR_TRAD_AGG_RO_COMP[],R$1,0),"ERROR")</f>
        <v>2</v>
      </c>
      <c r="S17" s="201">
        <f>IFERROR(VLOOKUP($B17,MMWR_APP_RO[],S$1,0),"ERROR")</f>
        <v>5180</v>
      </c>
      <c r="T17" s="25"/>
    </row>
    <row r="18" spans="1:20" x14ac:dyDescent="0.2">
      <c r="A18" s="107"/>
      <c r="B18" s="108" t="s">
        <v>67</v>
      </c>
      <c r="C18" s="209">
        <f>IFERROR(VLOOKUP($B18,MMWR_TRAD_AGG_RO_COMP[],C$1,0),"ERROR")</f>
        <v>770</v>
      </c>
      <c r="D18" s="198">
        <f>IFERROR(VLOOKUP($B18,MMWR_TRAD_AGG_RO_COMP[],D$1,0),"ERROR")</f>
        <v>213.01558441559999</v>
      </c>
      <c r="E18" s="195">
        <f>IFERROR(VLOOKUP($B18,MMWR_TRAD_AGG_RO_COMP[],E$1,0),"ERROR")</f>
        <v>1901</v>
      </c>
      <c r="F18" s="191">
        <f>IFERROR(VLOOKUP($B18,MMWR_TRAD_AGG_RO_COMP[],F$1,0),"ERROR")</f>
        <v>429</v>
      </c>
      <c r="G18" s="216">
        <f t="shared" si="0"/>
        <v>0.22567069963177275</v>
      </c>
      <c r="H18" s="190">
        <f>IFERROR(VLOOKUP($B18,MMWR_TRAD_AGG_RO_COMP[],H$1,0),"ERROR")</f>
        <v>3141</v>
      </c>
      <c r="I18" s="191">
        <f>IFERROR(VLOOKUP($B18,MMWR_TRAD_AGG_RO_COMP[],I$1,0),"ERROR")</f>
        <v>1254</v>
      </c>
      <c r="J18" s="216">
        <f t="shared" si="1"/>
        <v>0.39923591212989495</v>
      </c>
      <c r="K18" s="204">
        <f>IFERROR(VLOOKUP($B18,MMWR_TRAD_AGG_RO_COMP[],K$1,0),"ERROR")</f>
        <v>2017</v>
      </c>
      <c r="L18" s="205">
        <f>IFERROR(VLOOKUP($B18,MMWR_TRAD_AGG_RO_COMP[],L$1,0),"ERROR")</f>
        <v>1958</v>
      </c>
      <c r="M18" s="216">
        <f t="shared" si="2"/>
        <v>0.97074863658899357</v>
      </c>
      <c r="N18" s="204">
        <f>IFERROR(VLOOKUP($B18,MMWR_TRAD_AGG_RO_COMP[],N$1,0),"ERROR")</f>
        <v>435</v>
      </c>
      <c r="O18" s="205">
        <f>IFERROR(VLOOKUP($B18,MMWR_TRAD_AGG_RO_COMP[],O$1,0),"ERROR")</f>
        <v>236</v>
      </c>
      <c r="P18" s="216">
        <f t="shared" si="3"/>
        <v>0.54252873563218396</v>
      </c>
      <c r="Q18" s="201">
        <f>IFERROR(VLOOKUP($B18,MMWR_TRAD_AGG_RO_COMP[],Q$1,0),"ERROR")</f>
        <v>0</v>
      </c>
      <c r="R18" s="201">
        <f>IFERROR(VLOOKUP($B18,MMWR_TRAD_AGG_RO_COMP[],R$1,0),"ERROR")</f>
        <v>0</v>
      </c>
      <c r="S18" s="201">
        <f>IFERROR(VLOOKUP($B18,MMWR_APP_RO[],S$1,0),"ERROR")</f>
        <v>533</v>
      </c>
      <c r="T18" s="25"/>
    </row>
    <row r="19" spans="1:20" x14ac:dyDescent="0.2">
      <c r="A19" s="107"/>
      <c r="B19" s="108" t="s">
        <v>69</v>
      </c>
      <c r="C19" s="209">
        <f>IFERROR(VLOOKUP($B19,MMWR_TRAD_AGG_RO_COMP[],C$1,0),"ERROR")</f>
        <v>16293</v>
      </c>
      <c r="D19" s="198">
        <f>IFERROR(VLOOKUP($B19,MMWR_TRAD_AGG_RO_COMP[],D$1,0),"ERROR")</f>
        <v>404.528877432</v>
      </c>
      <c r="E19" s="195">
        <f>IFERROR(VLOOKUP($B19,MMWR_TRAD_AGG_RO_COMP[],E$1,0),"ERROR")</f>
        <v>10828</v>
      </c>
      <c r="F19" s="191">
        <f>IFERROR(VLOOKUP($B19,MMWR_TRAD_AGG_RO_COMP[],F$1,0),"ERROR")</f>
        <v>2510</v>
      </c>
      <c r="G19" s="216">
        <f t="shared" si="0"/>
        <v>0.23180642777983007</v>
      </c>
      <c r="H19" s="190">
        <f>IFERROR(VLOOKUP($B19,MMWR_TRAD_AGG_RO_COMP[],H$1,0),"ERROR")</f>
        <v>19315</v>
      </c>
      <c r="I19" s="191">
        <f>IFERROR(VLOOKUP($B19,MMWR_TRAD_AGG_RO_COMP[],I$1,0),"ERROR")</f>
        <v>13398</v>
      </c>
      <c r="J19" s="216">
        <f t="shared" si="1"/>
        <v>0.69365777892829406</v>
      </c>
      <c r="K19" s="204">
        <f>IFERROR(VLOOKUP($B19,MMWR_TRAD_AGG_RO_COMP[],K$1,0),"ERROR")</f>
        <v>8576</v>
      </c>
      <c r="L19" s="205">
        <f>IFERROR(VLOOKUP($B19,MMWR_TRAD_AGG_RO_COMP[],L$1,0),"ERROR")</f>
        <v>7786</v>
      </c>
      <c r="M19" s="216">
        <f t="shared" si="2"/>
        <v>0.90788246268656714</v>
      </c>
      <c r="N19" s="204">
        <f>IFERROR(VLOOKUP($B19,MMWR_TRAD_AGG_RO_COMP[],N$1,0),"ERROR")</f>
        <v>4518</v>
      </c>
      <c r="O19" s="205">
        <f>IFERROR(VLOOKUP($B19,MMWR_TRAD_AGG_RO_COMP[],O$1,0),"ERROR")</f>
        <v>3885</v>
      </c>
      <c r="P19" s="216">
        <f t="shared" si="3"/>
        <v>0.85989375830013282</v>
      </c>
      <c r="Q19" s="201">
        <f>IFERROR(VLOOKUP($B19,MMWR_TRAD_AGG_RO_COMP[],Q$1,0),"ERROR")</f>
        <v>5</v>
      </c>
      <c r="R19" s="201">
        <f>IFERROR(VLOOKUP($B19,MMWR_TRAD_AGG_RO_COMP[],R$1,0),"ERROR")</f>
        <v>7</v>
      </c>
      <c r="S19" s="201">
        <f>IFERROR(VLOOKUP($B19,MMWR_APP_RO[],S$1,0),"ERROR")</f>
        <v>15209</v>
      </c>
      <c r="T19" s="25"/>
    </row>
    <row r="20" spans="1:20" x14ac:dyDescent="0.2">
      <c r="A20" s="107"/>
      <c r="B20" s="108" t="s">
        <v>78</v>
      </c>
      <c r="C20" s="209">
        <f>IFERROR(VLOOKUP($B20,MMWR_TRAD_AGG_RO_COMP[],C$1,0),"ERROR")</f>
        <v>1157</v>
      </c>
      <c r="D20" s="198">
        <f>IFERROR(VLOOKUP($B20,MMWR_TRAD_AGG_RO_COMP[],D$1,0),"ERROR")</f>
        <v>272.76145203110002</v>
      </c>
      <c r="E20" s="195">
        <f>IFERROR(VLOOKUP($B20,MMWR_TRAD_AGG_RO_COMP[],E$1,0),"ERROR")</f>
        <v>1182</v>
      </c>
      <c r="F20" s="191">
        <f>IFERROR(VLOOKUP($B20,MMWR_TRAD_AGG_RO_COMP[],F$1,0),"ERROR")</f>
        <v>192</v>
      </c>
      <c r="G20" s="216">
        <f t="shared" si="0"/>
        <v>0.16243654822335024</v>
      </c>
      <c r="H20" s="190">
        <f>IFERROR(VLOOKUP($B20,MMWR_TRAD_AGG_RO_COMP[],H$1,0),"ERROR")</f>
        <v>1894</v>
      </c>
      <c r="I20" s="191">
        <f>IFERROR(VLOOKUP($B20,MMWR_TRAD_AGG_RO_COMP[],I$1,0),"ERROR")</f>
        <v>1043</v>
      </c>
      <c r="J20" s="216">
        <f t="shared" si="1"/>
        <v>0.55068637803590281</v>
      </c>
      <c r="K20" s="204">
        <f>IFERROR(VLOOKUP($B20,MMWR_TRAD_AGG_RO_COMP[],K$1,0),"ERROR")</f>
        <v>975</v>
      </c>
      <c r="L20" s="205">
        <f>IFERROR(VLOOKUP($B20,MMWR_TRAD_AGG_RO_COMP[],L$1,0),"ERROR")</f>
        <v>780</v>
      </c>
      <c r="M20" s="216">
        <f t="shared" si="2"/>
        <v>0.8</v>
      </c>
      <c r="N20" s="204">
        <f>IFERROR(VLOOKUP($B20,MMWR_TRAD_AGG_RO_COMP[],N$1,0),"ERROR")</f>
        <v>328</v>
      </c>
      <c r="O20" s="205">
        <f>IFERROR(VLOOKUP($B20,MMWR_TRAD_AGG_RO_COMP[],O$1,0),"ERROR")</f>
        <v>161</v>
      </c>
      <c r="P20" s="216">
        <f t="shared" si="3"/>
        <v>0.49085365853658536</v>
      </c>
      <c r="Q20" s="201">
        <f>IFERROR(VLOOKUP($B20,MMWR_TRAD_AGG_RO_COMP[],Q$1,0),"ERROR")</f>
        <v>1</v>
      </c>
      <c r="R20" s="201">
        <f>IFERROR(VLOOKUP($B20,MMWR_TRAD_AGG_RO_COMP[],R$1,0),"ERROR")</f>
        <v>0</v>
      </c>
      <c r="S20" s="201">
        <f>IFERROR(VLOOKUP($B20,MMWR_APP_RO[],S$1,0),"ERROR")</f>
        <v>659</v>
      </c>
      <c r="T20" s="25"/>
    </row>
    <row r="21" spans="1:20" x14ac:dyDescent="0.2">
      <c r="A21" s="107"/>
      <c r="B21" s="108" t="s">
        <v>431</v>
      </c>
      <c r="C21" s="209">
        <f>IFERROR(VLOOKUP($B21,MMWR_TRAD_AGG_RO_COMP[],C$1,0),"ERROR")</f>
        <v>7074</v>
      </c>
      <c r="D21" s="198">
        <f>IFERROR(VLOOKUP($B21,MMWR_TRAD_AGG_RO_COMP[],D$1,0),"ERROR")</f>
        <v>545.25544246540005</v>
      </c>
      <c r="E21" s="195">
        <f>IFERROR(VLOOKUP($B21,MMWR_TRAD_AGG_RO_COMP[],E$1,0),"ERROR")</f>
        <v>909</v>
      </c>
      <c r="F21" s="191">
        <f>IFERROR(VLOOKUP($B21,MMWR_TRAD_AGG_RO_COMP[],F$1,0),"ERROR")</f>
        <v>342</v>
      </c>
      <c r="G21" s="216">
        <f t="shared" si="0"/>
        <v>0.37623762376237624</v>
      </c>
      <c r="H21" s="190">
        <f>IFERROR(VLOOKUP($B21,MMWR_TRAD_AGG_RO_COMP[],H$1,0),"ERROR")</f>
        <v>7446</v>
      </c>
      <c r="I21" s="191">
        <f>IFERROR(VLOOKUP($B21,MMWR_TRAD_AGG_RO_COMP[],I$1,0),"ERROR")</f>
        <v>6630</v>
      </c>
      <c r="J21" s="216">
        <f t="shared" si="1"/>
        <v>0.8904109589041096</v>
      </c>
      <c r="K21" s="204">
        <f>IFERROR(VLOOKUP($B21,MMWR_TRAD_AGG_RO_COMP[],K$1,0),"ERROR")</f>
        <v>1113</v>
      </c>
      <c r="L21" s="205">
        <f>IFERROR(VLOOKUP($B21,MMWR_TRAD_AGG_RO_COMP[],L$1,0),"ERROR")</f>
        <v>757</v>
      </c>
      <c r="M21" s="216">
        <f t="shared" si="2"/>
        <v>0.6801437556154537</v>
      </c>
      <c r="N21" s="204">
        <f>IFERROR(VLOOKUP($B21,MMWR_TRAD_AGG_RO_COMP[],N$1,0),"ERROR")</f>
        <v>1295</v>
      </c>
      <c r="O21" s="205">
        <f>IFERROR(VLOOKUP($B21,MMWR_TRAD_AGG_RO_COMP[],O$1,0),"ERROR")</f>
        <v>1250</v>
      </c>
      <c r="P21" s="216">
        <f t="shared" si="3"/>
        <v>0.96525096525096521</v>
      </c>
      <c r="Q21" s="201">
        <f>IFERROR(VLOOKUP($B21,MMWR_TRAD_AGG_RO_COMP[],Q$1,0),"ERROR")</f>
        <v>0</v>
      </c>
      <c r="R21" s="201">
        <f>IFERROR(VLOOKUP($B21,MMWR_TRAD_AGG_RO_COMP[],R$1,0),"ERROR")</f>
        <v>0</v>
      </c>
      <c r="S21" s="201">
        <f>IFERROR(VLOOKUP($B21,MMWR_APP_RO[],S$1,0),"ERROR")</f>
        <v>25</v>
      </c>
      <c r="T21" s="25"/>
    </row>
    <row r="22" spans="1:20" x14ac:dyDescent="0.2">
      <c r="A22" s="107"/>
      <c r="B22" s="108" t="s">
        <v>135</v>
      </c>
      <c r="C22" s="209">
        <f>IFERROR(VLOOKUP($B22,MMWR_TRAD_AGG_RO_COMP[],C$1,0),"ERROR")</f>
        <v>588</v>
      </c>
      <c r="D22" s="198">
        <f>IFERROR(VLOOKUP($B22,MMWR_TRAD_AGG_RO_COMP[],D$1,0),"ERROR")</f>
        <v>378.89795918369998</v>
      </c>
      <c r="E22" s="195">
        <f>IFERROR(VLOOKUP($B22,MMWR_TRAD_AGG_RO_COMP[],E$1,0),"ERROR")</f>
        <v>475</v>
      </c>
      <c r="F22" s="191">
        <f>IFERROR(VLOOKUP($B22,MMWR_TRAD_AGG_RO_COMP[],F$1,0),"ERROR")</f>
        <v>161</v>
      </c>
      <c r="G22" s="216">
        <f t="shared" si="0"/>
        <v>0.33894736842105261</v>
      </c>
      <c r="H22" s="190">
        <f>IFERROR(VLOOKUP($B22,MMWR_TRAD_AGG_RO_COMP[],H$1,0),"ERROR")</f>
        <v>808</v>
      </c>
      <c r="I22" s="191">
        <f>IFERROR(VLOOKUP($B22,MMWR_TRAD_AGG_RO_COMP[],I$1,0),"ERROR")</f>
        <v>537</v>
      </c>
      <c r="J22" s="216">
        <f t="shared" si="1"/>
        <v>0.66460396039603964</v>
      </c>
      <c r="K22" s="204">
        <f>IFERROR(VLOOKUP($B22,MMWR_TRAD_AGG_RO_COMP[],K$1,0),"ERROR")</f>
        <v>166</v>
      </c>
      <c r="L22" s="205">
        <f>IFERROR(VLOOKUP($B22,MMWR_TRAD_AGG_RO_COMP[],L$1,0),"ERROR")</f>
        <v>93</v>
      </c>
      <c r="M22" s="216">
        <f t="shared" si="2"/>
        <v>0.56024096385542166</v>
      </c>
      <c r="N22" s="204">
        <f>IFERROR(VLOOKUP($B22,MMWR_TRAD_AGG_RO_COMP[],N$1,0),"ERROR")</f>
        <v>167</v>
      </c>
      <c r="O22" s="205">
        <f>IFERROR(VLOOKUP($B22,MMWR_TRAD_AGG_RO_COMP[],O$1,0),"ERROR")</f>
        <v>63</v>
      </c>
      <c r="P22" s="216">
        <f t="shared" si="3"/>
        <v>0.3772455089820359</v>
      </c>
      <c r="Q22" s="201">
        <f>IFERROR(VLOOKUP($B22,MMWR_TRAD_AGG_RO_COMP[],Q$1,0),"ERROR")</f>
        <v>0</v>
      </c>
      <c r="R22" s="201">
        <f>IFERROR(VLOOKUP($B22,MMWR_TRAD_AGG_RO_COMP[],R$1,0),"ERROR")</f>
        <v>2</v>
      </c>
      <c r="S22" s="201">
        <f>IFERROR(VLOOKUP($B22,MMWR_APP_RO[],S$1,0),"ERROR")</f>
        <v>173</v>
      </c>
      <c r="T22" s="25"/>
    </row>
    <row r="23" spans="1:20" x14ac:dyDescent="0.2">
      <c r="A23" s="107"/>
      <c r="B23" s="108" t="s">
        <v>82</v>
      </c>
      <c r="C23" s="209">
        <f>IFERROR(VLOOKUP($B23,MMWR_TRAD_AGG_RO_COMP[],C$1,0),"ERROR")</f>
        <v>627</v>
      </c>
      <c r="D23" s="198">
        <f>IFERROR(VLOOKUP($B23,MMWR_TRAD_AGG_RO_COMP[],D$1,0),"ERROR")</f>
        <v>412.8915470494</v>
      </c>
      <c r="E23" s="195">
        <f>IFERROR(VLOOKUP($B23,MMWR_TRAD_AGG_RO_COMP[],E$1,0),"ERROR")</f>
        <v>693</v>
      </c>
      <c r="F23" s="191">
        <f>IFERROR(VLOOKUP($B23,MMWR_TRAD_AGG_RO_COMP[],F$1,0),"ERROR")</f>
        <v>165</v>
      </c>
      <c r="G23" s="216">
        <f t="shared" si="0"/>
        <v>0.23809523809523808</v>
      </c>
      <c r="H23" s="190">
        <f>IFERROR(VLOOKUP($B23,MMWR_TRAD_AGG_RO_COMP[],H$1,0),"ERROR")</f>
        <v>729</v>
      </c>
      <c r="I23" s="191">
        <f>IFERROR(VLOOKUP($B23,MMWR_TRAD_AGG_RO_COMP[],I$1,0),"ERROR")</f>
        <v>536</v>
      </c>
      <c r="J23" s="216">
        <f t="shared" si="1"/>
        <v>0.73525377229080935</v>
      </c>
      <c r="K23" s="204">
        <f>IFERROR(VLOOKUP($B23,MMWR_TRAD_AGG_RO_COMP[],K$1,0),"ERROR")</f>
        <v>53</v>
      </c>
      <c r="L23" s="205">
        <f>IFERROR(VLOOKUP($B23,MMWR_TRAD_AGG_RO_COMP[],L$1,0),"ERROR")</f>
        <v>48</v>
      </c>
      <c r="M23" s="216">
        <f t="shared" si="2"/>
        <v>0.90566037735849059</v>
      </c>
      <c r="N23" s="204">
        <f>IFERROR(VLOOKUP($B23,MMWR_TRAD_AGG_RO_COMP[],N$1,0),"ERROR")</f>
        <v>128</v>
      </c>
      <c r="O23" s="205">
        <f>IFERROR(VLOOKUP($B23,MMWR_TRAD_AGG_RO_COMP[],O$1,0),"ERROR")</f>
        <v>59</v>
      </c>
      <c r="P23" s="216">
        <f t="shared" si="3"/>
        <v>0.4609375</v>
      </c>
      <c r="Q23" s="201">
        <f>IFERROR(VLOOKUP($B23,MMWR_TRAD_AGG_RO_COMP[],Q$1,0),"ERROR")</f>
        <v>0</v>
      </c>
      <c r="R23" s="201">
        <f>IFERROR(VLOOKUP($B23,MMWR_TRAD_AGG_RO_COMP[],R$1,0),"ERROR")</f>
        <v>0</v>
      </c>
      <c r="S23" s="201">
        <f>IFERROR(VLOOKUP($B23,MMWR_APP_RO[],S$1,0),"ERROR")</f>
        <v>175</v>
      </c>
      <c r="T23" s="25"/>
    </row>
    <row r="24" spans="1:20" x14ac:dyDescent="0.2">
      <c r="A24" s="92"/>
      <c r="B24" s="116" t="s">
        <v>83</v>
      </c>
      <c r="C24" s="210">
        <f>IFERROR(VLOOKUP($B24,MMWR_TRAD_AGG_RO_COMP[],C$1,0),"ERROR")</f>
        <v>17830</v>
      </c>
      <c r="D24" s="199">
        <f>IFERROR(VLOOKUP($B24,MMWR_TRAD_AGG_RO_COMP[],D$1,0),"ERROR")</f>
        <v>317.9678070667</v>
      </c>
      <c r="E24" s="196">
        <f>IFERROR(VLOOKUP($B24,MMWR_TRAD_AGG_RO_COMP[],E$1,0),"ERROR")</f>
        <v>18715</v>
      </c>
      <c r="F24" s="193">
        <f>IFERROR(VLOOKUP($B24,MMWR_TRAD_AGG_RO_COMP[],F$1,0),"ERROR")</f>
        <v>5119</v>
      </c>
      <c r="G24" s="217">
        <f t="shared" si="0"/>
        <v>0.27352391130109538</v>
      </c>
      <c r="H24" s="192">
        <f>IFERROR(VLOOKUP($B24,MMWR_TRAD_AGG_RO_COMP[],H$1,0),"ERROR")</f>
        <v>28329</v>
      </c>
      <c r="I24" s="193">
        <f>IFERROR(VLOOKUP($B24,MMWR_TRAD_AGG_RO_COMP[],I$1,0),"ERROR")</f>
        <v>20224</v>
      </c>
      <c r="J24" s="217">
        <f t="shared" si="1"/>
        <v>0.71389741960535136</v>
      </c>
      <c r="K24" s="206">
        <f>IFERROR(VLOOKUP($B24,MMWR_TRAD_AGG_RO_COMP[],K$1,0),"ERROR")</f>
        <v>12312</v>
      </c>
      <c r="L24" s="207">
        <f>IFERROR(VLOOKUP($B24,MMWR_TRAD_AGG_RO_COMP[],L$1,0),"ERROR")</f>
        <v>9270</v>
      </c>
      <c r="M24" s="217">
        <f t="shared" si="2"/>
        <v>0.75292397660818711</v>
      </c>
      <c r="N24" s="206">
        <f>IFERROR(VLOOKUP($B24,MMWR_TRAD_AGG_RO_COMP[],N$1,0),"ERROR")</f>
        <v>3856</v>
      </c>
      <c r="O24" s="207">
        <f>IFERROR(VLOOKUP($B24,MMWR_TRAD_AGG_RO_COMP[],O$1,0),"ERROR")</f>
        <v>2842</v>
      </c>
      <c r="P24" s="217">
        <f t="shared" si="3"/>
        <v>0.73703319502074693</v>
      </c>
      <c r="Q24" s="202">
        <f>IFERROR(VLOOKUP($B24,MMWR_TRAD_AGG_RO_COMP[],Q$1,0),"ERROR")</f>
        <v>0</v>
      </c>
      <c r="R24" s="202">
        <f>IFERROR(VLOOKUP($B24,MMWR_TRAD_AGG_RO_COMP[],R$1,0),"ERROR")</f>
        <v>18</v>
      </c>
      <c r="S24" s="201">
        <f>IFERROR(VLOOKUP($B24,MMWR_APP_RO[],S$1,0),"ERROR")</f>
        <v>9000</v>
      </c>
      <c r="T24" s="25"/>
    </row>
    <row r="25" spans="1:20" x14ac:dyDescent="0.2">
      <c r="A25" s="107"/>
      <c r="B25" s="101" t="s">
        <v>391</v>
      </c>
      <c r="C25" s="212">
        <f>IFERROR(VLOOKUP($B25,MMWR_TRAD_AGG_DISTRICT_COMP[],C$1,0),"ERROR")</f>
        <v>33757</v>
      </c>
      <c r="D25" s="197">
        <f>IFERROR(VLOOKUP($B25,MMWR_TRAD_AGG_DISTRICT_COMP[],D$1,0),"ERROR")</f>
        <v>343.58429362800001</v>
      </c>
      <c r="E25" s="213">
        <f>IFERROR(VLOOKUP($B25,MMWR_TRAD_AGG_DISTRICT_COMP[],E$1,0),"ERROR")</f>
        <v>54878</v>
      </c>
      <c r="F25" s="218">
        <f>IFERROR(VLOOKUP($B25,MMWR_TRAD_AGG_DISTRICT_COMP[],F$1,0),"ERROR")</f>
        <v>11065</v>
      </c>
      <c r="G25" s="214">
        <f t="shared" si="0"/>
        <v>0.20162906811472722</v>
      </c>
      <c r="H25" s="218">
        <f>IFERROR(VLOOKUP($B25,MMWR_TRAD_AGG_DISTRICT_COMP[],H$1,0),"ERROR")</f>
        <v>58041</v>
      </c>
      <c r="I25" s="218">
        <f>IFERROR(VLOOKUP($B25,MMWR_TRAD_AGG_DISTRICT_COMP[],I$1,0),"ERROR")</f>
        <v>31669</v>
      </c>
      <c r="J25" s="214">
        <f t="shared" si="1"/>
        <v>0.54563153632776829</v>
      </c>
      <c r="K25" s="212">
        <f>IFERROR(VLOOKUP($B25,MMWR_TRAD_AGG_DISTRICT_COMP[],K$1,0),"ERROR")</f>
        <v>14804</v>
      </c>
      <c r="L25" s="212">
        <f>IFERROR(VLOOKUP($B25,MMWR_TRAD_AGG_DISTRICT_COMP[],L$1,0),"ERROR")</f>
        <v>10969</v>
      </c>
      <c r="M25" s="214">
        <f t="shared" si="2"/>
        <v>0.74094839232639831</v>
      </c>
      <c r="N25" s="212">
        <f>IFERROR(VLOOKUP($B25,MMWR_TRAD_AGG_DISTRICT_COMP[],N$1,0),"ERROR")</f>
        <v>12990</v>
      </c>
      <c r="O25" s="212">
        <f>IFERROR(VLOOKUP($B25,MMWR_TRAD_AGG_DISTRICT_COMP[],O$1,0),"ERROR")</f>
        <v>8628</v>
      </c>
      <c r="P25" s="214">
        <f t="shared" si="3"/>
        <v>0.664203233256351</v>
      </c>
      <c r="Q25" s="212">
        <f>IFERROR(VLOOKUP($B25,MMWR_TRAD_AGG_DISTRICT_COMP[],Q$1,0),"ERROR")</f>
        <v>8420</v>
      </c>
      <c r="R25" s="215">
        <f>IFERROR(VLOOKUP($B25,MMWR_TRAD_AGG_DISTRICT_COMP[],R$1,0),"ERROR")</f>
        <v>1049</v>
      </c>
      <c r="S25" s="215">
        <f>IFERROR(VLOOKUP($B25,MMWR_APP_RO[],S$1,0),"ERROR")</f>
        <v>52810</v>
      </c>
      <c r="T25" s="25"/>
    </row>
    <row r="26" spans="1:20" x14ac:dyDescent="0.2">
      <c r="A26" s="107"/>
      <c r="B26" s="108" t="s">
        <v>37</v>
      </c>
      <c r="C26" s="209">
        <f>IFERROR(VLOOKUP($B26,MMWR_TRAD_AGG_RO_COMP[],C$1,0),"ERROR")</f>
        <v>5101</v>
      </c>
      <c r="D26" s="198">
        <f>IFERROR(VLOOKUP($B26,MMWR_TRAD_AGG_RO_COMP[],D$1,0),"ERROR")</f>
        <v>498.91629092329998</v>
      </c>
      <c r="E26" s="195">
        <f>IFERROR(VLOOKUP($B26,MMWR_TRAD_AGG_RO_COMP[],E$1,0),"ERROR")</f>
        <v>5884</v>
      </c>
      <c r="F26" s="191">
        <f>IFERROR(VLOOKUP($B26,MMWR_TRAD_AGG_RO_COMP[],F$1,0),"ERROR")</f>
        <v>1455</v>
      </c>
      <c r="G26" s="216">
        <f t="shared" si="0"/>
        <v>0.24728076138681168</v>
      </c>
      <c r="H26" s="190">
        <f>IFERROR(VLOOKUP($B26,MMWR_TRAD_AGG_RO_COMP[],H$1,0),"ERROR")</f>
        <v>6623</v>
      </c>
      <c r="I26" s="191">
        <f>IFERROR(VLOOKUP($B26,MMWR_TRAD_AGG_RO_COMP[],I$1,0),"ERROR")</f>
        <v>4801</v>
      </c>
      <c r="J26" s="216">
        <f t="shared" si="1"/>
        <v>0.72489808243998188</v>
      </c>
      <c r="K26" s="204">
        <f>IFERROR(VLOOKUP($B26,MMWR_TRAD_AGG_RO_COMP[],K$1,0),"ERROR")</f>
        <v>1785</v>
      </c>
      <c r="L26" s="205">
        <f>IFERROR(VLOOKUP($B26,MMWR_TRAD_AGG_RO_COMP[],L$1,0),"ERROR")</f>
        <v>1659</v>
      </c>
      <c r="M26" s="216">
        <f t="shared" si="2"/>
        <v>0.92941176470588238</v>
      </c>
      <c r="N26" s="204">
        <f>IFERROR(VLOOKUP($B26,MMWR_TRAD_AGG_RO_COMP[],N$1,0),"ERROR")</f>
        <v>1427</v>
      </c>
      <c r="O26" s="205">
        <f>IFERROR(VLOOKUP($B26,MMWR_TRAD_AGG_RO_COMP[],O$1,0),"ERROR")</f>
        <v>789</v>
      </c>
      <c r="P26" s="216">
        <f t="shared" si="3"/>
        <v>0.55290819901892085</v>
      </c>
      <c r="Q26" s="201">
        <f>IFERROR(VLOOKUP($B26,MMWR_TRAD_AGG_RO_COMP[],Q$1,0),"ERROR")</f>
        <v>0</v>
      </c>
      <c r="R26" s="201">
        <f>IFERROR(VLOOKUP($B26,MMWR_TRAD_AGG_RO_COMP[],R$1,0),"ERROR")</f>
        <v>215</v>
      </c>
      <c r="S26" s="201">
        <f>IFERROR(VLOOKUP($B26,MMWR_APP_RO[],S$1,0),"ERROR")</f>
        <v>8372</v>
      </c>
      <c r="T26" s="25"/>
    </row>
    <row r="27" spans="1:20" x14ac:dyDescent="0.2">
      <c r="A27" s="107"/>
      <c r="B27" s="108" t="s">
        <v>38</v>
      </c>
      <c r="C27" s="209">
        <f>IFERROR(VLOOKUP($B27,MMWR_TRAD_AGG_RO_COMP[],C$1,0),"ERROR")</f>
        <v>4215</v>
      </c>
      <c r="D27" s="198">
        <f>IFERROR(VLOOKUP($B27,MMWR_TRAD_AGG_RO_COMP[],D$1,0),"ERROR")</f>
        <v>439.2925266904</v>
      </c>
      <c r="E27" s="195">
        <f>IFERROR(VLOOKUP($B27,MMWR_TRAD_AGG_RO_COMP[],E$1,0),"ERROR")</f>
        <v>7023</v>
      </c>
      <c r="F27" s="191">
        <f>IFERROR(VLOOKUP($B27,MMWR_TRAD_AGG_RO_COMP[],F$1,0),"ERROR")</f>
        <v>1532</v>
      </c>
      <c r="G27" s="216">
        <f t="shared" si="0"/>
        <v>0.21814039584223266</v>
      </c>
      <c r="H27" s="190">
        <f>IFERROR(VLOOKUP($B27,MMWR_TRAD_AGG_RO_COMP[],H$1,0),"ERROR")</f>
        <v>6320</v>
      </c>
      <c r="I27" s="191">
        <f>IFERROR(VLOOKUP($B27,MMWR_TRAD_AGG_RO_COMP[],I$1,0),"ERROR")</f>
        <v>3897</v>
      </c>
      <c r="J27" s="216">
        <f t="shared" si="1"/>
        <v>0.61661392405063287</v>
      </c>
      <c r="K27" s="204">
        <f>IFERROR(VLOOKUP($B27,MMWR_TRAD_AGG_RO_COMP[],K$1,0),"ERROR")</f>
        <v>1639</v>
      </c>
      <c r="L27" s="205">
        <f>IFERROR(VLOOKUP($B27,MMWR_TRAD_AGG_RO_COMP[],L$1,0),"ERROR")</f>
        <v>1436</v>
      </c>
      <c r="M27" s="216">
        <f t="shared" si="2"/>
        <v>0.87614399023794998</v>
      </c>
      <c r="N27" s="204">
        <f>IFERROR(VLOOKUP($B27,MMWR_TRAD_AGG_RO_COMP[],N$1,0),"ERROR")</f>
        <v>2760</v>
      </c>
      <c r="O27" s="205">
        <f>IFERROR(VLOOKUP($B27,MMWR_TRAD_AGG_RO_COMP[],O$1,0),"ERROR")</f>
        <v>2161</v>
      </c>
      <c r="P27" s="216">
        <f t="shared" si="3"/>
        <v>0.78297101449275364</v>
      </c>
      <c r="Q27" s="201">
        <f>IFERROR(VLOOKUP($B27,MMWR_TRAD_AGG_RO_COMP[],Q$1,0),"ERROR")</f>
        <v>1</v>
      </c>
      <c r="R27" s="201">
        <f>IFERROR(VLOOKUP($B27,MMWR_TRAD_AGG_RO_COMP[],R$1,0),"ERROR")</f>
        <v>331</v>
      </c>
      <c r="S27" s="201">
        <f>IFERROR(VLOOKUP($B27,MMWR_APP_RO[],S$1,0),"ERROR")</f>
        <v>13205</v>
      </c>
      <c r="T27" s="25"/>
    </row>
    <row r="28" spans="1:20" x14ac:dyDescent="0.2">
      <c r="A28" s="107"/>
      <c r="B28" s="108" t="s">
        <v>41</v>
      </c>
      <c r="C28" s="209">
        <f>IFERROR(VLOOKUP($B28,MMWR_TRAD_AGG_RO_COMP[],C$1,0),"ERROR")</f>
        <v>696</v>
      </c>
      <c r="D28" s="198">
        <f>IFERROR(VLOOKUP($B28,MMWR_TRAD_AGG_RO_COMP[],D$1,0),"ERROR")</f>
        <v>110.5301724138</v>
      </c>
      <c r="E28" s="195">
        <f>IFERROR(VLOOKUP($B28,MMWR_TRAD_AGG_RO_COMP[],E$1,0),"ERROR")</f>
        <v>2485</v>
      </c>
      <c r="F28" s="191">
        <f>IFERROR(VLOOKUP($B28,MMWR_TRAD_AGG_RO_COMP[],F$1,0),"ERROR")</f>
        <v>364</v>
      </c>
      <c r="G28" s="216">
        <f t="shared" si="0"/>
        <v>0.14647887323943662</v>
      </c>
      <c r="H28" s="190">
        <f>IFERROR(VLOOKUP($B28,MMWR_TRAD_AGG_RO_COMP[],H$1,0),"ERROR")</f>
        <v>1028</v>
      </c>
      <c r="I28" s="191">
        <f>IFERROR(VLOOKUP($B28,MMWR_TRAD_AGG_RO_COMP[],I$1,0),"ERROR")</f>
        <v>277</v>
      </c>
      <c r="J28" s="216">
        <f t="shared" si="1"/>
        <v>0.26945525291828792</v>
      </c>
      <c r="K28" s="204">
        <f>IFERROR(VLOOKUP($B28,MMWR_TRAD_AGG_RO_COMP[],K$1,0),"ERROR")</f>
        <v>220</v>
      </c>
      <c r="L28" s="205">
        <f>IFERROR(VLOOKUP($B28,MMWR_TRAD_AGG_RO_COMP[],L$1,0),"ERROR")</f>
        <v>131</v>
      </c>
      <c r="M28" s="216">
        <f t="shared" si="2"/>
        <v>0.59545454545454546</v>
      </c>
      <c r="N28" s="204">
        <f>IFERROR(VLOOKUP($B28,MMWR_TRAD_AGG_RO_COMP[],N$1,0),"ERROR")</f>
        <v>216</v>
      </c>
      <c r="O28" s="205">
        <f>IFERROR(VLOOKUP($B28,MMWR_TRAD_AGG_RO_COMP[],O$1,0),"ERROR")</f>
        <v>99</v>
      </c>
      <c r="P28" s="216">
        <f t="shared" si="3"/>
        <v>0.45833333333333331</v>
      </c>
      <c r="Q28" s="201">
        <f>IFERROR(VLOOKUP($B28,MMWR_TRAD_AGG_RO_COMP[],Q$1,0),"ERROR")</f>
        <v>0</v>
      </c>
      <c r="R28" s="201">
        <f>IFERROR(VLOOKUP($B28,MMWR_TRAD_AGG_RO_COMP[],R$1,0),"ERROR")</f>
        <v>9</v>
      </c>
      <c r="S28" s="201">
        <f>IFERROR(VLOOKUP($B28,MMWR_APP_RO[],S$1,0),"ERROR")</f>
        <v>1323</v>
      </c>
      <c r="T28" s="25"/>
    </row>
    <row r="29" spans="1:20" x14ac:dyDescent="0.2">
      <c r="A29" s="107"/>
      <c r="B29" s="108" t="s">
        <v>42</v>
      </c>
      <c r="C29" s="209">
        <f>IFERROR(VLOOKUP($B29,MMWR_TRAD_AGG_RO_COMP[],C$1,0),"ERROR")</f>
        <v>2804</v>
      </c>
      <c r="D29" s="198">
        <f>IFERROR(VLOOKUP($B29,MMWR_TRAD_AGG_RO_COMP[],D$1,0),"ERROR")</f>
        <v>325.2960057061</v>
      </c>
      <c r="E29" s="195">
        <f>IFERROR(VLOOKUP($B29,MMWR_TRAD_AGG_RO_COMP[],E$1,0),"ERROR")</f>
        <v>7294</v>
      </c>
      <c r="F29" s="191">
        <f>IFERROR(VLOOKUP($B29,MMWR_TRAD_AGG_RO_COMP[],F$1,0),"ERROR")</f>
        <v>2013</v>
      </c>
      <c r="G29" s="216">
        <f t="shared" si="0"/>
        <v>0.27598025774609269</v>
      </c>
      <c r="H29" s="190">
        <f>IFERROR(VLOOKUP($B29,MMWR_TRAD_AGG_RO_COMP[],H$1,0),"ERROR")</f>
        <v>8750</v>
      </c>
      <c r="I29" s="191">
        <f>IFERROR(VLOOKUP($B29,MMWR_TRAD_AGG_RO_COMP[],I$1,0),"ERROR")</f>
        <v>3974</v>
      </c>
      <c r="J29" s="216">
        <f t="shared" si="1"/>
        <v>0.45417142857142856</v>
      </c>
      <c r="K29" s="204">
        <f>IFERROR(VLOOKUP($B29,MMWR_TRAD_AGG_RO_COMP[],K$1,0),"ERROR")</f>
        <v>2343</v>
      </c>
      <c r="L29" s="205">
        <f>IFERROR(VLOOKUP($B29,MMWR_TRAD_AGG_RO_COMP[],L$1,0),"ERROR")</f>
        <v>1930</v>
      </c>
      <c r="M29" s="216">
        <f t="shared" si="2"/>
        <v>0.82373026034997865</v>
      </c>
      <c r="N29" s="204">
        <f>IFERROR(VLOOKUP($B29,MMWR_TRAD_AGG_RO_COMP[],N$1,0),"ERROR")</f>
        <v>1188</v>
      </c>
      <c r="O29" s="205">
        <f>IFERROR(VLOOKUP($B29,MMWR_TRAD_AGG_RO_COMP[],O$1,0),"ERROR")</f>
        <v>478</v>
      </c>
      <c r="P29" s="216">
        <f t="shared" si="3"/>
        <v>0.40235690235690236</v>
      </c>
      <c r="Q29" s="201">
        <f>IFERROR(VLOOKUP($B29,MMWR_TRAD_AGG_RO_COMP[],Q$1,0),"ERROR")</f>
        <v>2</v>
      </c>
      <c r="R29" s="201">
        <f>IFERROR(VLOOKUP($B29,MMWR_TRAD_AGG_RO_COMP[],R$1,0),"ERROR")</f>
        <v>211</v>
      </c>
      <c r="S29" s="201">
        <f>IFERROR(VLOOKUP($B29,MMWR_APP_RO[],S$1,0),"ERROR")</f>
        <v>5335</v>
      </c>
      <c r="T29" s="25"/>
    </row>
    <row r="30" spans="1:20" x14ac:dyDescent="0.2">
      <c r="A30" s="107"/>
      <c r="B30" s="108" t="s">
        <v>43</v>
      </c>
      <c r="C30" s="209">
        <f>IFERROR(VLOOKUP($B30,MMWR_TRAD_AGG_RO_COMP[],C$1,0),"ERROR")</f>
        <v>137</v>
      </c>
      <c r="D30" s="198">
        <f>IFERROR(VLOOKUP($B30,MMWR_TRAD_AGG_RO_COMP[],D$1,0),"ERROR")</f>
        <v>72.927007299300001</v>
      </c>
      <c r="E30" s="195">
        <f>IFERROR(VLOOKUP($B30,MMWR_TRAD_AGG_RO_COMP[],E$1,0),"ERROR")</f>
        <v>764</v>
      </c>
      <c r="F30" s="191">
        <f>IFERROR(VLOOKUP($B30,MMWR_TRAD_AGG_RO_COMP[],F$1,0),"ERROR")</f>
        <v>136</v>
      </c>
      <c r="G30" s="216">
        <f t="shared" si="0"/>
        <v>0.17801047120418848</v>
      </c>
      <c r="H30" s="190">
        <f>IFERROR(VLOOKUP($B30,MMWR_TRAD_AGG_RO_COMP[],H$1,0),"ERROR")</f>
        <v>265</v>
      </c>
      <c r="I30" s="191">
        <f>IFERROR(VLOOKUP($B30,MMWR_TRAD_AGG_RO_COMP[],I$1,0),"ERROR")</f>
        <v>21</v>
      </c>
      <c r="J30" s="216">
        <f t="shared" si="1"/>
        <v>7.9245283018867921E-2</v>
      </c>
      <c r="K30" s="204">
        <f>IFERROR(VLOOKUP($B30,MMWR_TRAD_AGG_RO_COMP[],K$1,0),"ERROR")</f>
        <v>113</v>
      </c>
      <c r="L30" s="205">
        <f>IFERROR(VLOOKUP($B30,MMWR_TRAD_AGG_RO_COMP[],L$1,0),"ERROR")</f>
        <v>40</v>
      </c>
      <c r="M30" s="216">
        <f t="shared" si="2"/>
        <v>0.35398230088495575</v>
      </c>
      <c r="N30" s="204">
        <f>IFERROR(VLOOKUP($B30,MMWR_TRAD_AGG_RO_COMP[],N$1,0),"ERROR")</f>
        <v>96</v>
      </c>
      <c r="O30" s="205">
        <f>IFERROR(VLOOKUP($B30,MMWR_TRAD_AGG_RO_COMP[],O$1,0),"ERROR")</f>
        <v>44</v>
      </c>
      <c r="P30" s="216">
        <f t="shared" si="3"/>
        <v>0.45833333333333331</v>
      </c>
      <c r="Q30" s="201">
        <f>IFERROR(VLOOKUP($B30,MMWR_TRAD_AGG_RO_COMP[],Q$1,0),"ERROR")</f>
        <v>0</v>
      </c>
      <c r="R30" s="201">
        <f>IFERROR(VLOOKUP($B30,MMWR_TRAD_AGG_RO_COMP[],R$1,0),"ERROR")</f>
        <v>1</v>
      </c>
      <c r="S30" s="201">
        <f>IFERROR(VLOOKUP($B30,MMWR_APP_RO[],S$1,0),"ERROR")</f>
        <v>602</v>
      </c>
      <c r="T30" s="25"/>
    </row>
    <row r="31" spans="1:20" x14ac:dyDescent="0.2">
      <c r="A31" s="107"/>
      <c r="B31" s="108" t="s">
        <v>48</v>
      </c>
      <c r="C31" s="209">
        <f>IFERROR(VLOOKUP($B31,MMWR_TRAD_AGG_RO_COMP[],C$1,0),"ERROR")</f>
        <v>6400</v>
      </c>
      <c r="D31" s="198">
        <f>IFERROR(VLOOKUP($B31,MMWR_TRAD_AGG_RO_COMP[],D$1,0),"ERROR")</f>
        <v>563.58609375000003</v>
      </c>
      <c r="E31" s="195">
        <f>IFERROR(VLOOKUP($B31,MMWR_TRAD_AGG_RO_COMP[],E$1,0),"ERROR")</f>
        <v>4430</v>
      </c>
      <c r="F31" s="191">
        <f>IFERROR(VLOOKUP($B31,MMWR_TRAD_AGG_RO_COMP[],F$1,0),"ERROR")</f>
        <v>955</v>
      </c>
      <c r="G31" s="216">
        <f t="shared" si="0"/>
        <v>0.21557562076749437</v>
      </c>
      <c r="H31" s="190">
        <f>IFERROR(VLOOKUP($B31,MMWR_TRAD_AGG_RO_COMP[],H$1,0),"ERROR")</f>
        <v>9193</v>
      </c>
      <c r="I31" s="191">
        <f>IFERROR(VLOOKUP($B31,MMWR_TRAD_AGG_RO_COMP[],I$1,0),"ERROR")</f>
        <v>6952</v>
      </c>
      <c r="J31" s="216">
        <f t="shared" si="1"/>
        <v>0.75622756445121286</v>
      </c>
      <c r="K31" s="204">
        <f>IFERROR(VLOOKUP($B31,MMWR_TRAD_AGG_RO_COMP[],K$1,0),"ERROR")</f>
        <v>2096</v>
      </c>
      <c r="L31" s="205">
        <f>IFERROR(VLOOKUP($B31,MMWR_TRAD_AGG_RO_COMP[],L$1,0),"ERROR")</f>
        <v>1571</v>
      </c>
      <c r="M31" s="216">
        <f t="shared" si="2"/>
        <v>0.74952290076335881</v>
      </c>
      <c r="N31" s="204">
        <f>IFERROR(VLOOKUP($B31,MMWR_TRAD_AGG_RO_COMP[],N$1,0),"ERROR")</f>
        <v>2235</v>
      </c>
      <c r="O31" s="205">
        <f>IFERROR(VLOOKUP($B31,MMWR_TRAD_AGG_RO_COMP[],O$1,0),"ERROR")</f>
        <v>1558</v>
      </c>
      <c r="P31" s="216">
        <f t="shared" si="3"/>
        <v>0.69709172259507834</v>
      </c>
      <c r="Q31" s="201">
        <f>IFERROR(VLOOKUP($B31,MMWR_TRAD_AGG_RO_COMP[],Q$1,0),"ERROR")</f>
        <v>1</v>
      </c>
      <c r="R31" s="201">
        <f>IFERROR(VLOOKUP($B31,MMWR_TRAD_AGG_RO_COMP[],R$1,0),"ERROR")</f>
        <v>225</v>
      </c>
      <c r="S31" s="201">
        <f>IFERROR(VLOOKUP($B31,MMWR_APP_RO[],S$1,0),"ERROR")</f>
        <v>8346</v>
      </c>
      <c r="T31" s="25"/>
    </row>
    <row r="32" spans="1:20" x14ac:dyDescent="0.2">
      <c r="A32" s="107"/>
      <c r="B32" s="108" t="s">
        <v>50</v>
      </c>
      <c r="C32" s="209">
        <f>IFERROR(VLOOKUP($B32,MMWR_TRAD_AGG_RO_COMP[],C$1,0),"ERROR")</f>
        <v>1588</v>
      </c>
      <c r="D32" s="198">
        <f>IFERROR(VLOOKUP($B32,MMWR_TRAD_AGG_RO_COMP[],D$1,0),"ERROR")</f>
        <v>131.50251889169999</v>
      </c>
      <c r="E32" s="195">
        <f>IFERROR(VLOOKUP($B32,MMWR_TRAD_AGG_RO_COMP[],E$1,0),"ERROR")</f>
        <v>2040</v>
      </c>
      <c r="F32" s="191">
        <f>IFERROR(VLOOKUP($B32,MMWR_TRAD_AGG_RO_COMP[],F$1,0),"ERROR")</f>
        <v>289</v>
      </c>
      <c r="G32" s="216">
        <f t="shared" si="0"/>
        <v>0.14166666666666666</v>
      </c>
      <c r="H32" s="190">
        <f>IFERROR(VLOOKUP($B32,MMWR_TRAD_AGG_RO_COMP[],H$1,0),"ERROR")</f>
        <v>2707</v>
      </c>
      <c r="I32" s="191">
        <f>IFERROR(VLOOKUP($B32,MMWR_TRAD_AGG_RO_COMP[],I$1,0),"ERROR")</f>
        <v>992</v>
      </c>
      <c r="J32" s="216">
        <f t="shared" si="1"/>
        <v>0.36645733284078313</v>
      </c>
      <c r="K32" s="204">
        <f>IFERROR(VLOOKUP($B32,MMWR_TRAD_AGG_RO_COMP[],K$1,0),"ERROR")</f>
        <v>854</v>
      </c>
      <c r="L32" s="205">
        <f>IFERROR(VLOOKUP($B32,MMWR_TRAD_AGG_RO_COMP[],L$1,0),"ERROR")</f>
        <v>625</v>
      </c>
      <c r="M32" s="216">
        <f t="shared" si="2"/>
        <v>0.73185011709601877</v>
      </c>
      <c r="N32" s="204">
        <f>IFERROR(VLOOKUP($B32,MMWR_TRAD_AGG_RO_COMP[],N$1,0),"ERROR")</f>
        <v>692</v>
      </c>
      <c r="O32" s="205">
        <f>IFERROR(VLOOKUP($B32,MMWR_TRAD_AGG_RO_COMP[],O$1,0),"ERROR")</f>
        <v>275</v>
      </c>
      <c r="P32" s="216">
        <f t="shared" si="3"/>
        <v>0.39739884393063585</v>
      </c>
      <c r="Q32" s="201">
        <f>IFERROR(VLOOKUP($B32,MMWR_TRAD_AGG_RO_COMP[],Q$1,0),"ERROR")</f>
        <v>1</v>
      </c>
      <c r="R32" s="201">
        <f>IFERROR(VLOOKUP($B32,MMWR_TRAD_AGG_RO_COMP[],R$1,0),"ERROR")</f>
        <v>16</v>
      </c>
      <c r="S32" s="201">
        <f>IFERROR(VLOOKUP($B32,MMWR_APP_RO[],S$1,0),"ERROR")</f>
        <v>971</v>
      </c>
      <c r="T32" s="25"/>
    </row>
    <row r="33" spans="1:20" x14ac:dyDescent="0.2">
      <c r="A33" s="107"/>
      <c r="B33" s="108" t="s">
        <v>56</v>
      </c>
      <c r="C33" s="209">
        <f>IFERROR(VLOOKUP($B33,MMWR_TRAD_AGG_RO_COMP[],C$1,0),"ERROR")</f>
        <v>4409</v>
      </c>
      <c r="D33" s="198">
        <f>IFERROR(VLOOKUP($B33,MMWR_TRAD_AGG_RO_COMP[],D$1,0),"ERROR")</f>
        <v>193.44046269</v>
      </c>
      <c r="E33" s="195">
        <f>IFERROR(VLOOKUP($B33,MMWR_TRAD_AGG_RO_COMP[],E$1,0),"ERROR")</f>
        <v>6233</v>
      </c>
      <c r="F33" s="191">
        <f>IFERROR(VLOOKUP($B33,MMWR_TRAD_AGG_RO_COMP[],F$1,0),"ERROR")</f>
        <v>994</v>
      </c>
      <c r="G33" s="216">
        <f t="shared" si="0"/>
        <v>0.15947376865072999</v>
      </c>
      <c r="H33" s="190">
        <f>IFERROR(VLOOKUP($B33,MMWR_TRAD_AGG_RO_COMP[],H$1,0),"ERROR")</f>
        <v>5988</v>
      </c>
      <c r="I33" s="191">
        <f>IFERROR(VLOOKUP($B33,MMWR_TRAD_AGG_RO_COMP[],I$1,0),"ERROR")</f>
        <v>2732</v>
      </c>
      <c r="J33" s="216">
        <f t="shared" si="1"/>
        <v>0.45624582498329991</v>
      </c>
      <c r="K33" s="204">
        <f>IFERROR(VLOOKUP($B33,MMWR_TRAD_AGG_RO_COMP[],K$1,0),"ERROR")</f>
        <v>592</v>
      </c>
      <c r="L33" s="205">
        <f>IFERROR(VLOOKUP($B33,MMWR_TRAD_AGG_RO_COMP[],L$1,0),"ERROR")</f>
        <v>443</v>
      </c>
      <c r="M33" s="216">
        <f t="shared" si="2"/>
        <v>0.74831081081081086</v>
      </c>
      <c r="N33" s="204">
        <f>IFERROR(VLOOKUP($B33,MMWR_TRAD_AGG_RO_COMP[],N$1,0),"ERROR")</f>
        <v>656</v>
      </c>
      <c r="O33" s="205">
        <f>IFERROR(VLOOKUP($B33,MMWR_TRAD_AGG_RO_COMP[],O$1,0),"ERROR")</f>
        <v>341</v>
      </c>
      <c r="P33" s="216">
        <f t="shared" si="3"/>
        <v>0.51981707317073167</v>
      </c>
      <c r="Q33" s="201">
        <f>IFERROR(VLOOKUP($B33,MMWR_TRAD_AGG_RO_COMP[],Q$1,0),"ERROR")</f>
        <v>8373</v>
      </c>
      <c r="R33" s="201">
        <f>IFERROR(VLOOKUP($B33,MMWR_TRAD_AGG_RO_COMP[],R$1,0),"ERROR")</f>
        <v>0</v>
      </c>
      <c r="S33" s="201">
        <f>IFERROR(VLOOKUP($B33,MMWR_APP_RO[],S$1,0),"ERROR")</f>
        <v>3232</v>
      </c>
      <c r="T33" s="25"/>
    </row>
    <row r="34" spans="1:20" x14ac:dyDescent="0.2">
      <c r="A34" s="107"/>
      <c r="B34" s="108" t="s">
        <v>74</v>
      </c>
      <c r="C34" s="209">
        <f>IFERROR(VLOOKUP($B34,MMWR_TRAD_AGG_RO_COMP[],C$1,0),"ERROR")</f>
        <v>220</v>
      </c>
      <c r="D34" s="198">
        <f>IFERROR(VLOOKUP($B34,MMWR_TRAD_AGG_RO_COMP[],D$1,0),"ERROR")</f>
        <v>124.7</v>
      </c>
      <c r="E34" s="195">
        <f>IFERROR(VLOOKUP($B34,MMWR_TRAD_AGG_RO_COMP[],E$1,0),"ERROR")</f>
        <v>969</v>
      </c>
      <c r="F34" s="191">
        <f>IFERROR(VLOOKUP($B34,MMWR_TRAD_AGG_RO_COMP[],F$1,0),"ERROR")</f>
        <v>217</v>
      </c>
      <c r="G34" s="216">
        <f t="shared" si="0"/>
        <v>0.22394220846233232</v>
      </c>
      <c r="H34" s="190">
        <f>IFERROR(VLOOKUP($B34,MMWR_TRAD_AGG_RO_COMP[],H$1,0),"ERROR")</f>
        <v>435</v>
      </c>
      <c r="I34" s="191">
        <f>IFERROR(VLOOKUP($B34,MMWR_TRAD_AGG_RO_COMP[],I$1,0),"ERROR")</f>
        <v>112</v>
      </c>
      <c r="J34" s="216">
        <f t="shared" si="1"/>
        <v>0.25747126436781609</v>
      </c>
      <c r="K34" s="204">
        <f>IFERROR(VLOOKUP($B34,MMWR_TRAD_AGG_RO_COMP[],K$1,0),"ERROR")</f>
        <v>319</v>
      </c>
      <c r="L34" s="205">
        <f>IFERROR(VLOOKUP($B34,MMWR_TRAD_AGG_RO_COMP[],L$1,0),"ERROR")</f>
        <v>141</v>
      </c>
      <c r="M34" s="216">
        <f t="shared" si="2"/>
        <v>0.44200626959247646</v>
      </c>
      <c r="N34" s="204">
        <f>IFERROR(VLOOKUP($B34,MMWR_TRAD_AGG_RO_COMP[],N$1,0),"ERROR")</f>
        <v>36</v>
      </c>
      <c r="O34" s="205">
        <f>IFERROR(VLOOKUP($B34,MMWR_TRAD_AGG_RO_COMP[],O$1,0),"ERROR")</f>
        <v>15</v>
      </c>
      <c r="P34" s="216">
        <f t="shared" si="3"/>
        <v>0.41666666666666669</v>
      </c>
      <c r="Q34" s="201">
        <f>IFERROR(VLOOKUP($B34,MMWR_TRAD_AGG_RO_COMP[],Q$1,0),"ERROR")</f>
        <v>0</v>
      </c>
      <c r="R34" s="201">
        <f>IFERROR(VLOOKUP($B34,MMWR_TRAD_AGG_RO_COMP[],R$1,0),"ERROR")</f>
        <v>0</v>
      </c>
      <c r="S34" s="201">
        <f>IFERROR(VLOOKUP($B34,MMWR_APP_RO[],S$1,0),"ERROR")</f>
        <v>192</v>
      </c>
      <c r="T34" s="25"/>
    </row>
    <row r="35" spans="1:20" x14ac:dyDescent="0.2">
      <c r="A35" s="107"/>
      <c r="B35" s="108" t="s">
        <v>75</v>
      </c>
      <c r="C35" s="209">
        <f>IFERROR(VLOOKUP($B35,MMWR_TRAD_AGG_RO_COMP[],C$1,0),"ERROR")</f>
        <v>3593</v>
      </c>
      <c r="D35" s="198">
        <f>IFERROR(VLOOKUP($B35,MMWR_TRAD_AGG_RO_COMP[],D$1,0),"ERROR")</f>
        <v>200.21708878370001</v>
      </c>
      <c r="E35" s="195">
        <f>IFERROR(VLOOKUP($B35,MMWR_TRAD_AGG_RO_COMP[],E$1,0),"ERROR")</f>
        <v>5546</v>
      </c>
      <c r="F35" s="191">
        <f>IFERROR(VLOOKUP($B35,MMWR_TRAD_AGG_RO_COMP[],F$1,0),"ERROR")</f>
        <v>1182</v>
      </c>
      <c r="G35" s="216">
        <f t="shared" si="0"/>
        <v>0.2131265777136675</v>
      </c>
      <c r="H35" s="190">
        <f>IFERROR(VLOOKUP($B35,MMWR_TRAD_AGG_RO_COMP[],H$1,0),"ERROR")</f>
        <v>5157</v>
      </c>
      <c r="I35" s="191">
        <f>IFERROR(VLOOKUP($B35,MMWR_TRAD_AGG_RO_COMP[],I$1,0),"ERROR")</f>
        <v>2616</v>
      </c>
      <c r="J35" s="216">
        <f t="shared" si="1"/>
        <v>0.50727166957533454</v>
      </c>
      <c r="K35" s="204">
        <f>IFERROR(VLOOKUP($B35,MMWR_TRAD_AGG_RO_COMP[],K$1,0),"ERROR")</f>
        <v>2019</v>
      </c>
      <c r="L35" s="205">
        <f>IFERROR(VLOOKUP($B35,MMWR_TRAD_AGG_RO_COMP[],L$1,0),"ERROR")</f>
        <v>1730</v>
      </c>
      <c r="M35" s="216">
        <f t="shared" si="2"/>
        <v>0.85685983159980184</v>
      </c>
      <c r="N35" s="204">
        <f>IFERROR(VLOOKUP($B35,MMWR_TRAD_AGG_RO_COMP[],N$1,0),"ERROR")</f>
        <v>2422</v>
      </c>
      <c r="O35" s="205">
        <f>IFERROR(VLOOKUP($B35,MMWR_TRAD_AGG_RO_COMP[],O$1,0),"ERROR")</f>
        <v>2136</v>
      </c>
      <c r="P35" s="216">
        <f t="shared" si="3"/>
        <v>0.88191577208918248</v>
      </c>
      <c r="Q35" s="201">
        <f>IFERROR(VLOOKUP($B35,MMWR_TRAD_AGG_RO_COMP[],Q$1,0),"ERROR")</f>
        <v>1</v>
      </c>
      <c r="R35" s="201">
        <f>IFERROR(VLOOKUP($B35,MMWR_TRAD_AGG_RO_COMP[],R$1,0),"ERROR")</f>
        <v>35</v>
      </c>
      <c r="S35" s="201">
        <f>IFERROR(VLOOKUP($B35,MMWR_APP_RO[],S$1,0),"ERROR")</f>
        <v>6259</v>
      </c>
      <c r="T35" s="25"/>
    </row>
    <row r="36" spans="1:20" x14ac:dyDescent="0.2">
      <c r="A36" s="28"/>
      <c r="B36" s="108" t="s">
        <v>76</v>
      </c>
      <c r="C36" s="219">
        <f>IFERROR(VLOOKUP($B36,MMWR_TRAD_AGG_RO_COMP[],C$1,0),"ERROR")</f>
        <v>3054</v>
      </c>
      <c r="D36" s="220">
        <f>IFERROR(VLOOKUP($B36,MMWR_TRAD_AGG_RO_COMP[],D$1,0),"ERROR")</f>
        <v>161.819908317</v>
      </c>
      <c r="E36" s="221">
        <f>IFERROR(VLOOKUP($B36,MMWR_TRAD_AGG_RO_COMP[],E$1,0),"ERROR")</f>
        <v>10052</v>
      </c>
      <c r="F36" s="222">
        <f>IFERROR(VLOOKUP($B36,MMWR_TRAD_AGG_RO_COMP[],F$1,0),"ERROR")</f>
        <v>1538</v>
      </c>
      <c r="G36" s="223">
        <f t="shared" si="0"/>
        <v>0.15300437723836052</v>
      </c>
      <c r="H36" s="224">
        <f>IFERROR(VLOOKUP($B36,MMWR_TRAD_AGG_RO_COMP[],H$1,0),"ERROR")</f>
        <v>9389</v>
      </c>
      <c r="I36" s="222">
        <f>IFERROR(VLOOKUP($B36,MMWR_TRAD_AGG_RO_COMP[],I$1,0),"ERROR")</f>
        <v>4200</v>
      </c>
      <c r="J36" s="223">
        <f t="shared" si="1"/>
        <v>0.44733198423687293</v>
      </c>
      <c r="K36" s="225">
        <f>IFERROR(VLOOKUP($B36,MMWR_TRAD_AGG_RO_COMP[],K$1,0),"ERROR")</f>
        <v>1857</v>
      </c>
      <c r="L36" s="226">
        <f>IFERROR(VLOOKUP($B36,MMWR_TRAD_AGG_RO_COMP[],L$1,0),"ERROR")</f>
        <v>758</v>
      </c>
      <c r="M36" s="223">
        <f t="shared" si="2"/>
        <v>0.40818524501884762</v>
      </c>
      <c r="N36" s="225">
        <f>IFERROR(VLOOKUP($B36,MMWR_TRAD_AGG_RO_COMP[],N$1,0),"ERROR")</f>
        <v>1025</v>
      </c>
      <c r="O36" s="226">
        <f>IFERROR(VLOOKUP($B36,MMWR_TRAD_AGG_RO_COMP[],O$1,0),"ERROR")</f>
        <v>624</v>
      </c>
      <c r="P36" s="223">
        <f t="shared" si="3"/>
        <v>0.60878048780487803</v>
      </c>
      <c r="Q36" s="227">
        <f>IFERROR(VLOOKUP($B36,MMWR_TRAD_AGG_RO_COMP[],Q$1,0),"ERROR")</f>
        <v>41</v>
      </c>
      <c r="R36" s="227">
        <f>IFERROR(VLOOKUP($B36,MMWR_TRAD_AGG_RO_COMP[],R$1,0),"ERROR")</f>
        <v>0</v>
      </c>
      <c r="S36" s="201">
        <f>IFERROR(VLOOKUP($B36,MMWR_APP_RO[],S$1,0),"ERROR")</f>
        <v>3727</v>
      </c>
      <c r="T36" s="28"/>
    </row>
    <row r="37" spans="1:20" x14ac:dyDescent="0.2">
      <c r="A37" s="28"/>
      <c r="B37" s="116" t="s">
        <v>81</v>
      </c>
      <c r="C37" s="228">
        <f>IFERROR(VLOOKUP($B37,MMWR_TRAD_AGG_RO_COMP[],C$1,0),"ERROR")</f>
        <v>1540</v>
      </c>
      <c r="D37" s="229">
        <f>IFERROR(VLOOKUP($B37,MMWR_TRAD_AGG_RO_COMP[],D$1,0),"ERROR")</f>
        <v>190.3032467532</v>
      </c>
      <c r="E37" s="230">
        <f>IFERROR(VLOOKUP($B37,MMWR_TRAD_AGG_RO_COMP[],E$1,0),"ERROR")</f>
        <v>2158</v>
      </c>
      <c r="F37" s="231">
        <f>IFERROR(VLOOKUP($B37,MMWR_TRAD_AGG_RO_COMP[],F$1,0),"ERROR")</f>
        <v>390</v>
      </c>
      <c r="G37" s="232">
        <f t="shared" si="0"/>
        <v>0.18072289156626506</v>
      </c>
      <c r="H37" s="233">
        <f>IFERROR(VLOOKUP($B37,MMWR_TRAD_AGG_RO_COMP[],H$1,0),"ERROR")</f>
        <v>2186</v>
      </c>
      <c r="I37" s="231">
        <f>IFERROR(VLOOKUP($B37,MMWR_TRAD_AGG_RO_COMP[],I$1,0),"ERROR")</f>
        <v>1095</v>
      </c>
      <c r="J37" s="232">
        <f t="shared" si="1"/>
        <v>0.50091491308325709</v>
      </c>
      <c r="K37" s="234">
        <f>IFERROR(VLOOKUP($B37,MMWR_TRAD_AGG_RO_COMP[],K$1,0),"ERROR")</f>
        <v>967</v>
      </c>
      <c r="L37" s="235">
        <f>IFERROR(VLOOKUP($B37,MMWR_TRAD_AGG_RO_COMP[],L$1,0),"ERROR")</f>
        <v>505</v>
      </c>
      <c r="M37" s="232">
        <f t="shared" si="2"/>
        <v>0.52223371251292661</v>
      </c>
      <c r="N37" s="234">
        <f>IFERROR(VLOOKUP($B37,MMWR_TRAD_AGG_RO_COMP[],N$1,0),"ERROR")</f>
        <v>237</v>
      </c>
      <c r="O37" s="235">
        <f>IFERROR(VLOOKUP($B37,MMWR_TRAD_AGG_RO_COMP[],O$1,0),"ERROR")</f>
        <v>108</v>
      </c>
      <c r="P37" s="232">
        <f t="shared" si="3"/>
        <v>0.45569620253164556</v>
      </c>
      <c r="Q37" s="236">
        <f>IFERROR(VLOOKUP($B37,MMWR_TRAD_AGG_RO_COMP[],Q$1,0),"ERROR")</f>
        <v>0</v>
      </c>
      <c r="R37" s="236">
        <f>IFERROR(VLOOKUP($B37,MMWR_TRAD_AGG_RO_COMP[],R$1,0),"ERROR")</f>
        <v>6</v>
      </c>
      <c r="S37" s="201">
        <f>IFERROR(VLOOKUP($B37,MMWR_APP_RO[],S$1,0),"ERROR")</f>
        <v>1246</v>
      </c>
      <c r="T37" s="28"/>
    </row>
    <row r="38" spans="1:20" x14ac:dyDescent="0.2">
      <c r="A38" s="28"/>
      <c r="B38" s="101" t="s">
        <v>386</v>
      </c>
      <c r="C38" s="212">
        <f>IFERROR(VLOOKUP($B38,MMWR_TRAD_AGG_DISTRICT_COMP[],C$1,0),"ERROR")</f>
        <v>44911</v>
      </c>
      <c r="D38" s="197">
        <f>IFERROR(VLOOKUP($B38,MMWR_TRAD_AGG_DISTRICT_COMP[],D$1,0),"ERROR")</f>
        <v>365.09020061899997</v>
      </c>
      <c r="E38" s="213">
        <f>IFERROR(VLOOKUP($B38,MMWR_TRAD_AGG_DISTRICT_COMP[],E$1,0),"ERROR")</f>
        <v>62584</v>
      </c>
      <c r="F38" s="218">
        <f>IFERROR(VLOOKUP($B38,MMWR_TRAD_AGG_DISTRICT_COMP[],F$1,0),"ERROR")</f>
        <v>15103</v>
      </c>
      <c r="G38" s="214">
        <f t="shared" si="0"/>
        <v>0.24132366099961652</v>
      </c>
      <c r="H38" s="218">
        <f>IFERROR(VLOOKUP($B38,MMWR_TRAD_AGG_DISTRICT_COMP[],H$1,0),"ERROR")</f>
        <v>69213</v>
      </c>
      <c r="I38" s="218">
        <f>IFERROR(VLOOKUP($B38,MMWR_TRAD_AGG_DISTRICT_COMP[],I$1,0),"ERROR")</f>
        <v>44715</v>
      </c>
      <c r="J38" s="214">
        <f t="shared" si="1"/>
        <v>0.64604915261583806</v>
      </c>
      <c r="K38" s="212">
        <f>IFERROR(VLOOKUP($B38,MMWR_TRAD_AGG_DISTRICT_COMP[],K$1,0),"ERROR")</f>
        <v>19663</v>
      </c>
      <c r="L38" s="212">
        <f>IFERROR(VLOOKUP($B38,MMWR_TRAD_AGG_DISTRICT_COMP[],L$1,0),"ERROR")</f>
        <v>14267</v>
      </c>
      <c r="M38" s="214">
        <f t="shared" si="2"/>
        <v>0.72557595483903781</v>
      </c>
      <c r="N38" s="212">
        <f>IFERROR(VLOOKUP($B38,MMWR_TRAD_AGG_DISTRICT_COMP[],N$1,0),"ERROR")</f>
        <v>16981</v>
      </c>
      <c r="O38" s="212">
        <f>IFERROR(VLOOKUP($B38,MMWR_TRAD_AGG_DISTRICT_COMP[],O$1,0),"ERROR")</f>
        <v>9350</v>
      </c>
      <c r="P38" s="214">
        <f t="shared" si="3"/>
        <v>0.55061539367528411</v>
      </c>
      <c r="Q38" s="212">
        <f>IFERROR(VLOOKUP($B38,MMWR_TRAD_AGG_DISTRICT_COMP[],Q$1,0),"ERROR")</f>
        <v>51</v>
      </c>
      <c r="R38" s="215">
        <f>IFERROR(VLOOKUP($B38,MMWR_TRAD_AGG_DISTRICT_COMP[],R$1,0),"ERROR")</f>
        <v>1132</v>
      </c>
      <c r="S38" s="215">
        <f>IFERROR(VLOOKUP($B38,MMWR_APP_RO[],S$1,0),"ERROR")</f>
        <v>68493</v>
      </c>
      <c r="T38" s="28"/>
    </row>
    <row r="39" spans="1:20" x14ac:dyDescent="0.2">
      <c r="A39" s="28"/>
      <c r="B39" s="108" t="s">
        <v>36</v>
      </c>
      <c r="C39" s="219">
        <f>IFERROR(VLOOKUP($B39,MMWR_TRAD_AGG_RO_COMP[],C$1,0),"ERROR")</f>
        <v>262</v>
      </c>
      <c r="D39" s="220">
        <f>IFERROR(VLOOKUP($B39,MMWR_TRAD_AGG_RO_COMP[],D$1,0),"ERROR")</f>
        <v>241.96183206110001</v>
      </c>
      <c r="E39" s="221">
        <f>IFERROR(VLOOKUP($B39,MMWR_TRAD_AGG_RO_COMP[],E$1,0),"ERROR")</f>
        <v>689</v>
      </c>
      <c r="F39" s="222">
        <f>IFERROR(VLOOKUP($B39,MMWR_TRAD_AGG_RO_COMP[],F$1,0),"ERROR")</f>
        <v>109</v>
      </c>
      <c r="G39" s="223">
        <f t="shared" si="0"/>
        <v>0.15820029027576196</v>
      </c>
      <c r="H39" s="224">
        <f>IFERROR(VLOOKUP($B39,MMWR_TRAD_AGG_RO_COMP[],H$1,0),"ERROR")</f>
        <v>472</v>
      </c>
      <c r="I39" s="222">
        <f>IFERROR(VLOOKUP($B39,MMWR_TRAD_AGG_RO_COMP[],I$1,0),"ERROR")</f>
        <v>247</v>
      </c>
      <c r="J39" s="223">
        <f t="shared" si="1"/>
        <v>0.52330508474576276</v>
      </c>
      <c r="K39" s="225">
        <f>IFERROR(VLOOKUP($B39,MMWR_TRAD_AGG_RO_COMP[],K$1,0),"ERROR")</f>
        <v>165</v>
      </c>
      <c r="L39" s="226">
        <f>IFERROR(VLOOKUP($B39,MMWR_TRAD_AGG_RO_COMP[],L$1,0),"ERROR")</f>
        <v>104</v>
      </c>
      <c r="M39" s="223">
        <f t="shared" si="2"/>
        <v>0.63030303030303025</v>
      </c>
      <c r="N39" s="225">
        <f>IFERROR(VLOOKUP($B39,MMWR_TRAD_AGG_RO_COMP[],N$1,0),"ERROR")</f>
        <v>111</v>
      </c>
      <c r="O39" s="226">
        <f>IFERROR(VLOOKUP($B39,MMWR_TRAD_AGG_RO_COMP[],O$1,0),"ERROR")</f>
        <v>41</v>
      </c>
      <c r="P39" s="223">
        <f t="shared" si="3"/>
        <v>0.36936936936936937</v>
      </c>
      <c r="Q39" s="227">
        <f>IFERROR(VLOOKUP($B39,MMWR_TRAD_AGG_RO_COMP[],Q$1,0),"ERROR")</f>
        <v>2</v>
      </c>
      <c r="R39" s="227">
        <f>IFERROR(VLOOKUP($B39,MMWR_TRAD_AGG_RO_COMP[],R$1,0),"ERROR")</f>
        <v>4</v>
      </c>
      <c r="S39" s="201">
        <f>IFERROR(VLOOKUP($B39,MMWR_APP_RO[],S$1,0),"ERROR")</f>
        <v>168</v>
      </c>
      <c r="T39" s="28"/>
    </row>
    <row r="40" spans="1:20" x14ac:dyDescent="0.2">
      <c r="A40" s="28"/>
      <c r="B40" s="108" t="s">
        <v>40</v>
      </c>
      <c r="C40" s="219">
        <f>IFERROR(VLOOKUP($B40,MMWR_TRAD_AGG_RO_COMP[],C$1,0),"ERROR")</f>
        <v>6563</v>
      </c>
      <c r="D40" s="220">
        <f>IFERROR(VLOOKUP($B40,MMWR_TRAD_AGG_RO_COMP[],D$1,0),"ERROR")</f>
        <v>464.48240134090003</v>
      </c>
      <c r="E40" s="221">
        <f>IFERROR(VLOOKUP($B40,MMWR_TRAD_AGG_RO_COMP[],E$1,0),"ERROR")</f>
        <v>7892</v>
      </c>
      <c r="F40" s="222">
        <f>IFERROR(VLOOKUP($B40,MMWR_TRAD_AGG_RO_COMP[],F$1,0),"ERROR")</f>
        <v>2814</v>
      </c>
      <c r="G40" s="223">
        <f t="shared" si="0"/>
        <v>0.35656360871768877</v>
      </c>
      <c r="H40" s="224">
        <f>IFERROR(VLOOKUP($B40,MMWR_TRAD_AGG_RO_COMP[],H$1,0),"ERROR")</f>
        <v>8937</v>
      </c>
      <c r="I40" s="222">
        <f>IFERROR(VLOOKUP($B40,MMWR_TRAD_AGG_RO_COMP[],I$1,0),"ERROR")</f>
        <v>6205</v>
      </c>
      <c r="J40" s="223">
        <f t="shared" si="1"/>
        <v>0.69430457647980304</v>
      </c>
      <c r="K40" s="225">
        <f>IFERROR(VLOOKUP($B40,MMWR_TRAD_AGG_RO_COMP[],K$1,0),"ERROR")</f>
        <v>3424</v>
      </c>
      <c r="L40" s="226">
        <f>IFERROR(VLOOKUP($B40,MMWR_TRAD_AGG_RO_COMP[],L$1,0),"ERROR")</f>
        <v>2781</v>
      </c>
      <c r="M40" s="223">
        <f t="shared" si="2"/>
        <v>0.81220794392523366</v>
      </c>
      <c r="N40" s="225">
        <f>IFERROR(VLOOKUP($B40,MMWR_TRAD_AGG_RO_COMP[],N$1,0),"ERROR")</f>
        <v>820</v>
      </c>
      <c r="O40" s="226">
        <f>IFERROR(VLOOKUP($B40,MMWR_TRAD_AGG_RO_COMP[],O$1,0),"ERROR")</f>
        <v>491</v>
      </c>
      <c r="P40" s="223">
        <f t="shared" si="3"/>
        <v>0.59878048780487803</v>
      </c>
      <c r="Q40" s="227">
        <f>IFERROR(VLOOKUP($B40,MMWR_TRAD_AGG_RO_COMP[],Q$1,0),"ERROR")</f>
        <v>0</v>
      </c>
      <c r="R40" s="227">
        <f>IFERROR(VLOOKUP($B40,MMWR_TRAD_AGG_RO_COMP[],R$1,0),"ERROR")</f>
        <v>55</v>
      </c>
      <c r="S40" s="201">
        <f>IFERROR(VLOOKUP($B40,MMWR_APP_RO[],S$1,0),"ERROR")</f>
        <v>6466</v>
      </c>
      <c r="T40" s="28"/>
    </row>
    <row r="41" spans="1:20" x14ac:dyDescent="0.2">
      <c r="A41" s="28"/>
      <c r="B41" s="108" t="s">
        <v>181</v>
      </c>
      <c r="C41" s="219">
        <f>IFERROR(VLOOKUP($B41,MMWR_TRAD_AGG_RO_COMP[],C$1,0),"ERROR")</f>
        <v>291</v>
      </c>
      <c r="D41" s="220">
        <f>IFERROR(VLOOKUP($B41,MMWR_TRAD_AGG_RO_COMP[],D$1,0),"ERROR")</f>
        <v>130.85223367699999</v>
      </c>
      <c r="E41" s="221">
        <f>IFERROR(VLOOKUP($B41,MMWR_TRAD_AGG_RO_COMP[],E$1,0),"ERROR")</f>
        <v>604</v>
      </c>
      <c r="F41" s="222">
        <f>IFERROR(VLOOKUP($B41,MMWR_TRAD_AGG_RO_COMP[],F$1,0),"ERROR")</f>
        <v>53</v>
      </c>
      <c r="G41" s="223">
        <f t="shared" si="0"/>
        <v>8.7748344370860931E-2</v>
      </c>
      <c r="H41" s="224">
        <f>IFERROR(VLOOKUP($B41,MMWR_TRAD_AGG_RO_COMP[],H$1,0),"ERROR")</f>
        <v>479</v>
      </c>
      <c r="I41" s="222">
        <f>IFERROR(VLOOKUP($B41,MMWR_TRAD_AGG_RO_COMP[],I$1,0),"ERROR")</f>
        <v>122</v>
      </c>
      <c r="J41" s="223">
        <f t="shared" si="1"/>
        <v>0.25469728601252611</v>
      </c>
      <c r="K41" s="225">
        <f>IFERROR(VLOOKUP($B41,MMWR_TRAD_AGG_RO_COMP[],K$1,0),"ERROR")</f>
        <v>439</v>
      </c>
      <c r="L41" s="226">
        <f>IFERROR(VLOOKUP($B41,MMWR_TRAD_AGG_RO_COMP[],L$1,0),"ERROR")</f>
        <v>259</v>
      </c>
      <c r="M41" s="223">
        <f t="shared" si="2"/>
        <v>0.58997722095671978</v>
      </c>
      <c r="N41" s="225">
        <f>IFERROR(VLOOKUP($B41,MMWR_TRAD_AGG_RO_COMP[],N$1,0),"ERROR")</f>
        <v>206</v>
      </c>
      <c r="O41" s="226">
        <f>IFERROR(VLOOKUP($B41,MMWR_TRAD_AGG_RO_COMP[],O$1,0),"ERROR")</f>
        <v>84</v>
      </c>
      <c r="P41" s="223">
        <f t="shared" si="3"/>
        <v>0.40776699029126212</v>
      </c>
      <c r="Q41" s="227">
        <f>IFERROR(VLOOKUP($B41,MMWR_TRAD_AGG_RO_COMP[],Q$1,0),"ERROR")</f>
        <v>0</v>
      </c>
      <c r="R41" s="227">
        <f>IFERROR(VLOOKUP($B41,MMWR_TRAD_AGG_RO_COMP[],R$1,0),"ERROR")</f>
        <v>5</v>
      </c>
      <c r="S41" s="201">
        <f>IFERROR(VLOOKUP($B41,MMWR_APP_RO[],S$1,0),"ERROR")</f>
        <v>316</v>
      </c>
      <c r="T41" s="28"/>
    </row>
    <row r="42" spans="1:20" x14ac:dyDescent="0.2">
      <c r="A42" s="28"/>
      <c r="B42" s="108" t="s">
        <v>46</v>
      </c>
      <c r="C42" s="219">
        <f>IFERROR(VLOOKUP($B42,MMWR_TRAD_AGG_RO_COMP[],C$1,0),"ERROR")</f>
        <v>12241</v>
      </c>
      <c r="D42" s="220">
        <f>IFERROR(VLOOKUP($B42,MMWR_TRAD_AGG_RO_COMP[],D$1,0),"ERROR")</f>
        <v>365.62184462049999</v>
      </c>
      <c r="E42" s="221">
        <f>IFERROR(VLOOKUP($B42,MMWR_TRAD_AGG_RO_COMP[],E$1,0),"ERROR")</f>
        <v>16571</v>
      </c>
      <c r="F42" s="222">
        <f>IFERROR(VLOOKUP($B42,MMWR_TRAD_AGG_RO_COMP[],F$1,0),"ERROR")</f>
        <v>4265</v>
      </c>
      <c r="G42" s="223">
        <f t="shared" si="0"/>
        <v>0.25737734596584394</v>
      </c>
      <c r="H42" s="224">
        <f>IFERROR(VLOOKUP($B42,MMWR_TRAD_AGG_RO_COMP[],H$1,0),"ERROR")</f>
        <v>16493</v>
      </c>
      <c r="I42" s="222">
        <f>IFERROR(VLOOKUP($B42,MMWR_TRAD_AGG_RO_COMP[],I$1,0),"ERROR")</f>
        <v>11733</v>
      </c>
      <c r="J42" s="223">
        <f t="shared" si="1"/>
        <v>0.7113927120596617</v>
      </c>
      <c r="K42" s="225">
        <f>IFERROR(VLOOKUP($B42,MMWR_TRAD_AGG_RO_COMP[],K$1,0),"ERROR")</f>
        <v>3129</v>
      </c>
      <c r="L42" s="226">
        <f>IFERROR(VLOOKUP($B42,MMWR_TRAD_AGG_RO_COMP[],L$1,0),"ERROR")</f>
        <v>2494</v>
      </c>
      <c r="M42" s="223">
        <f t="shared" si="2"/>
        <v>0.79705976350271657</v>
      </c>
      <c r="N42" s="225">
        <f>IFERROR(VLOOKUP($B42,MMWR_TRAD_AGG_RO_COMP[],N$1,0),"ERROR")</f>
        <v>3513</v>
      </c>
      <c r="O42" s="226">
        <f>IFERROR(VLOOKUP($B42,MMWR_TRAD_AGG_RO_COMP[],O$1,0),"ERROR")</f>
        <v>2680</v>
      </c>
      <c r="P42" s="223">
        <f t="shared" si="3"/>
        <v>0.76288072872189017</v>
      </c>
      <c r="Q42" s="227">
        <f>IFERROR(VLOOKUP($B42,MMWR_TRAD_AGG_RO_COMP[],Q$1,0),"ERROR")</f>
        <v>1</v>
      </c>
      <c r="R42" s="227">
        <f>IFERROR(VLOOKUP($B42,MMWR_TRAD_AGG_RO_COMP[],R$1,0),"ERROR")</f>
        <v>236</v>
      </c>
      <c r="S42" s="201">
        <f>IFERROR(VLOOKUP($B42,MMWR_APP_RO[],S$1,0),"ERROR")</f>
        <v>20412</v>
      </c>
      <c r="T42" s="28"/>
    </row>
    <row r="43" spans="1:20" x14ac:dyDescent="0.2">
      <c r="A43" s="28"/>
      <c r="B43" s="108" t="s">
        <v>49</v>
      </c>
      <c r="C43" s="219">
        <f>IFERROR(VLOOKUP($B43,MMWR_TRAD_AGG_RO_COMP[],C$1,0),"ERROR")</f>
        <v>3567</v>
      </c>
      <c r="D43" s="220">
        <f>IFERROR(VLOOKUP($B43,MMWR_TRAD_AGG_RO_COMP[],D$1,0),"ERROR")</f>
        <v>417.28202971680003</v>
      </c>
      <c r="E43" s="221">
        <f>IFERROR(VLOOKUP($B43,MMWR_TRAD_AGG_RO_COMP[],E$1,0),"ERROR")</f>
        <v>4493</v>
      </c>
      <c r="F43" s="222">
        <f>IFERROR(VLOOKUP($B43,MMWR_TRAD_AGG_RO_COMP[],F$1,0),"ERROR")</f>
        <v>1508</v>
      </c>
      <c r="G43" s="223">
        <f t="shared" si="0"/>
        <v>0.33563320721121748</v>
      </c>
      <c r="H43" s="224">
        <f>IFERROR(VLOOKUP($B43,MMWR_TRAD_AGG_RO_COMP[],H$1,0),"ERROR")</f>
        <v>5712</v>
      </c>
      <c r="I43" s="222">
        <f>IFERROR(VLOOKUP($B43,MMWR_TRAD_AGG_RO_COMP[],I$1,0),"ERROR")</f>
        <v>4473</v>
      </c>
      <c r="J43" s="223">
        <f t="shared" si="1"/>
        <v>0.78308823529411764</v>
      </c>
      <c r="K43" s="225">
        <f>IFERROR(VLOOKUP($B43,MMWR_TRAD_AGG_RO_COMP[],K$1,0),"ERROR")</f>
        <v>2210</v>
      </c>
      <c r="L43" s="226">
        <f>IFERROR(VLOOKUP($B43,MMWR_TRAD_AGG_RO_COMP[],L$1,0),"ERROR")</f>
        <v>1787</v>
      </c>
      <c r="M43" s="223">
        <f t="shared" si="2"/>
        <v>0.80859728506787332</v>
      </c>
      <c r="N43" s="225">
        <f>IFERROR(VLOOKUP($B43,MMWR_TRAD_AGG_RO_COMP[],N$1,0),"ERROR")</f>
        <v>1258</v>
      </c>
      <c r="O43" s="226">
        <f>IFERROR(VLOOKUP($B43,MMWR_TRAD_AGG_RO_COMP[],O$1,0),"ERROR")</f>
        <v>902</v>
      </c>
      <c r="P43" s="223">
        <f t="shared" si="3"/>
        <v>0.71701112877583462</v>
      </c>
      <c r="Q43" s="227">
        <f>IFERROR(VLOOKUP($B43,MMWR_TRAD_AGG_RO_COMP[],Q$1,0),"ERROR")</f>
        <v>42</v>
      </c>
      <c r="R43" s="227">
        <f>IFERROR(VLOOKUP($B43,MMWR_TRAD_AGG_RO_COMP[],R$1,0),"ERROR")</f>
        <v>233</v>
      </c>
      <c r="S43" s="201">
        <f>IFERROR(VLOOKUP($B43,MMWR_APP_RO[],S$1,0),"ERROR")</f>
        <v>4708</v>
      </c>
      <c r="T43" s="28"/>
    </row>
    <row r="44" spans="1:20" x14ac:dyDescent="0.2">
      <c r="A44" s="28"/>
      <c r="B44" s="108" t="s">
        <v>51</v>
      </c>
      <c r="C44" s="219">
        <f>IFERROR(VLOOKUP($B44,MMWR_TRAD_AGG_RO_COMP[],C$1,0),"ERROR")</f>
        <v>3292</v>
      </c>
      <c r="D44" s="220">
        <f>IFERROR(VLOOKUP($B44,MMWR_TRAD_AGG_RO_COMP[],D$1,0),"ERROR")</f>
        <v>336.70473876059998</v>
      </c>
      <c r="E44" s="221">
        <f>IFERROR(VLOOKUP($B44,MMWR_TRAD_AGG_RO_COMP[],E$1,0),"ERROR")</f>
        <v>2866</v>
      </c>
      <c r="F44" s="222">
        <f>IFERROR(VLOOKUP($B44,MMWR_TRAD_AGG_RO_COMP[],F$1,0),"ERROR")</f>
        <v>538</v>
      </c>
      <c r="G44" s="223">
        <f t="shared" si="0"/>
        <v>0.18771807397069085</v>
      </c>
      <c r="H44" s="224">
        <f>IFERROR(VLOOKUP($B44,MMWR_TRAD_AGG_RO_COMP[],H$1,0),"ERROR")</f>
        <v>6879</v>
      </c>
      <c r="I44" s="222">
        <f>IFERROR(VLOOKUP($B44,MMWR_TRAD_AGG_RO_COMP[],I$1,0),"ERROR")</f>
        <v>3943</v>
      </c>
      <c r="J44" s="223">
        <f t="shared" si="1"/>
        <v>0.57319377816543104</v>
      </c>
      <c r="K44" s="225">
        <f>IFERROR(VLOOKUP($B44,MMWR_TRAD_AGG_RO_COMP[],K$1,0),"ERROR")</f>
        <v>3586</v>
      </c>
      <c r="L44" s="226">
        <f>IFERROR(VLOOKUP($B44,MMWR_TRAD_AGG_RO_COMP[],L$1,0),"ERROR")</f>
        <v>3019</v>
      </c>
      <c r="M44" s="223">
        <f t="shared" si="2"/>
        <v>0.84188510875627443</v>
      </c>
      <c r="N44" s="225">
        <f>IFERROR(VLOOKUP($B44,MMWR_TRAD_AGG_RO_COMP[],N$1,0),"ERROR")</f>
        <v>1539</v>
      </c>
      <c r="O44" s="226">
        <f>IFERROR(VLOOKUP($B44,MMWR_TRAD_AGG_RO_COMP[],O$1,0),"ERROR")</f>
        <v>900</v>
      </c>
      <c r="P44" s="223">
        <f t="shared" si="3"/>
        <v>0.58479532163742687</v>
      </c>
      <c r="Q44" s="227">
        <f>IFERROR(VLOOKUP($B44,MMWR_TRAD_AGG_RO_COMP[],Q$1,0),"ERROR")</f>
        <v>0</v>
      </c>
      <c r="R44" s="227">
        <f>IFERROR(VLOOKUP($B44,MMWR_TRAD_AGG_RO_COMP[],R$1,0),"ERROR")</f>
        <v>89</v>
      </c>
      <c r="S44" s="201">
        <f>IFERROR(VLOOKUP($B44,MMWR_APP_RO[],S$1,0),"ERROR")</f>
        <v>5273</v>
      </c>
      <c r="T44" s="28"/>
    </row>
    <row r="45" spans="1:20" x14ac:dyDescent="0.2">
      <c r="A45" s="28"/>
      <c r="B45" s="108" t="s">
        <v>27</v>
      </c>
      <c r="C45" s="219">
        <f>IFERROR(VLOOKUP($B45,MMWR_TRAD_AGG_RO_COMP[],C$1,0),"ERROR")</f>
        <v>1211</v>
      </c>
      <c r="D45" s="220">
        <f>IFERROR(VLOOKUP($B45,MMWR_TRAD_AGG_RO_COMP[],D$1,0),"ERROR")</f>
        <v>75.107349298100004</v>
      </c>
      <c r="E45" s="221">
        <f>IFERROR(VLOOKUP($B45,MMWR_TRAD_AGG_RO_COMP[],E$1,0),"ERROR")</f>
        <v>5280</v>
      </c>
      <c r="F45" s="222">
        <f>IFERROR(VLOOKUP($B45,MMWR_TRAD_AGG_RO_COMP[],F$1,0),"ERROR")</f>
        <v>772</v>
      </c>
      <c r="G45" s="223">
        <f t="shared" si="0"/>
        <v>0.14621212121212121</v>
      </c>
      <c r="H45" s="224">
        <f>IFERROR(VLOOKUP($B45,MMWR_TRAD_AGG_RO_COMP[],H$1,0),"ERROR")</f>
        <v>5420</v>
      </c>
      <c r="I45" s="222">
        <f>IFERROR(VLOOKUP($B45,MMWR_TRAD_AGG_RO_COMP[],I$1,0),"ERROR")</f>
        <v>2270</v>
      </c>
      <c r="J45" s="223">
        <f t="shared" si="1"/>
        <v>0.41881918819188191</v>
      </c>
      <c r="K45" s="225">
        <f>IFERROR(VLOOKUP($B45,MMWR_TRAD_AGG_RO_COMP[],K$1,0),"ERROR")</f>
        <v>1243</v>
      </c>
      <c r="L45" s="226">
        <f>IFERROR(VLOOKUP($B45,MMWR_TRAD_AGG_RO_COMP[],L$1,0),"ERROR")</f>
        <v>413</v>
      </c>
      <c r="M45" s="223">
        <f t="shared" si="2"/>
        <v>0.33226065969428803</v>
      </c>
      <c r="N45" s="225">
        <f>IFERROR(VLOOKUP($B45,MMWR_TRAD_AGG_RO_COMP[],N$1,0),"ERROR")</f>
        <v>1474</v>
      </c>
      <c r="O45" s="226">
        <f>IFERROR(VLOOKUP($B45,MMWR_TRAD_AGG_RO_COMP[],O$1,0),"ERROR")</f>
        <v>810</v>
      </c>
      <c r="P45" s="223">
        <f t="shared" si="3"/>
        <v>0.54952510176390779</v>
      </c>
      <c r="Q45" s="227">
        <f>IFERROR(VLOOKUP($B45,MMWR_TRAD_AGG_RO_COMP[],Q$1,0),"ERROR")</f>
        <v>0</v>
      </c>
      <c r="R45" s="227">
        <f>IFERROR(VLOOKUP($B45,MMWR_TRAD_AGG_RO_COMP[],R$1,0),"ERROR")</f>
        <v>49</v>
      </c>
      <c r="S45" s="201">
        <f>IFERROR(VLOOKUP($B45,MMWR_APP_RO[],S$1,0),"ERROR")</f>
        <v>4229</v>
      </c>
      <c r="T45" s="28"/>
    </row>
    <row r="46" spans="1:20" x14ac:dyDescent="0.2">
      <c r="A46" s="28"/>
      <c r="B46" s="108" t="s">
        <v>59</v>
      </c>
      <c r="C46" s="219">
        <f>IFERROR(VLOOKUP($B46,MMWR_TRAD_AGG_RO_COMP[],C$1,0),"ERROR")</f>
        <v>4054</v>
      </c>
      <c r="D46" s="220">
        <f>IFERROR(VLOOKUP($B46,MMWR_TRAD_AGG_RO_COMP[],D$1,0),"ERROR")</f>
        <v>453.10730143069998</v>
      </c>
      <c r="E46" s="221">
        <f>IFERROR(VLOOKUP($B46,MMWR_TRAD_AGG_RO_COMP[],E$1,0),"ERROR")</f>
        <v>5242</v>
      </c>
      <c r="F46" s="222">
        <f>IFERROR(VLOOKUP($B46,MMWR_TRAD_AGG_RO_COMP[],F$1,0),"ERROR")</f>
        <v>1348</v>
      </c>
      <c r="G46" s="223">
        <f t="shared" si="0"/>
        <v>0.2571537581075925</v>
      </c>
      <c r="H46" s="224">
        <f>IFERROR(VLOOKUP($B46,MMWR_TRAD_AGG_RO_COMP[],H$1,0),"ERROR")</f>
        <v>5511</v>
      </c>
      <c r="I46" s="222">
        <f>IFERROR(VLOOKUP($B46,MMWR_TRAD_AGG_RO_COMP[],I$1,0),"ERROR")</f>
        <v>3713</v>
      </c>
      <c r="J46" s="223">
        <f t="shared" si="1"/>
        <v>0.67374342224641626</v>
      </c>
      <c r="K46" s="225">
        <f>IFERROR(VLOOKUP($B46,MMWR_TRAD_AGG_RO_COMP[],K$1,0),"ERROR")</f>
        <v>965</v>
      </c>
      <c r="L46" s="226">
        <f>IFERROR(VLOOKUP($B46,MMWR_TRAD_AGG_RO_COMP[],L$1,0),"ERROR")</f>
        <v>660</v>
      </c>
      <c r="M46" s="223">
        <f t="shared" si="2"/>
        <v>0.68393782383419688</v>
      </c>
      <c r="N46" s="225">
        <f>IFERROR(VLOOKUP($B46,MMWR_TRAD_AGG_RO_COMP[],N$1,0),"ERROR")</f>
        <v>1560</v>
      </c>
      <c r="O46" s="226">
        <f>IFERROR(VLOOKUP($B46,MMWR_TRAD_AGG_RO_COMP[],O$1,0),"ERROR")</f>
        <v>1077</v>
      </c>
      <c r="P46" s="223">
        <f t="shared" si="3"/>
        <v>0.69038461538461537</v>
      </c>
      <c r="Q46" s="227">
        <f>IFERROR(VLOOKUP($B46,MMWR_TRAD_AGG_RO_COMP[],Q$1,0),"ERROR")</f>
        <v>2</v>
      </c>
      <c r="R46" s="227">
        <f>IFERROR(VLOOKUP($B46,MMWR_TRAD_AGG_RO_COMP[],R$1,0),"ERROR")</f>
        <v>267</v>
      </c>
      <c r="S46" s="201">
        <f>IFERROR(VLOOKUP($B46,MMWR_APP_RO[],S$1,0),"ERROR")</f>
        <v>5902</v>
      </c>
      <c r="T46" s="28"/>
    </row>
    <row r="47" spans="1:20" x14ac:dyDescent="0.2">
      <c r="A47" s="28"/>
      <c r="B47" s="108" t="s">
        <v>70</v>
      </c>
      <c r="C47" s="219">
        <f>IFERROR(VLOOKUP($B47,MMWR_TRAD_AGG_RO_COMP[],C$1,0),"ERROR")</f>
        <v>3485</v>
      </c>
      <c r="D47" s="220">
        <f>IFERROR(VLOOKUP($B47,MMWR_TRAD_AGG_RO_COMP[],D$1,0),"ERROR")</f>
        <v>269.31965566709999</v>
      </c>
      <c r="E47" s="221">
        <f>IFERROR(VLOOKUP($B47,MMWR_TRAD_AGG_RO_COMP[],E$1,0),"ERROR")</f>
        <v>2295</v>
      </c>
      <c r="F47" s="222">
        <f>IFERROR(VLOOKUP($B47,MMWR_TRAD_AGG_RO_COMP[],F$1,0),"ERROR")</f>
        <v>608</v>
      </c>
      <c r="G47" s="223">
        <f t="shared" si="0"/>
        <v>0.26492374727668844</v>
      </c>
      <c r="H47" s="224">
        <f>IFERROR(VLOOKUP($B47,MMWR_TRAD_AGG_RO_COMP[],H$1,0),"ERROR")</f>
        <v>7071</v>
      </c>
      <c r="I47" s="222">
        <f>IFERROR(VLOOKUP($B47,MMWR_TRAD_AGG_RO_COMP[],I$1,0),"ERROR")</f>
        <v>4641</v>
      </c>
      <c r="J47" s="223">
        <f t="shared" si="1"/>
        <v>0.65634280865507</v>
      </c>
      <c r="K47" s="225">
        <f>IFERROR(VLOOKUP($B47,MMWR_TRAD_AGG_RO_COMP[],K$1,0),"ERROR")</f>
        <v>932</v>
      </c>
      <c r="L47" s="226">
        <f>IFERROR(VLOOKUP($B47,MMWR_TRAD_AGG_RO_COMP[],L$1,0),"ERROR")</f>
        <v>579</v>
      </c>
      <c r="M47" s="223">
        <f t="shared" si="2"/>
        <v>0.621244635193133</v>
      </c>
      <c r="N47" s="225">
        <f>IFERROR(VLOOKUP($B47,MMWR_TRAD_AGG_RO_COMP[],N$1,0),"ERROR")</f>
        <v>365</v>
      </c>
      <c r="O47" s="226">
        <f>IFERROR(VLOOKUP($B47,MMWR_TRAD_AGG_RO_COMP[],O$1,0),"ERROR")</f>
        <v>166</v>
      </c>
      <c r="P47" s="223">
        <f t="shared" si="3"/>
        <v>0.45479452054794522</v>
      </c>
      <c r="Q47" s="227">
        <f>IFERROR(VLOOKUP($B47,MMWR_TRAD_AGG_RO_COMP[],Q$1,0),"ERROR")</f>
        <v>0</v>
      </c>
      <c r="R47" s="227">
        <f>IFERROR(VLOOKUP($B47,MMWR_TRAD_AGG_RO_COMP[],R$1,0),"ERROR")</f>
        <v>2</v>
      </c>
      <c r="S47" s="201">
        <f>IFERROR(VLOOKUP($B47,MMWR_APP_RO[],S$1,0),"ERROR")</f>
        <v>959</v>
      </c>
      <c r="T47" s="28"/>
    </row>
    <row r="48" spans="1:20" x14ac:dyDescent="0.2">
      <c r="A48" s="28"/>
      <c r="B48" s="116" t="s">
        <v>79</v>
      </c>
      <c r="C48" s="228">
        <f>IFERROR(VLOOKUP($B48,MMWR_TRAD_AGG_RO_COMP[],C$1,0),"ERROR")</f>
        <v>9945</v>
      </c>
      <c r="D48" s="229">
        <f>IFERROR(VLOOKUP($B48,MMWR_TRAD_AGG_RO_COMP[],D$1,0),"ERROR")</f>
        <v>332.61045751630002</v>
      </c>
      <c r="E48" s="230">
        <f>IFERROR(VLOOKUP($B48,MMWR_TRAD_AGG_RO_COMP[],E$1,0),"ERROR")</f>
        <v>16652</v>
      </c>
      <c r="F48" s="231">
        <f>IFERROR(VLOOKUP($B48,MMWR_TRAD_AGG_RO_COMP[],F$1,0),"ERROR")</f>
        <v>3088</v>
      </c>
      <c r="G48" s="232">
        <f t="shared" si="0"/>
        <v>0.18544319000720635</v>
      </c>
      <c r="H48" s="233">
        <f>IFERROR(VLOOKUP($B48,MMWR_TRAD_AGG_RO_COMP[],H$1,0),"ERROR")</f>
        <v>12239</v>
      </c>
      <c r="I48" s="231">
        <f>IFERROR(VLOOKUP($B48,MMWR_TRAD_AGG_RO_COMP[],I$1,0),"ERROR")</f>
        <v>7368</v>
      </c>
      <c r="J48" s="232">
        <f t="shared" si="1"/>
        <v>0.60200996813465157</v>
      </c>
      <c r="K48" s="234">
        <f>IFERROR(VLOOKUP($B48,MMWR_TRAD_AGG_RO_COMP[],K$1,0),"ERROR")</f>
        <v>3570</v>
      </c>
      <c r="L48" s="235">
        <f>IFERROR(VLOOKUP($B48,MMWR_TRAD_AGG_RO_COMP[],L$1,0),"ERROR")</f>
        <v>2171</v>
      </c>
      <c r="M48" s="232">
        <f t="shared" si="2"/>
        <v>0.60812324929971984</v>
      </c>
      <c r="N48" s="234">
        <f>IFERROR(VLOOKUP($B48,MMWR_TRAD_AGG_RO_COMP[],N$1,0),"ERROR")</f>
        <v>6135</v>
      </c>
      <c r="O48" s="235">
        <f>IFERROR(VLOOKUP($B48,MMWR_TRAD_AGG_RO_COMP[],O$1,0),"ERROR")</f>
        <v>2199</v>
      </c>
      <c r="P48" s="232">
        <f t="shared" si="3"/>
        <v>0.35843520782396088</v>
      </c>
      <c r="Q48" s="236">
        <f>IFERROR(VLOOKUP($B48,MMWR_TRAD_AGG_RO_COMP[],Q$1,0),"ERROR")</f>
        <v>4</v>
      </c>
      <c r="R48" s="236">
        <f>IFERROR(VLOOKUP($B48,MMWR_TRAD_AGG_RO_COMP[],R$1,0),"ERROR")</f>
        <v>192</v>
      </c>
      <c r="S48" s="201">
        <f>IFERROR(VLOOKUP($B48,MMWR_APP_RO[],S$1,0),"ERROR")</f>
        <v>20060</v>
      </c>
      <c r="T48" s="28"/>
    </row>
    <row r="49" spans="1:20" x14ac:dyDescent="0.2">
      <c r="A49" s="28"/>
      <c r="B49" s="101" t="s">
        <v>405</v>
      </c>
      <c r="C49" s="212">
        <f>IFERROR(VLOOKUP($B49,MMWR_TRAD_AGG_DISTRICT_COMP[],C$1,0),"ERROR")</f>
        <v>50603</v>
      </c>
      <c r="D49" s="197">
        <f>IFERROR(VLOOKUP($B49,MMWR_TRAD_AGG_DISTRICT_COMP[],D$1,0),"ERROR")</f>
        <v>392.46123747600001</v>
      </c>
      <c r="E49" s="213">
        <f>IFERROR(VLOOKUP($B49,MMWR_TRAD_AGG_DISTRICT_COMP[],E$1,0),"ERROR")</f>
        <v>58708</v>
      </c>
      <c r="F49" s="218">
        <f>IFERROR(VLOOKUP($B49,MMWR_TRAD_AGG_DISTRICT_COMP[],F$1,0),"ERROR")</f>
        <v>12584</v>
      </c>
      <c r="G49" s="214">
        <f t="shared" si="0"/>
        <v>0.21434898139946856</v>
      </c>
      <c r="H49" s="218">
        <f>IFERROR(VLOOKUP($B49,MMWR_TRAD_AGG_DISTRICT_COMP[],H$1,0),"ERROR")</f>
        <v>75323</v>
      </c>
      <c r="I49" s="218">
        <f>IFERROR(VLOOKUP($B49,MMWR_TRAD_AGG_DISTRICT_COMP[],I$1,0),"ERROR")</f>
        <v>53018</v>
      </c>
      <c r="J49" s="214">
        <f t="shared" si="1"/>
        <v>0.70387531033017803</v>
      </c>
      <c r="K49" s="212">
        <f>IFERROR(VLOOKUP($B49,MMWR_TRAD_AGG_DISTRICT_COMP[],K$1,0),"ERROR")</f>
        <v>23644</v>
      </c>
      <c r="L49" s="212">
        <f>IFERROR(VLOOKUP($B49,MMWR_TRAD_AGG_DISTRICT_COMP[],L$1,0),"ERROR")</f>
        <v>18697</v>
      </c>
      <c r="M49" s="214">
        <f t="shared" si="2"/>
        <v>0.79077144307223823</v>
      </c>
      <c r="N49" s="212">
        <f>IFERROR(VLOOKUP($B49,MMWR_TRAD_AGG_DISTRICT_COMP[],N$1,0),"ERROR")</f>
        <v>19970</v>
      </c>
      <c r="O49" s="212">
        <f>IFERROR(VLOOKUP($B49,MMWR_TRAD_AGG_DISTRICT_COMP[],O$1,0),"ERROR")</f>
        <v>14619</v>
      </c>
      <c r="P49" s="214">
        <f t="shared" si="3"/>
        <v>0.73204807210816225</v>
      </c>
      <c r="Q49" s="212">
        <f>IFERROR(VLOOKUP($B49,MMWR_TRAD_AGG_DISTRICT_COMP[],Q$1,0),"ERROR")</f>
        <v>435</v>
      </c>
      <c r="R49" s="215">
        <f>IFERROR(VLOOKUP($B49,MMWR_TRAD_AGG_DISTRICT_COMP[],R$1,0),"ERROR")</f>
        <v>744</v>
      </c>
      <c r="S49" s="215">
        <f>IFERROR(VLOOKUP($B49,MMWR_APP_RO[],S$1,0),"ERROR")</f>
        <v>43048</v>
      </c>
      <c r="T49" s="28"/>
    </row>
    <row r="50" spans="1:20" x14ac:dyDescent="0.2">
      <c r="A50" s="28"/>
      <c r="B50" s="108" t="s">
        <v>31</v>
      </c>
      <c r="C50" s="219">
        <f>IFERROR(VLOOKUP($B50,MMWR_TRAD_AGG_RO_COMP[],C$1,0),"ERROR")</f>
        <v>782</v>
      </c>
      <c r="D50" s="220">
        <f>IFERROR(VLOOKUP($B50,MMWR_TRAD_AGG_RO_COMP[],D$1,0),"ERROR")</f>
        <v>142.45396419439999</v>
      </c>
      <c r="E50" s="221">
        <f>IFERROR(VLOOKUP($B50,MMWR_TRAD_AGG_RO_COMP[],E$1,0),"ERROR")</f>
        <v>2667</v>
      </c>
      <c r="F50" s="222">
        <f>IFERROR(VLOOKUP($B50,MMWR_TRAD_AGG_RO_COMP[],F$1,0),"ERROR")</f>
        <v>657</v>
      </c>
      <c r="G50" s="223">
        <f t="shared" si="0"/>
        <v>0.24634420697412823</v>
      </c>
      <c r="H50" s="224">
        <f>IFERROR(VLOOKUP($B50,MMWR_TRAD_AGG_RO_COMP[],H$1,0),"ERROR")</f>
        <v>1213</v>
      </c>
      <c r="I50" s="222">
        <f>IFERROR(VLOOKUP($B50,MMWR_TRAD_AGG_RO_COMP[],I$1,0),"ERROR")</f>
        <v>410</v>
      </c>
      <c r="J50" s="223">
        <f t="shared" si="1"/>
        <v>0.33800494641384998</v>
      </c>
      <c r="K50" s="225">
        <f>IFERROR(VLOOKUP($B50,MMWR_TRAD_AGG_RO_COMP[],K$1,0),"ERROR")</f>
        <v>250</v>
      </c>
      <c r="L50" s="226">
        <f>IFERROR(VLOOKUP($B50,MMWR_TRAD_AGG_RO_COMP[],L$1,0),"ERROR")</f>
        <v>115</v>
      </c>
      <c r="M50" s="223">
        <f t="shared" si="2"/>
        <v>0.46</v>
      </c>
      <c r="N50" s="225">
        <f>IFERROR(VLOOKUP($B50,MMWR_TRAD_AGG_RO_COMP[],N$1,0),"ERROR")</f>
        <v>442</v>
      </c>
      <c r="O50" s="226">
        <f>IFERROR(VLOOKUP($B50,MMWR_TRAD_AGG_RO_COMP[],O$1,0),"ERROR")</f>
        <v>281</v>
      </c>
      <c r="P50" s="223">
        <f t="shared" si="3"/>
        <v>0.63574660633484159</v>
      </c>
      <c r="Q50" s="227">
        <f>IFERROR(VLOOKUP($B50,MMWR_TRAD_AGG_RO_COMP[],Q$1,0),"ERROR")</f>
        <v>0</v>
      </c>
      <c r="R50" s="227">
        <f>IFERROR(VLOOKUP($B50,MMWR_TRAD_AGG_RO_COMP[],R$1,0),"ERROR")</f>
        <v>8</v>
      </c>
      <c r="S50" s="201">
        <f>IFERROR(VLOOKUP($B50,MMWR_APP_RO[],S$1,0),"ERROR")</f>
        <v>1653</v>
      </c>
      <c r="T50" s="28"/>
    </row>
    <row r="51" spans="1:20" x14ac:dyDescent="0.2">
      <c r="A51" s="28"/>
      <c r="B51" s="108" t="s">
        <v>32</v>
      </c>
      <c r="C51" s="219">
        <f>IFERROR(VLOOKUP($B51,MMWR_TRAD_AGG_RO_COMP[],C$1,0),"ERROR")</f>
        <v>2029</v>
      </c>
      <c r="D51" s="220">
        <f>IFERROR(VLOOKUP($B51,MMWR_TRAD_AGG_RO_COMP[],D$1,0),"ERROR")</f>
        <v>479.07737801870002</v>
      </c>
      <c r="E51" s="221">
        <f>IFERROR(VLOOKUP($B51,MMWR_TRAD_AGG_RO_COMP[],E$1,0),"ERROR")</f>
        <v>1109</v>
      </c>
      <c r="F51" s="222">
        <f>IFERROR(VLOOKUP($B51,MMWR_TRAD_AGG_RO_COMP[],F$1,0),"ERROR")</f>
        <v>300</v>
      </c>
      <c r="G51" s="223">
        <f t="shared" si="0"/>
        <v>0.27051397655545534</v>
      </c>
      <c r="H51" s="224">
        <f>IFERROR(VLOOKUP($B51,MMWR_TRAD_AGG_RO_COMP[],H$1,0),"ERROR")</f>
        <v>2720</v>
      </c>
      <c r="I51" s="222">
        <f>IFERROR(VLOOKUP($B51,MMWR_TRAD_AGG_RO_COMP[],I$1,0),"ERROR")</f>
        <v>2178</v>
      </c>
      <c r="J51" s="223">
        <f t="shared" si="1"/>
        <v>0.8007352941176471</v>
      </c>
      <c r="K51" s="225">
        <f>IFERROR(VLOOKUP($B51,MMWR_TRAD_AGG_RO_COMP[],K$1,0),"ERROR")</f>
        <v>2113</v>
      </c>
      <c r="L51" s="226">
        <f>IFERROR(VLOOKUP($B51,MMWR_TRAD_AGG_RO_COMP[],L$1,0),"ERROR")</f>
        <v>1803</v>
      </c>
      <c r="M51" s="223">
        <f t="shared" si="2"/>
        <v>0.85328916232844298</v>
      </c>
      <c r="N51" s="225">
        <f>IFERROR(VLOOKUP($B51,MMWR_TRAD_AGG_RO_COMP[],N$1,0),"ERROR")</f>
        <v>571</v>
      </c>
      <c r="O51" s="226">
        <f>IFERROR(VLOOKUP($B51,MMWR_TRAD_AGG_RO_COMP[],O$1,0),"ERROR")</f>
        <v>307</v>
      </c>
      <c r="P51" s="223">
        <f t="shared" si="3"/>
        <v>0.53765323992994751</v>
      </c>
      <c r="Q51" s="227">
        <f>IFERROR(VLOOKUP($B51,MMWR_TRAD_AGG_RO_COMP[],Q$1,0),"ERROR")</f>
        <v>0</v>
      </c>
      <c r="R51" s="227">
        <f>IFERROR(VLOOKUP($B51,MMWR_TRAD_AGG_RO_COMP[],R$1,0),"ERROR")</f>
        <v>4</v>
      </c>
      <c r="S51" s="201">
        <f>IFERROR(VLOOKUP($B51,MMWR_APP_RO[],S$1,0),"ERROR")</f>
        <v>201</v>
      </c>
      <c r="T51" s="28"/>
    </row>
    <row r="52" spans="1:20" x14ac:dyDescent="0.2">
      <c r="A52" s="28"/>
      <c r="B52" s="108" t="s">
        <v>34</v>
      </c>
      <c r="C52" s="219">
        <f>IFERROR(VLOOKUP($B52,MMWR_TRAD_AGG_RO_COMP[],C$1,0),"ERROR")</f>
        <v>249</v>
      </c>
      <c r="D52" s="220">
        <f>IFERROR(VLOOKUP($B52,MMWR_TRAD_AGG_RO_COMP[],D$1,0),"ERROR")</f>
        <v>53.313253011999997</v>
      </c>
      <c r="E52" s="221">
        <f>IFERROR(VLOOKUP($B52,MMWR_TRAD_AGG_RO_COMP[],E$1,0),"ERROR")</f>
        <v>1399</v>
      </c>
      <c r="F52" s="222">
        <f>IFERROR(VLOOKUP($B52,MMWR_TRAD_AGG_RO_COMP[],F$1,0),"ERROR")</f>
        <v>305</v>
      </c>
      <c r="G52" s="223">
        <f t="shared" si="0"/>
        <v>0.21801286633309508</v>
      </c>
      <c r="H52" s="224">
        <f>IFERROR(VLOOKUP($B52,MMWR_TRAD_AGG_RO_COMP[],H$1,0),"ERROR")</f>
        <v>408</v>
      </c>
      <c r="I52" s="222">
        <f>IFERROR(VLOOKUP($B52,MMWR_TRAD_AGG_RO_COMP[],I$1,0),"ERROR")</f>
        <v>40</v>
      </c>
      <c r="J52" s="223">
        <f t="shared" si="1"/>
        <v>9.8039215686274508E-2</v>
      </c>
      <c r="K52" s="225">
        <f>IFERROR(VLOOKUP($B52,MMWR_TRAD_AGG_RO_COMP[],K$1,0),"ERROR")</f>
        <v>91</v>
      </c>
      <c r="L52" s="226">
        <f>IFERROR(VLOOKUP($B52,MMWR_TRAD_AGG_RO_COMP[],L$1,0),"ERROR")</f>
        <v>34</v>
      </c>
      <c r="M52" s="223">
        <f t="shared" si="2"/>
        <v>0.37362637362637363</v>
      </c>
      <c r="N52" s="225">
        <f>IFERROR(VLOOKUP($B52,MMWR_TRAD_AGG_RO_COMP[],N$1,0),"ERROR")</f>
        <v>176</v>
      </c>
      <c r="O52" s="226">
        <f>IFERROR(VLOOKUP($B52,MMWR_TRAD_AGG_RO_COMP[],O$1,0),"ERROR")</f>
        <v>67</v>
      </c>
      <c r="P52" s="223">
        <f t="shared" si="3"/>
        <v>0.38068181818181818</v>
      </c>
      <c r="Q52" s="227">
        <f>IFERROR(VLOOKUP($B52,MMWR_TRAD_AGG_RO_COMP[],Q$1,0),"ERROR")</f>
        <v>0</v>
      </c>
      <c r="R52" s="227">
        <f>IFERROR(VLOOKUP($B52,MMWR_TRAD_AGG_RO_COMP[],R$1,0),"ERROR")</f>
        <v>4</v>
      </c>
      <c r="S52" s="201">
        <f>IFERROR(VLOOKUP($B52,MMWR_APP_RO[],S$1,0),"ERROR")</f>
        <v>897</v>
      </c>
      <c r="T52" s="28"/>
    </row>
    <row r="53" spans="1:20" x14ac:dyDescent="0.2">
      <c r="A53" s="28"/>
      <c r="B53" s="108" t="s">
        <v>45</v>
      </c>
      <c r="C53" s="219">
        <f>IFERROR(VLOOKUP($B53,MMWR_TRAD_AGG_RO_COMP[],C$1,0),"ERROR")</f>
        <v>1478</v>
      </c>
      <c r="D53" s="220">
        <f>IFERROR(VLOOKUP($B53,MMWR_TRAD_AGG_RO_COMP[],D$1,0),"ERROR")</f>
        <v>257.8098782138</v>
      </c>
      <c r="E53" s="221">
        <f>IFERROR(VLOOKUP($B53,MMWR_TRAD_AGG_RO_COMP[],E$1,0),"ERROR")</f>
        <v>2010</v>
      </c>
      <c r="F53" s="222">
        <f>IFERROR(VLOOKUP($B53,MMWR_TRAD_AGG_RO_COMP[],F$1,0),"ERROR")</f>
        <v>328</v>
      </c>
      <c r="G53" s="223">
        <f t="shared" si="0"/>
        <v>0.16318407960199005</v>
      </c>
      <c r="H53" s="224">
        <f>IFERROR(VLOOKUP($B53,MMWR_TRAD_AGG_RO_COMP[],H$1,0),"ERROR")</f>
        <v>1843</v>
      </c>
      <c r="I53" s="222">
        <f>IFERROR(VLOOKUP($B53,MMWR_TRAD_AGG_RO_COMP[],I$1,0),"ERROR")</f>
        <v>1151</v>
      </c>
      <c r="J53" s="223">
        <f t="shared" si="1"/>
        <v>0.62452523060227894</v>
      </c>
      <c r="K53" s="225">
        <f>IFERROR(VLOOKUP($B53,MMWR_TRAD_AGG_RO_COMP[],K$1,0),"ERROR")</f>
        <v>1067</v>
      </c>
      <c r="L53" s="226">
        <f>IFERROR(VLOOKUP($B53,MMWR_TRAD_AGG_RO_COMP[],L$1,0),"ERROR")</f>
        <v>648</v>
      </c>
      <c r="M53" s="223">
        <f t="shared" si="2"/>
        <v>0.6073102155576382</v>
      </c>
      <c r="N53" s="225">
        <f>IFERROR(VLOOKUP($B53,MMWR_TRAD_AGG_RO_COMP[],N$1,0),"ERROR")</f>
        <v>254</v>
      </c>
      <c r="O53" s="226">
        <f>IFERROR(VLOOKUP($B53,MMWR_TRAD_AGG_RO_COMP[],O$1,0),"ERROR")</f>
        <v>116</v>
      </c>
      <c r="P53" s="223">
        <f t="shared" si="3"/>
        <v>0.45669291338582679</v>
      </c>
      <c r="Q53" s="227">
        <f>IFERROR(VLOOKUP($B53,MMWR_TRAD_AGG_RO_COMP[],Q$1,0),"ERROR")</f>
        <v>0</v>
      </c>
      <c r="R53" s="227">
        <f>IFERROR(VLOOKUP($B53,MMWR_TRAD_AGG_RO_COMP[],R$1,0),"ERROR")</f>
        <v>1</v>
      </c>
      <c r="S53" s="201">
        <f>IFERROR(VLOOKUP($B53,MMWR_APP_RO[],S$1,0),"ERROR")</f>
        <v>1516</v>
      </c>
      <c r="T53" s="28"/>
    </row>
    <row r="54" spans="1:20" x14ac:dyDescent="0.2">
      <c r="A54" s="28"/>
      <c r="B54" s="108" t="s">
        <v>52</v>
      </c>
      <c r="C54" s="219">
        <f>IFERROR(VLOOKUP($B54,MMWR_TRAD_AGG_RO_COMP[],C$1,0),"ERROR")</f>
        <v>7391</v>
      </c>
      <c r="D54" s="220">
        <f>IFERROR(VLOOKUP($B54,MMWR_TRAD_AGG_RO_COMP[],D$1,0),"ERROR")</f>
        <v>407.61398998779998</v>
      </c>
      <c r="E54" s="221">
        <f>IFERROR(VLOOKUP($B54,MMWR_TRAD_AGG_RO_COMP[],E$1,0),"ERROR")</f>
        <v>9566</v>
      </c>
      <c r="F54" s="222">
        <f>IFERROR(VLOOKUP($B54,MMWR_TRAD_AGG_RO_COMP[],F$1,0),"ERROR")</f>
        <v>2015</v>
      </c>
      <c r="G54" s="223">
        <f t="shared" si="0"/>
        <v>0.2106418565753711</v>
      </c>
      <c r="H54" s="224">
        <f>IFERROR(VLOOKUP($B54,MMWR_TRAD_AGG_RO_COMP[],H$1,0),"ERROR")</f>
        <v>8954</v>
      </c>
      <c r="I54" s="222">
        <f>IFERROR(VLOOKUP($B54,MMWR_TRAD_AGG_RO_COMP[],I$1,0),"ERROR")</f>
        <v>6830</v>
      </c>
      <c r="J54" s="223">
        <f t="shared" si="1"/>
        <v>0.76278758096939914</v>
      </c>
      <c r="K54" s="225">
        <f>IFERROR(VLOOKUP($B54,MMWR_TRAD_AGG_RO_COMP[],K$1,0),"ERROR")</f>
        <v>1038</v>
      </c>
      <c r="L54" s="226">
        <f>IFERROR(VLOOKUP($B54,MMWR_TRAD_AGG_RO_COMP[],L$1,0),"ERROR")</f>
        <v>893</v>
      </c>
      <c r="M54" s="223">
        <f t="shared" si="2"/>
        <v>0.86030828516377644</v>
      </c>
      <c r="N54" s="225">
        <f>IFERROR(VLOOKUP($B54,MMWR_TRAD_AGG_RO_COMP[],N$1,0),"ERROR")</f>
        <v>4094</v>
      </c>
      <c r="O54" s="226">
        <f>IFERROR(VLOOKUP($B54,MMWR_TRAD_AGG_RO_COMP[],O$1,0),"ERROR")</f>
        <v>3329</v>
      </c>
      <c r="P54" s="223">
        <f t="shared" si="3"/>
        <v>0.81314118221787979</v>
      </c>
      <c r="Q54" s="227">
        <f>IFERROR(VLOOKUP($B54,MMWR_TRAD_AGG_RO_COMP[],Q$1,0),"ERROR")</f>
        <v>4</v>
      </c>
      <c r="R54" s="227">
        <f>IFERROR(VLOOKUP($B54,MMWR_TRAD_AGG_RO_COMP[],R$1,0),"ERROR")</f>
        <v>33</v>
      </c>
      <c r="S54" s="201">
        <f>IFERROR(VLOOKUP($B54,MMWR_APP_RO[],S$1,0),"ERROR")</f>
        <v>4940</v>
      </c>
      <c r="T54" s="28"/>
    </row>
    <row r="55" spans="1:20" x14ac:dyDescent="0.2">
      <c r="A55" s="28"/>
      <c r="B55" s="108" t="s">
        <v>55</v>
      </c>
      <c r="C55" s="219">
        <f>IFERROR(VLOOKUP($B55,MMWR_TRAD_AGG_RO_COMP[],C$1,0),"ERROR")</f>
        <v>692</v>
      </c>
      <c r="D55" s="220">
        <f>IFERROR(VLOOKUP($B55,MMWR_TRAD_AGG_RO_COMP[],D$1,0),"ERROR")</f>
        <v>185.8309248555</v>
      </c>
      <c r="E55" s="221">
        <f>IFERROR(VLOOKUP($B55,MMWR_TRAD_AGG_RO_COMP[],E$1,0),"ERROR")</f>
        <v>854</v>
      </c>
      <c r="F55" s="222">
        <f>IFERROR(VLOOKUP($B55,MMWR_TRAD_AGG_RO_COMP[],F$1,0),"ERROR")</f>
        <v>218</v>
      </c>
      <c r="G55" s="223">
        <f t="shared" si="0"/>
        <v>0.25526932084309134</v>
      </c>
      <c r="H55" s="224">
        <f>IFERROR(VLOOKUP($B55,MMWR_TRAD_AGG_RO_COMP[],H$1,0),"ERROR")</f>
        <v>805</v>
      </c>
      <c r="I55" s="222">
        <f>IFERROR(VLOOKUP($B55,MMWR_TRAD_AGG_RO_COMP[],I$1,0),"ERROR")</f>
        <v>423</v>
      </c>
      <c r="J55" s="223">
        <f t="shared" si="1"/>
        <v>0.52546583850931672</v>
      </c>
      <c r="K55" s="225">
        <f>IFERROR(VLOOKUP($B55,MMWR_TRAD_AGG_RO_COMP[],K$1,0),"ERROR")</f>
        <v>254</v>
      </c>
      <c r="L55" s="226">
        <f>IFERROR(VLOOKUP($B55,MMWR_TRAD_AGG_RO_COMP[],L$1,0),"ERROR")</f>
        <v>229</v>
      </c>
      <c r="M55" s="223">
        <f t="shared" si="2"/>
        <v>0.90157480314960625</v>
      </c>
      <c r="N55" s="225">
        <f>IFERROR(VLOOKUP($B55,MMWR_TRAD_AGG_RO_COMP[],N$1,0),"ERROR")</f>
        <v>468</v>
      </c>
      <c r="O55" s="226">
        <f>IFERROR(VLOOKUP($B55,MMWR_TRAD_AGG_RO_COMP[],O$1,0),"ERROR")</f>
        <v>350</v>
      </c>
      <c r="P55" s="223">
        <f t="shared" si="3"/>
        <v>0.74786324786324787</v>
      </c>
      <c r="Q55" s="227">
        <f>IFERROR(VLOOKUP($B55,MMWR_TRAD_AGG_RO_COMP[],Q$1,0),"ERROR")</f>
        <v>428</v>
      </c>
      <c r="R55" s="227">
        <f>IFERROR(VLOOKUP($B55,MMWR_TRAD_AGG_RO_COMP[],R$1,0),"ERROR")</f>
        <v>160</v>
      </c>
      <c r="S55" s="201">
        <f>IFERROR(VLOOKUP($B55,MMWR_APP_RO[],S$1,0),"ERROR")</f>
        <v>999</v>
      </c>
      <c r="T55" s="28"/>
    </row>
    <row r="56" spans="1:20" x14ac:dyDescent="0.2">
      <c r="A56" s="28"/>
      <c r="B56" s="108" t="s">
        <v>62</v>
      </c>
      <c r="C56" s="219">
        <f>IFERROR(VLOOKUP($B56,MMWR_TRAD_AGG_RO_COMP[],C$1,0),"ERROR")</f>
        <v>10059</v>
      </c>
      <c r="D56" s="220">
        <f>IFERROR(VLOOKUP($B56,MMWR_TRAD_AGG_RO_COMP[],D$1,0),"ERROR")</f>
        <v>442.9595387215</v>
      </c>
      <c r="E56" s="221">
        <f>IFERROR(VLOOKUP($B56,MMWR_TRAD_AGG_RO_COMP[],E$1,0),"ERROR")</f>
        <v>10966</v>
      </c>
      <c r="F56" s="222">
        <f>IFERROR(VLOOKUP($B56,MMWR_TRAD_AGG_RO_COMP[],F$1,0),"ERROR")</f>
        <v>2845</v>
      </c>
      <c r="G56" s="223">
        <f t="shared" si="0"/>
        <v>0.25943826372423856</v>
      </c>
      <c r="H56" s="224">
        <f>IFERROR(VLOOKUP($B56,MMWR_TRAD_AGG_RO_COMP[],H$1,0),"ERROR")</f>
        <v>13415</v>
      </c>
      <c r="I56" s="222">
        <f>IFERROR(VLOOKUP($B56,MMWR_TRAD_AGG_RO_COMP[],I$1,0),"ERROR")</f>
        <v>10404</v>
      </c>
      <c r="J56" s="223">
        <f t="shared" si="1"/>
        <v>0.77554975773388002</v>
      </c>
      <c r="K56" s="225">
        <f>IFERROR(VLOOKUP($B56,MMWR_TRAD_AGG_RO_COMP[],K$1,0),"ERROR")</f>
        <v>4000</v>
      </c>
      <c r="L56" s="226">
        <f>IFERROR(VLOOKUP($B56,MMWR_TRAD_AGG_RO_COMP[],L$1,0),"ERROR")</f>
        <v>3571</v>
      </c>
      <c r="M56" s="223">
        <f t="shared" si="2"/>
        <v>0.89275000000000004</v>
      </c>
      <c r="N56" s="225">
        <f>IFERROR(VLOOKUP($B56,MMWR_TRAD_AGG_RO_COMP[],N$1,0),"ERROR")</f>
        <v>2509</v>
      </c>
      <c r="O56" s="226">
        <f>IFERROR(VLOOKUP($B56,MMWR_TRAD_AGG_RO_COMP[],O$1,0),"ERROR")</f>
        <v>1944</v>
      </c>
      <c r="P56" s="223">
        <f t="shared" si="3"/>
        <v>0.77481068154643284</v>
      </c>
      <c r="Q56" s="227">
        <f>IFERROR(VLOOKUP($B56,MMWR_TRAD_AGG_RO_COMP[],Q$1,0),"ERROR")</f>
        <v>0</v>
      </c>
      <c r="R56" s="227">
        <f>IFERROR(VLOOKUP($B56,MMWR_TRAD_AGG_RO_COMP[],R$1,0),"ERROR")</f>
        <v>42</v>
      </c>
      <c r="S56" s="201">
        <f>IFERROR(VLOOKUP($B56,MMWR_APP_RO[],S$1,0),"ERROR")</f>
        <v>8547</v>
      </c>
      <c r="T56" s="28"/>
    </row>
    <row r="57" spans="1:20" x14ac:dyDescent="0.2">
      <c r="A57" s="28"/>
      <c r="B57" s="108" t="s">
        <v>64</v>
      </c>
      <c r="C57" s="219">
        <f>IFERROR(VLOOKUP($B57,MMWR_TRAD_AGG_RO_COMP[],C$1,0),"ERROR")</f>
        <v>3326</v>
      </c>
      <c r="D57" s="220">
        <f>IFERROR(VLOOKUP($B57,MMWR_TRAD_AGG_RO_COMP[],D$1,0),"ERROR")</f>
        <v>228.6262778112</v>
      </c>
      <c r="E57" s="221">
        <f>IFERROR(VLOOKUP($B57,MMWR_TRAD_AGG_RO_COMP[],E$1,0),"ERROR")</f>
        <v>3791</v>
      </c>
      <c r="F57" s="222">
        <f>IFERROR(VLOOKUP($B57,MMWR_TRAD_AGG_RO_COMP[],F$1,0),"ERROR")</f>
        <v>777</v>
      </c>
      <c r="G57" s="223">
        <f t="shared" si="0"/>
        <v>0.20495911369031919</v>
      </c>
      <c r="H57" s="224">
        <f>IFERROR(VLOOKUP($B57,MMWR_TRAD_AGG_RO_COMP[],H$1,0),"ERROR")</f>
        <v>4168</v>
      </c>
      <c r="I57" s="222">
        <f>IFERROR(VLOOKUP($B57,MMWR_TRAD_AGG_RO_COMP[],I$1,0),"ERROR")</f>
        <v>2250</v>
      </c>
      <c r="J57" s="223">
        <f t="shared" si="1"/>
        <v>0.53982725527831099</v>
      </c>
      <c r="K57" s="225">
        <f>IFERROR(VLOOKUP($B57,MMWR_TRAD_AGG_RO_COMP[],K$1,0),"ERROR")</f>
        <v>752</v>
      </c>
      <c r="L57" s="226">
        <f>IFERROR(VLOOKUP($B57,MMWR_TRAD_AGG_RO_COMP[],L$1,0),"ERROR")</f>
        <v>572</v>
      </c>
      <c r="M57" s="223">
        <f t="shared" si="2"/>
        <v>0.76063829787234039</v>
      </c>
      <c r="N57" s="225">
        <f>IFERROR(VLOOKUP($B57,MMWR_TRAD_AGG_RO_COMP[],N$1,0),"ERROR")</f>
        <v>1244</v>
      </c>
      <c r="O57" s="226">
        <f>IFERROR(VLOOKUP($B57,MMWR_TRAD_AGG_RO_COMP[],O$1,0),"ERROR")</f>
        <v>682</v>
      </c>
      <c r="P57" s="223">
        <f t="shared" si="3"/>
        <v>0.54823151125401925</v>
      </c>
      <c r="Q57" s="227">
        <f>IFERROR(VLOOKUP($B57,MMWR_TRAD_AGG_RO_COMP[],Q$1,0),"ERROR")</f>
        <v>0</v>
      </c>
      <c r="R57" s="227">
        <f>IFERROR(VLOOKUP($B57,MMWR_TRAD_AGG_RO_COMP[],R$1,0),"ERROR")</f>
        <v>68</v>
      </c>
      <c r="S57" s="201">
        <f>IFERROR(VLOOKUP($B57,MMWR_APP_RO[],S$1,0),"ERROR")</f>
        <v>7156</v>
      </c>
      <c r="T57" s="28"/>
    </row>
    <row r="58" spans="1:20" x14ac:dyDescent="0.2">
      <c r="A58" s="28"/>
      <c r="B58" s="108" t="s">
        <v>66</v>
      </c>
      <c r="C58" s="219">
        <f>IFERROR(VLOOKUP($B58,MMWR_TRAD_AGG_RO_COMP[],C$1,0),"ERROR")</f>
        <v>5878</v>
      </c>
      <c r="D58" s="220">
        <f>IFERROR(VLOOKUP($B58,MMWR_TRAD_AGG_RO_COMP[],D$1,0),"ERROR")</f>
        <v>473.59595100370001</v>
      </c>
      <c r="E58" s="221">
        <f>IFERROR(VLOOKUP($B58,MMWR_TRAD_AGG_RO_COMP[],E$1,0),"ERROR")</f>
        <v>4678</v>
      </c>
      <c r="F58" s="222">
        <f>IFERROR(VLOOKUP($B58,MMWR_TRAD_AGG_RO_COMP[],F$1,0),"ERROR")</f>
        <v>986</v>
      </c>
      <c r="G58" s="223">
        <f t="shared" si="0"/>
        <v>0.21077383497221033</v>
      </c>
      <c r="H58" s="224">
        <f>IFERROR(VLOOKUP($B58,MMWR_TRAD_AGG_RO_COMP[],H$1,0),"ERROR")</f>
        <v>7267</v>
      </c>
      <c r="I58" s="222">
        <f>IFERROR(VLOOKUP($B58,MMWR_TRAD_AGG_RO_COMP[],I$1,0),"ERROR")</f>
        <v>5587</v>
      </c>
      <c r="J58" s="223">
        <f t="shared" si="1"/>
        <v>0.76881794413100313</v>
      </c>
      <c r="K58" s="225">
        <f>IFERROR(VLOOKUP($B58,MMWR_TRAD_AGG_RO_COMP[],K$1,0),"ERROR")</f>
        <v>2878</v>
      </c>
      <c r="L58" s="226">
        <f>IFERROR(VLOOKUP($B58,MMWR_TRAD_AGG_RO_COMP[],L$1,0),"ERROR")</f>
        <v>2712</v>
      </c>
      <c r="M58" s="223">
        <f t="shared" si="2"/>
        <v>0.94232105628908969</v>
      </c>
      <c r="N58" s="225">
        <f>IFERROR(VLOOKUP($B58,MMWR_TRAD_AGG_RO_COMP[],N$1,0),"ERROR")</f>
        <v>2087</v>
      </c>
      <c r="O58" s="226">
        <f>IFERROR(VLOOKUP($B58,MMWR_TRAD_AGG_RO_COMP[],O$1,0),"ERROR")</f>
        <v>1393</v>
      </c>
      <c r="P58" s="223">
        <f t="shared" si="3"/>
        <v>0.66746526114039295</v>
      </c>
      <c r="Q58" s="227">
        <f>IFERROR(VLOOKUP($B58,MMWR_TRAD_AGG_RO_COMP[],Q$1,0),"ERROR")</f>
        <v>0</v>
      </c>
      <c r="R58" s="227">
        <f>IFERROR(VLOOKUP($B58,MMWR_TRAD_AGG_RO_COMP[],R$1,0),"ERROR")</f>
        <v>88</v>
      </c>
      <c r="S58" s="201">
        <f>IFERROR(VLOOKUP($B58,MMWR_APP_RO[],S$1,0),"ERROR")</f>
        <v>5171</v>
      </c>
      <c r="T58" s="28"/>
    </row>
    <row r="59" spans="1:20" x14ac:dyDescent="0.2">
      <c r="A59" s="28"/>
      <c r="B59" s="108" t="s">
        <v>68</v>
      </c>
      <c r="C59" s="219">
        <f>IFERROR(VLOOKUP($B59,MMWR_TRAD_AGG_RO_COMP[],C$1,0),"ERROR")</f>
        <v>2850</v>
      </c>
      <c r="D59" s="220">
        <f>IFERROR(VLOOKUP($B59,MMWR_TRAD_AGG_RO_COMP[],D$1,0),"ERROR")</f>
        <v>407.68456140350003</v>
      </c>
      <c r="E59" s="221">
        <f>IFERROR(VLOOKUP($B59,MMWR_TRAD_AGG_RO_COMP[],E$1,0),"ERROR")</f>
        <v>3904</v>
      </c>
      <c r="F59" s="222">
        <f>IFERROR(VLOOKUP($B59,MMWR_TRAD_AGG_RO_COMP[],F$1,0),"ERROR")</f>
        <v>940</v>
      </c>
      <c r="G59" s="223">
        <f t="shared" si="0"/>
        <v>0.24077868852459017</v>
      </c>
      <c r="H59" s="224">
        <f>IFERROR(VLOOKUP($B59,MMWR_TRAD_AGG_RO_COMP[],H$1,0),"ERROR")</f>
        <v>3450</v>
      </c>
      <c r="I59" s="222">
        <f>IFERROR(VLOOKUP($B59,MMWR_TRAD_AGG_RO_COMP[],I$1,0),"ERROR")</f>
        <v>2436</v>
      </c>
      <c r="J59" s="223">
        <f t="shared" si="1"/>
        <v>0.70608695652173914</v>
      </c>
      <c r="K59" s="225">
        <f>IFERROR(VLOOKUP($B59,MMWR_TRAD_AGG_RO_COMP[],K$1,0),"ERROR")</f>
        <v>608</v>
      </c>
      <c r="L59" s="226">
        <f>IFERROR(VLOOKUP($B59,MMWR_TRAD_AGG_RO_COMP[],L$1,0),"ERROR")</f>
        <v>486</v>
      </c>
      <c r="M59" s="223">
        <f t="shared" si="2"/>
        <v>0.79934210526315785</v>
      </c>
      <c r="N59" s="225">
        <f>IFERROR(VLOOKUP($B59,MMWR_TRAD_AGG_RO_COMP[],N$1,0),"ERROR")</f>
        <v>1230</v>
      </c>
      <c r="O59" s="226">
        <f>IFERROR(VLOOKUP($B59,MMWR_TRAD_AGG_RO_COMP[],O$1,0),"ERROR")</f>
        <v>920</v>
      </c>
      <c r="P59" s="223">
        <f t="shared" si="3"/>
        <v>0.74796747967479671</v>
      </c>
      <c r="Q59" s="227">
        <f>IFERROR(VLOOKUP($B59,MMWR_TRAD_AGG_RO_COMP[],Q$1,0),"ERROR")</f>
        <v>0</v>
      </c>
      <c r="R59" s="227">
        <f>IFERROR(VLOOKUP($B59,MMWR_TRAD_AGG_RO_COMP[],R$1,0),"ERROR")</f>
        <v>125</v>
      </c>
      <c r="S59" s="201">
        <f>IFERROR(VLOOKUP($B59,MMWR_APP_RO[],S$1,0),"ERROR")</f>
        <v>3110</v>
      </c>
      <c r="T59" s="28"/>
    </row>
    <row r="60" spans="1:20" x14ac:dyDescent="0.2">
      <c r="A60" s="28"/>
      <c r="B60" s="108" t="s">
        <v>71</v>
      </c>
      <c r="C60" s="219">
        <f>IFERROR(VLOOKUP($B60,MMWR_TRAD_AGG_RO_COMP[],C$1,0),"ERROR")</f>
        <v>5711</v>
      </c>
      <c r="D60" s="220">
        <f>IFERROR(VLOOKUP($B60,MMWR_TRAD_AGG_RO_COMP[],D$1,0),"ERROR")</f>
        <v>350.5526177552</v>
      </c>
      <c r="E60" s="221">
        <f>IFERROR(VLOOKUP($B60,MMWR_TRAD_AGG_RO_COMP[],E$1,0),"ERROR")</f>
        <v>10419</v>
      </c>
      <c r="F60" s="222">
        <f>IFERROR(VLOOKUP($B60,MMWR_TRAD_AGG_RO_COMP[],F$1,0),"ERROR")</f>
        <v>2113</v>
      </c>
      <c r="G60" s="223">
        <f t="shared" si="0"/>
        <v>0.20280257222382186</v>
      </c>
      <c r="H60" s="224">
        <f>IFERROR(VLOOKUP($B60,MMWR_TRAD_AGG_RO_COMP[],H$1,0),"ERROR")</f>
        <v>16178</v>
      </c>
      <c r="I60" s="222">
        <f>IFERROR(VLOOKUP($B60,MMWR_TRAD_AGG_RO_COMP[],I$1,0),"ERROR")</f>
        <v>10534</v>
      </c>
      <c r="J60" s="223">
        <f t="shared" si="1"/>
        <v>0.65113116578068986</v>
      </c>
      <c r="K60" s="225">
        <f>IFERROR(VLOOKUP($B60,MMWR_TRAD_AGG_RO_COMP[],K$1,0),"ERROR")</f>
        <v>6066</v>
      </c>
      <c r="L60" s="226">
        <f>IFERROR(VLOOKUP($B60,MMWR_TRAD_AGG_RO_COMP[],L$1,0),"ERROR")</f>
        <v>4206</v>
      </c>
      <c r="M60" s="223">
        <f t="shared" si="2"/>
        <v>0.6933728981206726</v>
      </c>
      <c r="N60" s="225">
        <f>IFERROR(VLOOKUP($B60,MMWR_TRAD_AGG_RO_COMP[],N$1,0),"ERROR")</f>
        <v>2393</v>
      </c>
      <c r="O60" s="226">
        <f>IFERROR(VLOOKUP($B60,MMWR_TRAD_AGG_RO_COMP[],O$1,0),"ERROR")</f>
        <v>1594</v>
      </c>
      <c r="P60" s="223">
        <f t="shared" si="3"/>
        <v>0.66610948600083575</v>
      </c>
      <c r="Q60" s="227">
        <f>IFERROR(VLOOKUP($B60,MMWR_TRAD_AGG_RO_COMP[],Q$1,0),"ERROR")</f>
        <v>0</v>
      </c>
      <c r="R60" s="227">
        <f>IFERROR(VLOOKUP($B60,MMWR_TRAD_AGG_RO_COMP[],R$1,0),"ERROR")</f>
        <v>60</v>
      </c>
      <c r="S60" s="201">
        <f>IFERROR(VLOOKUP($B60,MMWR_APP_RO[],S$1,0),"ERROR")</f>
        <v>4003</v>
      </c>
      <c r="T60" s="28"/>
    </row>
    <row r="61" spans="1:20" x14ac:dyDescent="0.2">
      <c r="A61" s="28"/>
      <c r="B61" s="116" t="s">
        <v>73</v>
      </c>
      <c r="C61" s="228">
        <f>IFERROR(VLOOKUP($B61,MMWR_TRAD_AGG_RO_COMP[],C$1,0),"ERROR")</f>
        <v>10158</v>
      </c>
      <c r="D61" s="229">
        <f>IFERROR(VLOOKUP($B61,MMWR_TRAD_AGG_RO_COMP[],D$1,0),"ERROR")</f>
        <v>401.34239023430001</v>
      </c>
      <c r="E61" s="230">
        <f>IFERROR(VLOOKUP($B61,MMWR_TRAD_AGG_RO_COMP[],E$1,0),"ERROR")</f>
        <v>7345</v>
      </c>
      <c r="F61" s="231">
        <f>IFERROR(VLOOKUP($B61,MMWR_TRAD_AGG_RO_COMP[],F$1,0),"ERROR")</f>
        <v>1100</v>
      </c>
      <c r="G61" s="232">
        <f t="shared" si="0"/>
        <v>0.14976174268209666</v>
      </c>
      <c r="H61" s="233">
        <f>IFERROR(VLOOKUP($B61,MMWR_TRAD_AGG_RO_COMP[],H$1,0),"ERROR")</f>
        <v>14902</v>
      </c>
      <c r="I61" s="231">
        <f>IFERROR(VLOOKUP($B61,MMWR_TRAD_AGG_RO_COMP[],I$1,0),"ERROR")</f>
        <v>10775</v>
      </c>
      <c r="J61" s="232">
        <f t="shared" si="1"/>
        <v>0.72305730774392696</v>
      </c>
      <c r="K61" s="234">
        <f>IFERROR(VLOOKUP($B61,MMWR_TRAD_AGG_RO_COMP[],K$1,0),"ERROR")</f>
        <v>4527</v>
      </c>
      <c r="L61" s="235">
        <f>IFERROR(VLOOKUP($B61,MMWR_TRAD_AGG_RO_COMP[],L$1,0),"ERROR")</f>
        <v>3428</v>
      </c>
      <c r="M61" s="232">
        <f t="shared" si="2"/>
        <v>0.75723437154848683</v>
      </c>
      <c r="N61" s="234">
        <f>IFERROR(VLOOKUP($B61,MMWR_TRAD_AGG_RO_COMP[],N$1,0),"ERROR")</f>
        <v>4502</v>
      </c>
      <c r="O61" s="235">
        <f>IFERROR(VLOOKUP($B61,MMWR_TRAD_AGG_RO_COMP[],O$1,0),"ERROR")</f>
        <v>3636</v>
      </c>
      <c r="P61" s="232">
        <f t="shared" si="3"/>
        <v>0.80764104842292317</v>
      </c>
      <c r="Q61" s="236">
        <f>IFERROR(VLOOKUP($B61,MMWR_TRAD_AGG_RO_COMP[],Q$1,0),"ERROR")</f>
        <v>3</v>
      </c>
      <c r="R61" s="236">
        <f>IFERROR(VLOOKUP($B61,MMWR_TRAD_AGG_RO_COMP[],R$1,0),"ERROR")</f>
        <v>151</v>
      </c>
      <c r="S61" s="201">
        <f>IFERROR(VLOOKUP($B61,MMWR_APP_RO[],S$1,0),"ERROR")</f>
        <v>4855</v>
      </c>
      <c r="T61" s="28"/>
    </row>
    <row r="62" spans="1:20" x14ac:dyDescent="0.2">
      <c r="A62" s="28"/>
      <c r="B62" s="101" t="s">
        <v>381</v>
      </c>
      <c r="C62" s="212">
        <f>IFERROR(VLOOKUP($B62,MMWR_TRAD_AGG_DISTRICT_COMP[],C$1,0),"ERROR")</f>
        <v>59068</v>
      </c>
      <c r="D62" s="197">
        <f>IFERROR(VLOOKUP($B62,MMWR_TRAD_AGG_DISTRICT_COMP[],D$1,0),"ERROR")</f>
        <v>349.92821832459998</v>
      </c>
      <c r="E62" s="213">
        <f>IFERROR(VLOOKUP($B62,MMWR_TRAD_AGG_DISTRICT_COMP[],E$1,0),"ERROR")</f>
        <v>66829</v>
      </c>
      <c r="F62" s="218">
        <f>IFERROR(VLOOKUP($B62,MMWR_TRAD_AGG_DISTRICT_COMP[],F$1,0),"ERROR")</f>
        <v>16981</v>
      </c>
      <c r="G62" s="214">
        <f t="shared" si="0"/>
        <v>0.2540962755689895</v>
      </c>
      <c r="H62" s="218">
        <f>IFERROR(VLOOKUP($B62,MMWR_TRAD_AGG_DISTRICT_COMP[],H$1,0),"ERROR")</f>
        <v>81340</v>
      </c>
      <c r="I62" s="218">
        <f>IFERROR(VLOOKUP($B62,MMWR_TRAD_AGG_DISTRICT_COMP[],I$1,0),"ERROR")</f>
        <v>55290</v>
      </c>
      <c r="J62" s="214">
        <f t="shared" si="1"/>
        <v>0.67973936562576842</v>
      </c>
      <c r="K62" s="212">
        <f>IFERROR(VLOOKUP($B62,MMWR_TRAD_AGG_DISTRICT_COMP[],K$1,0),"ERROR")</f>
        <v>26425</v>
      </c>
      <c r="L62" s="212">
        <f>IFERROR(VLOOKUP($B62,MMWR_TRAD_AGG_DISTRICT_COMP[],L$1,0),"ERROR")</f>
        <v>22123</v>
      </c>
      <c r="M62" s="214">
        <f t="shared" si="2"/>
        <v>0.83719962157048244</v>
      </c>
      <c r="N62" s="212">
        <f>IFERROR(VLOOKUP($B62,MMWR_TRAD_AGG_DISTRICT_COMP[],N$1,0),"ERROR")</f>
        <v>30199</v>
      </c>
      <c r="O62" s="212">
        <f>IFERROR(VLOOKUP($B62,MMWR_TRAD_AGG_DISTRICT_COMP[],O$1,0),"ERROR")</f>
        <v>22267</v>
      </c>
      <c r="P62" s="214">
        <f t="shared" si="3"/>
        <v>0.73734229610252</v>
      </c>
      <c r="Q62" s="212">
        <f>IFERROR(VLOOKUP($B62,MMWR_TRAD_AGG_DISTRICT_COMP[],Q$1,0),"ERROR")</f>
        <v>159</v>
      </c>
      <c r="R62" s="215">
        <f>IFERROR(VLOOKUP($B62,MMWR_TRAD_AGG_DISTRICT_COMP[],R$1,0),"ERROR")</f>
        <v>1288</v>
      </c>
      <c r="S62" s="215">
        <f>IFERROR(VLOOKUP($B62,MMWR_APP_RO[],S$1,0),"ERROR")</f>
        <v>89972</v>
      </c>
      <c r="T62" s="28"/>
    </row>
    <row r="63" spans="1:20" x14ac:dyDescent="0.2">
      <c r="A63" s="28"/>
      <c r="B63" s="108" t="s">
        <v>25</v>
      </c>
      <c r="C63" s="219">
        <f>IFERROR(VLOOKUP($B63,MMWR_TRAD_AGG_RO_COMP[],C$1,0),"ERROR")</f>
        <v>12179</v>
      </c>
      <c r="D63" s="220">
        <f>IFERROR(VLOOKUP($B63,MMWR_TRAD_AGG_RO_COMP[],D$1,0),"ERROR")</f>
        <v>355.21496017739997</v>
      </c>
      <c r="E63" s="221">
        <f>IFERROR(VLOOKUP($B63,MMWR_TRAD_AGG_RO_COMP[],E$1,0),"ERROR")</f>
        <v>16199</v>
      </c>
      <c r="F63" s="222">
        <f>IFERROR(VLOOKUP($B63,MMWR_TRAD_AGG_RO_COMP[],F$1,0),"ERROR")</f>
        <v>4586</v>
      </c>
      <c r="G63" s="223">
        <f t="shared" si="0"/>
        <v>0.28310389530217916</v>
      </c>
      <c r="H63" s="224">
        <f>IFERROR(VLOOKUP($B63,MMWR_TRAD_AGG_RO_COMP[],H$1,0),"ERROR")</f>
        <v>17875</v>
      </c>
      <c r="I63" s="222">
        <f>IFERROR(VLOOKUP($B63,MMWR_TRAD_AGG_RO_COMP[],I$1,0),"ERROR")</f>
        <v>12617</v>
      </c>
      <c r="J63" s="223">
        <f t="shared" si="1"/>
        <v>0.7058461538461539</v>
      </c>
      <c r="K63" s="225">
        <f>IFERROR(VLOOKUP($B63,MMWR_TRAD_AGG_RO_COMP[],K$1,0),"ERROR")</f>
        <v>7625</v>
      </c>
      <c r="L63" s="226">
        <f>IFERROR(VLOOKUP($B63,MMWR_TRAD_AGG_RO_COMP[],L$1,0),"ERROR")</f>
        <v>6077</v>
      </c>
      <c r="M63" s="223">
        <f t="shared" si="2"/>
        <v>0.7969836065573771</v>
      </c>
      <c r="N63" s="225">
        <f>IFERROR(VLOOKUP($B63,MMWR_TRAD_AGG_RO_COMP[],N$1,0),"ERROR")</f>
        <v>10044</v>
      </c>
      <c r="O63" s="226">
        <f>IFERROR(VLOOKUP($B63,MMWR_TRAD_AGG_RO_COMP[],O$1,0),"ERROR")</f>
        <v>9148</v>
      </c>
      <c r="P63" s="223">
        <f t="shared" si="3"/>
        <v>0.91079251294305053</v>
      </c>
      <c r="Q63" s="227">
        <f>IFERROR(VLOOKUP($B63,MMWR_TRAD_AGG_RO_COMP[],Q$1,0),"ERROR")</f>
        <v>68</v>
      </c>
      <c r="R63" s="227">
        <f>IFERROR(VLOOKUP($B63,MMWR_TRAD_AGG_RO_COMP[],R$1,0),"ERROR")</f>
        <v>12</v>
      </c>
      <c r="S63" s="201">
        <f>IFERROR(VLOOKUP($B63,MMWR_APP_RO[],S$1,0),"ERROR")</f>
        <v>18902</v>
      </c>
      <c r="T63" s="28"/>
    </row>
    <row r="64" spans="1:20" x14ac:dyDescent="0.2">
      <c r="A64" s="28"/>
      <c r="B64" s="108" t="s">
        <v>39</v>
      </c>
      <c r="C64" s="219">
        <f>IFERROR(VLOOKUP($B64,MMWR_TRAD_AGG_RO_COMP[],C$1,0),"ERROR")</f>
        <v>8193</v>
      </c>
      <c r="D64" s="220">
        <f>IFERROR(VLOOKUP($B64,MMWR_TRAD_AGG_RO_COMP[],D$1,0),"ERROR")</f>
        <v>289.8835591358</v>
      </c>
      <c r="E64" s="221">
        <f>IFERROR(VLOOKUP($B64,MMWR_TRAD_AGG_RO_COMP[],E$1,0),"ERROR")</f>
        <v>8663</v>
      </c>
      <c r="F64" s="222">
        <f>IFERROR(VLOOKUP($B64,MMWR_TRAD_AGG_RO_COMP[],F$1,0),"ERROR")</f>
        <v>2365</v>
      </c>
      <c r="G64" s="223">
        <f t="shared" si="0"/>
        <v>0.27300011543345259</v>
      </c>
      <c r="H64" s="224">
        <f>IFERROR(VLOOKUP($B64,MMWR_TRAD_AGG_RO_COMP[],H$1,0),"ERROR")</f>
        <v>12812</v>
      </c>
      <c r="I64" s="222">
        <f>IFERROR(VLOOKUP($B64,MMWR_TRAD_AGG_RO_COMP[],I$1,0),"ERROR")</f>
        <v>8594</v>
      </c>
      <c r="J64" s="223">
        <f t="shared" si="1"/>
        <v>0.67077739619107091</v>
      </c>
      <c r="K64" s="225">
        <f>IFERROR(VLOOKUP($B64,MMWR_TRAD_AGG_RO_COMP[],K$1,0),"ERROR")</f>
        <v>2836</v>
      </c>
      <c r="L64" s="226">
        <f>IFERROR(VLOOKUP($B64,MMWR_TRAD_AGG_RO_COMP[],L$1,0),"ERROR")</f>
        <v>2258</v>
      </c>
      <c r="M64" s="223">
        <f t="shared" si="2"/>
        <v>0.79619181946403383</v>
      </c>
      <c r="N64" s="225">
        <f>IFERROR(VLOOKUP($B64,MMWR_TRAD_AGG_RO_COMP[],N$1,0),"ERROR")</f>
        <v>1555</v>
      </c>
      <c r="O64" s="226">
        <f>IFERROR(VLOOKUP($B64,MMWR_TRAD_AGG_RO_COMP[],O$1,0),"ERROR")</f>
        <v>754</v>
      </c>
      <c r="P64" s="223">
        <f t="shared" si="3"/>
        <v>0.48488745980707393</v>
      </c>
      <c r="Q64" s="227">
        <f>IFERROR(VLOOKUP($B64,MMWR_TRAD_AGG_RO_COMP[],Q$1,0),"ERROR")</f>
        <v>1</v>
      </c>
      <c r="R64" s="227">
        <f>IFERROR(VLOOKUP($B64,MMWR_TRAD_AGG_RO_COMP[],R$1,0),"ERROR")</f>
        <v>55</v>
      </c>
      <c r="S64" s="201">
        <f>IFERROR(VLOOKUP($B64,MMWR_APP_RO[],S$1,0),"ERROR")</f>
        <v>13138</v>
      </c>
      <c r="T64" s="28"/>
    </row>
    <row r="65" spans="1:20" x14ac:dyDescent="0.2">
      <c r="A65" s="28"/>
      <c r="B65" s="108" t="s">
        <v>53</v>
      </c>
      <c r="C65" s="219">
        <f>IFERROR(VLOOKUP($B65,MMWR_TRAD_AGG_RO_COMP[],C$1,0),"ERROR")</f>
        <v>7682</v>
      </c>
      <c r="D65" s="220">
        <f>IFERROR(VLOOKUP($B65,MMWR_TRAD_AGG_RO_COMP[],D$1,0),"ERROR")</f>
        <v>488.09229367350002</v>
      </c>
      <c r="E65" s="221">
        <f>IFERROR(VLOOKUP($B65,MMWR_TRAD_AGG_RO_COMP[],E$1,0),"ERROR")</f>
        <v>3765</v>
      </c>
      <c r="F65" s="222">
        <f>IFERROR(VLOOKUP($B65,MMWR_TRAD_AGG_RO_COMP[],F$1,0),"ERROR")</f>
        <v>948</v>
      </c>
      <c r="G65" s="223">
        <f t="shared" si="0"/>
        <v>0.25179282868525898</v>
      </c>
      <c r="H65" s="224">
        <f>IFERROR(VLOOKUP($B65,MMWR_TRAD_AGG_RO_COMP[],H$1,0),"ERROR")</f>
        <v>10768</v>
      </c>
      <c r="I65" s="222">
        <f>IFERROR(VLOOKUP($B65,MMWR_TRAD_AGG_RO_COMP[],I$1,0),"ERROR")</f>
        <v>7877</v>
      </c>
      <c r="J65" s="223">
        <f t="shared" si="1"/>
        <v>0.73151931649331348</v>
      </c>
      <c r="K65" s="225">
        <f>IFERROR(VLOOKUP($B65,MMWR_TRAD_AGG_RO_COMP[],K$1,0),"ERROR")</f>
        <v>3198</v>
      </c>
      <c r="L65" s="226">
        <f>IFERROR(VLOOKUP($B65,MMWR_TRAD_AGG_RO_COMP[],L$1,0),"ERROR")</f>
        <v>3004</v>
      </c>
      <c r="M65" s="223">
        <f t="shared" si="2"/>
        <v>0.93933708567854912</v>
      </c>
      <c r="N65" s="225">
        <f>IFERROR(VLOOKUP($B65,MMWR_TRAD_AGG_RO_COMP[],N$1,0),"ERROR")</f>
        <v>1763</v>
      </c>
      <c r="O65" s="226">
        <f>IFERROR(VLOOKUP($B65,MMWR_TRAD_AGG_RO_COMP[],O$1,0),"ERROR")</f>
        <v>900</v>
      </c>
      <c r="P65" s="223">
        <f t="shared" si="3"/>
        <v>0.51049347702779357</v>
      </c>
      <c r="Q65" s="227">
        <f>IFERROR(VLOOKUP($B65,MMWR_TRAD_AGG_RO_COMP[],Q$1,0),"ERROR")</f>
        <v>84</v>
      </c>
      <c r="R65" s="227">
        <f>IFERROR(VLOOKUP($B65,MMWR_TRAD_AGG_RO_COMP[],R$1,0),"ERROR")</f>
        <v>292</v>
      </c>
      <c r="S65" s="201">
        <f>IFERROR(VLOOKUP($B65,MMWR_APP_RO[],S$1,0),"ERROR")</f>
        <v>4870</v>
      </c>
      <c r="T65" s="28"/>
    </row>
    <row r="66" spans="1:20" x14ac:dyDescent="0.2">
      <c r="A66" s="28"/>
      <c r="B66" s="108" t="s">
        <v>57</v>
      </c>
      <c r="C66" s="219">
        <f>IFERROR(VLOOKUP($B66,MMWR_TRAD_AGG_RO_COMP[],C$1,0),"ERROR")</f>
        <v>11111</v>
      </c>
      <c r="D66" s="220">
        <f>IFERROR(VLOOKUP($B66,MMWR_TRAD_AGG_RO_COMP[],D$1,0),"ERROR")</f>
        <v>375.78390783909998</v>
      </c>
      <c r="E66" s="221">
        <f>IFERROR(VLOOKUP($B66,MMWR_TRAD_AGG_RO_COMP[],E$1,0),"ERROR")</f>
        <v>6806</v>
      </c>
      <c r="F66" s="222">
        <f>IFERROR(VLOOKUP($B66,MMWR_TRAD_AGG_RO_COMP[],F$1,0),"ERROR")</f>
        <v>1601</v>
      </c>
      <c r="G66" s="223">
        <f t="shared" si="0"/>
        <v>0.23523361739641493</v>
      </c>
      <c r="H66" s="224">
        <f>IFERROR(VLOOKUP($B66,MMWR_TRAD_AGG_RO_COMP[],H$1,0),"ERROR")</f>
        <v>12992</v>
      </c>
      <c r="I66" s="222">
        <f>IFERROR(VLOOKUP($B66,MMWR_TRAD_AGG_RO_COMP[],I$1,0),"ERROR")</f>
        <v>9553</v>
      </c>
      <c r="J66" s="223">
        <f t="shared" si="1"/>
        <v>0.73529864532019706</v>
      </c>
      <c r="K66" s="225">
        <f>IFERROR(VLOOKUP($B66,MMWR_TRAD_AGG_RO_COMP[],K$1,0),"ERROR")</f>
        <v>4455</v>
      </c>
      <c r="L66" s="226">
        <f>IFERROR(VLOOKUP($B66,MMWR_TRAD_AGG_RO_COMP[],L$1,0),"ERROR")</f>
        <v>4107</v>
      </c>
      <c r="M66" s="223">
        <f t="shared" si="2"/>
        <v>0.92188552188552186</v>
      </c>
      <c r="N66" s="225">
        <f>IFERROR(VLOOKUP($B66,MMWR_TRAD_AGG_RO_COMP[],N$1,0),"ERROR")</f>
        <v>1327</v>
      </c>
      <c r="O66" s="226">
        <f>IFERROR(VLOOKUP($B66,MMWR_TRAD_AGG_RO_COMP[],O$1,0),"ERROR")</f>
        <v>616</v>
      </c>
      <c r="P66" s="223">
        <f t="shared" si="3"/>
        <v>0.46420497362471741</v>
      </c>
      <c r="Q66" s="227">
        <f>IFERROR(VLOOKUP($B66,MMWR_TRAD_AGG_RO_COMP[],Q$1,0),"ERROR")</f>
        <v>0</v>
      </c>
      <c r="R66" s="227">
        <f>IFERROR(VLOOKUP($B66,MMWR_TRAD_AGG_RO_COMP[],R$1,0),"ERROR")</f>
        <v>387</v>
      </c>
      <c r="S66" s="201">
        <f>IFERROR(VLOOKUP($B66,MMWR_APP_RO[],S$1,0),"ERROR")</f>
        <v>9871</v>
      </c>
      <c r="T66" s="28"/>
    </row>
    <row r="67" spans="1:20" x14ac:dyDescent="0.2">
      <c r="A67" s="28"/>
      <c r="B67" s="108" t="s">
        <v>58</v>
      </c>
      <c r="C67" s="219">
        <f>IFERROR(VLOOKUP($B67,MMWR_TRAD_AGG_RO_COMP[],C$1,0),"ERROR")</f>
        <v>2946</v>
      </c>
      <c r="D67" s="220">
        <f>IFERROR(VLOOKUP($B67,MMWR_TRAD_AGG_RO_COMP[],D$1,0),"ERROR")</f>
        <v>248.3374066531</v>
      </c>
      <c r="E67" s="221">
        <f>IFERROR(VLOOKUP($B67,MMWR_TRAD_AGG_RO_COMP[],E$1,0),"ERROR")</f>
        <v>8365</v>
      </c>
      <c r="F67" s="222">
        <f>IFERROR(VLOOKUP($B67,MMWR_TRAD_AGG_RO_COMP[],F$1,0),"ERROR")</f>
        <v>1822</v>
      </c>
      <c r="G67" s="223">
        <f t="shared" si="0"/>
        <v>0.21781231320980274</v>
      </c>
      <c r="H67" s="224">
        <f>IFERROR(VLOOKUP($B67,MMWR_TRAD_AGG_RO_COMP[],H$1,0),"ERROR")</f>
        <v>5454</v>
      </c>
      <c r="I67" s="222">
        <f>IFERROR(VLOOKUP($B67,MMWR_TRAD_AGG_RO_COMP[],I$1,0),"ERROR")</f>
        <v>2697</v>
      </c>
      <c r="J67" s="223">
        <f t="shared" si="1"/>
        <v>0.49449944994499451</v>
      </c>
      <c r="K67" s="225">
        <f>IFERROR(VLOOKUP($B67,MMWR_TRAD_AGG_RO_COMP[],K$1,0),"ERROR")</f>
        <v>2795</v>
      </c>
      <c r="L67" s="226">
        <f>IFERROR(VLOOKUP($B67,MMWR_TRAD_AGG_RO_COMP[],L$1,0),"ERROR")</f>
        <v>2207</v>
      </c>
      <c r="M67" s="223">
        <f t="shared" si="2"/>
        <v>0.78962432915921288</v>
      </c>
      <c r="N67" s="225">
        <f>IFERROR(VLOOKUP($B67,MMWR_TRAD_AGG_RO_COMP[],N$1,0),"ERROR")</f>
        <v>1512</v>
      </c>
      <c r="O67" s="226">
        <f>IFERROR(VLOOKUP($B67,MMWR_TRAD_AGG_RO_COMP[],O$1,0),"ERROR")</f>
        <v>1049</v>
      </c>
      <c r="P67" s="223">
        <f t="shared" si="3"/>
        <v>0.69378306878306883</v>
      </c>
      <c r="Q67" s="227">
        <f>IFERROR(VLOOKUP($B67,MMWR_TRAD_AGG_RO_COMP[],Q$1,0),"ERROR")</f>
        <v>0</v>
      </c>
      <c r="R67" s="227">
        <f>IFERROR(VLOOKUP($B67,MMWR_TRAD_AGG_RO_COMP[],R$1,0),"ERROR")</f>
        <v>271</v>
      </c>
      <c r="S67" s="201">
        <f>IFERROR(VLOOKUP($B67,MMWR_APP_RO[],S$1,0),"ERROR")</f>
        <v>6692</v>
      </c>
      <c r="T67" s="28"/>
    </row>
    <row r="68" spans="1:20" x14ac:dyDescent="0.2">
      <c r="A68" s="28"/>
      <c r="B68" s="108" t="s">
        <v>72</v>
      </c>
      <c r="C68" s="219">
        <f>IFERROR(VLOOKUP($B68,MMWR_TRAD_AGG_RO_COMP[],C$1,0),"ERROR")</f>
        <v>1106</v>
      </c>
      <c r="D68" s="220">
        <f>IFERROR(VLOOKUP($B68,MMWR_TRAD_AGG_RO_COMP[],D$1,0),"ERROR")</f>
        <v>320.88698010849998</v>
      </c>
      <c r="E68" s="221">
        <f>IFERROR(VLOOKUP($B68,MMWR_TRAD_AGG_RO_COMP[],E$1,0),"ERROR")</f>
        <v>2310</v>
      </c>
      <c r="F68" s="222">
        <f>IFERROR(VLOOKUP($B68,MMWR_TRAD_AGG_RO_COMP[],F$1,0),"ERROR")</f>
        <v>728</v>
      </c>
      <c r="G68" s="223">
        <f t="shared" si="0"/>
        <v>0.31515151515151513</v>
      </c>
      <c r="H68" s="224">
        <f>IFERROR(VLOOKUP($B68,MMWR_TRAD_AGG_RO_COMP[],H$1,0),"ERROR")</f>
        <v>2143</v>
      </c>
      <c r="I68" s="222">
        <f>IFERROR(VLOOKUP($B68,MMWR_TRAD_AGG_RO_COMP[],I$1,0),"ERROR")</f>
        <v>1458</v>
      </c>
      <c r="J68" s="223">
        <f t="shared" si="1"/>
        <v>0.68035464302379844</v>
      </c>
      <c r="K68" s="225">
        <f>IFERROR(VLOOKUP($B68,MMWR_TRAD_AGG_RO_COMP[],K$1,0),"ERROR")</f>
        <v>861</v>
      </c>
      <c r="L68" s="226">
        <f>IFERROR(VLOOKUP($B68,MMWR_TRAD_AGG_RO_COMP[],L$1,0),"ERROR")</f>
        <v>788</v>
      </c>
      <c r="M68" s="223">
        <f t="shared" si="2"/>
        <v>0.91521486643437866</v>
      </c>
      <c r="N68" s="225">
        <f>IFERROR(VLOOKUP($B68,MMWR_TRAD_AGG_RO_COMP[],N$1,0),"ERROR")</f>
        <v>1174</v>
      </c>
      <c r="O68" s="226">
        <f>IFERROR(VLOOKUP($B68,MMWR_TRAD_AGG_RO_COMP[],O$1,0),"ERROR")</f>
        <v>893</v>
      </c>
      <c r="P68" s="223">
        <f t="shared" si="3"/>
        <v>0.76064735945485518</v>
      </c>
      <c r="Q68" s="227">
        <f>IFERROR(VLOOKUP($B68,MMWR_TRAD_AGG_RO_COMP[],Q$1,0),"ERROR")</f>
        <v>0</v>
      </c>
      <c r="R68" s="227">
        <f>IFERROR(VLOOKUP($B68,MMWR_TRAD_AGG_RO_COMP[],R$1,0),"ERROR")</f>
        <v>1</v>
      </c>
      <c r="S68" s="201">
        <f>IFERROR(VLOOKUP($B68,MMWR_APP_RO[],S$1,0),"ERROR")</f>
        <v>5234</v>
      </c>
      <c r="T68" s="28"/>
    </row>
    <row r="69" spans="1:20" x14ac:dyDescent="0.2">
      <c r="A69" s="28"/>
      <c r="B69" s="116" t="s">
        <v>77</v>
      </c>
      <c r="C69" s="228">
        <f>IFERROR(VLOOKUP($B69,MMWR_TRAD_AGG_RO_COMP[],C$1,0),"ERROR")</f>
        <v>15851</v>
      </c>
      <c r="D69" s="229">
        <f>IFERROR(VLOOKUP($B69,MMWR_TRAD_AGG_RO_COMP[],D$1,0),"ERROR")</f>
        <v>312.72588480220003</v>
      </c>
      <c r="E69" s="230">
        <f>IFERROR(VLOOKUP($B69,MMWR_TRAD_AGG_RO_COMP[],E$1,0),"ERROR")</f>
        <v>20721</v>
      </c>
      <c r="F69" s="231">
        <f>IFERROR(VLOOKUP($B69,MMWR_TRAD_AGG_RO_COMP[],F$1,0),"ERROR")</f>
        <v>4931</v>
      </c>
      <c r="G69" s="232">
        <f t="shared" si="0"/>
        <v>0.23797114038897738</v>
      </c>
      <c r="H69" s="233">
        <f>IFERROR(VLOOKUP($B69,MMWR_TRAD_AGG_RO_COMP[],H$1,0),"ERROR")</f>
        <v>19296</v>
      </c>
      <c r="I69" s="231">
        <f>IFERROR(VLOOKUP($B69,MMWR_TRAD_AGG_RO_COMP[],I$1,0),"ERROR")</f>
        <v>12494</v>
      </c>
      <c r="J69" s="232">
        <f t="shared" si="1"/>
        <v>0.64749170812603651</v>
      </c>
      <c r="K69" s="234">
        <f>IFERROR(VLOOKUP($B69,MMWR_TRAD_AGG_RO_COMP[],K$1,0),"ERROR")</f>
        <v>4655</v>
      </c>
      <c r="L69" s="235">
        <f>IFERROR(VLOOKUP($B69,MMWR_TRAD_AGG_RO_COMP[],L$1,0),"ERROR")</f>
        <v>3682</v>
      </c>
      <c r="M69" s="232">
        <f t="shared" si="2"/>
        <v>0.79097744360902256</v>
      </c>
      <c r="N69" s="234">
        <f>IFERROR(VLOOKUP($B69,MMWR_TRAD_AGG_RO_COMP[],N$1,0),"ERROR")</f>
        <v>12824</v>
      </c>
      <c r="O69" s="235">
        <f>IFERROR(VLOOKUP($B69,MMWR_TRAD_AGG_RO_COMP[],O$1,0),"ERROR")</f>
        <v>8907</v>
      </c>
      <c r="P69" s="232">
        <f t="shared" si="3"/>
        <v>0.69455708047411102</v>
      </c>
      <c r="Q69" s="236">
        <f>IFERROR(VLOOKUP($B69,MMWR_TRAD_AGG_RO_COMP[],Q$1,0),"ERROR")</f>
        <v>6</v>
      </c>
      <c r="R69" s="236">
        <f>IFERROR(VLOOKUP($B69,MMWR_TRAD_AGG_RO_COMP[],R$1,0),"ERROR")</f>
        <v>270</v>
      </c>
      <c r="S69" s="201">
        <f>IFERROR(VLOOKUP($B69,MMWR_APP_RO[],S$1,0),"ERROR")</f>
        <v>31265</v>
      </c>
      <c r="T69" s="28"/>
    </row>
    <row r="70" spans="1:20" x14ac:dyDescent="0.2">
      <c r="A70" s="28"/>
      <c r="B70" s="101" t="s">
        <v>8</v>
      </c>
      <c r="C70" s="212">
        <f>IFERROR(VLOOKUP($B70,MMWR_TRAD_AGG_RO_COMP[],C$1,0),"ERROR")</f>
        <v>254</v>
      </c>
      <c r="D70" s="197">
        <f>IFERROR(VLOOKUP($B70,MMWR_TRAD_AGG_RO_COMP[],D$1,0),"ERROR")</f>
        <v>449.86220472439999</v>
      </c>
      <c r="E70" s="213">
        <f>IFERROR(VLOOKUP($B70,MMWR_TRAD_AGG_RO_COMP[],E$1,0),"ERROR")</f>
        <v>359</v>
      </c>
      <c r="F70" s="218">
        <f>IFERROR(VLOOKUP($B70,MMWR_TRAD_AGG_RO_COMP[],F$1,0),"ERROR")</f>
        <v>3</v>
      </c>
      <c r="G70" s="214">
        <f>IFERROR(F70/E70,"0%")</f>
        <v>8.356545961002786E-3</v>
      </c>
      <c r="H70" s="218">
        <f>IFERROR(VLOOKUP($B70,MMWR_TRAD_AGG_RO_COMP[],H$1,0),"ERROR")</f>
        <v>285</v>
      </c>
      <c r="I70" s="218">
        <f>IFERROR(VLOOKUP($B70,MMWR_TRAD_AGG_RO_COMP[],I$1,0),"ERROR")</f>
        <v>210</v>
      </c>
      <c r="J70" s="214">
        <f>IFERROR(I70/H70,"0%")</f>
        <v>0.73684210526315785</v>
      </c>
      <c r="K70" s="212">
        <f>IFERROR(VLOOKUP($B70,MMWR_TRAD_AGG_RO_COMP[],K$1,0),"ERROR")</f>
        <v>33</v>
      </c>
      <c r="L70" s="212">
        <f>IFERROR(VLOOKUP($B70,MMWR_TRAD_AGG_RO_COMP[],L$1,0),"ERROR")</f>
        <v>18</v>
      </c>
      <c r="M70" s="214">
        <f>IFERROR(L70/K70,"0%")</f>
        <v>0.54545454545454541</v>
      </c>
      <c r="N70" s="212">
        <f>IFERROR(VLOOKUP($B70,MMWR_TRAD_AGG_RO_COMP[],N$1,0),"ERROR")</f>
        <v>60036</v>
      </c>
      <c r="O70" s="212">
        <f>IFERROR(VLOOKUP($B70,MMWR_TRAD_AGG_RO_COMP[],O$1,0),"ERROR")</f>
        <v>35227</v>
      </c>
      <c r="P70" s="214">
        <f>IFERROR(O70/N70,"0%")</f>
        <v>0.58676460790192553</v>
      </c>
      <c r="Q70" s="212">
        <f>IFERROR(VLOOKUP($B70,MMWR_TRAD_AGG_RO_COMP[],Q$1,0),"ERROR")</f>
        <v>0</v>
      </c>
      <c r="R70" s="215">
        <f>IFERROR(VLOOKUP($B70,MMWR_TRAD_AGG_RO_COMP[],R$1,0),"ERROR")</f>
        <v>1</v>
      </c>
      <c r="S70" s="215">
        <f>IFERROR(VLOOKUP($B70,MMWR_APP_RO[],S$1,0),"ERROR")</f>
        <v>10339</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488</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225</v>
      </c>
      <c r="D73" s="457"/>
      <c r="E73" s="458" t="s">
        <v>205</v>
      </c>
      <c r="F73" s="459"/>
      <c r="G73" s="460"/>
      <c r="H73" s="458" t="s">
        <v>7</v>
      </c>
      <c r="I73" s="459"/>
      <c r="J73" s="460"/>
      <c r="K73" s="458" t="s">
        <v>30</v>
      </c>
      <c r="L73" s="459"/>
      <c r="M73" s="460"/>
      <c r="N73" s="458" t="s">
        <v>8</v>
      </c>
      <c r="O73" s="459"/>
      <c r="P73" s="460"/>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489</v>
      </c>
      <c r="T74" s="28"/>
    </row>
    <row r="75" spans="1:20" x14ac:dyDescent="0.2">
      <c r="A75" s="25"/>
      <c r="B75" s="101" t="s">
        <v>463</v>
      </c>
      <c r="C75" s="237">
        <f>IFERROR(VLOOKUP($B75,MMWR_TRAD_AGG_RO_PEN[],C$1,0),"ERROR")</f>
        <v>27529</v>
      </c>
      <c r="D75" s="238">
        <f>IFERROR(VLOOKUP($B75,MMWR_TRAD_AGG_RO_PEN[],D$1,0),"ERROR")</f>
        <v>79.469686512400003</v>
      </c>
      <c r="E75" s="237">
        <f>IFERROR(VLOOKUP($B75,MMWR_TRAD_AGG_RO_PEN[],E$1,0),"ERROR")</f>
        <v>32810</v>
      </c>
      <c r="F75" s="237">
        <f>IFERROR(VLOOKUP($B75,MMWR_TRAD_AGG_RO_PEN[],F$1,0),"ERROR")</f>
        <v>5085</v>
      </c>
      <c r="G75" s="239">
        <f>IFERROR(F75/E75,"0%")</f>
        <v>0.15498323681804327</v>
      </c>
      <c r="H75" s="237">
        <f>IFERROR(VLOOKUP($B75,MMWR_TRAD_AGG_RO_PEN[],H$1,0),"ERROR")</f>
        <v>34337</v>
      </c>
      <c r="I75" s="237">
        <f>IFERROR(VLOOKUP($B75,MMWR_TRAD_AGG_RO_PEN[],I$1,0),"ERROR")</f>
        <v>5930</v>
      </c>
      <c r="J75" s="239">
        <f>IFERROR(I75/H75,"0%")</f>
        <v>0.17270000291231033</v>
      </c>
      <c r="K75" s="237">
        <f>IFERROR(VLOOKUP($B75,MMWR_TRAD_AGG_RO_PEN[],K$1,0),"ERROR")</f>
        <v>307</v>
      </c>
      <c r="L75" s="237">
        <f>IFERROR(VLOOKUP($B75,MMWR_TRAD_AGG_RO_PEN[],L$1,0),"ERROR")</f>
        <v>280</v>
      </c>
      <c r="M75" s="239">
        <f>IFERROR(L75/K75,"0%")</f>
        <v>0.91205211726384361</v>
      </c>
      <c r="N75" s="237">
        <f>IFERROR(VLOOKUP($B75,MMWR_TRAD_AGG_RO_PEN[],N$1,0),"ERROR")</f>
        <v>2143</v>
      </c>
      <c r="O75" s="237">
        <f>IFERROR(VLOOKUP($B75,MMWR_TRAD_AGG_RO_PEN[],O$1,0),"ERROR")</f>
        <v>569</v>
      </c>
      <c r="P75" s="239">
        <f>IFERROR(O75/N75,"0%")</f>
        <v>0.26551563229118058</v>
      </c>
      <c r="Q75" s="237">
        <f>IFERROR(VLOOKUP($B75,MMWR_TRAD_AGG_RO_PEN[],Q$1,0),"ERROR")</f>
        <v>11869</v>
      </c>
      <c r="R75" s="240">
        <f>IFERROR(VLOOKUP($B75,MMWR_TRAD_AGG_RO_PEN[],R$1,0),"ERROR")</f>
        <v>6357</v>
      </c>
      <c r="S75" s="240">
        <f>IFERROR(VLOOKUP($B75,MMWR_APP_RO[],S$1,0),"ERROR")</f>
        <v>6327</v>
      </c>
      <c r="T75" s="28"/>
    </row>
    <row r="76" spans="1:20" x14ac:dyDescent="0.2">
      <c r="A76" s="107"/>
      <c r="B76" s="122" t="s">
        <v>210</v>
      </c>
      <c r="C76" s="241">
        <f>IFERROR(VLOOKUP($B76,MMWR_TRAD_AGG_RO_PEN[],C$1,0),"ERROR")</f>
        <v>14105</v>
      </c>
      <c r="D76" s="242">
        <f>IFERROR(VLOOKUP($B76,MMWR_TRAD_AGG_RO_PEN[],D$1,0),"ERROR")</f>
        <v>99.869053527099993</v>
      </c>
      <c r="E76" s="241">
        <f>IFERROR(VLOOKUP($B76,MMWR_TRAD_AGG_RO_PEN[],E$1,0),"ERROR")</f>
        <v>17864</v>
      </c>
      <c r="F76" s="241">
        <f>IFERROR(VLOOKUP($B76,MMWR_TRAD_AGG_RO_PEN[],F$1,0),"ERROR")</f>
        <v>3982</v>
      </c>
      <c r="G76" s="223">
        <f>IFERROR(F76/E76,"0%")</f>
        <v>0.2229064039408867</v>
      </c>
      <c r="H76" s="241">
        <f>IFERROR(VLOOKUP($B76,MMWR_TRAD_AGG_RO_PEN[],H$1,0),"ERROR")</f>
        <v>17400</v>
      </c>
      <c r="I76" s="241">
        <f>IFERROR(VLOOKUP($B76,MMWR_TRAD_AGG_RO_PEN[],I$1,0),"ERROR")</f>
        <v>4889</v>
      </c>
      <c r="J76" s="223">
        <f>IFERROR(I76/H76,"0%")</f>
        <v>0.28097701149425286</v>
      </c>
      <c r="K76" s="241">
        <f>IFERROR(VLOOKUP($B76,MMWR_TRAD_AGG_RO_PEN[],K$1,0),"ERROR")</f>
        <v>40</v>
      </c>
      <c r="L76" s="241">
        <f>IFERROR(VLOOKUP($B76,MMWR_TRAD_AGG_RO_PEN[],L$1,0),"ERROR")</f>
        <v>39</v>
      </c>
      <c r="M76" s="223">
        <f>IFERROR(L76/K76,"0%")</f>
        <v>0.97499999999999998</v>
      </c>
      <c r="N76" s="241">
        <f>IFERROR(VLOOKUP($B76,MMWR_TRAD_AGG_RO_PEN[],N$1,0),"ERROR")</f>
        <v>1109</v>
      </c>
      <c r="O76" s="241">
        <f>IFERROR(VLOOKUP($B76,MMWR_TRAD_AGG_RO_PEN[],O$1,0),"ERROR")</f>
        <v>283</v>
      </c>
      <c r="P76" s="223">
        <f>IFERROR(O76/N76,"0%")</f>
        <v>0.25518485121731288</v>
      </c>
      <c r="Q76" s="241">
        <f>IFERROR(VLOOKUP($B76,MMWR_TRAD_AGG_RO_PEN[],Q$1,0),"ERROR")</f>
        <v>1974</v>
      </c>
      <c r="R76" s="241">
        <f>IFERROR(VLOOKUP($B76,MMWR_TRAD_AGG_RO_PEN[],R$1,0),"ERROR")</f>
        <v>4115</v>
      </c>
      <c r="S76" s="243">
        <f>IFERROR(VLOOKUP($B76,MMWR_APP_RO[],S$1,0),"ERROR")</f>
        <v>2386</v>
      </c>
      <c r="T76" s="28"/>
    </row>
    <row r="77" spans="1:20" x14ac:dyDescent="0.2">
      <c r="A77" s="107"/>
      <c r="B77" s="122" t="s">
        <v>209</v>
      </c>
      <c r="C77" s="241">
        <f>IFERROR(VLOOKUP($B77,MMWR_TRAD_AGG_RO_PEN[],C$1,0),"ERROR")</f>
        <v>7852</v>
      </c>
      <c r="D77" s="242">
        <f>IFERROR(VLOOKUP($B77,MMWR_TRAD_AGG_RO_PEN[],D$1,0),"ERROR")</f>
        <v>59.466505349000002</v>
      </c>
      <c r="E77" s="241">
        <f>IFERROR(VLOOKUP($B77,MMWR_TRAD_AGG_RO_PEN[],E$1,0),"ERROR")</f>
        <v>7859</v>
      </c>
      <c r="F77" s="241">
        <f>IFERROR(VLOOKUP($B77,MMWR_TRAD_AGG_RO_PEN[],F$1,0),"ERROR")</f>
        <v>766</v>
      </c>
      <c r="G77" s="223">
        <f>IFERROR(F77/E77,"0%")</f>
        <v>9.7467871230436445E-2</v>
      </c>
      <c r="H77" s="241">
        <f>IFERROR(VLOOKUP($B77,MMWR_TRAD_AGG_RO_PEN[],H$1,0),"ERROR")</f>
        <v>9454</v>
      </c>
      <c r="I77" s="241">
        <f>IFERROR(VLOOKUP($B77,MMWR_TRAD_AGG_RO_PEN[],I$1,0),"ERROR")</f>
        <v>506</v>
      </c>
      <c r="J77" s="223">
        <f>IFERROR(I77/H77,"0%")</f>
        <v>5.3522318595303577E-2</v>
      </c>
      <c r="K77" s="241">
        <f>IFERROR(VLOOKUP($B77,MMWR_TRAD_AGG_RO_PEN[],K$1,0),"ERROR")</f>
        <v>4</v>
      </c>
      <c r="L77" s="241">
        <f>IFERROR(VLOOKUP($B77,MMWR_TRAD_AGG_RO_PEN[],L$1,0),"ERROR")</f>
        <v>3</v>
      </c>
      <c r="M77" s="223">
        <f>IFERROR(L77/K77,"0%")</f>
        <v>0.75</v>
      </c>
      <c r="N77" s="241">
        <f>IFERROR(VLOOKUP($B77,MMWR_TRAD_AGG_RO_PEN[],N$1,0),"ERROR")</f>
        <v>603</v>
      </c>
      <c r="O77" s="241">
        <f>IFERROR(VLOOKUP($B77,MMWR_TRAD_AGG_RO_PEN[],O$1,0),"ERROR")</f>
        <v>120</v>
      </c>
      <c r="P77" s="223">
        <f>IFERROR(O77/N77,"0%")</f>
        <v>0.19900497512437812</v>
      </c>
      <c r="Q77" s="241">
        <f>IFERROR(VLOOKUP($B77,MMWR_TRAD_AGG_RO_PEN[],Q$1,0),"ERROR")</f>
        <v>1125</v>
      </c>
      <c r="R77" s="241">
        <f>IFERROR(VLOOKUP($B77,MMWR_TRAD_AGG_RO_PEN[],R$1,0),"ERROR")</f>
        <v>876</v>
      </c>
      <c r="S77" s="243">
        <f>IFERROR(VLOOKUP($B77,MMWR_APP_RO[],S$1,0),"ERROR")</f>
        <v>2537</v>
      </c>
      <c r="T77" s="28"/>
    </row>
    <row r="78" spans="1:20" x14ac:dyDescent="0.2">
      <c r="A78" s="107"/>
      <c r="B78" s="122" t="s">
        <v>212</v>
      </c>
      <c r="C78" s="241">
        <f>IFERROR(VLOOKUP($B78,MMWR_TRAD_AGG_RO_PEN[],C$1,0),"ERROR")</f>
        <v>5572</v>
      </c>
      <c r="D78" s="242">
        <f>IFERROR(VLOOKUP($B78,MMWR_TRAD_AGG_RO_PEN[],D$1,0),"ERROR")</f>
        <v>56.018844221099997</v>
      </c>
      <c r="E78" s="241">
        <f>IFERROR(VLOOKUP($B78,MMWR_TRAD_AGG_RO_PEN[],E$1,0),"ERROR")</f>
        <v>6741</v>
      </c>
      <c r="F78" s="241">
        <f>IFERROR(VLOOKUP($B78,MMWR_TRAD_AGG_RO_PEN[],F$1,0),"ERROR")</f>
        <v>200</v>
      </c>
      <c r="G78" s="223">
        <f>IFERROR(F78/E78,"0%")</f>
        <v>2.966918854769322E-2</v>
      </c>
      <c r="H78" s="241">
        <f>IFERROR(VLOOKUP($B78,MMWR_TRAD_AGG_RO_PEN[],H$1,0),"ERROR")</f>
        <v>6868</v>
      </c>
      <c r="I78" s="241">
        <f>IFERROR(VLOOKUP($B78,MMWR_TRAD_AGG_RO_PEN[],I$1,0),"ERROR")</f>
        <v>118</v>
      </c>
      <c r="J78" s="223">
        <f>IFERROR(I78/H78,"0%")</f>
        <v>1.718112987769365E-2</v>
      </c>
      <c r="K78" s="241">
        <f>IFERROR(VLOOKUP($B78,MMWR_TRAD_AGG_RO_PEN[],K$1,0),"ERROR")</f>
        <v>49</v>
      </c>
      <c r="L78" s="241">
        <f>IFERROR(VLOOKUP($B78,MMWR_TRAD_AGG_RO_PEN[],L$1,0),"ERROR")</f>
        <v>25</v>
      </c>
      <c r="M78" s="223">
        <f>IFERROR(L78/K78,"0%")</f>
        <v>0.51020408163265307</v>
      </c>
      <c r="N78" s="241">
        <f>IFERROR(VLOOKUP($B78,MMWR_TRAD_AGG_RO_PEN[],N$1,0),"ERROR")</f>
        <v>262</v>
      </c>
      <c r="O78" s="241">
        <f>IFERROR(VLOOKUP($B78,MMWR_TRAD_AGG_RO_PEN[],O$1,0),"ERROR")</f>
        <v>60</v>
      </c>
      <c r="P78" s="223">
        <f>IFERROR(O78/N78,"0%")</f>
        <v>0.22900763358778625</v>
      </c>
      <c r="Q78" s="241">
        <f>IFERROR(VLOOKUP($B78,MMWR_TRAD_AGG_RO_PEN[],Q$1,0),"ERROR")</f>
        <v>8766</v>
      </c>
      <c r="R78" s="241">
        <f>IFERROR(VLOOKUP($B78,MMWR_TRAD_AGG_RO_PEN[],R$1,0),"ERROR")</f>
        <v>1366</v>
      </c>
      <c r="S78" s="243">
        <f>IFERROR(VLOOKUP($B78,MMWR_APP_RO[],S$1,0),"ERROR")</f>
        <v>1404</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346</v>
      </c>
      <c r="F79" s="218">
        <f>IFERROR(VLOOKUP($B79,MMWR_TRAD_AGG_RO_PEN[],F$1,0),"ERROR")</f>
        <v>137</v>
      </c>
      <c r="G79" s="214">
        <f>IFERROR(F79/E79,"0%")</f>
        <v>0.39595375722543352</v>
      </c>
      <c r="H79" s="218">
        <f>IFERROR(VLOOKUP($B79,MMWR_TRAD_AGG_RO_PEN[],H$1,0),"ERROR")</f>
        <v>615</v>
      </c>
      <c r="I79" s="218">
        <f>IFERROR(VLOOKUP($B79,MMWR_TRAD_AGG_RO_PEN[],I$1,0),"ERROR")</f>
        <v>417</v>
      </c>
      <c r="J79" s="214">
        <f>IFERROR(I79/H79,"0%")</f>
        <v>0.67804878048780493</v>
      </c>
      <c r="K79" s="218">
        <f>IFERROR(VLOOKUP($B79,MMWR_TRAD_AGG_RO_PEN[],K$1,0),"ERROR")</f>
        <v>214</v>
      </c>
      <c r="L79" s="218">
        <f>IFERROR(VLOOKUP($B79,MMWR_TRAD_AGG_RO_PEN[],L$1,0),"ERROR")</f>
        <v>213</v>
      </c>
      <c r="M79" s="214">
        <f>IFERROR(L79/K79,"0%")</f>
        <v>0.99532710280373837</v>
      </c>
      <c r="N79" s="218">
        <f>IFERROR(VLOOKUP($B79,MMWR_TRAD_AGG_RO_PEN[],N$1,0),"ERROR")</f>
        <v>169</v>
      </c>
      <c r="O79" s="218">
        <f>IFERROR(VLOOKUP($B79,MMWR_TRAD_AGG_RO_PEN[],O$1,0),"ERROR")</f>
        <v>106</v>
      </c>
      <c r="P79" s="214">
        <f>IFERROR(O79/N79,"0%")</f>
        <v>0.62721893491124259</v>
      </c>
      <c r="Q79" s="218">
        <f>IFERROR(VLOOKUP($B79,MMWR_TRAD_AGG_RO_PEN[],Q$1,0),"ERROR")</f>
        <v>4</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APRIL 23,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225</v>
      </c>
      <c r="D3" s="461"/>
      <c r="E3" s="458" t="s">
        <v>205</v>
      </c>
      <c r="F3" s="459"/>
      <c r="G3" s="460"/>
      <c r="H3" s="458" t="s">
        <v>7</v>
      </c>
      <c r="I3" s="459"/>
      <c r="J3" s="460"/>
      <c r="K3" s="458" t="s">
        <v>30</v>
      </c>
      <c r="L3" s="459"/>
      <c r="M3" s="460"/>
      <c r="N3" s="458" t="s">
        <v>8</v>
      </c>
      <c r="O3" s="459"/>
      <c r="P3" s="460"/>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489</v>
      </c>
      <c r="T4" s="28"/>
    </row>
    <row r="5" spans="1:20" s="123" customFormat="1" ht="26.25" x14ac:dyDescent="0.4">
      <c r="A5" s="25"/>
      <c r="B5" s="124"/>
      <c r="C5" s="453" t="s">
        <v>487</v>
      </c>
      <c r="D5" s="454"/>
      <c r="E5" s="454"/>
      <c r="F5" s="454"/>
      <c r="G5" s="454"/>
      <c r="H5" s="454"/>
      <c r="I5" s="454"/>
      <c r="J5" s="454"/>
      <c r="K5" s="454"/>
      <c r="L5" s="454"/>
      <c r="M5" s="454"/>
      <c r="N5" s="454"/>
      <c r="O5" s="454"/>
      <c r="P5" s="454"/>
      <c r="Q5" s="454"/>
      <c r="R5" s="454"/>
      <c r="S5" s="455"/>
      <c r="T5" s="28"/>
    </row>
    <row r="6" spans="1:20" s="123" customFormat="1" x14ac:dyDescent="0.2">
      <c r="A6" s="92"/>
      <c r="B6" s="125" t="s">
        <v>462</v>
      </c>
      <c r="C6" s="94">
        <f>IFERROR(VLOOKUP($B6,MMWR_TRAD_AGG_ST_DISTRICT_COMP[],C$1,0),"ERROR")</f>
        <v>262623</v>
      </c>
      <c r="D6" s="95">
        <f>IFERROR(VLOOKUP($B6,MMWR_TRAD_AGG_ST_DISTRICT_COMP[],D$1,0),"ERROR")</f>
        <v>383.73709461850001</v>
      </c>
      <c r="E6" s="96">
        <f>IFERROR(VLOOKUP($B6,MMWR_TRAD_AGG_ST_DISTRICT_COMP[],E$1,0),"ERROR")</f>
        <v>320625</v>
      </c>
      <c r="F6" s="97">
        <f>IFERROR(VLOOKUP($B6,MMWR_TRAD_AGG_ST_DISTRICT_COMP[],F$1,0),"ERROR")</f>
        <v>75344</v>
      </c>
      <c r="G6" s="98">
        <f t="shared" ref="G6:G37" si="0">IFERROR(F6/E6,"0%")</f>
        <v>0.23499103313840156</v>
      </c>
      <c r="H6" s="96">
        <f>IFERROR(VLOOKUP($B6,MMWR_TRAD_AGG_ST_DISTRICT_COMP[],H$1,0),"ERROR")</f>
        <v>389608</v>
      </c>
      <c r="I6" s="97">
        <f>IFERROR(VLOOKUP($B6,MMWR_TRAD_AGG_ST_DISTRICT_COMP[],I$1,0),"ERROR")</f>
        <v>259765</v>
      </c>
      <c r="J6" s="99">
        <f t="shared" ref="J6:J37" si="1">IFERROR(I6/H6,"0%")</f>
        <v>0.66673425597010327</v>
      </c>
      <c r="K6" s="96">
        <f>IFERROR(VLOOKUP($B6,MMWR_TRAD_AGG_ST_DISTRICT_COMP[],K$1,0),"ERROR")</f>
        <v>124069</v>
      </c>
      <c r="L6" s="97">
        <f>IFERROR(VLOOKUP($B6,MMWR_TRAD_AGG_ST_DISTRICT_COMP[],L$1,0),"ERROR")</f>
        <v>97944</v>
      </c>
      <c r="M6" s="99">
        <f t="shared" ref="M6:M37" si="2">IFERROR(L6/K6,"0%")</f>
        <v>0.78943168720631263</v>
      </c>
      <c r="N6" s="96">
        <f>IFERROR(VLOOKUP($B6,MMWR_TRAD_AGG_ST_DISTRICT_COMP[],N$1,0),"ERROR")</f>
        <v>168843</v>
      </c>
      <c r="O6" s="97">
        <f>IFERROR(VLOOKUP($B6,MMWR_TRAD_AGG_ST_DISTRICT_COMP[],O$1,0),"ERROR")</f>
        <v>110642</v>
      </c>
      <c r="P6" s="99">
        <f t="shared" ref="P6:P37" si="3">IFERROR(O6/N6,"0%")</f>
        <v>0.65529515585484743</v>
      </c>
      <c r="Q6" s="100">
        <f>IFERROR(VLOOKUP($B6,MMWR_TRAD_AGG_ST_DISTRICT_COMP[],Q$1,0),"ERROR")</f>
        <v>22709</v>
      </c>
      <c r="R6" s="100">
        <f>IFERROR(VLOOKUP($B6,MMWR_TRAD_AGG_ST_DISTRICT_COMP[],R$1,0),"ERROR")</f>
        <v>4269</v>
      </c>
      <c r="S6" s="100">
        <f>S7+S23+S36+S46+S56+S64</f>
        <v>317092</v>
      </c>
      <c r="T6" s="28"/>
    </row>
    <row r="7" spans="1:20" s="123" customFormat="1" x14ac:dyDescent="0.2">
      <c r="A7" s="92"/>
      <c r="B7" s="126" t="s">
        <v>370</v>
      </c>
      <c r="C7" s="102">
        <f>IF(SUM(C8:C22)&lt;&gt;VLOOKUP($B7,MMWR_TRAD_AGG_ST_DISTRICT_COMP[],C$1,0),"ERROR",
VLOOKUP($B7,MMWR_TRAD_AGG_ST_DISTRICT_COMP[],C$1,0))</f>
        <v>63563</v>
      </c>
      <c r="D7" s="103">
        <f>IFERROR(VLOOKUP($B7,MMWR_TRAD_AGG_ST_DISTRICT_COMP[],D$1,0),"ERROR")</f>
        <v>415.95495807309999</v>
      </c>
      <c r="E7" s="102">
        <f>IF(SUM(E8:E22)&lt;&gt;VLOOKUP($B7,MMWR_TRAD_AGG_ST_DISTRICT_COMP[],E$1,0),"ERROR",
VLOOKUP($B7,MMWR_TRAD_AGG_ST_DISTRICT_COMP[],E$1,0))</f>
        <v>71277</v>
      </c>
      <c r="F7" s="102">
        <f>IFERROR(VLOOKUP($B7,MMWR_TRAD_AGG_ST_DISTRICT_COMP[],F$1,0),"ERROR")</f>
        <v>17665</v>
      </c>
      <c r="G7" s="104">
        <f t="shared" si="0"/>
        <v>0.24783590779634385</v>
      </c>
      <c r="H7" s="102">
        <f>IF(SUM(H8:H22)&lt;&gt;VLOOKUP($B7,MMWR_TRAD_AGG_ST_DISTRICT_COMP[],H$1,0),"ERROR",
VLOOKUP($B7,MMWR_TRAD_AGG_ST_DISTRICT_COMP[],H$1,0))</f>
        <v>92589</v>
      </c>
      <c r="I7" s="102">
        <f>IF(SUM(I8:I22)&lt;&gt;VLOOKUP($B7,MMWR_TRAD_AGG_ST_DISTRICT_COMP[],I$1,0),"ERROR",
VLOOKUP($B7,MMWR_TRAD_AGG_ST_DISTRICT_COMP[],I$1,0))</f>
        <v>62388</v>
      </c>
      <c r="J7" s="105">
        <f t="shared" si="1"/>
        <v>0.67381654408191038</v>
      </c>
      <c r="K7" s="102">
        <f>IF(SUM(K8:K22)&lt;&gt;VLOOKUP($B7,MMWR_TRAD_AGG_ST_DISTRICT_COMP[],K$1,0),"ERROR",
VLOOKUP($B7,MMWR_TRAD_AGG_ST_DISTRICT_COMP[],K$1,0))</f>
        <v>36109</v>
      </c>
      <c r="L7" s="102">
        <f>IF(SUM(L8:L22)&lt;&gt;VLOOKUP($B7,MMWR_TRAD_AGG_ST_DISTRICT_COMP[],L$1,0),"ERROR",
VLOOKUP($B7,MMWR_TRAD_AGG_ST_DISTRICT_COMP[],L$1,0))</f>
        <v>29477</v>
      </c>
      <c r="M7" s="105">
        <f t="shared" si="2"/>
        <v>0.8163338779805589</v>
      </c>
      <c r="N7" s="102">
        <f>IF(SUM(N8:N22)&lt;&gt;VLOOKUP($B7,MMWR_TRAD_AGG_ST_DISTRICT_COMP[],N$1,0),"ERROR",
VLOOKUP($B7,MMWR_TRAD_AGG_ST_DISTRICT_COMP[],N$1,0))</f>
        <v>38012</v>
      </c>
      <c r="O7" s="102">
        <f>IF(SUM(O8:O22)&lt;&gt;VLOOKUP($B7,MMWR_TRAD_AGG_ST_DISTRICT_COMP[],O$1,0),"ERROR",
VLOOKUP($B7,MMWR_TRAD_AGG_ST_DISTRICT_COMP[],O$1,0))</f>
        <v>25204</v>
      </c>
      <c r="P7" s="105">
        <f t="shared" si="3"/>
        <v>0.66305377249289699</v>
      </c>
      <c r="Q7" s="102">
        <f>IF(SUM(Q8:Q22)&lt;&gt;VLOOKUP($B7,MMWR_TRAD_AGG_ST_DISTRICT_COMP[],Q$1,0),"ERROR",
VLOOKUP($B7,MMWR_TRAD_AGG_ST_DISTRICT_COMP[],Q$1,0))</f>
        <v>9161</v>
      </c>
      <c r="R7" s="106">
        <f>IFERROR(VLOOKUP($B7,MMWR_TRAD_AGG_ST_DISTRICT_COMP[],R$1,0),"ERROR")</f>
        <v>144</v>
      </c>
      <c r="S7" s="106">
        <f>SUM(S8:S22)</f>
        <v>57695</v>
      </c>
      <c r="T7" s="28"/>
    </row>
    <row r="8" spans="1:20" s="123" customFormat="1" x14ac:dyDescent="0.2">
      <c r="A8" s="107"/>
      <c r="B8" s="127" t="s">
        <v>374</v>
      </c>
      <c r="C8" s="109">
        <f>IFERROR(VLOOKUP($B8,MMWR_TRAD_AGG_STATE_COMP[],C$1,0),"ERROR")</f>
        <v>898</v>
      </c>
      <c r="D8" s="110">
        <f>IFERROR(VLOOKUP($B8,MMWR_TRAD_AGG_STATE_COMP[],D$1,0),"ERROR")</f>
        <v>299.71492204899999</v>
      </c>
      <c r="E8" s="111">
        <f>IFERROR(VLOOKUP($B8,MMWR_TRAD_AGG_STATE_COMP[],E$1,0),"ERROR")</f>
        <v>1723</v>
      </c>
      <c r="F8" s="112">
        <f>IFERROR(VLOOKUP($B8,MMWR_TRAD_AGG_STATE_COMP[],F$1,0),"ERROR")</f>
        <v>437</v>
      </c>
      <c r="G8" s="113">
        <f t="shared" si="0"/>
        <v>0.25362739408009288</v>
      </c>
      <c r="H8" s="111">
        <f>IFERROR(VLOOKUP($B8,MMWR_TRAD_AGG_STATE_COMP[],H$1,0),"ERROR")</f>
        <v>2456</v>
      </c>
      <c r="I8" s="112">
        <f>IFERROR(VLOOKUP($B8,MMWR_TRAD_AGG_STATE_COMP[],I$1,0),"ERROR")</f>
        <v>1486</v>
      </c>
      <c r="J8" s="114">
        <f t="shared" si="1"/>
        <v>0.60504885993485347</v>
      </c>
      <c r="K8" s="111">
        <f>IFERROR(VLOOKUP($B8,MMWR_TRAD_AGG_STATE_COMP[],K$1,0),"ERROR")</f>
        <v>640</v>
      </c>
      <c r="L8" s="112">
        <f>IFERROR(VLOOKUP($B8,MMWR_TRAD_AGG_STATE_COMP[],L$1,0),"ERROR")</f>
        <v>407</v>
      </c>
      <c r="M8" s="114">
        <f t="shared" si="2"/>
        <v>0.63593750000000004</v>
      </c>
      <c r="N8" s="111">
        <f>IFERROR(VLOOKUP($B8,MMWR_TRAD_AGG_STATE_COMP[],N$1,0),"ERROR")</f>
        <v>1098</v>
      </c>
      <c r="O8" s="112">
        <f>IFERROR(VLOOKUP($B8,MMWR_TRAD_AGG_STATE_COMP[],O$1,0),"ERROR")</f>
        <v>810</v>
      </c>
      <c r="P8" s="114">
        <f t="shared" si="3"/>
        <v>0.73770491803278693</v>
      </c>
      <c r="Q8" s="115">
        <f>IFERROR(VLOOKUP($B8,MMWR_TRAD_AGG_STATE_COMP[],Q$1,0),"ERROR")</f>
        <v>305</v>
      </c>
      <c r="R8" s="115">
        <f>IFERROR(VLOOKUP($B8,MMWR_TRAD_AGG_STATE_COMP[],R$1,0),"ERROR")</f>
        <v>5</v>
      </c>
      <c r="S8" s="115">
        <f>IFERROR(VLOOKUP($B8,MMWR_APP_STATE_COMP[],S$1,0),"ERROR")</f>
        <v>1282</v>
      </c>
      <c r="T8" s="28"/>
    </row>
    <row r="9" spans="1:20" s="123" customFormat="1" x14ac:dyDescent="0.2">
      <c r="A9" s="107"/>
      <c r="B9" s="127" t="s">
        <v>424</v>
      </c>
      <c r="C9" s="109">
        <f>IFERROR(VLOOKUP($B9,MMWR_TRAD_AGG_STATE_COMP[],C$1,0),"ERROR")</f>
        <v>799</v>
      </c>
      <c r="D9" s="110">
        <f>IFERROR(VLOOKUP($B9,MMWR_TRAD_AGG_STATE_COMP[],D$1,0),"ERROR")</f>
        <v>426.69211514390003</v>
      </c>
      <c r="E9" s="111">
        <f>IFERROR(VLOOKUP($B9,MMWR_TRAD_AGG_STATE_COMP[],E$1,0),"ERROR")</f>
        <v>871</v>
      </c>
      <c r="F9" s="112">
        <f>IFERROR(VLOOKUP($B9,MMWR_TRAD_AGG_STATE_COMP[],F$1,0),"ERROR")</f>
        <v>213</v>
      </c>
      <c r="G9" s="113">
        <f t="shared" si="0"/>
        <v>0.24454649827784156</v>
      </c>
      <c r="H9" s="111">
        <f>IFERROR(VLOOKUP($B9,MMWR_TRAD_AGG_STATE_COMP[],H$1,0),"ERROR")</f>
        <v>1064</v>
      </c>
      <c r="I9" s="112">
        <f>IFERROR(VLOOKUP($B9,MMWR_TRAD_AGG_STATE_COMP[],I$1,0),"ERROR")</f>
        <v>765</v>
      </c>
      <c r="J9" s="114">
        <f t="shared" si="1"/>
        <v>0.71898496240601506</v>
      </c>
      <c r="K9" s="111">
        <f>IFERROR(VLOOKUP($B9,MMWR_TRAD_AGG_STATE_COMP[],K$1,0),"ERROR")</f>
        <v>239</v>
      </c>
      <c r="L9" s="112">
        <f>IFERROR(VLOOKUP($B9,MMWR_TRAD_AGG_STATE_COMP[],L$1,0),"ERROR")</f>
        <v>186</v>
      </c>
      <c r="M9" s="114">
        <f t="shared" si="2"/>
        <v>0.77824267782426781</v>
      </c>
      <c r="N9" s="111">
        <f>IFERROR(VLOOKUP($B9,MMWR_TRAD_AGG_STATE_COMP[],N$1,0),"ERROR")</f>
        <v>377</v>
      </c>
      <c r="O9" s="112">
        <f>IFERROR(VLOOKUP($B9,MMWR_TRAD_AGG_STATE_COMP[],O$1,0),"ERROR")</f>
        <v>216</v>
      </c>
      <c r="P9" s="114">
        <f t="shared" si="3"/>
        <v>0.57294429708222816</v>
      </c>
      <c r="Q9" s="115">
        <f>IFERROR(VLOOKUP($B9,MMWR_TRAD_AGG_STATE_COMP[],Q$1,0),"ERROR")</f>
        <v>90</v>
      </c>
      <c r="R9" s="115">
        <f>IFERROR(VLOOKUP($B9,MMWR_TRAD_AGG_STATE_COMP[],R$1,0),"ERROR")</f>
        <v>1</v>
      </c>
      <c r="S9" s="115">
        <f>IFERROR(VLOOKUP($B9,MMWR_APP_STATE_COMP[],S$1,0),"ERROR")</f>
        <v>620</v>
      </c>
      <c r="T9" s="28"/>
    </row>
    <row r="10" spans="1:20" s="123" customFormat="1" x14ac:dyDescent="0.2">
      <c r="A10" s="107"/>
      <c r="B10" s="127" t="s">
        <v>415</v>
      </c>
      <c r="C10" s="109">
        <f>IFERROR(VLOOKUP($B10,MMWR_TRAD_AGG_STATE_COMP[],C$1,0),"ERROR")</f>
        <v>419</v>
      </c>
      <c r="D10" s="110">
        <f>IFERROR(VLOOKUP($B10,MMWR_TRAD_AGG_STATE_COMP[],D$1,0),"ERROR")</f>
        <v>516.47732696900005</v>
      </c>
      <c r="E10" s="111">
        <f>IFERROR(VLOOKUP($B10,MMWR_TRAD_AGG_STATE_COMP[],E$1,0),"ERROR")</f>
        <v>436</v>
      </c>
      <c r="F10" s="112">
        <f>IFERROR(VLOOKUP($B10,MMWR_TRAD_AGG_STATE_COMP[],F$1,0),"ERROR")</f>
        <v>84</v>
      </c>
      <c r="G10" s="113">
        <f t="shared" si="0"/>
        <v>0.19266055045871561</v>
      </c>
      <c r="H10" s="111">
        <f>IFERROR(VLOOKUP($B10,MMWR_TRAD_AGG_STATE_COMP[],H$1,0),"ERROR")</f>
        <v>611</v>
      </c>
      <c r="I10" s="112">
        <f>IFERROR(VLOOKUP($B10,MMWR_TRAD_AGG_STATE_COMP[],I$1,0),"ERROR")</f>
        <v>439</v>
      </c>
      <c r="J10" s="114">
        <f t="shared" si="1"/>
        <v>0.71849427168576108</v>
      </c>
      <c r="K10" s="111">
        <f>IFERROR(VLOOKUP($B10,MMWR_TRAD_AGG_STATE_COMP[],K$1,0),"ERROR")</f>
        <v>209</v>
      </c>
      <c r="L10" s="112">
        <f>IFERROR(VLOOKUP($B10,MMWR_TRAD_AGG_STATE_COMP[],L$1,0),"ERROR")</f>
        <v>182</v>
      </c>
      <c r="M10" s="114">
        <f t="shared" si="2"/>
        <v>0.87081339712918659</v>
      </c>
      <c r="N10" s="111">
        <f>IFERROR(VLOOKUP($B10,MMWR_TRAD_AGG_STATE_COMP[],N$1,0),"ERROR")</f>
        <v>358</v>
      </c>
      <c r="O10" s="112">
        <f>IFERROR(VLOOKUP($B10,MMWR_TRAD_AGG_STATE_COMP[],O$1,0),"ERROR")</f>
        <v>269</v>
      </c>
      <c r="P10" s="114">
        <f t="shared" si="3"/>
        <v>0.75139664804469275</v>
      </c>
      <c r="Q10" s="115">
        <f>IFERROR(VLOOKUP($B10,MMWR_TRAD_AGG_STATE_COMP[],Q$1,0),"ERROR")</f>
        <v>40</v>
      </c>
      <c r="R10" s="115">
        <f>IFERROR(VLOOKUP($B10,MMWR_TRAD_AGG_STATE_COMP[],R$1,0),"ERROR")</f>
        <v>0</v>
      </c>
      <c r="S10" s="115">
        <f>IFERROR(VLOOKUP($B10,MMWR_APP_STATE_COMP[],S$1,0),"ERROR")</f>
        <v>602</v>
      </c>
      <c r="T10" s="28"/>
    </row>
    <row r="11" spans="1:20" s="123" customFormat="1" x14ac:dyDescent="0.2">
      <c r="A11" s="107"/>
      <c r="B11" s="127" t="s">
        <v>417</v>
      </c>
      <c r="C11" s="109">
        <f>IFERROR(VLOOKUP($B11,MMWR_TRAD_AGG_STATE_COMP[],C$1,0),"ERROR")</f>
        <v>1096</v>
      </c>
      <c r="D11" s="110">
        <f>IFERROR(VLOOKUP($B11,MMWR_TRAD_AGG_STATE_COMP[],D$1,0),"ERROR")</f>
        <v>301.5145985401</v>
      </c>
      <c r="E11" s="111">
        <f>IFERROR(VLOOKUP($B11,MMWR_TRAD_AGG_STATE_COMP[],E$1,0),"ERROR")</f>
        <v>1296</v>
      </c>
      <c r="F11" s="112">
        <f>IFERROR(VLOOKUP($B11,MMWR_TRAD_AGG_STATE_COMP[],F$1,0),"ERROR")</f>
        <v>221</v>
      </c>
      <c r="G11" s="113">
        <f t="shared" si="0"/>
        <v>0.1705246913580247</v>
      </c>
      <c r="H11" s="111">
        <f>IFERROR(VLOOKUP($B11,MMWR_TRAD_AGG_STATE_COMP[],H$1,0),"ERROR")</f>
        <v>1852</v>
      </c>
      <c r="I11" s="112">
        <f>IFERROR(VLOOKUP($B11,MMWR_TRAD_AGG_STATE_COMP[],I$1,0),"ERROR")</f>
        <v>924</v>
      </c>
      <c r="J11" s="114">
        <f t="shared" si="1"/>
        <v>0.49892008639308855</v>
      </c>
      <c r="K11" s="111">
        <f>IFERROR(VLOOKUP($B11,MMWR_TRAD_AGG_STATE_COMP[],K$1,0),"ERROR")</f>
        <v>992</v>
      </c>
      <c r="L11" s="112">
        <f>IFERROR(VLOOKUP($B11,MMWR_TRAD_AGG_STATE_COMP[],L$1,0),"ERROR")</f>
        <v>776</v>
      </c>
      <c r="M11" s="114">
        <f t="shared" si="2"/>
        <v>0.782258064516129</v>
      </c>
      <c r="N11" s="111">
        <f>IFERROR(VLOOKUP($B11,MMWR_TRAD_AGG_STATE_COMP[],N$1,0),"ERROR")</f>
        <v>429</v>
      </c>
      <c r="O11" s="112">
        <f>IFERROR(VLOOKUP($B11,MMWR_TRAD_AGG_STATE_COMP[],O$1,0),"ERROR")</f>
        <v>259</v>
      </c>
      <c r="P11" s="114">
        <f t="shared" si="3"/>
        <v>0.60372960372960371</v>
      </c>
      <c r="Q11" s="115">
        <f>IFERROR(VLOOKUP($B11,MMWR_TRAD_AGG_STATE_COMP[],Q$1,0),"ERROR")</f>
        <v>356</v>
      </c>
      <c r="R11" s="115">
        <f>IFERROR(VLOOKUP($B11,MMWR_TRAD_AGG_STATE_COMP[],R$1,0),"ERROR")</f>
        <v>2</v>
      </c>
      <c r="S11" s="115">
        <f>IFERROR(VLOOKUP($B11,MMWR_APP_STATE_COMP[],S$1,0),"ERROR")</f>
        <v>456</v>
      </c>
      <c r="T11" s="28"/>
    </row>
    <row r="12" spans="1:20" s="123" customFormat="1" x14ac:dyDescent="0.2">
      <c r="A12" s="107"/>
      <c r="B12" s="127" t="s">
        <v>377</v>
      </c>
      <c r="C12" s="109">
        <f>IFERROR(VLOOKUP($B12,MMWR_TRAD_AGG_STATE_COMP[],C$1,0),"ERROR")</f>
        <v>8776</v>
      </c>
      <c r="D12" s="110">
        <f>IFERROR(VLOOKUP($B12,MMWR_TRAD_AGG_STATE_COMP[],D$1,0),"ERROR")</f>
        <v>674.2226526892</v>
      </c>
      <c r="E12" s="111">
        <f>IFERROR(VLOOKUP($B12,MMWR_TRAD_AGG_STATE_COMP[],E$1,0),"ERROR")</f>
        <v>5253</v>
      </c>
      <c r="F12" s="112">
        <f>IFERROR(VLOOKUP($B12,MMWR_TRAD_AGG_STATE_COMP[],F$1,0),"ERROR")</f>
        <v>1425</v>
      </c>
      <c r="G12" s="113">
        <f t="shared" si="0"/>
        <v>0.27127355796687608</v>
      </c>
      <c r="H12" s="111">
        <f>IFERROR(VLOOKUP($B12,MMWR_TRAD_AGG_STATE_COMP[],H$1,0),"ERROR")</f>
        <v>11490</v>
      </c>
      <c r="I12" s="112">
        <f>IFERROR(VLOOKUP($B12,MMWR_TRAD_AGG_STATE_COMP[],I$1,0),"ERROR")</f>
        <v>8934</v>
      </c>
      <c r="J12" s="114">
        <f t="shared" si="1"/>
        <v>0.7775456919060052</v>
      </c>
      <c r="K12" s="111">
        <f>IFERROR(VLOOKUP($B12,MMWR_TRAD_AGG_STATE_COMP[],K$1,0),"ERROR")</f>
        <v>4011</v>
      </c>
      <c r="L12" s="112">
        <f>IFERROR(VLOOKUP($B12,MMWR_TRAD_AGG_STATE_COMP[],L$1,0),"ERROR")</f>
        <v>3486</v>
      </c>
      <c r="M12" s="114">
        <f t="shared" si="2"/>
        <v>0.86910994764397909</v>
      </c>
      <c r="N12" s="111">
        <f>IFERROR(VLOOKUP($B12,MMWR_TRAD_AGG_STATE_COMP[],N$1,0),"ERROR")</f>
        <v>3050</v>
      </c>
      <c r="O12" s="112">
        <f>IFERROR(VLOOKUP($B12,MMWR_TRAD_AGG_STATE_COMP[],O$1,0),"ERROR")</f>
        <v>2068</v>
      </c>
      <c r="P12" s="114">
        <f t="shared" si="3"/>
        <v>0.67803278688524593</v>
      </c>
      <c r="Q12" s="115">
        <f>IFERROR(VLOOKUP($B12,MMWR_TRAD_AGG_STATE_COMP[],Q$1,0),"ERROR")</f>
        <v>431</v>
      </c>
      <c r="R12" s="115">
        <f>IFERROR(VLOOKUP($B12,MMWR_TRAD_AGG_STATE_COMP[],R$1,0),"ERROR")</f>
        <v>6</v>
      </c>
      <c r="S12" s="115">
        <f>IFERROR(VLOOKUP($B12,MMWR_APP_STATE_COMP[],S$1,0),"ERROR")</f>
        <v>5748</v>
      </c>
      <c r="T12" s="28"/>
    </row>
    <row r="13" spans="1:20" s="123" customFormat="1" x14ac:dyDescent="0.2">
      <c r="A13" s="107"/>
      <c r="B13" s="127" t="s">
        <v>372</v>
      </c>
      <c r="C13" s="109">
        <f>IFERROR(VLOOKUP($B13,MMWR_TRAD_AGG_STATE_COMP[],C$1,0),"ERROR")</f>
        <v>4076</v>
      </c>
      <c r="D13" s="110">
        <f>IFERROR(VLOOKUP($B13,MMWR_TRAD_AGG_STATE_COMP[],D$1,0),"ERROR")</f>
        <v>582.98650637879996</v>
      </c>
      <c r="E13" s="111">
        <f>IFERROR(VLOOKUP($B13,MMWR_TRAD_AGG_STATE_COMP[],E$1,0),"ERROR")</f>
        <v>4491</v>
      </c>
      <c r="F13" s="112">
        <f>IFERROR(VLOOKUP($B13,MMWR_TRAD_AGG_STATE_COMP[],F$1,0),"ERROR")</f>
        <v>1054</v>
      </c>
      <c r="G13" s="113">
        <f t="shared" si="0"/>
        <v>0.2346916054330884</v>
      </c>
      <c r="H13" s="111">
        <f>IFERROR(VLOOKUP($B13,MMWR_TRAD_AGG_STATE_COMP[],H$1,0),"ERROR")</f>
        <v>5990</v>
      </c>
      <c r="I13" s="112">
        <f>IFERROR(VLOOKUP($B13,MMWR_TRAD_AGG_STATE_COMP[],I$1,0),"ERROR")</f>
        <v>4401</v>
      </c>
      <c r="J13" s="114">
        <f t="shared" si="1"/>
        <v>0.73472454090150252</v>
      </c>
      <c r="K13" s="111">
        <f>IFERROR(VLOOKUP($B13,MMWR_TRAD_AGG_STATE_COMP[],K$1,0),"ERROR")</f>
        <v>2846</v>
      </c>
      <c r="L13" s="112">
        <f>IFERROR(VLOOKUP($B13,MMWR_TRAD_AGG_STATE_COMP[],L$1,0),"ERROR")</f>
        <v>2306</v>
      </c>
      <c r="M13" s="114">
        <f t="shared" si="2"/>
        <v>0.81026001405481374</v>
      </c>
      <c r="N13" s="111">
        <f>IFERROR(VLOOKUP($B13,MMWR_TRAD_AGG_STATE_COMP[],N$1,0),"ERROR")</f>
        <v>1359</v>
      </c>
      <c r="O13" s="112">
        <f>IFERROR(VLOOKUP($B13,MMWR_TRAD_AGG_STATE_COMP[],O$1,0),"ERROR")</f>
        <v>1013</v>
      </c>
      <c r="P13" s="114">
        <f t="shared" si="3"/>
        <v>0.74540103016924208</v>
      </c>
      <c r="Q13" s="115">
        <f>IFERROR(VLOOKUP($B13,MMWR_TRAD_AGG_STATE_COMP[],Q$1,0),"ERROR")</f>
        <v>795</v>
      </c>
      <c r="R13" s="115">
        <f>IFERROR(VLOOKUP($B13,MMWR_TRAD_AGG_STATE_COMP[],R$1,0),"ERROR")</f>
        <v>12</v>
      </c>
      <c r="S13" s="115">
        <f>IFERROR(VLOOKUP($B13,MMWR_APP_STATE_COMP[],S$1,0),"ERROR")</f>
        <v>3402</v>
      </c>
      <c r="T13" s="28"/>
    </row>
    <row r="14" spans="1:20" s="123" customFormat="1" x14ac:dyDescent="0.2">
      <c r="A14" s="107"/>
      <c r="B14" s="127" t="s">
        <v>416</v>
      </c>
      <c r="C14" s="109">
        <f>IFERROR(VLOOKUP($B14,MMWR_TRAD_AGG_STATE_COMP[],C$1,0),"ERROR")</f>
        <v>1154</v>
      </c>
      <c r="D14" s="110">
        <f>IFERROR(VLOOKUP($B14,MMWR_TRAD_AGG_STATE_COMP[],D$1,0),"ERROR")</f>
        <v>314.34315424610003</v>
      </c>
      <c r="E14" s="111">
        <f>IFERROR(VLOOKUP($B14,MMWR_TRAD_AGG_STATE_COMP[],E$1,0),"ERROR")</f>
        <v>1211</v>
      </c>
      <c r="F14" s="112">
        <f>IFERROR(VLOOKUP($B14,MMWR_TRAD_AGG_STATE_COMP[],F$1,0),"ERROR")</f>
        <v>214</v>
      </c>
      <c r="G14" s="113">
        <f t="shared" si="0"/>
        <v>0.17671345995045418</v>
      </c>
      <c r="H14" s="111">
        <f>IFERROR(VLOOKUP($B14,MMWR_TRAD_AGG_STATE_COMP[],H$1,0),"ERROR")</f>
        <v>1752</v>
      </c>
      <c r="I14" s="112">
        <f>IFERROR(VLOOKUP($B14,MMWR_TRAD_AGG_STATE_COMP[],I$1,0),"ERROR")</f>
        <v>1090</v>
      </c>
      <c r="J14" s="114">
        <f t="shared" si="1"/>
        <v>0.62214611872146119</v>
      </c>
      <c r="K14" s="111">
        <f>IFERROR(VLOOKUP($B14,MMWR_TRAD_AGG_STATE_COMP[],K$1,0),"ERROR")</f>
        <v>399</v>
      </c>
      <c r="L14" s="112">
        <f>IFERROR(VLOOKUP($B14,MMWR_TRAD_AGG_STATE_COMP[],L$1,0),"ERROR")</f>
        <v>316</v>
      </c>
      <c r="M14" s="114">
        <f t="shared" si="2"/>
        <v>0.79197994987468667</v>
      </c>
      <c r="N14" s="111">
        <f>IFERROR(VLOOKUP($B14,MMWR_TRAD_AGG_STATE_COMP[],N$1,0),"ERROR")</f>
        <v>292</v>
      </c>
      <c r="O14" s="112">
        <f>IFERROR(VLOOKUP($B14,MMWR_TRAD_AGG_STATE_COMP[],O$1,0),"ERROR")</f>
        <v>154</v>
      </c>
      <c r="P14" s="114">
        <f t="shared" si="3"/>
        <v>0.5273972602739726</v>
      </c>
      <c r="Q14" s="115">
        <f>IFERROR(VLOOKUP($B14,MMWR_TRAD_AGG_STATE_COMP[],Q$1,0),"ERROR")</f>
        <v>173</v>
      </c>
      <c r="R14" s="115">
        <f>IFERROR(VLOOKUP($B14,MMWR_TRAD_AGG_STATE_COMP[],R$1,0),"ERROR")</f>
        <v>4</v>
      </c>
      <c r="S14" s="115">
        <f>IFERROR(VLOOKUP($B14,MMWR_APP_STATE_COMP[],S$1,0),"ERROR")</f>
        <v>636</v>
      </c>
      <c r="T14" s="28"/>
    </row>
    <row r="15" spans="1:20" s="123" customFormat="1" x14ac:dyDescent="0.2">
      <c r="A15" s="107"/>
      <c r="B15" s="127" t="s">
        <v>375</v>
      </c>
      <c r="C15" s="109">
        <f>IFERROR(VLOOKUP($B15,MMWR_TRAD_AGG_STATE_COMP[],C$1,0),"ERROR")</f>
        <v>1783</v>
      </c>
      <c r="D15" s="110">
        <f>IFERROR(VLOOKUP($B15,MMWR_TRAD_AGG_STATE_COMP[],D$1,0),"ERROR")</f>
        <v>342.8883903533</v>
      </c>
      <c r="E15" s="111">
        <f>IFERROR(VLOOKUP($B15,MMWR_TRAD_AGG_STATE_COMP[],E$1,0),"ERROR")</f>
        <v>4268</v>
      </c>
      <c r="F15" s="112">
        <f>IFERROR(VLOOKUP($B15,MMWR_TRAD_AGG_STATE_COMP[],F$1,0),"ERROR")</f>
        <v>1074</v>
      </c>
      <c r="G15" s="113">
        <f t="shared" si="0"/>
        <v>0.25164011246485474</v>
      </c>
      <c r="H15" s="111">
        <f>IFERROR(VLOOKUP($B15,MMWR_TRAD_AGG_STATE_COMP[],H$1,0),"ERROR")</f>
        <v>3476</v>
      </c>
      <c r="I15" s="112">
        <f>IFERROR(VLOOKUP($B15,MMWR_TRAD_AGG_STATE_COMP[],I$1,0),"ERROR")</f>
        <v>1861</v>
      </c>
      <c r="J15" s="114">
        <f t="shared" si="1"/>
        <v>0.53538550057537404</v>
      </c>
      <c r="K15" s="111">
        <f>IFERROR(VLOOKUP($B15,MMWR_TRAD_AGG_STATE_COMP[],K$1,0),"ERROR")</f>
        <v>1422</v>
      </c>
      <c r="L15" s="112">
        <f>IFERROR(VLOOKUP($B15,MMWR_TRAD_AGG_STATE_COMP[],L$1,0),"ERROR")</f>
        <v>1185</v>
      </c>
      <c r="M15" s="114">
        <f t="shared" si="2"/>
        <v>0.83333333333333337</v>
      </c>
      <c r="N15" s="111">
        <f>IFERROR(VLOOKUP($B15,MMWR_TRAD_AGG_STATE_COMP[],N$1,0),"ERROR")</f>
        <v>2391</v>
      </c>
      <c r="O15" s="112">
        <f>IFERROR(VLOOKUP($B15,MMWR_TRAD_AGG_STATE_COMP[],O$1,0),"ERROR")</f>
        <v>1647</v>
      </c>
      <c r="P15" s="114">
        <f t="shared" si="3"/>
        <v>0.68883312421580933</v>
      </c>
      <c r="Q15" s="115">
        <f>IFERROR(VLOOKUP($B15,MMWR_TRAD_AGG_STATE_COMP[],Q$1,0),"ERROR")</f>
        <v>772</v>
      </c>
      <c r="R15" s="115">
        <f>IFERROR(VLOOKUP($B15,MMWR_TRAD_AGG_STATE_COMP[],R$1,0),"ERROR")</f>
        <v>3</v>
      </c>
      <c r="S15" s="115">
        <f>IFERROR(VLOOKUP($B15,MMWR_APP_STATE_COMP[],S$1,0),"ERROR")</f>
        <v>4022</v>
      </c>
      <c r="T15" s="28"/>
    </row>
    <row r="16" spans="1:20" s="123" customFormat="1" x14ac:dyDescent="0.2">
      <c r="A16" s="107"/>
      <c r="B16" s="127" t="s">
        <v>60</v>
      </c>
      <c r="C16" s="109">
        <f>IFERROR(VLOOKUP($B16,MMWR_TRAD_AGG_STATE_COMP[],C$1,0),"ERROR")</f>
        <v>3856</v>
      </c>
      <c r="D16" s="110">
        <f>IFERROR(VLOOKUP($B16,MMWR_TRAD_AGG_STATE_COMP[],D$1,0),"ERROR")</f>
        <v>288.81820539419999</v>
      </c>
      <c r="E16" s="111">
        <f>IFERROR(VLOOKUP($B16,MMWR_TRAD_AGG_STATE_COMP[],E$1,0),"ERROR")</f>
        <v>8800</v>
      </c>
      <c r="F16" s="112">
        <f>IFERROR(VLOOKUP($B16,MMWR_TRAD_AGG_STATE_COMP[],F$1,0),"ERROR")</f>
        <v>2147</v>
      </c>
      <c r="G16" s="113">
        <f t="shared" si="0"/>
        <v>0.24397727272727274</v>
      </c>
      <c r="H16" s="111">
        <f>IFERROR(VLOOKUP($B16,MMWR_TRAD_AGG_STATE_COMP[],H$1,0),"ERROR")</f>
        <v>7649</v>
      </c>
      <c r="I16" s="112">
        <f>IFERROR(VLOOKUP($B16,MMWR_TRAD_AGG_STATE_COMP[],I$1,0),"ERROR")</f>
        <v>3953</v>
      </c>
      <c r="J16" s="114">
        <f t="shared" si="1"/>
        <v>0.51679958164465944</v>
      </c>
      <c r="K16" s="111">
        <f>IFERROR(VLOOKUP($B16,MMWR_TRAD_AGG_STATE_COMP[],K$1,0),"ERROR")</f>
        <v>3984</v>
      </c>
      <c r="L16" s="112">
        <f>IFERROR(VLOOKUP($B16,MMWR_TRAD_AGG_STATE_COMP[],L$1,0),"ERROR")</f>
        <v>3079</v>
      </c>
      <c r="M16" s="114">
        <f t="shared" si="2"/>
        <v>0.77284136546184734</v>
      </c>
      <c r="N16" s="111">
        <f>IFERROR(VLOOKUP($B16,MMWR_TRAD_AGG_STATE_COMP[],N$1,0),"ERROR")</f>
        <v>5756</v>
      </c>
      <c r="O16" s="112">
        <f>IFERROR(VLOOKUP($B16,MMWR_TRAD_AGG_STATE_COMP[],O$1,0),"ERROR")</f>
        <v>2076</v>
      </c>
      <c r="P16" s="114">
        <f t="shared" si="3"/>
        <v>0.36066712995135508</v>
      </c>
      <c r="Q16" s="115">
        <f>IFERROR(VLOOKUP($B16,MMWR_TRAD_AGG_STATE_COMP[],Q$1,0),"ERROR")</f>
        <v>1718</v>
      </c>
      <c r="R16" s="115">
        <f>IFERROR(VLOOKUP($B16,MMWR_TRAD_AGG_STATE_COMP[],R$1,0),"ERROR")</f>
        <v>13</v>
      </c>
      <c r="S16" s="115">
        <f>IFERROR(VLOOKUP($B16,MMWR_APP_STATE_COMP[],S$1,0),"ERROR")</f>
        <v>5261</v>
      </c>
      <c r="T16" s="28"/>
    </row>
    <row r="17" spans="1:20" s="123" customFormat="1" x14ac:dyDescent="0.2">
      <c r="A17" s="107"/>
      <c r="B17" s="127" t="s">
        <v>383</v>
      </c>
      <c r="C17" s="109">
        <f>IFERROR(VLOOKUP($B17,MMWR_TRAD_AGG_STATE_COMP[],C$1,0),"ERROR")</f>
        <v>14849</v>
      </c>
      <c r="D17" s="110">
        <f>IFERROR(VLOOKUP($B17,MMWR_TRAD_AGG_STATE_COMP[],D$1,0),"ERROR")</f>
        <v>303.42757088019999</v>
      </c>
      <c r="E17" s="111">
        <f>IFERROR(VLOOKUP($B17,MMWR_TRAD_AGG_STATE_COMP[],E$1,0),"ERROR")</f>
        <v>17788</v>
      </c>
      <c r="F17" s="112">
        <f>IFERROR(VLOOKUP($B17,MMWR_TRAD_AGG_STATE_COMP[],F$1,0),"ERROR")</f>
        <v>4755</v>
      </c>
      <c r="G17" s="113">
        <f t="shared" si="0"/>
        <v>0.26731504384978638</v>
      </c>
      <c r="H17" s="111">
        <f>IFERROR(VLOOKUP($B17,MMWR_TRAD_AGG_STATE_COMP[],H$1,0),"ERROR")</f>
        <v>19938</v>
      </c>
      <c r="I17" s="112">
        <f>IFERROR(VLOOKUP($B17,MMWR_TRAD_AGG_STATE_COMP[],I$1,0),"ERROR")</f>
        <v>13352</v>
      </c>
      <c r="J17" s="114">
        <f t="shared" si="1"/>
        <v>0.66967599558631763</v>
      </c>
      <c r="K17" s="111">
        <f>IFERROR(VLOOKUP($B17,MMWR_TRAD_AGG_STATE_COMP[],K$1,0),"ERROR")</f>
        <v>9425</v>
      </c>
      <c r="L17" s="112">
        <f>IFERROR(VLOOKUP($B17,MMWR_TRAD_AGG_STATE_COMP[],L$1,0),"ERROR")</f>
        <v>7393</v>
      </c>
      <c r="M17" s="114">
        <f t="shared" si="2"/>
        <v>0.78440318302387269</v>
      </c>
      <c r="N17" s="111">
        <f>IFERROR(VLOOKUP($B17,MMWR_TRAD_AGG_STATE_COMP[],N$1,0),"ERROR")</f>
        <v>7139</v>
      </c>
      <c r="O17" s="112">
        <f>IFERROR(VLOOKUP($B17,MMWR_TRAD_AGG_STATE_COMP[],O$1,0),"ERROR")</f>
        <v>4802</v>
      </c>
      <c r="P17" s="114">
        <f t="shared" si="3"/>
        <v>0.67264322734276505</v>
      </c>
      <c r="Q17" s="115">
        <f>IFERROR(VLOOKUP($B17,MMWR_TRAD_AGG_STATE_COMP[],Q$1,0),"ERROR")</f>
        <v>1249</v>
      </c>
      <c r="R17" s="115">
        <f>IFERROR(VLOOKUP($B17,MMWR_TRAD_AGG_STATE_COMP[],R$1,0),"ERROR")</f>
        <v>47</v>
      </c>
      <c r="S17" s="115">
        <f>IFERROR(VLOOKUP($B17,MMWR_APP_STATE_COMP[],S$1,0),"ERROR")</f>
        <v>10032</v>
      </c>
      <c r="T17" s="28"/>
    </row>
    <row r="18" spans="1:20" s="123" customFormat="1" x14ac:dyDescent="0.2">
      <c r="A18" s="107"/>
      <c r="B18" s="127" t="s">
        <v>376</v>
      </c>
      <c r="C18" s="109">
        <f>IFERROR(VLOOKUP($B18,MMWR_TRAD_AGG_STATE_COMP[],C$1,0),"ERROR")</f>
        <v>6294</v>
      </c>
      <c r="D18" s="110">
        <f>IFERROR(VLOOKUP($B18,MMWR_TRAD_AGG_STATE_COMP[],D$1,0),"ERROR")</f>
        <v>452.23689227839998</v>
      </c>
      <c r="E18" s="111">
        <f>IFERROR(VLOOKUP($B18,MMWR_TRAD_AGG_STATE_COMP[],E$1,0),"ERROR")</f>
        <v>9468</v>
      </c>
      <c r="F18" s="112">
        <f>IFERROR(VLOOKUP($B18,MMWR_TRAD_AGG_STATE_COMP[],F$1,0),"ERROR")</f>
        <v>2567</v>
      </c>
      <c r="G18" s="113">
        <f t="shared" si="0"/>
        <v>0.2711237853823405</v>
      </c>
      <c r="H18" s="111">
        <f>IFERROR(VLOOKUP($B18,MMWR_TRAD_AGG_STATE_COMP[],H$1,0),"ERROR")</f>
        <v>10116</v>
      </c>
      <c r="I18" s="112">
        <f>IFERROR(VLOOKUP($B18,MMWR_TRAD_AGG_STATE_COMP[],I$1,0),"ERROR")</f>
        <v>7359</v>
      </c>
      <c r="J18" s="114">
        <f t="shared" si="1"/>
        <v>0.72746144721233685</v>
      </c>
      <c r="K18" s="111">
        <f>IFERROR(VLOOKUP($B18,MMWR_TRAD_AGG_STATE_COMP[],K$1,0),"ERROR")</f>
        <v>1851</v>
      </c>
      <c r="L18" s="112">
        <f>IFERROR(VLOOKUP($B18,MMWR_TRAD_AGG_STATE_COMP[],L$1,0),"ERROR")</f>
        <v>1522</v>
      </c>
      <c r="M18" s="114">
        <f t="shared" si="2"/>
        <v>0.82225823878984328</v>
      </c>
      <c r="N18" s="111">
        <f>IFERROR(VLOOKUP($B18,MMWR_TRAD_AGG_STATE_COMP[],N$1,0),"ERROR")</f>
        <v>6502</v>
      </c>
      <c r="O18" s="112">
        <f>IFERROR(VLOOKUP($B18,MMWR_TRAD_AGG_STATE_COMP[],O$1,0),"ERROR")</f>
        <v>5149</v>
      </c>
      <c r="P18" s="114">
        <f t="shared" si="3"/>
        <v>0.79191018148262071</v>
      </c>
      <c r="Q18" s="115">
        <f>IFERROR(VLOOKUP($B18,MMWR_TRAD_AGG_STATE_COMP[],Q$1,0),"ERROR")</f>
        <v>1606</v>
      </c>
      <c r="R18" s="115">
        <f>IFERROR(VLOOKUP($B18,MMWR_TRAD_AGG_STATE_COMP[],R$1,0),"ERROR")</f>
        <v>15</v>
      </c>
      <c r="S18" s="115">
        <f>IFERROR(VLOOKUP($B18,MMWR_APP_STATE_COMP[],S$1,0),"ERROR")</f>
        <v>7423</v>
      </c>
      <c r="T18" s="28"/>
    </row>
    <row r="19" spans="1:20" s="123" customFormat="1" x14ac:dyDescent="0.2">
      <c r="A19" s="107"/>
      <c r="B19" s="127" t="s">
        <v>373</v>
      </c>
      <c r="C19" s="109">
        <f>IFERROR(VLOOKUP($B19,MMWR_TRAD_AGG_STATE_COMP[],C$1,0),"ERROR")</f>
        <v>290</v>
      </c>
      <c r="D19" s="110">
        <f>IFERROR(VLOOKUP($B19,MMWR_TRAD_AGG_STATE_COMP[],D$1,0),"ERROR")</f>
        <v>219.52413793100001</v>
      </c>
      <c r="E19" s="111">
        <f>IFERROR(VLOOKUP($B19,MMWR_TRAD_AGG_STATE_COMP[],E$1,0),"ERROR")</f>
        <v>917</v>
      </c>
      <c r="F19" s="112">
        <f>IFERROR(VLOOKUP($B19,MMWR_TRAD_AGG_STATE_COMP[],F$1,0),"ERROR")</f>
        <v>185</v>
      </c>
      <c r="G19" s="113">
        <f t="shared" si="0"/>
        <v>0.20174482006543076</v>
      </c>
      <c r="H19" s="111">
        <f>IFERROR(VLOOKUP($B19,MMWR_TRAD_AGG_STATE_COMP[],H$1,0),"ERROR")</f>
        <v>554</v>
      </c>
      <c r="I19" s="112">
        <f>IFERROR(VLOOKUP($B19,MMWR_TRAD_AGG_STATE_COMP[],I$1,0),"ERROR")</f>
        <v>253</v>
      </c>
      <c r="J19" s="114">
        <f t="shared" si="1"/>
        <v>0.45667870036101083</v>
      </c>
      <c r="K19" s="111">
        <f>IFERROR(VLOOKUP($B19,MMWR_TRAD_AGG_STATE_COMP[],K$1,0),"ERROR")</f>
        <v>228</v>
      </c>
      <c r="L19" s="112">
        <f>IFERROR(VLOOKUP($B19,MMWR_TRAD_AGG_STATE_COMP[],L$1,0),"ERROR")</f>
        <v>190</v>
      </c>
      <c r="M19" s="114">
        <f t="shared" si="2"/>
        <v>0.83333333333333337</v>
      </c>
      <c r="N19" s="111">
        <f>IFERROR(VLOOKUP($B19,MMWR_TRAD_AGG_STATE_COMP[],N$1,0),"ERROR")</f>
        <v>193</v>
      </c>
      <c r="O19" s="112">
        <f>IFERROR(VLOOKUP($B19,MMWR_TRAD_AGG_STATE_COMP[],O$1,0),"ERROR")</f>
        <v>107</v>
      </c>
      <c r="P19" s="114">
        <f t="shared" si="3"/>
        <v>0.55440414507772018</v>
      </c>
      <c r="Q19" s="115">
        <f>IFERROR(VLOOKUP($B19,MMWR_TRAD_AGG_STATE_COMP[],Q$1,0),"ERROR")</f>
        <v>201</v>
      </c>
      <c r="R19" s="115">
        <f>IFERROR(VLOOKUP($B19,MMWR_TRAD_AGG_STATE_COMP[],R$1,0),"ERROR")</f>
        <v>3</v>
      </c>
      <c r="S19" s="115">
        <f>IFERROR(VLOOKUP($B19,MMWR_APP_STATE_COMP[],S$1,0),"ERROR")</f>
        <v>283</v>
      </c>
      <c r="T19" s="28"/>
    </row>
    <row r="20" spans="1:20" s="123" customFormat="1" x14ac:dyDescent="0.2">
      <c r="A20" s="107"/>
      <c r="B20" s="127" t="s">
        <v>418</v>
      </c>
      <c r="C20" s="109">
        <f>IFERROR(VLOOKUP($B20,MMWR_TRAD_AGG_STATE_COMP[],C$1,0),"ERROR")</f>
        <v>485</v>
      </c>
      <c r="D20" s="110">
        <f>IFERROR(VLOOKUP($B20,MMWR_TRAD_AGG_STATE_COMP[],D$1,0),"ERROR")</f>
        <v>380.12164948449998</v>
      </c>
      <c r="E20" s="111">
        <f>IFERROR(VLOOKUP($B20,MMWR_TRAD_AGG_STATE_COMP[],E$1,0),"ERROR")</f>
        <v>484</v>
      </c>
      <c r="F20" s="112">
        <f>IFERROR(VLOOKUP($B20,MMWR_TRAD_AGG_STATE_COMP[],F$1,0),"ERROR")</f>
        <v>155</v>
      </c>
      <c r="G20" s="113">
        <f t="shared" si="0"/>
        <v>0.32024793388429751</v>
      </c>
      <c r="H20" s="111">
        <f>IFERROR(VLOOKUP($B20,MMWR_TRAD_AGG_STATE_COMP[],H$1,0),"ERROR")</f>
        <v>848</v>
      </c>
      <c r="I20" s="112">
        <f>IFERROR(VLOOKUP($B20,MMWR_TRAD_AGG_STATE_COMP[],I$1,0),"ERROR")</f>
        <v>549</v>
      </c>
      <c r="J20" s="114">
        <f t="shared" si="1"/>
        <v>0.64740566037735847</v>
      </c>
      <c r="K20" s="111">
        <f>IFERROR(VLOOKUP($B20,MMWR_TRAD_AGG_STATE_COMP[],K$1,0),"ERROR")</f>
        <v>236</v>
      </c>
      <c r="L20" s="112">
        <f>IFERROR(VLOOKUP($B20,MMWR_TRAD_AGG_STATE_COMP[],L$1,0),"ERROR")</f>
        <v>155</v>
      </c>
      <c r="M20" s="114">
        <f t="shared" si="2"/>
        <v>0.65677966101694918</v>
      </c>
      <c r="N20" s="111">
        <f>IFERROR(VLOOKUP($B20,MMWR_TRAD_AGG_STATE_COMP[],N$1,0),"ERROR")</f>
        <v>164</v>
      </c>
      <c r="O20" s="112">
        <f>IFERROR(VLOOKUP($B20,MMWR_TRAD_AGG_STATE_COMP[],O$1,0),"ERROR")</f>
        <v>78</v>
      </c>
      <c r="P20" s="114">
        <f t="shared" si="3"/>
        <v>0.47560975609756095</v>
      </c>
      <c r="Q20" s="115">
        <f>IFERROR(VLOOKUP($B20,MMWR_TRAD_AGG_STATE_COMP[],Q$1,0),"ERROR")</f>
        <v>67</v>
      </c>
      <c r="R20" s="115">
        <f>IFERROR(VLOOKUP($B20,MMWR_TRAD_AGG_STATE_COMP[],R$1,0),"ERROR")</f>
        <v>1</v>
      </c>
      <c r="S20" s="115">
        <f>IFERROR(VLOOKUP($B20,MMWR_APP_STATE_COMP[],S$1,0),"ERROR")</f>
        <v>101</v>
      </c>
      <c r="T20" s="28"/>
    </row>
    <row r="21" spans="1:20" s="123" customFormat="1" x14ac:dyDescent="0.2">
      <c r="A21" s="107"/>
      <c r="B21" s="127" t="s">
        <v>379</v>
      </c>
      <c r="C21" s="109">
        <f>IFERROR(VLOOKUP($B21,MMWR_TRAD_AGG_STATE_COMP[],C$1,0),"ERROR")</f>
        <v>16814</v>
      </c>
      <c r="D21" s="110">
        <f>IFERROR(VLOOKUP($B21,MMWR_TRAD_AGG_STATE_COMP[],D$1,0),"ERROR")</f>
        <v>402.9885214702</v>
      </c>
      <c r="E21" s="111">
        <f>IFERROR(VLOOKUP($B21,MMWR_TRAD_AGG_STATE_COMP[],E$1,0),"ERROR")</f>
        <v>11368</v>
      </c>
      <c r="F21" s="112">
        <f>IFERROR(VLOOKUP($B21,MMWR_TRAD_AGG_STATE_COMP[],F$1,0),"ERROR")</f>
        <v>2547</v>
      </c>
      <c r="G21" s="113">
        <f t="shared" si="0"/>
        <v>0.22404996481351161</v>
      </c>
      <c r="H21" s="111">
        <f>IFERROR(VLOOKUP($B21,MMWR_TRAD_AGG_STATE_COMP[],H$1,0),"ERROR")</f>
        <v>21606</v>
      </c>
      <c r="I21" s="112">
        <f>IFERROR(VLOOKUP($B21,MMWR_TRAD_AGG_STATE_COMP[],I$1,0),"ERROR")</f>
        <v>14874</v>
      </c>
      <c r="J21" s="114">
        <f t="shared" si="1"/>
        <v>0.68841988336573179</v>
      </c>
      <c r="K21" s="111">
        <f>IFERROR(VLOOKUP($B21,MMWR_TRAD_AGG_STATE_COMP[],K$1,0),"ERROR")</f>
        <v>9185</v>
      </c>
      <c r="L21" s="112">
        <f>IFERROR(VLOOKUP($B21,MMWR_TRAD_AGG_STATE_COMP[],L$1,0),"ERROR")</f>
        <v>7976</v>
      </c>
      <c r="M21" s="114">
        <f t="shared" si="2"/>
        <v>0.8683723462166576</v>
      </c>
      <c r="N21" s="111">
        <f>IFERROR(VLOOKUP($B21,MMWR_TRAD_AGG_STATE_COMP[],N$1,0),"ERROR")</f>
        <v>7536</v>
      </c>
      <c r="O21" s="112">
        <f>IFERROR(VLOOKUP($B21,MMWR_TRAD_AGG_STATE_COMP[],O$1,0),"ERROR")</f>
        <v>5580</v>
      </c>
      <c r="P21" s="114">
        <f t="shared" si="3"/>
        <v>0.74044585987261147</v>
      </c>
      <c r="Q21" s="115">
        <f>IFERROR(VLOOKUP($B21,MMWR_TRAD_AGG_STATE_COMP[],Q$1,0),"ERROR")</f>
        <v>1010</v>
      </c>
      <c r="R21" s="115">
        <f>IFERROR(VLOOKUP($B21,MMWR_TRAD_AGG_STATE_COMP[],R$1,0),"ERROR")</f>
        <v>18</v>
      </c>
      <c r="S21" s="115">
        <f>IFERROR(VLOOKUP($B21,MMWR_APP_STATE_COMP[],S$1,0),"ERROR")</f>
        <v>15296</v>
      </c>
      <c r="T21" s="28"/>
    </row>
    <row r="22" spans="1:20" s="123" customFormat="1" x14ac:dyDescent="0.2">
      <c r="A22" s="107"/>
      <c r="B22" s="127" t="s">
        <v>380</v>
      </c>
      <c r="C22" s="109">
        <f>IFERROR(VLOOKUP($B22,MMWR_TRAD_AGG_STATE_COMP[],C$1,0),"ERROR")</f>
        <v>1974</v>
      </c>
      <c r="D22" s="110">
        <f>IFERROR(VLOOKUP($B22,MMWR_TRAD_AGG_STATE_COMP[],D$1,0),"ERROR")</f>
        <v>266.22543059780003</v>
      </c>
      <c r="E22" s="111">
        <f>IFERROR(VLOOKUP($B22,MMWR_TRAD_AGG_STATE_COMP[],E$1,0),"ERROR")</f>
        <v>2903</v>
      </c>
      <c r="F22" s="112">
        <f>IFERROR(VLOOKUP($B22,MMWR_TRAD_AGG_STATE_COMP[],F$1,0),"ERROR")</f>
        <v>587</v>
      </c>
      <c r="G22" s="113">
        <f t="shared" si="0"/>
        <v>0.20220461591457115</v>
      </c>
      <c r="H22" s="111">
        <f>IFERROR(VLOOKUP($B22,MMWR_TRAD_AGG_STATE_COMP[],H$1,0),"ERROR")</f>
        <v>3187</v>
      </c>
      <c r="I22" s="112">
        <f>IFERROR(VLOOKUP($B22,MMWR_TRAD_AGG_STATE_COMP[],I$1,0),"ERROR")</f>
        <v>2148</v>
      </c>
      <c r="J22" s="114">
        <f t="shared" si="1"/>
        <v>0.67398807656102921</v>
      </c>
      <c r="K22" s="111">
        <f>IFERROR(VLOOKUP($B22,MMWR_TRAD_AGG_STATE_COMP[],K$1,0),"ERROR")</f>
        <v>442</v>
      </c>
      <c r="L22" s="112">
        <f>IFERROR(VLOOKUP($B22,MMWR_TRAD_AGG_STATE_COMP[],L$1,0),"ERROR")</f>
        <v>318</v>
      </c>
      <c r="M22" s="114">
        <f t="shared" si="2"/>
        <v>0.71945701357466063</v>
      </c>
      <c r="N22" s="111">
        <f>IFERROR(VLOOKUP($B22,MMWR_TRAD_AGG_STATE_COMP[],N$1,0),"ERROR")</f>
        <v>1368</v>
      </c>
      <c r="O22" s="112">
        <f>IFERROR(VLOOKUP($B22,MMWR_TRAD_AGG_STATE_COMP[],O$1,0),"ERROR")</f>
        <v>976</v>
      </c>
      <c r="P22" s="114">
        <f t="shared" si="3"/>
        <v>0.71345029239766078</v>
      </c>
      <c r="Q22" s="115">
        <f>IFERROR(VLOOKUP($B22,MMWR_TRAD_AGG_STATE_COMP[],Q$1,0),"ERROR")</f>
        <v>348</v>
      </c>
      <c r="R22" s="115">
        <f>IFERROR(VLOOKUP($B22,MMWR_TRAD_AGG_STATE_COMP[],R$1,0),"ERROR")</f>
        <v>14</v>
      </c>
      <c r="S22" s="115">
        <f>IFERROR(VLOOKUP($B22,MMWR_APP_STATE_COMP[],S$1,0),"ERROR")</f>
        <v>2531</v>
      </c>
      <c r="T22" s="28"/>
    </row>
    <row r="23" spans="1:20" s="123" customFormat="1" x14ac:dyDescent="0.2">
      <c r="A23" s="107"/>
      <c r="B23" s="126" t="s">
        <v>391</v>
      </c>
      <c r="C23" s="102">
        <f>IF(SUM(C24:C35)&lt;&gt;VLOOKUP($B23,MMWR_TRAD_AGG_ST_DISTRICT_COMP[],C$1,0),"ERROR",
VLOOKUP($B23,MMWR_TRAD_AGG_ST_DISTRICT_COMP[],C$1,0))</f>
        <v>32558</v>
      </c>
      <c r="D23" s="103">
        <f>IFERROR(VLOOKUP($B23,MMWR_TRAD_AGG_ST_DISTRICT_COMP[],D$1,0),"ERROR")</f>
        <v>377.1681307206</v>
      </c>
      <c r="E23" s="102">
        <f>IF(SUM(E24:E35)&lt;&gt;VLOOKUP($B23,MMWR_TRAD_AGG_ST_DISTRICT_COMP[],E$1,0),"ERROR",
VLOOKUP($B23,MMWR_TRAD_AGG_ST_DISTRICT_COMP[],E$1,0))</f>
        <v>49423</v>
      </c>
      <c r="F23" s="102">
        <f>IF(SUM(F24:F35)&lt;&gt;VLOOKUP($B23,MMWR_TRAD_AGG_ST_DISTRICT_COMP[],F$1,0),"ERROR",
VLOOKUP($B23,MMWR_TRAD_AGG_ST_DISTRICT_COMP[],F$1,0))</f>
        <v>10580</v>
      </c>
      <c r="G23" s="104">
        <f t="shared" si="0"/>
        <v>0.21407037209396435</v>
      </c>
      <c r="H23" s="102">
        <f>IF(SUM(H24:H35)&lt;&gt;VLOOKUP($B23,MMWR_TRAD_AGG_ST_DISTRICT_COMP[],H$1,0),"ERROR",
VLOOKUP($B23,MMWR_TRAD_AGG_ST_DISTRICT_COMP[],H$1,0))</f>
        <v>53103</v>
      </c>
      <c r="I23" s="102">
        <f>IF(SUM(I24:I35)&lt;&gt;VLOOKUP($B23,MMWR_TRAD_AGG_ST_DISTRICT_COMP[],I$1,0),"ERROR",
VLOOKUP($B23,MMWR_TRAD_AGG_ST_DISTRICT_COMP[],I$1,0))</f>
        <v>31977</v>
      </c>
      <c r="J23" s="105">
        <f t="shared" si="1"/>
        <v>0.60216936896220552</v>
      </c>
      <c r="K23" s="102">
        <f>IF(SUM(K24:K35)&lt;&gt;VLOOKUP($B23,MMWR_TRAD_AGG_ST_DISTRICT_COMP[],K$1,0),"ERROR",
VLOOKUP($B23,MMWR_TRAD_AGG_ST_DISTRICT_COMP[],K$1,0))</f>
        <v>14193</v>
      </c>
      <c r="L23" s="102">
        <f>IF(SUM(L24:L35)&lt;&gt;VLOOKUP($B23,MMWR_TRAD_AGG_ST_DISTRICT_COMP[],L$1,0),"ERROR",
VLOOKUP($B23,MMWR_TRAD_AGG_ST_DISTRICT_COMP[],L$1,0))</f>
        <v>10970</v>
      </c>
      <c r="M23" s="105">
        <f t="shared" si="2"/>
        <v>0.77291622630874379</v>
      </c>
      <c r="N23" s="102">
        <f>IF(SUM(N24:N35)&lt;&gt;VLOOKUP($B23,MMWR_TRAD_AGG_ST_DISTRICT_COMP[],N$1,0),"ERROR",
VLOOKUP($B23,MMWR_TRAD_AGG_ST_DISTRICT_COMP[],N$1,0))</f>
        <v>23390</v>
      </c>
      <c r="O23" s="102">
        <f>IF(SUM(O24:O35)&lt;&gt;VLOOKUP($B23,MMWR_TRAD_AGG_ST_DISTRICT_COMP[],O$1,0),"ERROR",
VLOOKUP($B23,MMWR_TRAD_AGG_ST_DISTRICT_COMP[],O$1,0))</f>
        <v>15143</v>
      </c>
      <c r="P23" s="105">
        <f t="shared" si="3"/>
        <v>0.64741342454040185</v>
      </c>
      <c r="Q23" s="102">
        <f>IF(SUM(Q24:Q35)&lt;&gt;VLOOKUP($B23,MMWR_TRAD_AGG_ST_DISTRICT_COMP[],Q$1,0),"ERROR",
VLOOKUP($B23,MMWR_TRAD_AGG_ST_DISTRICT_COMP[],Q$1,0))</f>
        <v>5249</v>
      </c>
      <c r="R23" s="102">
        <f>IF(SUM(R24:R35)&lt;&gt;VLOOKUP($B23,MMWR_TRAD_AGG_ST_DISTRICT_COMP[],R$1,0),"ERROR",
VLOOKUP($B23,MMWR_TRAD_AGG_ST_DISTRICT_COMP[],R$1,0))</f>
        <v>1078</v>
      </c>
      <c r="S23" s="106">
        <f>SUM(S24:S35)</f>
        <v>52351</v>
      </c>
      <c r="T23" s="28"/>
    </row>
    <row r="24" spans="1:20" s="123" customFormat="1" x14ac:dyDescent="0.2">
      <c r="A24" s="92"/>
      <c r="B24" s="127" t="s">
        <v>395</v>
      </c>
      <c r="C24" s="109">
        <f>IFERROR(VLOOKUP($B24,MMWR_TRAD_AGG_STATE_COMP[],C$1,0),"ERROR")</f>
        <v>5804</v>
      </c>
      <c r="D24" s="110">
        <f>IFERROR(VLOOKUP($B24,MMWR_TRAD_AGG_STATE_COMP[],D$1,0),"ERROR")</f>
        <v>476.06047553410002</v>
      </c>
      <c r="E24" s="111">
        <f>IFERROR(VLOOKUP($B24,MMWR_TRAD_AGG_STATE_COMP[],E$1,0),"ERROR")</f>
        <v>6534</v>
      </c>
      <c r="F24" s="112">
        <f>IFERROR(VLOOKUP($B24,MMWR_TRAD_AGG_STATE_COMP[],F$1,0),"ERROR")</f>
        <v>1630</v>
      </c>
      <c r="G24" s="113">
        <f t="shared" si="0"/>
        <v>0.24946434037343129</v>
      </c>
      <c r="H24" s="111">
        <f>IFERROR(VLOOKUP($B24,MMWR_TRAD_AGG_STATE_COMP[],H$1,0),"ERROR")</f>
        <v>8719</v>
      </c>
      <c r="I24" s="112">
        <f>IFERROR(VLOOKUP($B24,MMWR_TRAD_AGG_STATE_COMP[],I$1,0),"ERROR")</f>
        <v>5811</v>
      </c>
      <c r="J24" s="114">
        <f t="shared" si="1"/>
        <v>0.66647551324693199</v>
      </c>
      <c r="K24" s="111">
        <f>IFERROR(VLOOKUP($B24,MMWR_TRAD_AGG_STATE_COMP[],K$1,0),"ERROR")</f>
        <v>2304</v>
      </c>
      <c r="L24" s="112">
        <f>IFERROR(VLOOKUP($B24,MMWR_TRAD_AGG_STATE_COMP[],L$1,0),"ERROR")</f>
        <v>2049</v>
      </c>
      <c r="M24" s="114">
        <f t="shared" si="2"/>
        <v>0.88932291666666663</v>
      </c>
      <c r="N24" s="111">
        <f>IFERROR(VLOOKUP($B24,MMWR_TRAD_AGG_STATE_COMP[],N$1,0),"ERROR")</f>
        <v>3233</v>
      </c>
      <c r="O24" s="112">
        <f>IFERROR(VLOOKUP($B24,MMWR_TRAD_AGG_STATE_COMP[],O$1,0),"ERROR")</f>
        <v>1788</v>
      </c>
      <c r="P24" s="114">
        <f t="shared" si="3"/>
        <v>0.55304670584596349</v>
      </c>
      <c r="Q24" s="115">
        <f>IFERROR(VLOOKUP($B24,MMWR_TRAD_AGG_STATE_COMP[],Q$1,0),"ERROR")</f>
        <v>940</v>
      </c>
      <c r="R24" s="115">
        <f>IFERROR(VLOOKUP($B24,MMWR_TRAD_AGG_STATE_COMP[],R$1,0),"ERROR")</f>
        <v>215</v>
      </c>
      <c r="S24" s="115">
        <f>IFERROR(VLOOKUP($B24,MMWR_APP_STATE_COMP[],S$1,0),"ERROR")</f>
        <v>8568</v>
      </c>
      <c r="T24" s="28"/>
    </row>
    <row r="25" spans="1:20" s="123" customFormat="1" x14ac:dyDescent="0.2">
      <c r="A25" s="107"/>
      <c r="B25" s="127" t="s">
        <v>393</v>
      </c>
      <c r="C25" s="109">
        <f>IFERROR(VLOOKUP($B25,MMWR_TRAD_AGG_STATE_COMP[],C$1,0),"ERROR")</f>
        <v>5592</v>
      </c>
      <c r="D25" s="110">
        <f>IFERROR(VLOOKUP($B25,MMWR_TRAD_AGG_STATE_COMP[],D$1,0),"ERROR")</f>
        <v>633.18848354789998</v>
      </c>
      <c r="E25" s="111">
        <f>IFERROR(VLOOKUP($B25,MMWR_TRAD_AGG_STATE_COMP[],E$1,0),"ERROR")</f>
        <v>4831</v>
      </c>
      <c r="F25" s="112">
        <f>IFERROR(VLOOKUP($B25,MMWR_TRAD_AGG_STATE_COMP[],F$1,0),"ERROR")</f>
        <v>1046</v>
      </c>
      <c r="G25" s="113">
        <f t="shared" si="0"/>
        <v>0.21651831918857378</v>
      </c>
      <c r="H25" s="111">
        <f>IFERROR(VLOOKUP($B25,MMWR_TRAD_AGG_STATE_COMP[],H$1,0),"ERROR")</f>
        <v>8738</v>
      </c>
      <c r="I25" s="112">
        <f>IFERROR(VLOOKUP($B25,MMWR_TRAD_AGG_STATE_COMP[],I$1,0),"ERROR")</f>
        <v>6646</v>
      </c>
      <c r="J25" s="114">
        <f t="shared" si="1"/>
        <v>0.7605859464408331</v>
      </c>
      <c r="K25" s="111">
        <f>IFERROR(VLOOKUP($B25,MMWR_TRAD_AGG_STATE_COMP[],K$1,0),"ERROR")</f>
        <v>2260</v>
      </c>
      <c r="L25" s="112">
        <f>IFERROR(VLOOKUP($B25,MMWR_TRAD_AGG_STATE_COMP[],L$1,0),"ERROR")</f>
        <v>1914</v>
      </c>
      <c r="M25" s="114">
        <f t="shared" si="2"/>
        <v>0.84690265486725669</v>
      </c>
      <c r="N25" s="111">
        <f>IFERROR(VLOOKUP($B25,MMWR_TRAD_AGG_STATE_COMP[],N$1,0),"ERROR")</f>
        <v>3055</v>
      </c>
      <c r="O25" s="112">
        <f>IFERROR(VLOOKUP($B25,MMWR_TRAD_AGG_STATE_COMP[],O$1,0),"ERROR")</f>
        <v>2211</v>
      </c>
      <c r="P25" s="114">
        <f t="shared" si="3"/>
        <v>0.72373158756137479</v>
      </c>
      <c r="Q25" s="115">
        <f>IFERROR(VLOOKUP($B25,MMWR_TRAD_AGG_STATE_COMP[],Q$1,0),"ERROR")</f>
        <v>728</v>
      </c>
      <c r="R25" s="115">
        <f>IFERROR(VLOOKUP($B25,MMWR_TRAD_AGG_STATE_COMP[],R$1,0),"ERROR")</f>
        <v>220</v>
      </c>
      <c r="S25" s="115">
        <f>IFERROR(VLOOKUP($B25,MMWR_APP_STATE_COMP[],S$1,0),"ERROR")</f>
        <v>8242</v>
      </c>
      <c r="T25" s="28"/>
    </row>
    <row r="26" spans="1:20" s="123" customFormat="1" x14ac:dyDescent="0.2">
      <c r="A26" s="107"/>
      <c r="B26" s="127" t="s">
        <v>400</v>
      </c>
      <c r="C26" s="109">
        <f>IFERROR(VLOOKUP($B26,MMWR_TRAD_AGG_STATE_COMP[],C$1,0),"ERROR")</f>
        <v>904</v>
      </c>
      <c r="D26" s="110">
        <f>IFERROR(VLOOKUP($B26,MMWR_TRAD_AGG_STATE_COMP[],D$1,0),"ERROR")</f>
        <v>163.52544247789999</v>
      </c>
      <c r="E26" s="111">
        <f>IFERROR(VLOOKUP($B26,MMWR_TRAD_AGG_STATE_COMP[],E$1,0),"ERROR")</f>
        <v>2670</v>
      </c>
      <c r="F26" s="112">
        <f>IFERROR(VLOOKUP($B26,MMWR_TRAD_AGG_STATE_COMP[],F$1,0),"ERROR")</f>
        <v>411</v>
      </c>
      <c r="G26" s="113">
        <f t="shared" si="0"/>
        <v>0.15393258426966291</v>
      </c>
      <c r="H26" s="111">
        <f>IFERROR(VLOOKUP($B26,MMWR_TRAD_AGG_STATE_COMP[],H$1,0),"ERROR")</f>
        <v>1393</v>
      </c>
      <c r="I26" s="112">
        <f>IFERROR(VLOOKUP($B26,MMWR_TRAD_AGG_STATE_COMP[],I$1,0),"ERROR")</f>
        <v>520</v>
      </c>
      <c r="J26" s="114">
        <f t="shared" si="1"/>
        <v>0.37329504666188085</v>
      </c>
      <c r="K26" s="111">
        <f>IFERROR(VLOOKUP($B26,MMWR_TRAD_AGG_STATE_COMP[],K$1,0),"ERROR")</f>
        <v>343</v>
      </c>
      <c r="L26" s="112">
        <f>IFERROR(VLOOKUP($B26,MMWR_TRAD_AGG_STATE_COMP[],L$1,0),"ERROR")</f>
        <v>219</v>
      </c>
      <c r="M26" s="114">
        <f t="shared" si="2"/>
        <v>0.63848396501457727</v>
      </c>
      <c r="N26" s="111">
        <f>IFERROR(VLOOKUP($B26,MMWR_TRAD_AGG_STATE_COMP[],N$1,0),"ERROR")</f>
        <v>539</v>
      </c>
      <c r="O26" s="112">
        <f>IFERROR(VLOOKUP($B26,MMWR_TRAD_AGG_STATE_COMP[],O$1,0),"ERROR")</f>
        <v>294</v>
      </c>
      <c r="P26" s="114">
        <f t="shared" si="3"/>
        <v>0.54545454545454541</v>
      </c>
      <c r="Q26" s="115">
        <f>IFERROR(VLOOKUP($B26,MMWR_TRAD_AGG_STATE_COMP[],Q$1,0),"ERROR")</f>
        <v>1</v>
      </c>
      <c r="R26" s="115">
        <f>IFERROR(VLOOKUP($B26,MMWR_TRAD_AGG_STATE_COMP[],R$1,0),"ERROR")</f>
        <v>10</v>
      </c>
      <c r="S26" s="115">
        <f>IFERROR(VLOOKUP($B26,MMWR_APP_STATE_COMP[],S$1,0),"ERROR")</f>
        <v>1431</v>
      </c>
      <c r="T26" s="28"/>
    </row>
    <row r="27" spans="1:20" s="123" customFormat="1" x14ac:dyDescent="0.2">
      <c r="A27" s="107"/>
      <c r="B27" s="127" t="s">
        <v>423</v>
      </c>
      <c r="C27" s="109">
        <f>IFERROR(VLOOKUP($B27,MMWR_TRAD_AGG_STATE_COMP[],C$1,0),"ERROR")</f>
        <v>1689</v>
      </c>
      <c r="D27" s="110">
        <f>IFERROR(VLOOKUP($B27,MMWR_TRAD_AGG_STATE_COMP[],D$1,0),"ERROR")</f>
        <v>217.4920071048</v>
      </c>
      <c r="E27" s="111">
        <f>IFERROR(VLOOKUP($B27,MMWR_TRAD_AGG_STATE_COMP[],E$1,0),"ERROR")</f>
        <v>2207</v>
      </c>
      <c r="F27" s="112">
        <f>IFERROR(VLOOKUP($B27,MMWR_TRAD_AGG_STATE_COMP[],F$1,0),"ERROR")</f>
        <v>386</v>
      </c>
      <c r="G27" s="113">
        <f t="shared" si="0"/>
        <v>0.17489805165382874</v>
      </c>
      <c r="H27" s="111">
        <f>IFERROR(VLOOKUP($B27,MMWR_TRAD_AGG_STATE_COMP[],H$1,0),"ERROR")</f>
        <v>2548</v>
      </c>
      <c r="I27" s="112">
        <f>IFERROR(VLOOKUP($B27,MMWR_TRAD_AGG_STATE_COMP[],I$1,0),"ERROR")</f>
        <v>1276</v>
      </c>
      <c r="J27" s="114">
        <f t="shared" si="1"/>
        <v>0.50078492935635788</v>
      </c>
      <c r="K27" s="111">
        <f>IFERROR(VLOOKUP($B27,MMWR_TRAD_AGG_STATE_COMP[],K$1,0),"ERROR")</f>
        <v>973</v>
      </c>
      <c r="L27" s="112">
        <f>IFERROR(VLOOKUP($B27,MMWR_TRAD_AGG_STATE_COMP[],L$1,0),"ERROR")</f>
        <v>548</v>
      </c>
      <c r="M27" s="114">
        <f t="shared" si="2"/>
        <v>0.56320657759506676</v>
      </c>
      <c r="N27" s="111">
        <f>IFERROR(VLOOKUP($B27,MMWR_TRAD_AGG_STATE_COMP[],N$1,0),"ERROR")</f>
        <v>761</v>
      </c>
      <c r="O27" s="112">
        <f>IFERROR(VLOOKUP($B27,MMWR_TRAD_AGG_STATE_COMP[],O$1,0),"ERROR")</f>
        <v>425</v>
      </c>
      <c r="P27" s="114">
        <f t="shared" si="3"/>
        <v>0.55847568988173457</v>
      </c>
      <c r="Q27" s="115">
        <f>IFERROR(VLOOKUP($B27,MMWR_TRAD_AGG_STATE_COMP[],Q$1,0),"ERROR")</f>
        <v>10</v>
      </c>
      <c r="R27" s="115">
        <f>IFERROR(VLOOKUP($B27,MMWR_TRAD_AGG_STATE_COMP[],R$1,0),"ERROR")</f>
        <v>13</v>
      </c>
      <c r="S27" s="115">
        <f>IFERROR(VLOOKUP($B27,MMWR_APP_STATE_COMP[],S$1,0),"ERROR")</f>
        <v>1384</v>
      </c>
      <c r="T27" s="28"/>
    </row>
    <row r="28" spans="1:20" s="123" customFormat="1" x14ac:dyDescent="0.2">
      <c r="A28" s="107"/>
      <c r="B28" s="127" t="s">
        <v>396</v>
      </c>
      <c r="C28" s="109">
        <f>IFERROR(VLOOKUP($B28,MMWR_TRAD_AGG_STATE_COMP[],C$1,0),"ERROR")</f>
        <v>3388</v>
      </c>
      <c r="D28" s="110">
        <f>IFERROR(VLOOKUP($B28,MMWR_TRAD_AGG_STATE_COMP[],D$1,0),"ERROR")</f>
        <v>320.63695395510001</v>
      </c>
      <c r="E28" s="111">
        <f>IFERROR(VLOOKUP($B28,MMWR_TRAD_AGG_STATE_COMP[],E$1,0),"ERROR")</f>
        <v>7901</v>
      </c>
      <c r="F28" s="112">
        <f>IFERROR(VLOOKUP($B28,MMWR_TRAD_AGG_STATE_COMP[],F$1,0),"ERROR")</f>
        <v>2141</v>
      </c>
      <c r="G28" s="113">
        <f t="shared" si="0"/>
        <v>0.27097835716997848</v>
      </c>
      <c r="H28" s="111">
        <f>IFERROR(VLOOKUP($B28,MMWR_TRAD_AGG_STATE_COMP[],H$1,0),"ERROR")</f>
        <v>6457</v>
      </c>
      <c r="I28" s="112">
        <f>IFERROR(VLOOKUP($B28,MMWR_TRAD_AGG_STATE_COMP[],I$1,0),"ERROR")</f>
        <v>4013</v>
      </c>
      <c r="J28" s="114">
        <f t="shared" si="1"/>
        <v>0.62149605079758397</v>
      </c>
      <c r="K28" s="111">
        <f>IFERROR(VLOOKUP($B28,MMWR_TRAD_AGG_STATE_COMP[],K$1,0),"ERROR")</f>
        <v>1427</v>
      </c>
      <c r="L28" s="112">
        <f>IFERROR(VLOOKUP($B28,MMWR_TRAD_AGG_STATE_COMP[],L$1,0),"ERROR")</f>
        <v>1121</v>
      </c>
      <c r="M28" s="114">
        <f t="shared" si="2"/>
        <v>0.78556412053258584</v>
      </c>
      <c r="N28" s="111">
        <f>IFERROR(VLOOKUP($B28,MMWR_TRAD_AGG_STATE_COMP[],N$1,0),"ERROR")</f>
        <v>2537</v>
      </c>
      <c r="O28" s="112">
        <f>IFERROR(VLOOKUP($B28,MMWR_TRAD_AGG_STATE_COMP[],O$1,0),"ERROR")</f>
        <v>1336</v>
      </c>
      <c r="P28" s="114">
        <f t="shared" si="3"/>
        <v>0.52660622782814348</v>
      </c>
      <c r="Q28" s="115">
        <f>IFERROR(VLOOKUP($B28,MMWR_TRAD_AGG_STATE_COMP[],Q$1,0),"ERROR")</f>
        <v>1046</v>
      </c>
      <c r="R28" s="115">
        <f>IFERROR(VLOOKUP($B28,MMWR_TRAD_AGG_STATE_COMP[],R$1,0),"ERROR")</f>
        <v>211</v>
      </c>
      <c r="S28" s="115">
        <f>IFERROR(VLOOKUP($B28,MMWR_APP_STATE_COMP[],S$1,0),"ERROR")</f>
        <v>5473</v>
      </c>
      <c r="T28" s="28"/>
    </row>
    <row r="29" spans="1:20" s="123" customFormat="1" x14ac:dyDescent="0.2">
      <c r="A29" s="107"/>
      <c r="B29" s="127" t="s">
        <v>402</v>
      </c>
      <c r="C29" s="109">
        <f>IFERROR(VLOOKUP($B29,MMWR_TRAD_AGG_STATE_COMP[],C$1,0),"ERROR")</f>
        <v>1542</v>
      </c>
      <c r="D29" s="110">
        <f>IFERROR(VLOOKUP($B29,MMWR_TRAD_AGG_STATE_COMP[],D$1,0),"ERROR")</f>
        <v>181.60765239950001</v>
      </c>
      <c r="E29" s="111">
        <f>IFERROR(VLOOKUP($B29,MMWR_TRAD_AGG_STATE_COMP[],E$1,0),"ERROR")</f>
        <v>4470</v>
      </c>
      <c r="F29" s="112">
        <f>IFERROR(VLOOKUP($B29,MMWR_TRAD_AGG_STATE_COMP[],F$1,0),"ERROR")</f>
        <v>737</v>
      </c>
      <c r="G29" s="113">
        <f t="shared" si="0"/>
        <v>0.16487695749440717</v>
      </c>
      <c r="H29" s="111">
        <f>IFERROR(VLOOKUP($B29,MMWR_TRAD_AGG_STATE_COMP[],H$1,0),"ERROR")</f>
        <v>2711</v>
      </c>
      <c r="I29" s="112">
        <f>IFERROR(VLOOKUP($B29,MMWR_TRAD_AGG_STATE_COMP[],I$1,0),"ERROR")</f>
        <v>1086</v>
      </c>
      <c r="J29" s="114">
        <f t="shared" si="1"/>
        <v>0.40059018812246405</v>
      </c>
      <c r="K29" s="111">
        <f>IFERROR(VLOOKUP($B29,MMWR_TRAD_AGG_STATE_COMP[],K$1,0),"ERROR")</f>
        <v>781</v>
      </c>
      <c r="L29" s="112">
        <f>IFERROR(VLOOKUP($B29,MMWR_TRAD_AGG_STATE_COMP[],L$1,0),"ERROR")</f>
        <v>334</v>
      </c>
      <c r="M29" s="114">
        <f t="shared" si="2"/>
        <v>0.42765685019206146</v>
      </c>
      <c r="N29" s="111">
        <f>IFERROR(VLOOKUP($B29,MMWR_TRAD_AGG_STATE_COMP[],N$1,0),"ERROR")</f>
        <v>1192</v>
      </c>
      <c r="O29" s="112">
        <f>IFERROR(VLOOKUP($B29,MMWR_TRAD_AGG_STATE_COMP[],O$1,0),"ERROR")</f>
        <v>761</v>
      </c>
      <c r="P29" s="114">
        <f t="shared" si="3"/>
        <v>0.63842281879194629</v>
      </c>
      <c r="Q29" s="115">
        <f>IFERROR(VLOOKUP($B29,MMWR_TRAD_AGG_STATE_COMP[],Q$1,0),"ERROR")</f>
        <v>10</v>
      </c>
      <c r="R29" s="115">
        <f>IFERROR(VLOOKUP($B29,MMWR_TRAD_AGG_STATE_COMP[],R$1,0),"ERROR")</f>
        <v>4</v>
      </c>
      <c r="S29" s="115">
        <f>IFERROR(VLOOKUP($B29,MMWR_APP_STATE_COMP[],S$1,0),"ERROR")</f>
        <v>2212</v>
      </c>
      <c r="T29" s="28"/>
    </row>
    <row r="30" spans="1:20" s="123" customFormat="1" x14ac:dyDescent="0.2">
      <c r="A30" s="107"/>
      <c r="B30" s="127" t="s">
        <v>398</v>
      </c>
      <c r="C30" s="109">
        <f>IFERROR(VLOOKUP($B30,MMWR_TRAD_AGG_STATE_COMP[],C$1,0),"ERROR")</f>
        <v>3925</v>
      </c>
      <c r="D30" s="110">
        <f>IFERROR(VLOOKUP($B30,MMWR_TRAD_AGG_STATE_COMP[],D$1,0),"ERROR")</f>
        <v>234.48458598729999</v>
      </c>
      <c r="E30" s="111">
        <f>IFERROR(VLOOKUP($B30,MMWR_TRAD_AGG_STATE_COMP[],E$1,0),"ERROR")</f>
        <v>5709</v>
      </c>
      <c r="F30" s="112">
        <f>IFERROR(VLOOKUP($B30,MMWR_TRAD_AGG_STATE_COMP[],F$1,0),"ERROR")</f>
        <v>1268</v>
      </c>
      <c r="G30" s="113">
        <f t="shared" si="0"/>
        <v>0.22210544753897354</v>
      </c>
      <c r="H30" s="111">
        <f>IFERROR(VLOOKUP($B30,MMWR_TRAD_AGG_STATE_COMP[],H$1,0),"ERROR")</f>
        <v>6163</v>
      </c>
      <c r="I30" s="112">
        <f>IFERROR(VLOOKUP($B30,MMWR_TRAD_AGG_STATE_COMP[],I$1,0),"ERROR")</f>
        <v>3219</v>
      </c>
      <c r="J30" s="114">
        <f t="shared" si="1"/>
        <v>0.5223105630374818</v>
      </c>
      <c r="K30" s="111">
        <f>IFERROR(VLOOKUP($B30,MMWR_TRAD_AGG_STATE_COMP[],K$1,0),"ERROR")</f>
        <v>2157</v>
      </c>
      <c r="L30" s="112">
        <f>IFERROR(VLOOKUP($B30,MMWR_TRAD_AGG_STATE_COMP[],L$1,0),"ERROR")</f>
        <v>1769</v>
      </c>
      <c r="M30" s="114">
        <f t="shared" si="2"/>
        <v>0.82012053778395921</v>
      </c>
      <c r="N30" s="111">
        <f>IFERROR(VLOOKUP($B30,MMWR_TRAD_AGG_STATE_COMP[],N$1,0),"ERROR")</f>
        <v>6022</v>
      </c>
      <c r="O30" s="112">
        <f>IFERROR(VLOOKUP($B30,MMWR_TRAD_AGG_STATE_COMP[],O$1,0),"ERROR")</f>
        <v>4366</v>
      </c>
      <c r="P30" s="114">
        <f t="shared" si="3"/>
        <v>0.72500830288940554</v>
      </c>
      <c r="Q30" s="115">
        <f>IFERROR(VLOOKUP($B30,MMWR_TRAD_AGG_STATE_COMP[],Q$1,0),"ERROR")</f>
        <v>915</v>
      </c>
      <c r="R30" s="115">
        <f>IFERROR(VLOOKUP($B30,MMWR_TRAD_AGG_STATE_COMP[],R$1,0),"ERROR")</f>
        <v>49</v>
      </c>
      <c r="S30" s="115">
        <f>IFERROR(VLOOKUP($B30,MMWR_APP_STATE_COMP[],S$1,0),"ERROR")</f>
        <v>6630</v>
      </c>
      <c r="T30" s="28"/>
    </row>
    <row r="31" spans="1:20" s="123" customFormat="1" x14ac:dyDescent="0.2">
      <c r="A31" s="107"/>
      <c r="B31" s="127" t="s">
        <v>401</v>
      </c>
      <c r="C31" s="109">
        <f>IFERROR(VLOOKUP($B31,MMWR_TRAD_AGG_STATE_COMP[],C$1,0),"ERROR")</f>
        <v>907</v>
      </c>
      <c r="D31" s="110">
        <f>IFERROR(VLOOKUP($B31,MMWR_TRAD_AGG_STATE_COMP[],D$1,0),"ERROR")</f>
        <v>196.29547960310001</v>
      </c>
      <c r="E31" s="111">
        <f>IFERROR(VLOOKUP($B31,MMWR_TRAD_AGG_STATE_COMP[],E$1,0),"ERROR")</f>
        <v>2098</v>
      </c>
      <c r="F31" s="112">
        <f>IFERROR(VLOOKUP($B31,MMWR_TRAD_AGG_STATE_COMP[],F$1,0),"ERROR")</f>
        <v>298</v>
      </c>
      <c r="G31" s="113">
        <f t="shared" si="0"/>
        <v>0.14204003813155386</v>
      </c>
      <c r="H31" s="111">
        <f>IFERROR(VLOOKUP($B31,MMWR_TRAD_AGG_STATE_COMP[],H$1,0),"ERROR")</f>
        <v>1732</v>
      </c>
      <c r="I31" s="112">
        <f>IFERROR(VLOOKUP($B31,MMWR_TRAD_AGG_STATE_COMP[],I$1,0),"ERROR")</f>
        <v>813</v>
      </c>
      <c r="J31" s="114">
        <f t="shared" si="1"/>
        <v>0.46939953810623558</v>
      </c>
      <c r="K31" s="111">
        <f>IFERROR(VLOOKUP($B31,MMWR_TRAD_AGG_STATE_COMP[],K$1,0),"ERROR")</f>
        <v>808</v>
      </c>
      <c r="L31" s="112">
        <f>IFERROR(VLOOKUP($B31,MMWR_TRAD_AGG_STATE_COMP[],L$1,0),"ERROR")</f>
        <v>585</v>
      </c>
      <c r="M31" s="114">
        <f t="shared" si="2"/>
        <v>0.72400990099009899</v>
      </c>
      <c r="N31" s="111">
        <f>IFERROR(VLOOKUP($B31,MMWR_TRAD_AGG_STATE_COMP[],N$1,0),"ERROR")</f>
        <v>623</v>
      </c>
      <c r="O31" s="112">
        <f>IFERROR(VLOOKUP($B31,MMWR_TRAD_AGG_STATE_COMP[],O$1,0),"ERROR")</f>
        <v>357</v>
      </c>
      <c r="P31" s="114">
        <f t="shared" si="3"/>
        <v>0.5730337078651685</v>
      </c>
      <c r="Q31" s="115">
        <f>IFERROR(VLOOKUP($B31,MMWR_TRAD_AGG_STATE_COMP[],Q$1,0),"ERROR")</f>
        <v>1</v>
      </c>
      <c r="R31" s="115">
        <f>IFERROR(VLOOKUP($B31,MMWR_TRAD_AGG_STATE_COMP[],R$1,0),"ERROR")</f>
        <v>13</v>
      </c>
      <c r="S31" s="115">
        <f>IFERROR(VLOOKUP($B31,MMWR_APP_STATE_COMP[],S$1,0),"ERROR")</f>
        <v>1039</v>
      </c>
      <c r="T31" s="28"/>
    </row>
    <row r="32" spans="1:20" s="123" customFormat="1" x14ac:dyDescent="0.2">
      <c r="A32" s="107"/>
      <c r="B32" s="127" t="s">
        <v>420</v>
      </c>
      <c r="C32" s="109">
        <f>IFERROR(VLOOKUP($B32,MMWR_TRAD_AGG_STATE_COMP[],C$1,0),"ERROR")</f>
        <v>165</v>
      </c>
      <c r="D32" s="110">
        <f>IFERROR(VLOOKUP($B32,MMWR_TRAD_AGG_STATE_COMP[],D$1,0),"ERROR")</f>
        <v>190.0242424242</v>
      </c>
      <c r="E32" s="111">
        <f>IFERROR(VLOOKUP($B32,MMWR_TRAD_AGG_STATE_COMP[],E$1,0),"ERROR")</f>
        <v>573</v>
      </c>
      <c r="F32" s="112">
        <f>IFERROR(VLOOKUP($B32,MMWR_TRAD_AGG_STATE_COMP[],F$1,0),"ERROR")</f>
        <v>95</v>
      </c>
      <c r="G32" s="113">
        <f t="shared" si="0"/>
        <v>0.16579406631762653</v>
      </c>
      <c r="H32" s="111">
        <f>IFERROR(VLOOKUP($B32,MMWR_TRAD_AGG_STATE_COMP[],H$1,0),"ERROR")</f>
        <v>321</v>
      </c>
      <c r="I32" s="112">
        <f>IFERROR(VLOOKUP($B32,MMWR_TRAD_AGG_STATE_COMP[],I$1,0),"ERROR")</f>
        <v>107</v>
      </c>
      <c r="J32" s="114">
        <f t="shared" si="1"/>
        <v>0.33333333333333331</v>
      </c>
      <c r="K32" s="111">
        <f>IFERROR(VLOOKUP($B32,MMWR_TRAD_AGG_STATE_COMP[],K$1,0),"ERROR")</f>
        <v>126</v>
      </c>
      <c r="L32" s="112">
        <f>IFERROR(VLOOKUP($B32,MMWR_TRAD_AGG_STATE_COMP[],L$1,0),"ERROR")</f>
        <v>60</v>
      </c>
      <c r="M32" s="114">
        <f t="shared" si="2"/>
        <v>0.47619047619047616</v>
      </c>
      <c r="N32" s="111">
        <f>IFERROR(VLOOKUP($B32,MMWR_TRAD_AGG_STATE_COMP[],N$1,0),"ERROR")</f>
        <v>173</v>
      </c>
      <c r="O32" s="112">
        <f>IFERROR(VLOOKUP($B32,MMWR_TRAD_AGG_STATE_COMP[],O$1,0),"ERROR")</f>
        <v>98</v>
      </c>
      <c r="P32" s="114">
        <f t="shared" si="3"/>
        <v>0.56647398843930641</v>
      </c>
      <c r="Q32" s="115">
        <f>IFERROR(VLOOKUP($B32,MMWR_TRAD_AGG_STATE_COMP[],Q$1,0),"ERROR")</f>
        <v>1</v>
      </c>
      <c r="R32" s="115">
        <f>IFERROR(VLOOKUP($B32,MMWR_TRAD_AGG_STATE_COMP[],R$1,0),"ERROR")</f>
        <v>2</v>
      </c>
      <c r="S32" s="115">
        <f>IFERROR(VLOOKUP($B32,MMWR_APP_STATE_COMP[],S$1,0),"ERROR")</f>
        <v>489</v>
      </c>
      <c r="T32" s="28"/>
    </row>
    <row r="33" spans="1:20" s="123" customFormat="1" x14ac:dyDescent="0.2">
      <c r="A33" s="107"/>
      <c r="B33" s="127" t="s">
        <v>392</v>
      </c>
      <c r="C33" s="109">
        <f>IFERROR(VLOOKUP($B33,MMWR_TRAD_AGG_STATE_COMP[],C$1,0),"ERROR")</f>
        <v>4941</v>
      </c>
      <c r="D33" s="110">
        <f>IFERROR(VLOOKUP($B33,MMWR_TRAD_AGG_STATE_COMP[],D$1,0),"ERROR")</f>
        <v>418.14490993729999</v>
      </c>
      <c r="E33" s="111">
        <f>IFERROR(VLOOKUP($B33,MMWR_TRAD_AGG_STATE_COMP[],E$1,0),"ERROR")</f>
        <v>7879</v>
      </c>
      <c r="F33" s="112">
        <f>IFERROR(VLOOKUP($B33,MMWR_TRAD_AGG_STATE_COMP[],F$1,0),"ERROR")</f>
        <v>1751</v>
      </c>
      <c r="G33" s="113">
        <f t="shared" si="0"/>
        <v>0.22223632440665059</v>
      </c>
      <c r="H33" s="111">
        <f>IFERROR(VLOOKUP($B33,MMWR_TRAD_AGG_STATE_COMP[],H$1,0),"ERROR")</f>
        <v>9036</v>
      </c>
      <c r="I33" s="112">
        <f>IFERROR(VLOOKUP($B33,MMWR_TRAD_AGG_STATE_COMP[],I$1,0),"ERROR")</f>
        <v>5573</v>
      </c>
      <c r="J33" s="114">
        <f t="shared" si="1"/>
        <v>0.61675520141655604</v>
      </c>
      <c r="K33" s="111">
        <f>IFERROR(VLOOKUP($B33,MMWR_TRAD_AGG_STATE_COMP[],K$1,0),"ERROR")</f>
        <v>1977</v>
      </c>
      <c r="L33" s="112">
        <f>IFERROR(VLOOKUP($B33,MMWR_TRAD_AGG_STATE_COMP[],L$1,0),"ERROR")</f>
        <v>1670</v>
      </c>
      <c r="M33" s="114">
        <f t="shared" si="2"/>
        <v>0.84471421345472941</v>
      </c>
      <c r="N33" s="111">
        <f>IFERROR(VLOOKUP($B33,MMWR_TRAD_AGG_STATE_COMP[],N$1,0),"ERROR")</f>
        <v>4055</v>
      </c>
      <c r="O33" s="112">
        <f>IFERROR(VLOOKUP($B33,MMWR_TRAD_AGG_STATE_COMP[],O$1,0),"ERROR")</f>
        <v>2850</v>
      </c>
      <c r="P33" s="114">
        <f t="shared" si="3"/>
        <v>0.70283600493218246</v>
      </c>
      <c r="Q33" s="115">
        <f>IFERROR(VLOOKUP($B33,MMWR_TRAD_AGG_STATE_COMP[],Q$1,0),"ERROR")</f>
        <v>1057</v>
      </c>
      <c r="R33" s="115">
        <f>IFERROR(VLOOKUP($B33,MMWR_TRAD_AGG_STATE_COMP[],R$1,0),"ERROR")</f>
        <v>334</v>
      </c>
      <c r="S33" s="115">
        <f>IFERROR(VLOOKUP($B33,MMWR_APP_STATE_COMP[],S$1,0),"ERROR")</f>
        <v>13347</v>
      </c>
      <c r="T33" s="28"/>
    </row>
    <row r="34" spans="1:20" s="123" customFormat="1" x14ac:dyDescent="0.2">
      <c r="A34" s="107"/>
      <c r="B34" s="127" t="s">
        <v>421</v>
      </c>
      <c r="C34" s="109">
        <f>IFERROR(VLOOKUP($B34,MMWR_TRAD_AGG_STATE_COMP[],C$1,0),"ERROR")</f>
        <v>296</v>
      </c>
      <c r="D34" s="110">
        <f>IFERROR(VLOOKUP($B34,MMWR_TRAD_AGG_STATE_COMP[],D$1,0),"ERROR")</f>
        <v>202.30743243239999</v>
      </c>
      <c r="E34" s="111">
        <f>IFERROR(VLOOKUP($B34,MMWR_TRAD_AGG_STATE_COMP[],E$1,0),"ERROR")</f>
        <v>1009</v>
      </c>
      <c r="F34" s="112">
        <f>IFERROR(VLOOKUP($B34,MMWR_TRAD_AGG_STATE_COMP[],F$1,0),"ERROR")</f>
        <v>213</v>
      </c>
      <c r="G34" s="113">
        <f t="shared" si="0"/>
        <v>0.21110009910802774</v>
      </c>
      <c r="H34" s="111">
        <f>IFERROR(VLOOKUP($B34,MMWR_TRAD_AGG_STATE_COMP[],H$1,0),"ERROR")</f>
        <v>535</v>
      </c>
      <c r="I34" s="112">
        <f>IFERROR(VLOOKUP($B34,MMWR_TRAD_AGG_STATE_COMP[],I$1,0),"ERROR")</f>
        <v>206</v>
      </c>
      <c r="J34" s="114">
        <f t="shared" si="1"/>
        <v>0.38504672897196263</v>
      </c>
      <c r="K34" s="111">
        <f>IFERROR(VLOOKUP($B34,MMWR_TRAD_AGG_STATE_COMP[],K$1,0),"ERROR")</f>
        <v>318</v>
      </c>
      <c r="L34" s="112">
        <f>IFERROR(VLOOKUP($B34,MMWR_TRAD_AGG_STATE_COMP[],L$1,0),"ERROR")</f>
        <v>145</v>
      </c>
      <c r="M34" s="114">
        <f t="shared" si="2"/>
        <v>0.45597484276729561</v>
      </c>
      <c r="N34" s="111">
        <f>IFERROR(VLOOKUP($B34,MMWR_TRAD_AGG_STATE_COMP[],N$1,0),"ERROR")</f>
        <v>142</v>
      </c>
      <c r="O34" s="112">
        <f>IFERROR(VLOOKUP($B34,MMWR_TRAD_AGG_STATE_COMP[],O$1,0),"ERROR")</f>
        <v>80</v>
      </c>
      <c r="P34" s="114">
        <f t="shared" si="3"/>
        <v>0.56338028169014087</v>
      </c>
      <c r="Q34" s="115">
        <f>IFERROR(VLOOKUP($B34,MMWR_TRAD_AGG_STATE_COMP[],Q$1,0),"ERROR")</f>
        <v>1</v>
      </c>
      <c r="R34" s="115">
        <f>IFERROR(VLOOKUP($B34,MMWR_TRAD_AGG_STATE_COMP[],R$1,0),"ERROR")</f>
        <v>1</v>
      </c>
      <c r="S34" s="115">
        <f>IFERROR(VLOOKUP($B34,MMWR_APP_STATE_COMP[],S$1,0),"ERROR")</f>
        <v>192</v>
      </c>
      <c r="T34" s="28"/>
    </row>
    <row r="35" spans="1:20" s="123" customFormat="1" x14ac:dyDescent="0.2">
      <c r="A35" s="107"/>
      <c r="B35" s="127" t="s">
        <v>397</v>
      </c>
      <c r="C35" s="109">
        <f>IFERROR(VLOOKUP($B35,MMWR_TRAD_AGG_STATE_COMP[],C$1,0),"ERROR")</f>
        <v>3405</v>
      </c>
      <c r="D35" s="110">
        <f>IFERROR(VLOOKUP($B35,MMWR_TRAD_AGG_STATE_COMP[],D$1,0),"ERROR")</f>
        <v>246.3389133627</v>
      </c>
      <c r="E35" s="111">
        <f>IFERROR(VLOOKUP($B35,MMWR_TRAD_AGG_STATE_COMP[],E$1,0),"ERROR")</f>
        <v>3542</v>
      </c>
      <c r="F35" s="112">
        <f>IFERROR(VLOOKUP($B35,MMWR_TRAD_AGG_STATE_COMP[],F$1,0),"ERROR")</f>
        <v>604</v>
      </c>
      <c r="G35" s="113">
        <f t="shared" si="0"/>
        <v>0.17052512704686618</v>
      </c>
      <c r="H35" s="111">
        <f>IFERROR(VLOOKUP($B35,MMWR_TRAD_AGG_STATE_COMP[],H$1,0),"ERROR")</f>
        <v>4750</v>
      </c>
      <c r="I35" s="112">
        <f>IFERROR(VLOOKUP($B35,MMWR_TRAD_AGG_STATE_COMP[],I$1,0),"ERROR")</f>
        <v>2707</v>
      </c>
      <c r="J35" s="114">
        <f t="shared" si="1"/>
        <v>0.56989473684210523</v>
      </c>
      <c r="K35" s="111">
        <f>IFERROR(VLOOKUP($B35,MMWR_TRAD_AGG_STATE_COMP[],K$1,0),"ERROR")</f>
        <v>719</v>
      </c>
      <c r="L35" s="112">
        <f>IFERROR(VLOOKUP($B35,MMWR_TRAD_AGG_STATE_COMP[],L$1,0),"ERROR")</f>
        <v>556</v>
      </c>
      <c r="M35" s="114">
        <f t="shared" si="2"/>
        <v>0.77329624478442283</v>
      </c>
      <c r="N35" s="111">
        <f>IFERROR(VLOOKUP($B35,MMWR_TRAD_AGG_STATE_COMP[],N$1,0),"ERROR")</f>
        <v>1058</v>
      </c>
      <c r="O35" s="112">
        <f>IFERROR(VLOOKUP($B35,MMWR_TRAD_AGG_STATE_COMP[],O$1,0),"ERROR")</f>
        <v>577</v>
      </c>
      <c r="P35" s="114">
        <f t="shared" si="3"/>
        <v>0.54536862003780717</v>
      </c>
      <c r="Q35" s="115">
        <f>IFERROR(VLOOKUP($B35,MMWR_TRAD_AGG_STATE_COMP[],Q$1,0),"ERROR")</f>
        <v>539</v>
      </c>
      <c r="R35" s="115">
        <f>IFERROR(VLOOKUP($B35,MMWR_TRAD_AGG_STATE_COMP[],R$1,0),"ERROR")</f>
        <v>6</v>
      </c>
      <c r="S35" s="115">
        <f>IFERROR(VLOOKUP($B35,MMWR_APP_STATE_COMP[],S$1,0),"ERROR")</f>
        <v>3344</v>
      </c>
      <c r="T35" s="28"/>
    </row>
    <row r="36" spans="1:20" s="123" customFormat="1" x14ac:dyDescent="0.2">
      <c r="A36" s="28"/>
      <c r="B36" s="126" t="s">
        <v>386</v>
      </c>
      <c r="C36" s="102">
        <f>IF(SUM(C37:C45)&lt;&gt;VLOOKUP($B36,MMWR_TRAD_AGG_ST_DISTRICT_COMP[],C$1,0),"ERROR",
VLOOKUP($B36,MMWR_TRAD_AGG_ST_DISTRICT_COMP[],C$1,0))</f>
        <v>46834</v>
      </c>
      <c r="D36" s="103">
        <f>IFERROR(VLOOKUP($B36,MMWR_TRAD_AGG_ST_DISTRICT_COMP[],D$1,0),"ERROR")</f>
        <v>366.15104411329997</v>
      </c>
      <c r="E36" s="102">
        <f>IFERROR(VLOOKUP($B36,MMWR_TRAD_AGG_ST_DISTRICT_COMP[],E$1,0),"ERROR")</f>
        <v>65091</v>
      </c>
      <c r="F36" s="102">
        <f>IFERROR(VLOOKUP($B36,MMWR_TRAD_AGG_ST_DISTRICT_COMP[],F$1,0),"ERROR")</f>
        <v>14882</v>
      </c>
      <c r="G36" s="104">
        <f t="shared" si="0"/>
        <v>0.2286337588913982</v>
      </c>
      <c r="H36" s="102">
        <f>IFERROR(VLOOKUP($B36,MMWR_TRAD_AGG_ST_DISTRICT_COMP[],H$1,0),"ERROR")</f>
        <v>68864</v>
      </c>
      <c r="I36" s="102">
        <f>IFERROR(VLOOKUP($B36,MMWR_TRAD_AGG_ST_DISTRICT_COMP[],I$1,0),"ERROR")</f>
        <v>44388</v>
      </c>
      <c r="J36" s="105">
        <f t="shared" si="1"/>
        <v>0.64457481412639406</v>
      </c>
      <c r="K36" s="102">
        <f>IFERROR(VLOOKUP($B36,MMWR_TRAD_AGG_ST_DISTRICT_COMP[],K$1,0),"ERROR")</f>
        <v>19062</v>
      </c>
      <c r="L36" s="102">
        <f>IFERROR(VLOOKUP($B36,MMWR_TRAD_AGG_ST_DISTRICT_COMP[],L$1,0),"ERROR")</f>
        <v>13744</v>
      </c>
      <c r="M36" s="105">
        <f t="shared" si="2"/>
        <v>0.72101563319693629</v>
      </c>
      <c r="N36" s="102">
        <f>IFERROR(VLOOKUP($B36,MMWR_TRAD_AGG_ST_DISTRICT_COMP[],N$1,0),"ERROR")</f>
        <v>29211</v>
      </c>
      <c r="O36" s="102">
        <f>IFERROR(VLOOKUP($B36,MMWR_TRAD_AGG_ST_DISTRICT_COMP[],O$1,0),"ERROR")</f>
        <v>16842</v>
      </c>
      <c r="P36" s="105">
        <f t="shared" si="3"/>
        <v>0.57656362329259525</v>
      </c>
      <c r="Q36" s="102">
        <f>IFERROR(VLOOKUP($B36,MMWR_TRAD_AGG_ST_DISTRICT_COMP[],Q$1,0),"ERROR")</f>
        <v>1267</v>
      </c>
      <c r="R36" s="106">
        <f>IFERROR(VLOOKUP($B36,MMWR_TRAD_AGG_ST_DISTRICT_COMP[],R$1,0),"ERROR")</f>
        <v>1086</v>
      </c>
      <c r="S36" s="106">
        <f>SUM(S37:S45)</f>
        <v>71147</v>
      </c>
      <c r="T36" s="28"/>
    </row>
    <row r="37" spans="1:20" s="123" customFormat="1" x14ac:dyDescent="0.2">
      <c r="A37" s="28"/>
      <c r="B37" s="127" t="s">
        <v>412</v>
      </c>
      <c r="C37" s="109">
        <f>IFERROR(VLOOKUP($B37,MMWR_TRAD_AGG_STATE_COMP[],C$1,0),"ERROR")</f>
        <v>3370</v>
      </c>
      <c r="D37" s="110">
        <f>IFERROR(VLOOKUP($B37,MMWR_TRAD_AGG_STATE_COMP[],D$1,0),"ERROR")</f>
        <v>336.41958456970002</v>
      </c>
      <c r="E37" s="111">
        <f>IFERROR(VLOOKUP($B37,MMWR_TRAD_AGG_STATE_COMP[],E$1,0),"ERROR")</f>
        <v>3185</v>
      </c>
      <c r="F37" s="112">
        <f>IFERROR(VLOOKUP($B37,MMWR_TRAD_AGG_STATE_COMP[],F$1,0),"ERROR")</f>
        <v>620</v>
      </c>
      <c r="G37" s="113">
        <f t="shared" si="0"/>
        <v>0.19466248037676609</v>
      </c>
      <c r="H37" s="111">
        <f>IFERROR(VLOOKUP($B37,MMWR_TRAD_AGG_STATE_COMP[],H$1,0),"ERROR")</f>
        <v>4896</v>
      </c>
      <c r="I37" s="112">
        <f>IFERROR(VLOOKUP($B37,MMWR_TRAD_AGG_STATE_COMP[],I$1,0),"ERROR")</f>
        <v>2980</v>
      </c>
      <c r="J37" s="114">
        <f t="shared" si="1"/>
        <v>0.6086601307189542</v>
      </c>
      <c r="K37" s="111">
        <f>IFERROR(VLOOKUP($B37,MMWR_TRAD_AGG_STATE_COMP[],K$1,0),"ERROR")</f>
        <v>1728</v>
      </c>
      <c r="L37" s="112">
        <f>IFERROR(VLOOKUP($B37,MMWR_TRAD_AGG_STATE_COMP[],L$1,0),"ERROR")</f>
        <v>1469</v>
      </c>
      <c r="M37" s="114">
        <f t="shared" si="2"/>
        <v>0.8501157407407407</v>
      </c>
      <c r="N37" s="111">
        <f>IFERROR(VLOOKUP($B37,MMWR_TRAD_AGG_STATE_COMP[],N$1,0),"ERROR")</f>
        <v>2499</v>
      </c>
      <c r="O37" s="112">
        <f>IFERROR(VLOOKUP($B37,MMWR_TRAD_AGG_STATE_COMP[],O$1,0),"ERROR")</f>
        <v>1513</v>
      </c>
      <c r="P37" s="114">
        <f t="shared" si="3"/>
        <v>0.60544217687074831</v>
      </c>
      <c r="Q37" s="115">
        <f>IFERROR(VLOOKUP($B37,MMWR_TRAD_AGG_STATE_COMP[],Q$1,0),"ERROR")</f>
        <v>437</v>
      </c>
      <c r="R37" s="115">
        <f>IFERROR(VLOOKUP($B37,MMWR_TRAD_AGG_STATE_COMP[],R$1,0),"ERROR")</f>
        <v>93</v>
      </c>
      <c r="S37" s="115">
        <f>IFERROR(VLOOKUP($B37,MMWR_APP_STATE_COMP[],S$1,0),"ERROR")</f>
        <v>5304</v>
      </c>
      <c r="T37" s="28"/>
    </row>
    <row r="38" spans="1:20" s="123" customFormat="1" x14ac:dyDescent="0.2">
      <c r="A38" s="28"/>
      <c r="B38" s="127" t="s">
        <v>404</v>
      </c>
      <c r="C38" s="109">
        <f>IFERROR(VLOOKUP($B38,MMWR_TRAD_AGG_STATE_COMP[],C$1,0),"ERROR")</f>
        <v>6507</v>
      </c>
      <c r="D38" s="110">
        <f>IFERROR(VLOOKUP($B38,MMWR_TRAD_AGG_STATE_COMP[],D$1,0),"ERROR")</f>
        <v>431.17565698480001</v>
      </c>
      <c r="E38" s="111">
        <f>IFERROR(VLOOKUP($B38,MMWR_TRAD_AGG_STATE_COMP[],E$1,0),"ERROR")</f>
        <v>6698</v>
      </c>
      <c r="F38" s="112">
        <f>IFERROR(VLOOKUP($B38,MMWR_TRAD_AGG_STATE_COMP[],F$1,0),"ERROR")</f>
        <v>1787</v>
      </c>
      <c r="G38" s="113">
        <f t="shared" ref="G38:G64" si="4">IFERROR(F38/E38,"0%")</f>
        <v>0.26679605852493282</v>
      </c>
      <c r="H38" s="111">
        <f>IFERROR(VLOOKUP($B38,MMWR_TRAD_AGG_STATE_COMP[],H$1,0),"ERROR")</f>
        <v>9724</v>
      </c>
      <c r="I38" s="112">
        <f>IFERROR(VLOOKUP($B38,MMWR_TRAD_AGG_STATE_COMP[],I$1,0),"ERROR")</f>
        <v>6741</v>
      </c>
      <c r="J38" s="114">
        <f t="shared" ref="J38:J64" si="5">IFERROR(I38/H38,"0%")</f>
        <v>0.69323323735088438</v>
      </c>
      <c r="K38" s="111">
        <f>IFERROR(VLOOKUP($B38,MMWR_TRAD_AGG_STATE_COMP[],K$1,0),"ERROR")</f>
        <v>3405</v>
      </c>
      <c r="L38" s="112">
        <f>IFERROR(VLOOKUP($B38,MMWR_TRAD_AGG_STATE_COMP[],L$1,0),"ERROR")</f>
        <v>2694</v>
      </c>
      <c r="M38" s="114">
        <f t="shared" ref="M38:M64" si="6">IFERROR(L38/K38,"0%")</f>
        <v>0.79118942731277531</v>
      </c>
      <c r="N38" s="111">
        <f>IFERROR(VLOOKUP($B38,MMWR_TRAD_AGG_STATE_COMP[],N$1,0),"ERROR")</f>
        <v>1887</v>
      </c>
      <c r="O38" s="112">
        <f>IFERROR(VLOOKUP($B38,MMWR_TRAD_AGG_STATE_COMP[],O$1,0),"ERROR")</f>
        <v>1124</v>
      </c>
      <c r="P38" s="114">
        <f t="shared" ref="P38:P64" si="7">IFERROR(O38/N38,"0%")</f>
        <v>0.59565447800741922</v>
      </c>
      <c r="Q38" s="115">
        <f>IFERROR(VLOOKUP($B38,MMWR_TRAD_AGG_STATE_COMP[],Q$1,0),"ERROR")</f>
        <v>7</v>
      </c>
      <c r="R38" s="115">
        <f>IFERROR(VLOOKUP($B38,MMWR_TRAD_AGG_STATE_COMP[],R$1,0),"ERROR")</f>
        <v>59</v>
      </c>
      <c r="S38" s="115">
        <f>IFERROR(VLOOKUP($B38,MMWR_APP_STATE_COMP[],S$1,0),"ERROR")</f>
        <v>6604</v>
      </c>
      <c r="T38" s="28"/>
    </row>
    <row r="39" spans="1:20" s="123" customFormat="1" x14ac:dyDescent="0.2">
      <c r="A39" s="28"/>
      <c r="B39" s="127" t="s">
        <v>388</v>
      </c>
      <c r="C39" s="109">
        <f>IFERROR(VLOOKUP($B39,MMWR_TRAD_AGG_STATE_COMP[],C$1,0),"ERROR")</f>
        <v>4419</v>
      </c>
      <c r="D39" s="110">
        <f>IFERROR(VLOOKUP($B39,MMWR_TRAD_AGG_STATE_COMP[],D$1,0),"ERROR")</f>
        <v>442.124009957</v>
      </c>
      <c r="E39" s="111">
        <f>IFERROR(VLOOKUP($B39,MMWR_TRAD_AGG_STATE_COMP[],E$1,0),"ERROR")</f>
        <v>5478</v>
      </c>
      <c r="F39" s="112">
        <f>IFERROR(VLOOKUP($B39,MMWR_TRAD_AGG_STATE_COMP[],F$1,0),"ERROR")</f>
        <v>1400</v>
      </c>
      <c r="G39" s="113">
        <f t="shared" si="4"/>
        <v>0.25556772544724354</v>
      </c>
      <c r="H39" s="111">
        <f>IFERROR(VLOOKUP($B39,MMWR_TRAD_AGG_STATE_COMP[],H$1,0),"ERROR")</f>
        <v>6872</v>
      </c>
      <c r="I39" s="112">
        <f>IFERROR(VLOOKUP($B39,MMWR_TRAD_AGG_STATE_COMP[],I$1,0),"ERROR")</f>
        <v>4587</v>
      </c>
      <c r="J39" s="114">
        <f t="shared" si="5"/>
        <v>0.66749126891734578</v>
      </c>
      <c r="K39" s="111">
        <f>IFERROR(VLOOKUP($B39,MMWR_TRAD_AGG_STATE_COMP[],K$1,0),"ERROR")</f>
        <v>1545</v>
      </c>
      <c r="L39" s="112">
        <f>IFERROR(VLOOKUP($B39,MMWR_TRAD_AGG_STATE_COMP[],L$1,0),"ERROR")</f>
        <v>1129</v>
      </c>
      <c r="M39" s="114">
        <f t="shared" si="6"/>
        <v>0.73074433656957927</v>
      </c>
      <c r="N39" s="111">
        <f>IFERROR(VLOOKUP($B39,MMWR_TRAD_AGG_STATE_COMP[],N$1,0),"ERROR")</f>
        <v>2602</v>
      </c>
      <c r="O39" s="112">
        <f>IFERROR(VLOOKUP($B39,MMWR_TRAD_AGG_STATE_COMP[],O$1,0),"ERROR")</f>
        <v>1728</v>
      </c>
      <c r="P39" s="114">
        <f t="shared" si="7"/>
        <v>0.66410453497309763</v>
      </c>
      <c r="Q39" s="115">
        <f>IFERROR(VLOOKUP($B39,MMWR_TRAD_AGG_STATE_COMP[],Q$1,0),"ERROR")</f>
        <v>305</v>
      </c>
      <c r="R39" s="115">
        <f>IFERROR(VLOOKUP($B39,MMWR_TRAD_AGG_STATE_COMP[],R$1,0),"ERROR")</f>
        <v>265</v>
      </c>
      <c r="S39" s="115">
        <f>IFERROR(VLOOKUP($B39,MMWR_APP_STATE_COMP[],S$1,0),"ERROR")</f>
        <v>6069</v>
      </c>
      <c r="T39" s="28"/>
    </row>
    <row r="40" spans="1:20" s="123" customFormat="1" x14ac:dyDescent="0.2">
      <c r="A40" s="28"/>
      <c r="B40" s="127" t="s">
        <v>390</v>
      </c>
      <c r="C40" s="109">
        <f>IFERROR(VLOOKUP($B40,MMWR_TRAD_AGG_STATE_COMP[],C$1,0),"ERROR")</f>
        <v>3940</v>
      </c>
      <c r="D40" s="110">
        <f>IFERROR(VLOOKUP($B40,MMWR_TRAD_AGG_STATE_COMP[],D$1,0),"ERROR")</f>
        <v>405.99314720810003</v>
      </c>
      <c r="E40" s="111">
        <f>IFERROR(VLOOKUP($B40,MMWR_TRAD_AGG_STATE_COMP[],E$1,0),"ERROR")</f>
        <v>4705</v>
      </c>
      <c r="F40" s="112">
        <f>IFERROR(VLOOKUP($B40,MMWR_TRAD_AGG_STATE_COMP[],F$1,0),"ERROR")</f>
        <v>1509</v>
      </c>
      <c r="G40" s="113">
        <f t="shared" si="4"/>
        <v>0.32072263549415514</v>
      </c>
      <c r="H40" s="111">
        <f>IFERROR(VLOOKUP($B40,MMWR_TRAD_AGG_STATE_COMP[],H$1,0),"ERROR")</f>
        <v>6255</v>
      </c>
      <c r="I40" s="112">
        <f>IFERROR(VLOOKUP($B40,MMWR_TRAD_AGG_STATE_COMP[],I$1,0),"ERROR")</f>
        <v>4680</v>
      </c>
      <c r="J40" s="114">
        <f t="shared" si="5"/>
        <v>0.74820143884892087</v>
      </c>
      <c r="K40" s="111">
        <f>IFERROR(VLOOKUP($B40,MMWR_TRAD_AGG_STATE_COMP[],K$1,0),"ERROR")</f>
        <v>1512</v>
      </c>
      <c r="L40" s="112">
        <f>IFERROR(VLOOKUP($B40,MMWR_TRAD_AGG_STATE_COMP[],L$1,0),"ERROR")</f>
        <v>1159</v>
      </c>
      <c r="M40" s="114">
        <f t="shared" si="6"/>
        <v>0.76653439153439151</v>
      </c>
      <c r="N40" s="111">
        <f>IFERROR(VLOOKUP($B40,MMWR_TRAD_AGG_STATE_COMP[],N$1,0),"ERROR")</f>
        <v>1986</v>
      </c>
      <c r="O40" s="112">
        <f>IFERROR(VLOOKUP($B40,MMWR_TRAD_AGG_STATE_COMP[],O$1,0),"ERROR")</f>
        <v>1320</v>
      </c>
      <c r="P40" s="114">
        <f t="shared" si="7"/>
        <v>0.66465256797583083</v>
      </c>
      <c r="Q40" s="115">
        <f>IFERROR(VLOOKUP($B40,MMWR_TRAD_AGG_STATE_COMP[],Q$1,0),"ERROR")</f>
        <v>485</v>
      </c>
      <c r="R40" s="115">
        <f>IFERROR(VLOOKUP($B40,MMWR_TRAD_AGG_STATE_COMP[],R$1,0),"ERROR")</f>
        <v>187</v>
      </c>
      <c r="S40" s="115">
        <f>IFERROR(VLOOKUP($B40,MMWR_APP_STATE_COMP[],S$1,0),"ERROR")</f>
        <v>4973</v>
      </c>
      <c r="T40" s="28"/>
    </row>
    <row r="41" spans="1:20" s="123" customFormat="1" x14ac:dyDescent="0.2">
      <c r="A41" s="28"/>
      <c r="B41" s="127" t="s">
        <v>419</v>
      </c>
      <c r="C41" s="109">
        <f>IFERROR(VLOOKUP($B41,MMWR_TRAD_AGG_STATE_COMP[],C$1,0),"ERROR")</f>
        <v>473</v>
      </c>
      <c r="D41" s="110">
        <f>IFERROR(VLOOKUP($B41,MMWR_TRAD_AGG_STATE_COMP[],D$1,0),"ERROR")</f>
        <v>260.38689217759998</v>
      </c>
      <c r="E41" s="111">
        <f>IFERROR(VLOOKUP($B41,MMWR_TRAD_AGG_STATE_COMP[],E$1,0),"ERROR")</f>
        <v>703</v>
      </c>
      <c r="F41" s="112">
        <f>IFERROR(VLOOKUP($B41,MMWR_TRAD_AGG_STATE_COMP[],F$1,0),"ERROR")</f>
        <v>69</v>
      </c>
      <c r="G41" s="113">
        <f t="shared" si="4"/>
        <v>9.8150782361308683E-2</v>
      </c>
      <c r="H41" s="111">
        <f>IFERROR(VLOOKUP($B41,MMWR_TRAD_AGG_STATE_COMP[],H$1,0),"ERROR")</f>
        <v>837</v>
      </c>
      <c r="I41" s="112">
        <f>IFERROR(VLOOKUP($B41,MMWR_TRAD_AGG_STATE_COMP[],I$1,0),"ERROR")</f>
        <v>438</v>
      </c>
      <c r="J41" s="114">
        <f t="shared" si="5"/>
        <v>0.52329749103942658</v>
      </c>
      <c r="K41" s="111">
        <f>IFERROR(VLOOKUP($B41,MMWR_TRAD_AGG_STATE_COMP[],K$1,0),"ERROR")</f>
        <v>416</v>
      </c>
      <c r="L41" s="112">
        <f>IFERROR(VLOOKUP($B41,MMWR_TRAD_AGG_STATE_COMP[],L$1,0),"ERROR")</f>
        <v>258</v>
      </c>
      <c r="M41" s="114">
        <f t="shared" si="6"/>
        <v>0.62019230769230771</v>
      </c>
      <c r="N41" s="111">
        <f>IFERROR(VLOOKUP($B41,MMWR_TRAD_AGG_STATE_COMP[],N$1,0),"ERROR")</f>
        <v>407</v>
      </c>
      <c r="O41" s="112">
        <f>IFERROR(VLOOKUP($B41,MMWR_TRAD_AGG_STATE_COMP[],O$1,0),"ERROR")</f>
        <v>207</v>
      </c>
      <c r="P41" s="114">
        <f t="shared" si="7"/>
        <v>0.50859950859950864</v>
      </c>
      <c r="Q41" s="115">
        <f>IFERROR(VLOOKUP($B41,MMWR_TRAD_AGG_STATE_COMP[],Q$1,0),"ERROR")</f>
        <v>1</v>
      </c>
      <c r="R41" s="115">
        <f>IFERROR(VLOOKUP($B41,MMWR_TRAD_AGG_STATE_COMP[],R$1,0),"ERROR")</f>
        <v>8</v>
      </c>
      <c r="S41" s="115">
        <f>IFERROR(VLOOKUP($B41,MMWR_APP_STATE_COMP[],S$1,0),"ERROR")</f>
        <v>396</v>
      </c>
      <c r="T41" s="28"/>
    </row>
    <row r="42" spans="1:20" s="123" customFormat="1" x14ac:dyDescent="0.2">
      <c r="A42" s="28"/>
      <c r="B42" s="127" t="s">
        <v>413</v>
      </c>
      <c r="C42" s="109">
        <f>IFERROR(VLOOKUP($B42,MMWR_TRAD_AGG_STATE_COMP[],C$1,0),"ERROR")</f>
        <v>1855</v>
      </c>
      <c r="D42" s="110">
        <f>IFERROR(VLOOKUP($B42,MMWR_TRAD_AGG_STATE_COMP[],D$1,0),"ERROR")</f>
        <v>215.7293800539</v>
      </c>
      <c r="E42" s="111">
        <f>IFERROR(VLOOKUP($B42,MMWR_TRAD_AGG_STATE_COMP[],E$1,0),"ERROR")</f>
        <v>5687</v>
      </c>
      <c r="F42" s="112">
        <f>IFERROR(VLOOKUP($B42,MMWR_TRAD_AGG_STATE_COMP[],F$1,0),"ERROR")</f>
        <v>838</v>
      </c>
      <c r="G42" s="113">
        <f t="shared" si="4"/>
        <v>0.14735361350448392</v>
      </c>
      <c r="H42" s="111">
        <f>IFERROR(VLOOKUP($B42,MMWR_TRAD_AGG_STATE_COMP[],H$1,0),"ERROR")</f>
        <v>3095</v>
      </c>
      <c r="I42" s="112">
        <f>IFERROR(VLOOKUP($B42,MMWR_TRAD_AGG_STATE_COMP[],I$1,0),"ERROR")</f>
        <v>1015</v>
      </c>
      <c r="J42" s="114">
        <f t="shared" si="5"/>
        <v>0.32794830371567046</v>
      </c>
      <c r="K42" s="111">
        <f>IFERROR(VLOOKUP($B42,MMWR_TRAD_AGG_STATE_COMP[],K$1,0),"ERROR")</f>
        <v>1249</v>
      </c>
      <c r="L42" s="112">
        <f>IFERROR(VLOOKUP($B42,MMWR_TRAD_AGG_STATE_COMP[],L$1,0),"ERROR")</f>
        <v>521</v>
      </c>
      <c r="M42" s="114">
        <f t="shared" si="6"/>
        <v>0.41713370696557245</v>
      </c>
      <c r="N42" s="111">
        <f>IFERROR(VLOOKUP($B42,MMWR_TRAD_AGG_STATE_COMP[],N$1,0),"ERROR")</f>
        <v>2852</v>
      </c>
      <c r="O42" s="112">
        <f>IFERROR(VLOOKUP($B42,MMWR_TRAD_AGG_STATE_COMP[],O$1,0),"ERROR")</f>
        <v>1605</v>
      </c>
      <c r="P42" s="114">
        <f t="shared" si="7"/>
        <v>0.56276297335203362</v>
      </c>
      <c r="Q42" s="115">
        <f>IFERROR(VLOOKUP($B42,MMWR_TRAD_AGG_STATE_COMP[],Q$1,0),"ERROR")</f>
        <v>8</v>
      </c>
      <c r="R42" s="115">
        <f>IFERROR(VLOOKUP($B42,MMWR_TRAD_AGG_STATE_COMP[],R$1,0),"ERROR")</f>
        <v>49</v>
      </c>
      <c r="S42" s="115">
        <f>IFERROR(VLOOKUP($B42,MMWR_APP_STATE_COMP[],S$1,0),"ERROR")</f>
        <v>4588</v>
      </c>
      <c r="T42" s="28"/>
    </row>
    <row r="43" spans="1:20" s="123" customFormat="1" x14ac:dyDescent="0.2">
      <c r="A43" s="28"/>
      <c r="B43" s="127" t="s">
        <v>411</v>
      </c>
      <c r="C43" s="109">
        <f>IFERROR(VLOOKUP($B43,MMWR_TRAD_AGG_STATE_COMP[],C$1,0),"ERROR")</f>
        <v>24836</v>
      </c>
      <c r="D43" s="110">
        <f>IFERROR(VLOOKUP($B43,MMWR_TRAD_AGG_STATE_COMP[],D$1,0),"ERROR")</f>
        <v>352.22717023680002</v>
      </c>
      <c r="E43" s="111">
        <f>IFERROR(VLOOKUP($B43,MMWR_TRAD_AGG_STATE_COMP[],E$1,0),"ERROR")</f>
        <v>35724</v>
      </c>
      <c r="F43" s="112">
        <f>IFERROR(VLOOKUP($B43,MMWR_TRAD_AGG_STATE_COMP[],F$1,0),"ERROR")</f>
        <v>7898</v>
      </c>
      <c r="G43" s="113">
        <f t="shared" si="4"/>
        <v>0.22108386518866868</v>
      </c>
      <c r="H43" s="111">
        <f>IFERROR(VLOOKUP($B43,MMWR_TRAD_AGG_STATE_COMP[],H$1,0),"ERROR")</f>
        <v>34991</v>
      </c>
      <c r="I43" s="112">
        <f>IFERROR(VLOOKUP($B43,MMWR_TRAD_AGG_STATE_COMP[],I$1,0),"ERROR")</f>
        <v>22729</v>
      </c>
      <c r="J43" s="114">
        <f t="shared" si="5"/>
        <v>0.64956703152239148</v>
      </c>
      <c r="K43" s="111">
        <f>IFERROR(VLOOKUP($B43,MMWR_TRAD_AGG_STATE_COMP[],K$1,0),"ERROR")</f>
        <v>8580</v>
      </c>
      <c r="L43" s="112">
        <f>IFERROR(VLOOKUP($B43,MMWR_TRAD_AGG_STATE_COMP[],L$1,0),"ERROR")</f>
        <v>6109</v>
      </c>
      <c r="M43" s="114">
        <f t="shared" si="6"/>
        <v>0.71200466200466206</v>
      </c>
      <c r="N43" s="111">
        <f>IFERROR(VLOOKUP($B43,MMWR_TRAD_AGG_STATE_COMP[],N$1,0),"ERROR")</f>
        <v>16281</v>
      </c>
      <c r="O43" s="112">
        <f>IFERROR(VLOOKUP($B43,MMWR_TRAD_AGG_STATE_COMP[],O$1,0),"ERROR")</f>
        <v>8955</v>
      </c>
      <c r="P43" s="114">
        <f t="shared" si="7"/>
        <v>0.55002763957987844</v>
      </c>
      <c r="Q43" s="115">
        <f>IFERROR(VLOOKUP($B43,MMWR_TRAD_AGG_STATE_COMP[],Q$1,0),"ERROR")</f>
        <v>21</v>
      </c>
      <c r="R43" s="115">
        <f>IFERROR(VLOOKUP($B43,MMWR_TRAD_AGG_STATE_COMP[],R$1,0),"ERROR")</f>
        <v>422</v>
      </c>
      <c r="S43" s="115">
        <f>IFERROR(VLOOKUP($B43,MMWR_APP_STATE_COMP[],S$1,0),"ERROR")</f>
        <v>42405</v>
      </c>
      <c r="T43" s="28"/>
    </row>
    <row r="44" spans="1:20" s="123" customFormat="1" x14ac:dyDescent="0.2">
      <c r="A44" s="28"/>
      <c r="B44" s="127" t="s">
        <v>407</v>
      </c>
      <c r="C44" s="109">
        <f>IFERROR(VLOOKUP($B44,MMWR_TRAD_AGG_STATE_COMP[],C$1,0),"ERROR")</f>
        <v>1087</v>
      </c>
      <c r="D44" s="110">
        <f>IFERROR(VLOOKUP($B44,MMWR_TRAD_AGG_STATE_COMP[],D$1,0),"ERROR")</f>
        <v>256.18307267709997</v>
      </c>
      <c r="E44" s="111">
        <f>IFERROR(VLOOKUP($B44,MMWR_TRAD_AGG_STATE_COMP[],E$1,0),"ERROR")</f>
        <v>2170</v>
      </c>
      <c r="F44" s="112">
        <f>IFERROR(VLOOKUP($B44,MMWR_TRAD_AGG_STATE_COMP[],F$1,0),"ERROR")</f>
        <v>641</v>
      </c>
      <c r="G44" s="113">
        <f t="shared" si="4"/>
        <v>0.29539170506912443</v>
      </c>
      <c r="H44" s="111">
        <f>IFERROR(VLOOKUP($B44,MMWR_TRAD_AGG_STATE_COMP[],H$1,0),"ERROR")</f>
        <v>1529</v>
      </c>
      <c r="I44" s="112">
        <f>IFERROR(VLOOKUP($B44,MMWR_TRAD_AGG_STATE_COMP[],I$1,0),"ERROR")</f>
        <v>828</v>
      </c>
      <c r="J44" s="114">
        <f t="shared" si="5"/>
        <v>0.5415304120340092</v>
      </c>
      <c r="K44" s="111">
        <f>IFERROR(VLOOKUP($B44,MMWR_TRAD_AGG_STATE_COMP[],K$1,0),"ERROR")</f>
        <v>425</v>
      </c>
      <c r="L44" s="112">
        <f>IFERROR(VLOOKUP($B44,MMWR_TRAD_AGG_STATE_COMP[],L$1,0),"ERROR")</f>
        <v>279</v>
      </c>
      <c r="M44" s="114">
        <f t="shared" si="6"/>
        <v>0.65647058823529414</v>
      </c>
      <c r="N44" s="111">
        <f>IFERROR(VLOOKUP($B44,MMWR_TRAD_AGG_STATE_COMP[],N$1,0),"ERROR")</f>
        <v>500</v>
      </c>
      <c r="O44" s="112">
        <f>IFERROR(VLOOKUP($B44,MMWR_TRAD_AGG_STATE_COMP[],O$1,0),"ERROR")</f>
        <v>273</v>
      </c>
      <c r="P44" s="114">
        <f t="shared" si="7"/>
        <v>0.54600000000000004</v>
      </c>
      <c r="Q44" s="115">
        <f>IFERROR(VLOOKUP($B44,MMWR_TRAD_AGG_STATE_COMP[],Q$1,0),"ERROR")</f>
        <v>1</v>
      </c>
      <c r="R44" s="115">
        <f>IFERROR(VLOOKUP($B44,MMWR_TRAD_AGG_STATE_COMP[],R$1,0),"ERROR")</f>
        <v>2</v>
      </c>
      <c r="S44" s="115">
        <f>IFERROR(VLOOKUP($B44,MMWR_APP_STATE_COMP[],S$1,0),"ERROR")</f>
        <v>579</v>
      </c>
      <c r="T44" s="28"/>
    </row>
    <row r="45" spans="1:20" s="123" customFormat="1" x14ac:dyDescent="0.2">
      <c r="A45" s="28"/>
      <c r="B45" s="127" t="s">
        <v>422</v>
      </c>
      <c r="C45" s="109">
        <f>IFERROR(VLOOKUP($B45,MMWR_TRAD_AGG_STATE_COMP[],C$1,0),"ERROR")</f>
        <v>347</v>
      </c>
      <c r="D45" s="110">
        <f>IFERROR(VLOOKUP($B45,MMWR_TRAD_AGG_STATE_COMP[],D$1,0),"ERROR")</f>
        <v>305.01152737749999</v>
      </c>
      <c r="E45" s="111">
        <f>IFERROR(VLOOKUP($B45,MMWR_TRAD_AGG_STATE_COMP[],E$1,0),"ERROR")</f>
        <v>741</v>
      </c>
      <c r="F45" s="112">
        <f>IFERROR(VLOOKUP($B45,MMWR_TRAD_AGG_STATE_COMP[],F$1,0),"ERROR")</f>
        <v>120</v>
      </c>
      <c r="G45" s="113">
        <f t="shared" si="4"/>
        <v>0.16194331983805668</v>
      </c>
      <c r="H45" s="111">
        <f>IFERROR(VLOOKUP($B45,MMWR_TRAD_AGG_STATE_COMP[],H$1,0),"ERROR")</f>
        <v>665</v>
      </c>
      <c r="I45" s="112">
        <f>IFERROR(VLOOKUP($B45,MMWR_TRAD_AGG_STATE_COMP[],I$1,0),"ERROR")</f>
        <v>390</v>
      </c>
      <c r="J45" s="114">
        <f t="shared" si="5"/>
        <v>0.5864661654135338</v>
      </c>
      <c r="K45" s="111">
        <f>IFERROR(VLOOKUP($B45,MMWR_TRAD_AGG_STATE_COMP[],K$1,0),"ERROR")</f>
        <v>202</v>
      </c>
      <c r="L45" s="112">
        <f>IFERROR(VLOOKUP($B45,MMWR_TRAD_AGG_STATE_COMP[],L$1,0),"ERROR")</f>
        <v>126</v>
      </c>
      <c r="M45" s="114">
        <f t="shared" si="6"/>
        <v>0.62376237623762376</v>
      </c>
      <c r="N45" s="111">
        <f>IFERROR(VLOOKUP($B45,MMWR_TRAD_AGG_STATE_COMP[],N$1,0),"ERROR")</f>
        <v>197</v>
      </c>
      <c r="O45" s="112">
        <f>IFERROR(VLOOKUP($B45,MMWR_TRAD_AGG_STATE_COMP[],O$1,0),"ERROR")</f>
        <v>117</v>
      </c>
      <c r="P45" s="114">
        <f t="shared" si="7"/>
        <v>0.59390862944162437</v>
      </c>
      <c r="Q45" s="115">
        <f>IFERROR(VLOOKUP($B45,MMWR_TRAD_AGG_STATE_COMP[],Q$1,0),"ERROR")</f>
        <v>2</v>
      </c>
      <c r="R45" s="115">
        <f>IFERROR(VLOOKUP($B45,MMWR_TRAD_AGG_STATE_COMP[],R$1,0),"ERROR")</f>
        <v>1</v>
      </c>
      <c r="S45" s="115">
        <f>IFERROR(VLOOKUP($B45,MMWR_APP_STATE_COMP[],S$1,0),"ERROR")</f>
        <v>229</v>
      </c>
      <c r="T45" s="28"/>
    </row>
    <row r="46" spans="1:20" s="123" customFormat="1" x14ac:dyDescent="0.2">
      <c r="A46" s="28"/>
      <c r="B46" s="126" t="s">
        <v>405</v>
      </c>
      <c r="C46" s="102">
        <f>IFERROR(VLOOKUP($B46,MMWR_TRAD_AGG_ST_DISTRICT_COMP[],C$1,0),"ERROR")</f>
        <v>51922</v>
      </c>
      <c r="D46" s="103">
        <f>IFERROR(VLOOKUP($B46,MMWR_TRAD_AGG_ST_DISTRICT_COMP[],D$1,0),"ERROR")</f>
        <v>395.22067716959998</v>
      </c>
      <c r="E46" s="102">
        <f>IFERROR(VLOOKUP($B46,MMWR_TRAD_AGG_ST_DISTRICT_COMP[],E$1,0),"ERROR")</f>
        <v>58559</v>
      </c>
      <c r="F46" s="102">
        <f>IFERROR(VLOOKUP($B46,MMWR_TRAD_AGG_ST_DISTRICT_COMP[],F$1,0),"ERROR")</f>
        <v>12700</v>
      </c>
      <c r="G46" s="104">
        <f t="shared" si="4"/>
        <v>0.21687528817090457</v>
      </c>
      <c r="H46" s="102">
        <f>IFERROR(VLOOKUP($B46,MMWR_TRAD_AGG_ST_DISTRICT_COMP[],H$1,0),"ERROR")</f>
        <v>76373</v>
      </c>
      <c r="I46" s="102">
        <f>IFERROR(VLOOKUP($B46,MMWR_TRAD_AGG_ST_DISTRICT_COMP[],I$1,0),"ERROR")</f>
        <v>53972</v>
      </c>
      <c r="J46" s="105">
        <f t="shared" si="5"/>
        <v>0.70668953687821612</v>
      </c>
      <c r="K46" s="102">
        <f>IFERROR(VLOOKUP($B46,MMWR_TRAD_AGG_ST_DISTRICT_COMP[],K$1,0),"ERROR")</f>
        <v>23325</v>
      </c>
      <c r="L46" s="102">
        <f>IFERROR(VLOOKUP($B46,MMWR_TRAD_AGG_ST_DISTRICT_COMP[],L$1,0),"ERROR")</f>
        <v>18351</v>
      </c>
      <c r="M46" s="105">
        <f t="shared" si="6"/>
        <v>0.78675241157556275</v>
      </c>
      <c r="N46" s="102">
        <f>IFERROR(VLOOKUP($B46,MMWR_TRAD_AGG_ST_DISTRICT_COMP[],N$1,0),"ERROR")</f>
        <v>31951</v>
      </c>
      <c r="O46" s="102">
        <f>IFERROR(VLOOKUP($B46,MMWR_TRAD_AGG_ST_DISTRICT_COMP[],O$1,0),"ERROR")</f>
        <v>21205</v>
      </c>
      <c r="P46" s="105">
        <f t="shared" si="7"/>
        <v>0.66367249851334853</v>
      </c>
      <c r="Q46" s="102">
        <f>IFERROR(VLOOKUP($B46,MMWR_TRAD_AGG_ST_DISTRICT_COMP[],Q$1,0),"ERROR")</f>
        <v>112</v>
      </c>
      <c r="R46" s="106">
        <f>IFERROR(VLOOKUP($B46,MMWR_TRAD_AGG_ST_DISTRICT_COMP[],R$1,0),"ERROR")</f>
        <v>612</v>
      </c>
      <c r="S46" s="106">
        <f>SUM(S47:S55)</f>
        <v>43779</v>
      </c>
      <c r="T46" s="28"/>
    </row>
    <row r="47" spans="1:20" s="123" customFormat="1" x14ac:dyDescent="0.2">
      <c r="A47" s="28"/>
      <c r="B47" s="127" t="s">
        <v>425</v>
      </c>
      <c r="C47" s="109">
        <f>IFERROR(VLOOKUP($B47,MMWR_TRAD_AGG_STATE_COMP[],C$1,0),"ERROR")</f>
        <v>1861</v>
      </c>
      <c r="D47" s="110">
        <f>IFERROR(VLOOKUP($B47,MMWR_TRAD_AGG_STATE_COMP[],D$1,0),"ERROR")</f>
        <v>468.98173025260002</v>
      </c>
      <c r="E47" s="111">
        <f>IFERROR(VLOOKUP($B47,MMWR_TRAD_AGG_STATE_COMP[],E$1,0),"ERROR")</f>
        <v>1155</v>
      </c>
      <c r="F47" s="112">
        <f>IFERROR(VLOOKUP($B47,MMWR_TRAD_AGG_STATE_COMP[],F$1,0),"ERROR")</f>
        <v>298</v>
      </c>
      <c r="G47" s="113">
        <f t="shared" si="4"/>
        <v>0.25800865800865802</v>
      </c>
      <c r="H47" s="111">
        <f>IFERROR(VLOOKUP($B47,MMWR_TRAD_AGG_STATE_COMP[],H$1,0),"ERROR")</f>
        <v>2637</v>
      </c>
      <c r="I47" s="112">
        <f>IFERROR(VLOOKUP($B47,MMWR_TRAD_AGG_STATE_COMP[],I$1,0),"ERROR")</f>
        <v>2049</v>
      </c>
      <c r="J47" s="114">
        <f t="shared" si="5"/>
        <v>0.77701934015927188</v>
      </c>
      <c r="K47" s="111">
        <f>IFERROR(VLOOKUP($B47,MMWR_TRAD_AGG_STATE_COMP[],K$1,0),"ERROR")</f>
        <v>1863</v>
      </c>
      <c r="L47" s="112">
        <f>IFERROR(VLOOKUP($B47,MMWR_TRAD_AGG_STATE_COMP[],L$1,0),"ERROR")</f>
        <v>1540</v>
      </c>
      <c r="M47" s="114">
        <f t="shared" si="6"/>
        <v>0.82662372517444982</v>
      </c>
      <c r="N47" s="111">
        <f>IFERROR(VLOOKUP($B47,MMWR_TRAD_AGG_STATE_COMP[],N$1,0),"ERROR")</f>
        <v>696</v>
      </c>
      <c r="O47" s="112">
        <f>IFERROR(VLOOKUP($B47,MMWR_TRAD_AGG_STATE_COMP[],O$1,0),"ERROR")</f>
        <v>415</v>
      </c>
      <c r="P47" s="114">
        <f t="shared" si="7"/>
        <v>0.59626436781609193</v>
      </c>
      <c r="Q47" s="115">
        <f>IFERROR(VLOOKUP($B47,MMWR_TRAD_AGG_STATE_COMP[],Q$1,0),"ERROR")</f>
        <v>0</v>
      </c>
      <c r="R47" s="115">
        <f>IFERROR(VLOOKUP($B47,MMWR_TRAD_AGG_STATE_COMP[],R$1,0),"ERROR")</f>
        <v>3</v>
      </c>
      <c r="S47" s="115">
        <f>IFERROR(VLOOKUP($B47,MMWR_APP_STATE_COMP[],S$1,0),"ERROR")</f>
        <v>277</v>
      </c>
      <c r="T47" s="28"/>
    </row>
    <row r="48" spans="1:20" s="123" customFormat="1" x14ac:dyDescent="0.2">
      <c r="A48" s="28"/>
      <c r="B48" s="127" t="s">
        <v>427</v>
      </c>
      <c r="C48" s="109">
        <f>IFERROR(VLOOKUP($B48,MMWR_TRAD_AGG_STATE_COMP[],C$1,0),"ERROR")</f>
        <v>4427</v>
      </c>
      <c r="D48" s="110">
        <f>IFERROR(VLOOKUP($B48,MMWR_TRAD_AGG_STATE_COMP[],D$1,0),"ERROR")</f>
        <v>279.26225434830002</v>
      </c>
      <c r="E48" s="111">
        <f>IFERROR(VLOOKUP($B48,MMWR_TRAD_AGG_STATE_COMP[],E$1,0),"ERROR")</f>
        <v>5292</v>
      </c>
      <c r="F48" s="112">
        <f>IFERROR(VLOOKUP($B48,MMWR_TRAD_AGG_STATE_COMP[],F$1,0),"ERROR")</f>
        <v>1148</v>
      </c>
      <c r="G48" s="113">
        <f t="shared" si="4"/>
        <v>0.21693121693121692</v>
      </c>
      <c r="H48" s="111">
        <f>IFERROR(VLOOKUP($B48,MMWR_TRAD_AGG_STATE_COMP[],H$1,0),"ERROR")</f>
        <v>6344</v>
      </c>
      <c r="I48" s="112">
        <f>IFERROR(VLOOKUP($B48,MMWR_TRAD_AGG_STATE_COMP[],I$1,0),"ERROR")</f>
        <v>3884</v>
      </c>
      <c r="J48" s="114">
        <f t="shared" si="5"/>
        <v>0.6122320302648171</v>
      </c>
      <c r="K48" s="111">
        <f>IFERROR(VLOOKUP($B48,MMWR_TRAD_AGG_STATE_COMP[],K$1,0),"ERROR")</f>
        <v>1413</v>
      </c>
      <c r="L48" s="112">
        <f>IFERROR(VLOOKUP($B48,MMWR_TRAD_AGG_STATE_COMP[],L$1,0),"ERROR")</f>
        <v>1047</v>
      </c>
      <c r="M48" s="114">
        <f t="shared" si="6"/>
        <v>0.74097664543524411</v>
      </c>
      <c r="N48" s="111">
        <f>IFERROR(VLOOKUP($B48,MMWR_TRAD_AGG_STATE_COMP[],N$1,0),"ERROR")</f>
        <v>2604</v>
      </c>
      <c r="O48" s="112">
        <f>IFERROR(VLOOKUP($B48,MMWR_TRAD_AGG_STATE_COMP[],O$1,0),"ERROR")</f>
        <v>1513</v>
      </c>
      <c r="P48" s="114">
        <f t="shared" si="7"/>
        <v>0.58102918586789554</v>
      </c>
      <c r="Q48" s="115">
        <f>IFERROR(VLOOKUP($B48,MMWR_TRAD_AGG_STATE_COMP[],Q$1,0),"ERROR")</f>
        <v>9</v>
      </c>
      <c r="R48" s="115">
        <f>IFERROR(VLOOKUP($B48,MMWR_TRAD_AGG_STATE_COMP[],R$1,0),"ERROR")</f>
        <v>77</v>
      </c>
      <c r="S48" s="115">
        <f>IFERROR(VLOOKUP($B48,MMWR_APP_STATE_COMP[],S$1,0),"ERROR")</f>
        <v>7345</v>
      </c>
      <c r="T48" s="28"/>
    </row>
    <row r="49" spans="1:20" s="123" customFormat="1" x14ac:dyDescent="0.2">
      <c r="A49" s="28"/>
      <c r="B49" s="127" t="s">
        <v>408</v>
      </c>
      <c r="C49" s="109">
        <f>IFERROR(VLOOKUP($B49,MMWR_TRAD_AGG_STATE_COMP[],C$1,0),"ERROR")</f>
        <v>23754</v>
      </c>
      <c r="D49" s="110">
        <f>IFERROR(VLOOKUP($B49,MMWR_TRAD_AGG_STATE_COMP[],D$1,0),"ERROR")</f>
        <v>404.9659425781</v>
      </c>
      <c r="E49" s="111">
        <f>IFERROR(VLOOKUP($B49,MMWR_TRAD_AGG_STATE_COMP[],E$1,0),"ERROR")</f>
        <v>30866</v>
      </c>
      <c r="F49" s="112">
        <f>IFERROR(VLOOKUP($B49,MMWR_TRAD_AGG_STATE_COMP[],F$1,0),"ERROR")</f>
        <v>6846</v>
      </c>
      <c r="G49" s="113">
        <f t="shared" si="4"/>
        <v>0.22179744702909351</v>
      </c>
      <c r="H49" s="111">
        <f>IFERROR(VLOOKUP($B49,MMWR_TRAD_AGG_STATE_COMP[],H$1,0),"ERROR")</f>
        <v>36013</v>
      </c>
      <c r="I49" s="112">
        <f>IFERROR(VLOOKUP($B49,MMWR_TRAD_AGG_STATE_COMP[],I$1,0),"ERROR")</f>
        <v>25688</v>
      </c>
      <c r="J49" s="114">
        <f t="shared" si="5"/>
        <v>0.71329797573098608</v>
      </c>
      <c r="K49" s="111">
        <f>IFERROR(VLOOKUP($B49,MMWR_TRAD_AGG_STATE_COMP[],K$1,0),"ERROR")</f>
        <v>10047</v>
      </c>
      <c r="L49" s="112">
        <f>IFERROR(VLOOKUP($B49,MMWR_TRAD_AGG_STATE_COMP[],L$1,0),"ERROR")</f>
        <v>8039</v>
      </c>
      <c r="M49" s="114">
        <f t="shared" si="6"/>
        <v>0.80013934507813278</v>
      </c>
      <c r="N49" s="111">
        <f>IFERROR(VLOOKUP($B49,MMWR_TRAD_AGG_STATE_COMP[],N$1,0),"ERROR")</f>
        <v>15268</v>
      </c>
      <c r="O49" s="112">
        <f>IFERROR(VLOOKUP($B49,MMWR_TRAD_AGG_STATE_COMP[],O$1,0),"ERROR")</f>
        <v>10315</v>
      </c>
      <c r="P49" s="114">
        <f t="shared" si="7"/>
        <v>0.67559601781503797</v>
      </c>
      <c r="Q49" s="115">
        <f>IFERROR(VLOOKUP($B49,MMWR_TRAD_AGG_STATE_COMP[],Q$1,0),"ERROR")</f>
        <v>67</v>
      </c>
      <c r="R49" s="115">
        <f>IFERROR(VLOOKUP($B49,MMWR_TRAD_AGG_STATE_COMP[],R$1,0),"ERROR")</f>
        <v>151</v>
      </c>
      <c r="S49" s="115">
        <f>IFERROR(VLOOKUP($B49,MMWR_APP_STATE_COMP[],S$1,0),"ERROR")</f>
        <v>18488</v>
      </c>
      <c r="T49" s="28"/>
    </row>
    <row r="50" spans="1:20" s="123" customFormat="1" x14ac:dyDescent="0.2">
      <c r="A50" s="28"/>
      <c r="B50" s="127" t="s">
        <v>429</v>
      </c>
      <c r="C50" s="109">
        <f>IFERROR(VLOOKUP($B50,MMWR_TRAD_AGG_STATE_COMP[],C$1,0),"ERROR")</f>
        <v>1333</v>
      </c>
      <c r="D50" s="110">
        <f>IFERROR(VLOOKUP($B50,MMWR_TRAD_AGG_STATE_COMP[],D$1,0),"ERROR")</f>
        <v>291.06451612900003</v>
      </c>
      <c r="E50" s="111">
        <f>IFERROR(VLOOKUP($B50,MMWR_TRAD_AGG_STATE_COMP[],E$1,0),"ERROR")</f>
        <v>1680</v>
      </c>
      <c r="F50" s="112">
        <f>IFERROR(VLOOKUP($B50,MMWR_TRAD_AGG_STATE_COMP[],F$1,0),"ERROR")</f>
        <v>295</v>
      </c>
      <c r="G50" s="113">
        <f t="shared" si="4"/>
        <v>0.17559523809523808</v>
      </c>
      <c r="H50" s="111">
        <f>IFERROR(VLOOKUP($B50,MMWR_TRAD_AGG_STATE_COMP[],H$1,0),"ERROR")</f>
        <v>1921</v>
      </c>
      <c r="I50" s="112">
        <f>IFERROR(VLOOKUP($B50,MMWR_TRAD_AGG_STATE_COMP[],I$1,0),"ERROR")</f>
        <v>1231</v>
      </c>
      <c r="J50" s="114">
        <f t="shared" si="5"/>
        <v>0.64081207704320664</v>
      </c>
      <c r="K50" s="111">
        <f>IFERROR(VLOOKUP($B50,MMWR_TRAD_AGG_STATE_COMP[],K$1,0),"ERROR")</f>
        <v>1087</v>
      </c>
      <c r="L50" s="112">
        <f>IFERROR(VLOOKUP($B50,MMWR_TRAD_AGG_STATE_COMP[],L$1,0),"ERROR")</f>
        <v>664</v>
      </c>
      <c r="M50" s="114">
        <f t="shared" si="6"/>
        <v>0.61085556577736888</v>
      </c>
      <c r="N50" s="111">
        <f>IFERROR(VLOOKUP($B50,MMWR_TRAD_AGG_STATE_COMP[],N$1,0),"ERROR")</f>
        <v>621</v>
      </c>
      <c r="O50" s="112">
        <f>IFERROR(VLOOKUP($B50,MMWR_TRAD_AGG_STATE_COMP[],O$1,0),"ERROR")</f>
        <v>346</v>
      </c>
      <c r="P50" s="114">
        <f t="shared" si="7"/>
        <v>0.55716586151368763</v>
      </c>
      <c r="Q50" s="115">
        <f>IFERROR(VLOOKUP($B50,MMWR_TRAD_AGG_STATE_COMP[],Q$1,0),"ERROR")</f>
        <v>3</v>
      </c>
      <c r="R50" s="115">
        <f>IFERROR(VLOOKUP($B50,MMWR_TRAD_AGG_STATE_COMP[],R$1,0),"ERROR")</f>
        <v>5</v>
      </c>
      <c r="S50" s="115">
        <f>IFERROR(VLOOKUP($B50,MMWR_APP_STATE_COMP[],S$1,0),"ERROR")</f>
        <v>1257</v>
      </c>
      <c r="T50" s="28"/>
    </row>
    <row r="51" spans="1:20" s="123" customFormat="1" x14ac:dyDescent="0.2">
      <c r="A51" s="28"/>
      <c r="B51" s="127" t="s">
        <v>409</v>
      </c>
      <c r="C51" s="109">
        <f>IFERROR(VLOOKUP($B51,MMWR_TRAD_AGG_STATE_COMP[],C$1,0),"ERROR")</f>
        <v>567</v>
      </c>
      <c r="D51" s="110">
        <f>IFERROR(VLOOKUP($B51,MMWR_TRAD_AGG_STATE_COMP[],D$1,0),"ERROR")</f>
        <v>255.09347442679999</v>
      </c>
      <c r="E51" s="111">
        <f>IFERROR(VLOOKUP($B51,MMWR_TRAD_AGG_STATE_COMP[],E$1,0),"ERROR")</f>
        <v>1546</v>
      </c>
      <c r="F51" s="112">
        <f>IFERROR(VLOOKUP($B51,MMWR_TRAD_AGG_STATE_COMP[],F$1,0),"ERROR")</f>
        <v>354</v>
      </c>
      <c r="G51" s="113">
        <f t="shared" si="4"/>
        <v>0.22897800776196636</v>
      </c>
      <c r="H51" s="111">
        <f>IFERROR(VLOOKUP($B51,MMWR_TRAD_AGG_STATE_COMP[],H$1,0),"ERROR")</f>
        <v>873</v>
      </c>
      <c r="I51" s="112">
        <f>IFERROR(VLOOKUP($B51,MMWR_TRAD_AGG_STATE_COMP[],I$1,0),"ERROR")</f>
        <v>407</v>
      </c>
      <c r="J51" s="114">
        <f t="shared" si="5"/>
        <v>0.46620847651775488</v>
      </c>
      <c r="K51" s="111">
        <f>IFERROR(VLOOKUP($B51,MMWR_TRAD_AGG_STATE_COMP[],K$1,0),"ERROR")</f>
        <v>269</v>
      </c>
      <c r="L51" s="112">
        <f>IFERROR(VLOOKUP($B51,MMWR_TRAD_AGG_STATE_COMP[],L$1,0),"ERROR")</f>
        <v>177</v>
      </c>
      <c r="M51" s="114">
        <f t="shared" si="6"/>
        <v>0.65799256505576209</v>
      </c>
      <c r="N51" s="111">
        <f>IFERROR(VLOOKUP($B51,MMWR_TRAD_AGG_STATE_COMP[],N$1,0),"ERROR")</f>
        <v>485</v>
      </c>
      <c r="O51" s="112">
        <f>IFERROR(VLOOKUP($B51,MMWR_TRAD_AGG_STATE_COMP[],O$1,0),"ERROR")</f>
        <v>263</v>
      </c>
      <c r="P51" s="114">
        <f t="shared" si="7"/>
        <v>0.54226804123711336</v>
      </c>
      <c r="Q51" s="115">
        <f>IFERROR(VLOOKUP($B51,MMWR_TRAD_AGG_STATE_COMP[],Q$1,0),"ERROR")</f>
        <v>3</v>
      </c>
      <c r="R51" s="115">
        <f>IFERROR(VLOOKUP($B51,MMWR_TRAD_AGG_STATE_COMP[],R$1,0),"ERROR")</f>
        <v>5</v>
      </c>
      <c r="S51" s="115">
        <f>IFERROR(VLOOKUP($B51,MMWR_APP_STATE_COMP[],S$1,0),"ERROR")</f>
        <v>978</v>
      </c>
      <c r="T51" s="28"/>
    </row>
    <row r="52" spans="1:20" s="123" customFormat="1" x14ac:dyDescent="0.2">
      <c r="A52" s="28"/>
      <c r="B52" s="127" t="s">
        <v>414</v>
      </c>
      <c r="C52" s="109">
        <f>IFERROR(VLOOKUP($B52,MMWR_TRAD_AGG_STATE_COMP[],C$1,0),"ERROR")</f>
        <v>3240</v>
      </c>
      <c r="D52" s="110">
        <f>IFERROR(VLOOKUP($B52,MMWR_TRAD_AGG_STATE_COMP[],D$1,0),"ERROR")</f>
        <v>404.54660493829999</v>
      </c>
      <c r="E52" s="111">
        <f>IFERROR(VLOOKUP($B52,MMWR_TRAD_AGG_STATE_COMP[],E$1,0),"ERROR")</f>
        <v>4149</v>
      </c>
      <c r="F52" s="112">
        <f>IFERROR(VLOOKUP($B52,MMWR_TRAD_AGG_STATE_COMP[],F$1,0),"ERROR")</f>
        <v>993</v>
      </c>
      <c r="G52" s="113">
        <f t="shared" si="4"/>
        <v>0.23933477946493131</v>
      </c>
      <c r="H52" s="111">
        <f>IFERROR(VLOOKUP($B52,MMWR_TRAD_AGG_STATE_COMP[],H$1,0),"ERROR")</f>
        <v>4313</v>
      </c>
      <c r="I52" s="112">
        <f>IFERROR(VLOOKUP($B52,MMWR_TRAD_AGG_STATE_COMP[],I$1,0),"ERROR")</f>
        <v>3049</v>
      </c>
      <c r="J52" s="114">
        <f t="shared" si="5"/>
        <v>0.70693252956178998</v>
      </c>
      <c r="K52" s="111">
        <f>IFERROR(VLOOKUP($B52,MMWR_TRAD_AGG_STATE_COMP[],K$1,0),"ERROR")</f>
        <v>1006</v>
      </c>
      <c r="L52" s="112">
        <f>IFERROR(VLOOKUP($B52,MMWR_TRAD_AGG_STATE_COMP[],L$1,0),"ERROR")</f>
        <v>821</v>
      </c>
      <c r="M52" s="114">
        <f t="shared" si="6"/>
        <v>0.81610337972167002</v>
      </c>
      <c r="N52" s="111">
        <f>IFERROR(VLOOKUP($B52,MMWR_TRAD_AGG_STATE_COMP[],N$1,0),"ERROR")</f>
        <v>2042</v>
      </c>
      <c r="O52" s="112">
        <f>IFERROR(VLOOKUP($B52,MMWR_TRAD_AGG_STATE_COMP[],O$1,0),"ERROR")</f>
        <v>1428</v>
      </c>
      <c r="P52" s="114">
        <f t="shared" si="7"/>
        <v>0.69931439764936332</v>
      </c>
      <c r="Q52" s="115">
        <f>IFERROR(VLOOKUP($B52,MMWR_TRAD_AGG_STATE_COMP[],Q$1,0),"ERROR")</f>
        <v>6</v>
      </c>
      <c r="R52" s="115">
        <f>IFERROR(VLOOKUP($B52,MMWR_TRAD_AGG_STATE_COMP[],R$1,0),"ERROR")</f>
        <v>129</v>
      </c>
      <c r="S52" s="115">
        <f>IFERROR(VLOOKUP($B52,MMWR_APP_STATE_COMP[],S$1,0),"ERROR")</f>
        <v>3206</v>
      </c>
      <c r="T52" s="28"/>
    </row>
    <row r="53" spans="1:20" s="123" customFormat="1" x14ac:dyDescent="0.2">
      <c r="A53" s="28"/>
      <c r="B53" s="127" t="s">
        <v>406</v>
      </c>
      <c r="C53" s="109">
        <f>IFERROR(VLOOKUP($B53,MMWR_TRAD_AGG_STATE_COMP[],C$1,0),"ERROR")</f>
        <v>1042</v>
      </c>
      <c r="D53" s="110">
        <f>IFERROR(VLOOKUP($B53,MMWR_TRAD_AGG_STATE_COMP[],D$1,0),"ERROR")</f>
        <v>226.20153550859999</v>
      </c>
      <c r="E53" s="111">
        <f>IFERROR(VLOOKUP($B53,MMWR_TRAD_AGG_STATE_COMP[],E$1,0),"ERROR")</f>
        <v>2638</v>
      </c>
      <c r="F53" s="112">
        <f>IFERROR(VLOOKUP($B53,MMWR_TRAD_AGG_STATE_COMP[],F$1,0),"ERROR")</f>
        <v>626</v>
      </c>
      <c r="G53" s="113">
        <f t="shared" si="4"/>
        <v>0.23730098559514784</v>
      </c>
      <c r="H53" s="111">
        <f>IFERROR(VLOOKUP($B53,MMWR_TRAD_AGG_STATE_COMP[],H$1,0),"ERROR")</f>
        <v>1789</v>
      </c>
      <c r="I53" s="112">
        <f>IFERROR(VLOOKUP($B53,MMWR_TRAD_AGG_STATE_COMP[],I$1,0),"ERROR")</f>
        <v>835</v>
      </c>
      <c r="J53" s="114">
        <f t="shared" si="5"/>
        <v>0.46674119619899385</v>
      </c>
      <c r="K53" s="111">
        <f>IFERROR(VLOOKUP($B53,MMWR_TRAD_AGG_STATE_COMP[],K$1,0),"ERROR")</f>
        <v>532</v>
      </c>
      <c r="L53" s="112">
        <f>IFERROR(VLOOKUP($B53,MMWR_TRAD_AGG_STATE_COMP[],L$1,0),"ERROR")</f>
        <v>333</v>
      </c>
      <c r="M53" s="114">
        <f t="shared" si="6"/>
        <v>0.62593984962406013</v>
      </c>
      <c r="N53" s="111">
        <f>IFERROR(VLOOKUP($B53,MMWR_TRAD_AGG_STATE_COMP[],N$1,0),"ERROR")</f>
        <v>944</v>
      </c>
      <c r="O53" s="112">
        <f>IFERROR(VLOOKUP($B53,MMWR_TRAD_AGG_STATE_COMP[],O$1,0),"ERROR")</f>
        <v>576</v>
      </c>
      <c r="P53" s="114">
        <f t="shared" si="7"/>
        <v>0.61016949152542377</v>
      </c>
      <c r="Q53" s="115">
        <f>IFERROR(VLOOKUP($B53,MMWR_TRAD_AGG_STATE_COMP[],Q$1,0),"ERROR")</f>
        <v>8</v>
      </c>
      <c r="R53" s="115">
        <f>IFERROR(VLOOKUP($B53,MMWR_TRAD_AGG_STATE_COMP[],R$1,0),"ERROR")</f>
        <v>11</v>
      </c>
      <c r="S53" s="115">
        <f>IFERROR(VLOOKUP($B53,MMWR_APP_STATE_COMP[],S$1,0),"ERROR")</f>
        <v>1872</v>
      </c>
      <c r="T53" s="28"/>
    </row>
    <row r="54" spans="1:20" s="123" customFormat="1" x14ac:dyDescent="0.2">
      <c r="A54" s="28"/>
      <c r="B54" s="127" t="s">
        <v>410</v>
      </c>
      <c r="C54" s="109">
        <f>IFERROR(VLOOKUP($B54,MMWR_TRAD_AGG_STATE_COMP[],C$1,0),"ERROR")</f>
        <v>5982</v>
      </c>
      <c r="D54" s="110">
        <f>IFERROR(VLOOKUP($B54,MMWR_TRAD_AGG_STATE_COMP[],D$1,0),"ERROR")</f>
        <v>470.582079572</v>
      </c>
      <c r="E54" s="111">
        <f>IFERROR(VLOOKUP($B54,MMWR_TRAD_AGG_STATE_COMP[],E$1,0),"ERROR")</f>
        <v>4735</v>
      </c>
      <c r="F54" s="112">
        <f>IFERROR(VLOOKUP($B54,MMWR_TRAD_AGG_STATE_COMP[],F$1,0),"ERROR")</f>
        <v>1044</v>
      </c>
      <c r="G54" s="113">
        <f t="shared" si="4"/>
        <v>0.22048574445617741</v>
      </c>
      <c r="H54" s="111">
        <f>IFERROR(VLOOKUP($B54,MMWR_TRAD_AGG_STATE_COMP[],H$1,0),"ERROR")</f>
        <v>8266</v>
      </c>
      <c r="I54" s="112">
        <f>IFERROR(VLOOKUP($B54,MMWR_TRAD_AGG_STATE_COMP[],I$1,0),"ERROR")</f>
        <v>6383</v>
      </c>
      <c r="J54" s="114">
        <f t="shared" si="5"/>
        <v>0.77219937091700941</v>
      </c>
      <c r="K54" s="111">
        <f>IFERROR(VLOOKUP($B54,MMWR_TRAD_AGG_STATE_COMP[],K$1,0),"ERROR")</f>
        <v>2978</v>
      </c>
      <c r="L54" s="112">
        <f>IFERROR(VLOOKUP($B54,MMWR_TRAD_AGG_STATE_COMP[],L$1,0),"ERROR")</f>
        <v>2689</v>
      </c>
      <c r="M54" s="114">
        <f t="shared" si="6"/>
        <v>0.90295500335795831</v>
      </c>
      <c r="N54" s="111">
        <f>IFERROR(VLOOKUP($B54,MMWR_TRAD_AGG_STATE_COMP[],N$1,0),"ERROR")</f>
        <v>3093</v>
      </c>
      <c r="O54" s="112">
        <f>IFERROR(VLOOKUP($B54,MMWR_TRAD_AGG_STATE_COMP[],O$1,0),"ERROR")</f>
        <v>2005</v>
      </c>
      <c r="P54" s="114">
        <f t="shared" si="7"/>
        <v>0.64823795667636597</v>
      </c>
      <c r="Q54" s="115">
        <f>IFERROR(VLOOKUP($B54,MMWR_TRAD_AGG_STATE_COMP[],Q$1,0),"ERROR")</f>
        <v>6</v>
      </c>
      <c r="R54" s="115">
        <f>IFERROR(VLOOKUP($B54,MMWR_TRAD_AGG_STATE_COMP[],R$1,0),"ERROR")</f>
        <v>89</v>
      </c>
      <c r="S54" s="115">
        <f>IFERROR(VLOOKUP($B54,MMWR_APP_STATE_COMP[],S$1,0),"ERROR")</f>
        <v>5242</v>
      </c>
      <c r="T54" s="28"/>
    </row>
    <row r="55" spans="1:20" s="123" customFormat="1" x14ac:dyDescent="0.2">
      <c r="A55" s="28"/>
      <c r="B55" s="127" t="s">
        <v>80</v>
      </c>
      <c r="C55" s="109">
        <f>IFERROR(VLOOKUP($B55,MMWR_TRAD_AGG_STATE_COMP[],C$1,0),"ERROR")</f>
        <v>9716</v>
      </c>
      <c r="D55" s="110">
        <f>IFERROR(VLOOKUP($B55,MMWR_TRAD_AGG_STATE_COMP[],D$1,0),"ERROR")</f>
        <v>401.1873198847</v>
      </c>
      <c r="E55" s="111">
        <f>IFERROR(VLOOKUP($B55,MMWR_TRAD_AGG_STATE_COMP[],E$1,0),"ERROR")</f>
        <v>6498</v>
      </c>
      <c r="F55" s="112">
        <f>IFERROR(VLOOKUP($B55,MMWR_TRAD_AGG_STATE_COMP[],F$1,0),"ERROR")</f>
        <v>1096</v>
      </c>
      <c r="G55" s="113">
        <f t="shared" si="4"/>
        <v>0.16866728224068944</v>
      </c>
      <c r="H55" s="111">
        <f>IFERROR(VLOOKUP($B55,MMWR_TRAD_AGG_STATE_COMP[],H$1,0),"ERROR")</f>
        <v>14217</v>
      </c>
      <c r="I55" s="112">
        <f>IFERROR(VLOOKUP($B55,MMWR_TRAD_AGG_STATE_COMP[],I$1,0),"ERROR")</f>
        <v>10446</v>
      </c>
      <c r="J55" s="114">
        <f t="shared" si="5"/>
        <v>0.73475416754589573</v>
      </c>
      <c r="K55" s="111">
        <f>IFERROR(VLOOKUP($B55,MMWR_TRAD_AGG_STATE_COMP[],K$1,0),"ERROR")</f>
        <v>4130</v>
      </c>
      <c r="L55" s="112">
        <f>IFERROR(VLOOKUP($B55,MMWR_TRAD_AGG_STATE_COMP[],L$1,0),"ERROR")</f>
        <v>3041</v>
      </c>
      <c r="M55" s="114">
        <f t="shared" si="6"/>
        <v>0.73631961259079903</v>
      </c>
      <c r="N55" s="111">
        <f>IFERROR(VLOOKUP($B55,MMWR_TRAD_AGG_STATE_COMP[],N$1,0),"ERROR")</f>
        <v>6198</v>
      </c>
      <c r="O55" s="112">
        <f>IFERROR(VLOOKUP($B55,MMWR_TRAD_AGG_STATE_COMP[],O$1,0),"ERROR")</f>
        <v>4344</v>
      </c>
      <c r="P55" s="114">
        <f t="shared" si="7"/>
        <v>0.70087124878993223</v>
      </c>
      <c r="Q55" s="115">
        <f>IFERROR(VLOOKUP($B55,MMWR_TRAD_AGG_STATE_COMP[],Q$1,0),"ERROR")</f>
        <v>10</v>
      </c>
      <c r="R55" s="115">
        <f>IFERROR(VLOOKUP($B55,MMWR_TRAD_AGG_STATE_COMP[],R$1,0),"ERROR")</f>
        <v>142</v>
      </c>
      <c r="S55" s="115">
        <f>IFERROR(VLOOKUP($B55,MMWR_APP_STATE_COMP[],S$1,0),"ERROR")</f>
        <v>5114</v>
      </c>
      <c r="T55" s="28"/>
    </row>
    <row r="56" spans="1:20" s="123" customFormat="1" x14ac:dyDescent="0.2">
      <c r="A56" s="28"/>
      <c r="B56" s="126" t="s">
        <v>381</v>
      </c>
      <c r="C56" s="102">
        <f>IFERROR(VLOOKUP($B56,MMWR_TRAD_AGG_ST_DISTRICT_COMP[],C$1,0),"ERROR")</f>
        <v>64235</v>
      </c>
      <c r="D56" s="103">
        <f>IFERROR(VLOOKUP($B56,MMWR_TRAD_AGG_ST_DISTRICT_COMP[],D$1,0),"ERROR")</f>
        <v>360.23770530079997</v>
      </c>
      <c r="E56" s="102">
        <f>IFERROR(VLOOKUP($B56,MMWR_TRAD_AGG_ST_DISTRICT_COMP[],E$1,0),"ERROR")</f>
        <v>71835</v>
      </c>
      <c r="F56" s="102">
        <f>IFERROR(VLOOKUP($B56,MMWR_TRAD_AGG_ST_DISTRICT_COMP[],F$1,0),"ERROR")</f>
        <v>17558</v>
      </c>
      <c r="G56" s="104">
        <f t="shared" si="4"/>
        <v>0.24442124312660959</v>
      </c>
      <c r="H56" s="102">
        <f>IFERROR(VLOOKUP($B56,MMWR_TRAD_AGG_ST_DISTRICT_COMP[],H$1,0),"ERROR")</f>
        <v>93857</v>
      </c>
      <c r="I56" s="102">
        <f>IFERROR(VLOOKUP($B56,MMWR_TRAD_AGG_ST_DISTRICT_COMP[],I$1,0),"ERROR")</f>
        <v>63774</v>
      </c>
      <c r="J56" s="105">
        <f t="shared" si="5"/>
        <v>0.67948048627166857</v>
      </c>
      <c r="K56" s="102">
        <f>IFERROR(VLOOKUP($B56,MMWR_TRAD_AGG_ST_DISTRICT_COMP[],K$1,0),"ERROR")</f>
        <v>29995</v>
      </c>
      <c r="L56" s="102">
        <f>IFERROR(VLOOKUP($B56,MMWR_TRAD_AGG_ST_DISTRICT_COMP[],L$1,0),"ERROR")</f>
        <v>24487</v>
      </c>
      <c r="M56" s="105">
        <f t="shared" si="6"/>
        <v>0.81636939489914984</v>
      </c>
      <c r="N56" s="102">
        <f>IFERROR(VLOOKUP($B56,MMWR_TRAD_AGG_ST_DISTRICT_COMP[],N$1,0),"ERROR")</f>
        <v>44900</v>
      </c>
      <c r="O56" s="102">
        <f>IFERROR(VLOOKUP($B56,MMWR_TRAD_AGG_ST_DISTRICT_COMP[],O$1,0),"ERROR")</f>
        <v>31281</v>
      </c>
      <c r="P56" s="105">
        <f t="shared" si="7"/>
        <v>0.69668151447661475</v>
      </c>
      <c r="Q56" s="102">
        <f>IFERROR(VLOOKUP($B56,MMWR_TRAD_AGG_ST_DISTRICT_COMP[],Q$1,0),"ERROR")</f>
        <v>6455</v>
      </c>
      <c r="R56" s="106">
        <f>IFERROR(VLOOKUP($B56,MMWR_TRAD_AGG_ST_DISTRICT_COMP[],R$1,0),"ERROR")</f>
        <v>1197</v>
      </c>
      <c r="S56" s="106">
        <f>SUM(S57:S63)</f>
        <v>91696</v>
      </c>
      <c r="T56" s="28"/>
    </row>
    <row r="57" spans="1:20" s="123" customFormat="1" x14ac:dyDescent="0.2">
      <c r="A57" s="28"/>
      <c r="B57" s="127" t="s">
        <v>389</v>
      </c>
      <c r="C57" s="109">
        <f>IFERROR(VLOOKUP($B57,MMWR_TRAD_AGG_STATE_COMP[],C$1,0),"ERROR")</f>
        <v>11694</v>
      </c>
      <c r="D57" s="110">
        <f>IFERROR(VLOOKUP($B57,MMWR_TRAD_AGG_STATE_COMP[],D$1,0),"ERROR")</f>
        <v>379.21857362750001</v>
      </c>
      <c r="E57" s="111">
        <f>IFERROR(VLOOKUP($B57,MMWR_TRAD_AGG_STATE_COMP[],E$1,0),"ERROR")</f>
        <v>7342</v>
      </c>
      <c r="F57" s="112">
        <f>IFERROR(VLOOKUP($B57,MMWR_TRAD_AGG_STATE_COMP[],F$1,0),"ERROR")</f>
        <v>1723</v>
      </c>
      <c r="G57" s="113">
        <f t="shared" si="4"/>
        <v>0.2346771996731136</v>
      </c>
      <c r="H57" s="111">
        <f>IFERROR(VLOOKUP($B57,MMWR_TRAD_AGG_STATE_COMP[],H$1,0),"ERROR")</f>
        <v>15617</v>
      </c>
      <c r="I57" s="112">
        <f>IFERROR(VLOOKUP($B57,MMWR_TRAD_AGG_STATE_COMP[],I$1,0),"ERROR")</f>
        <v>11389</v>
      </c>
      <c r="J57" s="114">
        <f t="shared" si="5"/>
        <v>0.72926938592559387</v>
      </c>
      <c r="K57" s="111">
        <f>IFERROR(VLOOKUP($B57,MMWR_TRAD_AGG_STATE_COMP[],K$1,0),"ERROR")</f>
        <v>5123</v>
      </c>
      <c r="L57" s="112">
        <f>IFERROR(VLOOKUP($B57,MMWR_TRAD_AGG_STATE_COMP[],L$1,0),"ERROR")</f>
        <v>4491</v>
      </c>
      <c r="M57" s="114">
        <f t="shared" si="6"/>
        <v>0.87663478430607067</v>
      </c>
      <c r="N57" s="111">
        <f>IFERROR(VLOOKUP($B57,MMWR_TRAD_AGG_STATE_COMP[],N$1,0),"ERROR")</f>
        <v>3264</v>
      </c>
      <c r="O57" s="112">
        <f>IFERROR(VLOOKUP($B57,MMWR_TRAD_AGG_STATE_COMP[],O$1,0),"ERROR")</f>
        <v>1915</v>
      </c>
      <c r="P57" s="114">
        <f t="shared" si="7"/>
        <v>0.58670343137254899</v>
      </c>
      <c r="Q57" s="115">
        <f>IFERROR(VLOOKUP($B57,MMWR_TRAD_AGG_STATE_COMP[],Q$1,0),"ERROR")</f>
        <v>569</v>
      </c>
      <c r="R57" s="115">
        <f>IFERROR(VLOOKUP($B57,MMWR_TRAD_AGG_STATE_COMP[],R$1,0),"ERROR")</f>
        <v>384</v>
      </c>
      <c r="S57" s="115">
        <f>IFERROR(VLOOKUP($B57,MMWR_APP_STATE_COMP[],S$1,0),"ERROR")</f>
        <v>10390</v>
      </c>
      <c r="T57" s="28"/>
    </row>
    <row r="58" spans="1:20" s="123" customFormat="1" x14ac:dyDescent="0.2">
      <c r="A58" s="28"/>
      <c r="B58" s="127" t="s">
        <v>426</v>
      </c>
      <c r="C58" s="109">
        <f>IFERROR(VLOOKUP($B58,MMWR_TRAD_AGG_STATE_COMP[],C$1,0),"ERROR")</f>
        <v>19052</v>
      </c>
      <c r="D58" s="110">
        <f>IFERROR(VLOOKUP($B58,MMWR_TRAD_AGG_STATE_COMP[],D$1,0),"ERROR")</f>
        <v>323.73367625449998</v>
      </c>
      <c r="E58" s="111">
        <f>IFERROR(VLOOKUP($B58,MMWR_TRAD_AGG_STATE_COMP[],E$1,0),"ERROR")</f>
        <v>23760</v>
      </c>
      <c r="F58" s="112">
        <f>IFERROR(VLOOKUP($B58,MMWR_TRAD_AGG_STATE_COMP[],F$1,0),"ERROR")</f>
        <v>5352</v>
      </c>
      <c r="G58" s="113">
        <f t="shared" si="4"/>
        <v>0.22525252525252526</v>
      </c>
      <c r="H58" s="111">
        <f>IFERROR(VLOOKUP($B58,MMWR_TRAD_AGG_STATE_COMP[],H$1,0),"ERROR")</f>
        <v>26566</v>
      </c>
      <c r="I58" s="112">
        <f>IFERROR(VLOOKUP($B58,MMWR_TRAD_AGG_STATE_COMP[],I$1,0),"ERROR")</f>
        <v>17251</v>
      </c>
      <c r="J58" s="114">
        <f t="shared" si="5"/>
        <v>0.64936384852819395</v>
      </c>
      <c r="K58" s="111">
        <f>IFERROR(VLOOKUP($B58,MMWR_TRAD_AGG_STATE_COMP[],K$1,0),"ERROR")</f>
        <v>7381</v>
      </c>
      <c r="L58" s="112">
        <f>IFERROR(VLOOKUP($B58,MMWR_TRAD_AGG_STATE_COMP[],L$1,0),"ERROR")</f>
        <v>5624</v>
      </c>
      <c r="M58" s="114">
        <f t="shared" si="6"/>
        <v>0.76195637447500342</v>
      </c>
      <c r="N58" s="111">
        <f>IFERROR(VLOOKUP($B58,MMWR_TRAD_AGG_STATE_COMP[],N$1,0),"ERROR")</f>
        <v>18133</v>
      </c>
      <c r="O58" s="112">
        <f>IFERROR(VLOOKUP($B58,MMWR_TRAD_AGG_STATE_COMP[],O$1,0),"ERROR")</f>
        <v>12211</v>
      </c>
      <c r="P58" s="114">
        <f t="shared" si="7"/>
        <v>0.67341311421165828</v>
      </c>
      <c r="Q58" s="115">
        <f>IFERROR(VLOOKUP($B58,MMWR_TRAD_AGG_STATE_COMP[],Q$1,0),"ERROR")</f>
        <v>2275</v>
      </c>
      <c r="R58" s="115">
        <f>IFERROR(VLOOKUP($B58,MMWR_TRAD_AGG_STATE_COMP[],R$1,0),"ERROR")</f>
        <v>294</v>
      </c>
      <c r="S58" s="115">
        <f>IFERROR(VLOOKUP($B58,MMWR_APP_STATE_COMP[],S$1,0),"ERROR")</f>
        <v>32261</v>
      </c>
      <c r="T58" s="28"/>
    </row>
    <row r="59" spans="1:20" s="123" customFormat="1" x14ac:dyDescent="0.2">
      <c r="A59" s="28"/>
      <c r="B59" s="127" t="s">
        <v>382</v>
      </c>
      <c r="C59" s="109">
        <f>IFERROR(VLOOKUP($B59,MMWR_TRAD_AGG_STATE_COMP[],C$1,0),"ERROR")</f>
        <v>13836</v>
      </c>
      <c r="D59" s="110">
        <f>IFERROR(VLOOKUP($B59,MMWR_TRAD_AGG_STATE_COMP[],D$1,0),"ERROR")</f>
        <v>356.67360508820002</v>
      </c>
      <c r="E59" s="111">
        <f>IFERROR(VLOOKUP($B59,MMWR_TRAD_AGG_STATE_COMP[],E$1,0),"ERROR")</f>
        <v>17247</v>
      </c>
      <c r="F59" s="112">
        <f>IFERROR(VLOOKUP($B59,MMWR_TRAD_AGG_STATE_COMP[],F$1,0),"ERROR")</f>
        <v>4792</v>
      </c>
      <c r="G59" s="113">
        <f t="shared" si="4"/>
        <v>0.27784542239230009</v>
      </c>
      <c r="H59" s="111">
        <f>IFERROR(VLOOKUP($B59,MMWR_TRAD_AGG_STATE_COMP[],H$1,0),"ERROR")</f>
        <v>20721</v>
      </c>
      <c r="I59" s="112">
        <f>IFERROR(VLOOKUP($B59,MMWR_TRAD_AGG_STATE_COMP[],I$1,0),"ERROR")</f>
        <v>14345</v>
      </c>
      <c r="J59" s="114">
        <f t="shared" si="5"/>
        <v>0.69229284300950722</v>
      </c>
      <c r="K59" s="111">
        <f>IFERROR(VLOOKUP($B59,MMWR_TRAD_AGG_STATE_COMP[],K$1,0),"ERROR")</f>
        <v>8198</v>
      </c>
      <c r="L59" s="112">
        <f>IFERROR(VLOOKUP($B59,MMWR_TRAD_AGG_STATE_COMP[],L$1,0),"ERROR")</f>
        <v>6741</v>
      </c>
      <c r="M59" s="114">
        <f t="shared" si="6"/>
        <v>0.82227372529885334</v>
      </c>
      <c r="N59" s="111">
        <f>IFERROR(VLOOKUP($B59,MMWR_TRAD_AGG_STATE_COMP[],N$1,0),"ERROR")</f>
        <v>12928</v>
      </c>
      <c r="O59" s="112">
        <f>IFERROR(VLOOKUP($B59,MMWR_TRAD_AGG_STATE_COMP[],O$1,0),"ERROR")</f>
        <v>10585</v>
      </c>
      <c r="P59" s="114">
        <f t="shared" si="7"/>
        <v>0.81876547029702973</v>
      </c>
      <c r="Q59" s="115">
        <f>IFERROR(VLOOKUP($B59,MMWR_TRAD_AGG_STATE_COMP[],Q$1,0),"ERROR")</f>
        <v>1086</v>
      </c>
      <c r="R59" s="115">
        <f>IFERROR(VLOOKUP($B59,MMWR_TRAD_AGG_STATE_COMP[],R$1,0),"ERROR")</f>
        <v>29</v>
      </c>
      <c r="S59" s="115">
        <f>IFERROR(VLOOKUP($B59,MMWR_APP_STATE_COMP[],S$1,0),"ERROR")</f>
        <v>19495</v>
      </c>
      <c r="T59" s="28"/>
    </row>
    <row r="60" spans="1:20" s="123" customFormat="1" x14ac:dyDescent="0.2">
      <c r="A60" s="28"/>
      <c r="B60" s="127" t="s">
        <v>394</v>
      </c>
      <c r="C60" s="109">
        <f>IFERROR(VLOOKUP($B60,MMWR_TRAD_AGG_STATE_COMP[],C$1,0),"ERROR")</f>
        <v>6227</v>
      </c>
      <c r="D60" s="110">
        <f>IFERROR(VLOOKUP($B60,MMWR_TRAD_AGG_STATE_COMP[],D$1,0),"ERROR")</f>
        <v>540.10615063429998</v>
      </c>
      <c r="E60" s="111">
        <f>IFERROR(VLOOKUP($B60,MMWR_TRAD_AGG_STATE_COMP[],E$1,0),"ERROR")</f>
        <v>3382</v>
      </c>
      <c r="F60" s="112">
        <f>IFERROR(VLOOKUP($B60,MMWR_TRAD_AGG_STATE_COMP[],F$1,0),"ERROR")</f>
        <v>605</v>
      </c>
      <c r="G60" s="113">
        <f t="shared" si="4"/>
        <v>0.17888823181549379</v>
      </c>
      <c r="H60" s="111">
        <f>IFERROR(VLOOKUP($B60,MMWR_TRAD_AGG_STATE_COMP[],H$1,0),"ERROR")</f>
        <v>8647</v>
      </c>
      <c r="I60" s="112">
        <f>IFERROR(VLOOKUP($B60,MMWR_TRAD_AGG_STATE_COMP[],I$1,0),"ERROR")</f>
        <v>6512</v>
      </c>
      <c r="J60" s="114">
        <f t="shared" si="5"/>
        <v>0.75309355845958137</v>
      </c>
      <c r="K60" s="111">
        <f>IFERROR(VLOOKUP($B60,MMWR_TRAD_AGG_STATE_COMP[],K$1,0),"ERROR")</f>
        <v>2384</v>
      </c>
      <c r="L60" s="112">
        <f>IFERROR(VLOOKUP($B60,MMWR_TRAD_AGG_STATE_COMP[],L$1,0),"ERROR")</f>
        <v>2047</v>
      </c>
      <c r="M60" s="114">
        <f t="shared" si="6"/>
        <v>0.85864093959731547</v>
      </c>
      <c r="N60" s="111">
        <f>IFERROR(VLOOKUP($B60,MMWR_TRAD_AGG_STATE_COMP[],N$1,0),"ERROR")</f>
        <v>2228</v>
      </c>
      <c r="O60" s="112">
        <f>IFERROR(VLOOKUP($B60,MMWR_TRAD_AGG_STATE_COMP[],O$1,0),"ERROR")</f>
        <v>1223</v>
      </c>
      <c r="P60" s="114">
        <f t="shared" si="7"/>
        <v>0.54892280071813282</v>
      </c>
      <c r="Q60" s="115">
        <f>IFERROR(VLOOKUP($B60,MMWR_TRAD_AGG_STATE_COMP[],Q$1,0),"ERROR")</f>
        <v>671</v>
      </c>
      <c r="R60" s="115">
        <f>IFERROR(VLOOKUP($B60,MMWR_TRAD_AGG_STATE_COMP[],R$1,0),"ERROR")</f>
        <v>152</v>
      </c>
      <c r="S60" s="115">
        <f>IFERROR(VLOOKUP($B60,MMWR_APP_STATE_COMP[],S$1,0),"ERROR")</f>
        <v>3395</v>
      </c>
      <c r="T60" s="28"/>
    </row>
    <row r="61" spans="1:20" s="123" customFormat="1" x14ac:dyDescent="0.2">
      <c r="A61" s="28"/>
      <c r="B61" s="127" t="s">
        <v>428</v>
      </c>
      <c r="C61" s="109">
        <f>IFERROR(VLOOKUP($B61,MMWR_TRAD_AGG_STATE_COMP[],C$1,0),"ERROR")</f>
        <v>1341</v>
      </c>
      <c r="D61" s="110">
        <f>IFERROR(VLOOKUP($B61,MMWR_TRAD_AGG_STATE_COMP[],D$1,0),"ERROR")</f>
        <v>308.50932140190002</v>
      </c>
      <c r="E61" s="111">
        <f>IFERROR(VLOOKUP($B61,MMWR_TRAD_AGG_STATE_COMP[],E$1,0),"ERROR")</f>
        <v>2437</v>
      </c>
      <c r="F61" s="112">
        <f>IFERROR(VLOOKUP($B61,MMWR_TRAD_AGG_STATE_COMP[],F$1,0),"ERROR")</f>
        <v>743</v>
      </c>
      <c r="G61" s="113">
        <f t="shared" si="4"/>
        <v>0.30488305293393514</v>
      </c>
      <c r="H61" s="111">
        <f>IFERROR(VLOOKUP($B61,MMWR_TRAD_AGG_STATE_COMP[],H$1,0),"ERROR")</f>
        <v>3629</v>
      </c>
      <c r="I61" s="112">
        <f>IFERROR(VLOOKUP($B61,MMWR_TRAD_AGG_STATE_COMP[],I$1,0),"ERROR")</f>
        <v>2170</v>
      </c>
      <c r="J61" s="114">
        <f t="shared" si="5"/>
        <v>0.59796087076329563</v>
      </c>
      <c r="K61" s="111">
        <f>IFERROR(VLOOKUP($B61,MMWR_TRAD_AGG_STATE_COMP[],K$1,0),"ERROR")</f>
        <v>941</v>
      </c>
      <c r="L61" s="112">
        <f>IFERROR(VLOOKUP($B61,MMWR_TRAD_AGG_STATE_COMP[],L$1,0),"ERROR")</f>
        <v>792</v>
      </c>
      <c r="M61" s="114">
        <f t="shared" si="6"/>
        <v>0.84165781083953239</v>
      </c>
      <c r="N61" s="111">
        <f>IFERROR(VLOOKUP($B61,MMWR_TRAD_AGG_STATE_COMP[],N$1,0),"ERROR")</f>
        <v>1835</v>
      </c>
      <c r="O61" s="112">
        <f>IFERROR(VLOOKUP($B61,MMWR_TRAD_AGG_STATE_COMP[],O$1,0),"ERROR")</f>
        <v>1322</v>
      </c>
      <c r="P61" s="114">
        <f t="shared" si="7"/>
        <v>0.7204359673024523</v>
      </c>
      <c r="Q61" s="115">
        <f>IFERROR(VLOOKUP($B61,MMWR_TRAD_AGG_STATE_COMP[],Q$1,0),"ERROR")</f>
        <v>400</v>
      </c>
      <c r="R61" s="115">
        <f>IFERROR(VLOOKUP($B61,MMWR_TRAD_AGG_STATE_COMP[],R$1,0),"ERROR")</f>
        <v>2</v>
      </c>
      <c r="S61" s="115">
        <f>IFERROR(VLOOKUP($B61,MMWR_APP_STATE_COMP[],S$1,0),"ERROR")</f>
        <v>5385</v>
      </c>
      <c r="T61" s="28"/>
    </row>
    <row r="62" spans="1:20" s="123" customFormat="1" x14ac:dyDescent="0.2">
      <c r="A62" s="28"/>
      <c r="B62" s="127" t="s">
        <v>384</v>
      </c>
      <c r="C62" s="109">
        <f>IFERROR(VLOOKUP($B62,MMWR_TRAD_AGG_STATE_COMP[],C$1,0),"ERROR")</f>
        <v>7963</v>
      </c>
      <c r="D62" s="110">
        <f>IFERROR(VLOOKUP($B62,MMWR_TRAD_AGG_STATE_COMP[],D$1,0),"ERROR")</f>
        <v>332.52429988699998</v>
      </c>
      <c r="E62" s="111">
        <f>IFERROR(VLOOKUP($B62,MMWR_TRAD_AGG_STATE_COMP[],E$1,0),"ERROR")</f>
        <v>9151</v>
      </c>
      <c r="F62" s="112">
        <f>IFERROR(VLOOKUP($B62,MMWR_TRAD_AGG_STATE_COMP[],F$1,0),"ERROR")</f>
        <v>2527</v>
      </c>
      <c r="G62" s="113">
        <f t="shared" si="4"/>
        <v>0.27614468364113209</v>
      </c>
      <c r="H62" s="111">
        <f>IFERROR(VLOOKUP($B62,MMWR_TRAD_AGG_STATE_COMP[],H$1,0),"ERROR")</f>
        <v>11335</v>
      </c>
      <c r="I62" s="112">
        <f>IFERROR(VLOOKUP($B62,MMWR_TRAD_AGG_STATE_COMP[],I$1,0),"ERROR")</f>
        <v>7920</v>
      </c>
      <c r="J62" s="114">
        <f t="shared" si="5"/>
        <v>0.69872077635641816</v>
      </c>
      <c r="K62" s="111">
        <f>IFERROR(VLOOKUP($B62,MMWR_TRAD_AGG_STATE_COMP[],K$1,0),"ERROR")</f>
        <v>2903</v>
      </c>
      <c r="L62" s="112">
        <f>IFERROR(VLOOKUP($B62,MMWR_TRAD_AGG_STATE_COMP[],L$1,0),"ERROR")</f>
        <v>2227</v>
      </c>
      <c r="M62" s="114">
        <f t="shared" si="6"/>
        <v>0.7671374440234241</v>
      </c>
      <c r="N62" s="111">
        <f>IFERROR(VLOOKUP($B62,MMWR_TRAD_AGG_STATE_COMP[],N$1,0),"ERROR")</f>
        <v>3607</v>
      </c>
      <c r="O62" s="112">
        <f>IFERROR(VLOOKUP($B62,MMWR_TRAD_AGG_STATE_COMP[],O$1,0),"ERROR")</f>
        <v>2190</v>
      </c>
      <c r="P62" s="114">
        <f t="shared" si="7"/>
        <v>0.6071527585250901</v>
      </c>
      <c r="Q62" s="115">
        <f>IFERROR(VLOOKUP($B62,MMWR_TRAD_AGG_STATE_COMP[],Q$1,0),"ERROR")</f>
        <v>712</v>
      </c>
      <c r="R62" s="115">
        <f>IFERROR(VLOOKUP($B62,MMWR_TRAD_AGG_STATE_COMP[],R$1,0),"ERROR")</f>
        <v>62</v>
      </c>
      <c r="S62" s="115">
        <f>IFERROR(VLOOKUP($B62,MMWR_APP_STATE_COMP[],S$1,0),"ERROR")</f>
        <v>13451</v>
      </c>
      <c r="T62" s="28"/>
    </row>
    <row r="63" spans="1:20" s="123" customFormat="1" x14ac:dyDescent="0.2">
      <c r="A63" s="28"/>
      <c r="B63" s="127" t="s">
        <v>385</v>
      </c>
      <c r="C63" s="109">
        <f>IFERROR(VLOOKUP($B63,MMWR_TRAD_AGG_STATE_COMP[],C$1,0),"ERROR")</f>
        <v>4122</v>
      </c>
      <c r="D63" s="110">
        <f>IFERROR(VLOOKUP($B63,MMWR_TRAD_AGG_STATE_COMP[],D$1,0),"ERROR")</f>
        <v>285.71906841340001</v>
      </c>
      <c r="E63" s="111">
        <f>IFERROR(VLOOKUP($B63,MMWR_TRAD_AGG_STATE_COMP[],E$1,0),"ERROR")</f>
        <v>8516</v>
      </c>
      <c r="F63" s="112">
        <f>IFERROR(VLOOKUP($B63,MMWR_TRAD_AGG_STATE_COMP[],F$1,0),"ERROR")</f>
        <v>1816</v>
      </c>
      <c r="G63" s="113">
        <f t="shared" si="4"/>
        <v>0.21324565523720057</v>
      </c>
      <c r="H63" s="111">
        <f>IFERROR(VLOOKUP($B63,MMWR_TRAD_AGG_STATE_COMP[],H$1,0),"ERROR")</f>
        <v>7342</v>
      </c>
      <c r="I63" s="112">
        <f>IFERROR(VLOOKUP($B63,MMWR_TRAD_AGG_STATE_COMP[],I$1,0),"ERROR")</f>
        <v>4187</v>
      </c>
      <c r="J63" s="114">
        <f t="shared" si="5"/>
        <v>0.57028057749931904</v>
      </c>
      <c r="K63" s="111">
        <f>IFERROR(VLOOKUP($B63,MMWR_TRAD_AGG_STATE_COMP[],K$1,0),"ERROR")</f>
        <v>3065</v>
      </c>
      <c r="L63" s="112">
        <f>IFERROR(VLOOKUP($B63,MMWR_TRAD_AGG_STATE_COMP[],L$1,0),"ERROR")</f>
        <v>2565</v>
      </c>
      <c r="M63" s="114">
        <f t="shared" si="6"/>
        <v>0.83686786296900484</v>
      </c>
      <c r="N63" s="111">
        <f>IFERROR(VLOOKUP($B63,MMWR_TRAD_AGG_STATE_COMP[],N$1,0),"ERROR")</f>
        <v>2905</v>
      </c>
      <c r="O63" s="112">
        <f>IFERROR(VLOOKUP($B63,MMWR_TRAD_AGG_STATE_COMP[],O$1,0),"ERROR")</f>
        <v>1835</v>
      </c>
      <c r="P63" s="114">
        <f t="shared" si="7"/>
        <v>0.63166953528399317</v>
      </c>
      <c r="Q63" s="115">
        <f>IFERROR(VLOOKUP($B63,MMWR_TRAD_AGG_STATE_COMP[],Q$1,0),"ERROR")</f>
        <v>742</v>
      </c>
      <c r="R63" s="115">
        <f>IFERROR(VLOOKUP($B63,MMWR_TRAD_AGG_STATE_COMP[],R$1,0),"ERROR")</f>
        <v>274</v>
      </c>
      <c r="S63" s="115">
        <f>IFERROR(VLOOKUP($B63,MMWR_APP_STATE_COMP[],S$1,0),"ERROR")</f>
        <v>7319</v>
      </c>
      <c r="T63" s="28"/>
    </row>
    <row r="64" spans="1:20" s="123" customFormat="1" x14ac:dyDescent="0.2">
      <c r="A64" s="28"/>
      <c r="B64" s="128" t="s">
        <v>8</v>
      </c>
      <c r="C64" s="102">
        <f>IFERROR(VLOOKUP($B64,MMWR_TRAD_AGG_ST_DISTRICT_COMP[],C$1,0),"ERROR")</f>
        <v>3511</v>
      </c>
      <c r="D64" s="103">
        <f>IFERROR(VLOOKUP($B64,MMWR_TRAD_AGG_ST_DISTRICT_COMP[],D$1,0),"ERROR")</f>
        <v>356.07148960410001</v>
      </c>
      <c r="E64" s="102">
        <f>IFERROR(VLOOKUP($B64,MMWR_TRAD_AGG_ST_DISTRICT_COMP[],E$1,0),"ERROR")</f>
        <v>4440</v>
      </c>
      <c r="F64" s="102">
        <f>IFERROR(VLOOKUP($B64,MMWR_TRAD_AGG_ST_DISTRICT_COMP[],F$1,0),"ERROR")</f>
        <v>1959</v>
      </c>
      <c r="G64" s="104">
        <f t="shared" si="4"/>
        <v>0.44121621621621621</v>
      </c>
      <c r="H64" s="102">
        <f>IFERROR(VLOOKUP($B64,MMWR_TRAD_AGG_ST_DISTRICT_COMP[],H$1,0),"ERROR")</f>
        <v>4822</v>
      </c>
      <c r="I64" s="102">
        <f>IFERROR(VLOOKUP($B64,MMWR_TRAD_AGG_ST_DISTRICT_COMP[],I$1,0),"ERROR")</f>
        <v>3266</v>
      </c>
      <c r="J64" s="105">
        <f t="shared" si="5"/>
        <v>0.67731231854002494</v>
      </c>
      <c r="K64" s="102">
        <f>IFERROR(VLOOKUP($B64,MMWR_TRAD_AGG_ST_DISTRICT_COMP[],K$1,0),"ERROR")</f>
        <v>1385</v>
      </c>
      <c r="L64" s="102">
        <f>IFERROR(VLOOKUP($B64,MMWR_TRAD_AGG_ST_DISTRICT_COMP[],L$1,0),"ERROR")</f>
        <v>915</v>
      </c>
      <c r="M64" s="105">
        <f t="shared" si="6"/>
        <v>0.66064981949458479</v>
      </c>
      <c r="N64" s="102">
        <f>IFERROR(VLOOKUP($B64,MMWR_TRAD_AGG_ST_DISTRICT_COMP[],N$1,0),"ERROR")</f>
        <v>1379</v>
      </c>
      <c r="O64" s="102">
        <f>IFERROR(VLOOKUP($B64,MMWR_TRAD_AGG_ST_DISTRICT_COMP[],O$1,0),"ERROR")</f>
        <v>967</v>
      </c>
      <c r="P64" s="105">
        <f t="shared" si="7"/>
        <v>0.7012327773749093</v>
      </c>
      <c r="Q64" s="102">
        <f>IFERROR(VLOOKUP($B64,MMWR_TRAD_AGG_ST_DISTRICT_COMP[],Q$1,0),"ERROR")</f>
        <v>465</v>
      </c>
      <c r="R64" s="106">
        <f>IFERROR(VLOOKUP($B64,MMWR_TRAD_AGG_ST_DISTRICT_COMP[],R$1,0),"ERROR")</f>
        <v>152</v>
      </c>
      <c r="S64" s="106">
        <f>IFERROR(VLOOKUP($B64,MMWR_APP_STATE_COMP[],S$1,0),"ERROR")</f>
        <v>424</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488</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225</v>
      </c>
      <c r="D67" s="461"/>
      <c r="E67" s="458" t="s">
        <v>205</v>
      </c>
      <c r="F67" s="459"/>
      <c r="G67" s="460"/>
      <c r="H67" s="458" t="s">
        <v>7</v>
      </c>
      <c r="I67" s="459"/>
      <c r="J67" s="460"/>
      <c r="K67" s="458" t="s">
        <v>30</v>
      </c>
      <c r="L67" s="459"/>
      <c r="M67" s="460"/>
      <c r="N67" s="458" t="s">
        <v>8</v>
      </c>
      <c r="O67" s="459"/>
      <c r="P67" s="460"/>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489</v>
      </c>
      <c r="T68" s="28"/>
    </row>
    <row r="69" spans="1:20" s="123" customFormat="1" x14ac:dyDescent="0.2">
      <c r="A69" s="28"/>
      <c r="B69" s="129" t="s">
        <v>463</v>
      </c>
      <c r="C69" s="119">
        <f>IFERROR(VLOOKUP($B69,MMWR_TRAD_AGG_RO_PEN[],C$1,0),"ERROR")</f>
        <v>27529</v>
      </c>
      <c r="D69" s="120">
        <f>IFERROR(VLOOKUP($B69,MMWR_TRAD_AGG_RO_PEN[],D$1,0),"ERROR")</f>
        <v>79.469686512400003</v>
      </c>
      <c r="E69" s="119">
        <f>IFERROR(VLOOKUP($B69,MMWR_TRAD_AGG_RO_PEN[],E$1,0),"ERROR")</f>
        <v>32810</v>
      </c>
      <c r="F69" s="119">
        <f>IFERROR(VLOOKUP($B69,MMWR_TRAD_AGG_RO_PEN[],F$1,0),"ERROR")</f>
        <v>5085</v>
      </c>
      <c r="G69" s="98">
        <f t="shared" ref="G69:G100" si="8">IFERROR(F69/E69,"0%")</f>
        <v>0.15498323681804327</v>
      </c>
      <c r="H69" s="119">
        <f>IFERROR(VLOOKUP($B69,MMWR_TRAD_AGG_RO_PEN[],H$1,0),"ERROR")</f>
        <v>34337</v>
      </c>
      <c r="I69" s="119">
        <f>IFERROR(VLOOKUP($B69,MMWR_TRAD_AGG_RO_PEN[],I$1,0),"ERROR")</f>
        <v>5930</v>
      </c>
      <c r="J69" s="98">
        <f t="shared" ref="J69:J100" si="9">IFERROR(I69/H69,"0%")</f>
        <v>0.17270000291231033</v>
      </c>
      <c r="K69" s="119">
        <f>IFERROR(VLOOKUP($B69,MMWR_TRAD_AGG_RO_PEN[],K$1,0),"ERROR")</f>
        <v>307</v>
      </c>
      <c r="L69" s="119">
        <f>IFERROR(VLOOKUP($B69,MMWR_TRAD_AGG_RO_PEN[],L$1,0),"ERROR")</f>
        <v>280</v>
      </c>
      <c r="M69" s="98">
        <f t="shared" ref="M69:M100" si="10">IFERROR(L69/K69,"0%")</f>
        <v>0.91205211726384361</v>
      </c>
      <c r="N69" s="119">
        <f>IFERROR(VLOOKUP($B69,MMWR_TRAD_AGG_RO_PEN[],N$1,0),"ERROR")</f>
        <v>2143</v>
      </c>
      <c r="O69" s="119">
        <f>IFERROR(VLOOKUP($B69,MMWR_TRAD_AGG_RO_PEN[],O$1,0),"ERROR")</f>
        <v>569</v>
      </c>
      <c r="P69" s="98">
        <f t="shared" ref="P69:P100" si="11">IFERROR(O69/N69,"0%")</f>
        <v>0.26551563229118058</v>
      </c>
      <c r="Q69" s="119">
        <f>IFERROR(VLOOKUP($B69,MMWR_TRAD_AGG_RO_PEN[],Q$1,0),"ERROR")</f>
        <v>11869</v>
      </c>
      <c r="R69" s="121">
        <f>IFERROR(VLOOKUP($B69,MMWR_TRAD_AGG_RO_PEN[],R$1,0),"ERROR")</f>
        <v>6357</v>
      </c>
      <c r="S69" s="121">
        <f>S70+S86+S99+S109+S119+S127</f>
        <v>6289</v>
      </c>
      <c r="T69" s="28"/>
    </row>
    <row r="70" spans="1:20" s="123" customFormat="1" x14ac:dyDescent="0.2">
      <c r="A70" s="28"/>
      <c r="B70" s="126" t="s">
        <v>370</v>
      </c>
      <c r="C70" s="102">
        <f>IFERROR(VLOOKUP($B70,MMWR_TRAD_AGG_ST_DISTRICT_PEN[],C$1,0),"ERROR")</f>
        <v>7212</v>
      </c>
      <c r="D70" s="103">
        <f>IFERROR(VLOOKUP($B70,MMWR_TRAD_AGG_ST_DISTRICT_PEN[],D$1,0),"ERROR")</f>
        <v>99.768580144200001</v>
      </c>
      <c r="E70" s="102">
        <f>IFERROR(VLOOKUP($B70,MMWR_TRAD_AGG_ST_DISTRICT_PEN[],E$1,0),"ERROR")</f>
        <v>10801</v>
      </c>
      <c r="F70" s="102">
        <f>IFERROR(VLOOKUP($B70,MMWR_TRAD_AGG_ST_DISTRICT_PEN[],F$1,0),"ERROR")</f>
        <v>2471</v>
      </c>
      <c r="G70" s="104">
        <f t="shared" si="8"/>
        <v>0.2287751134154245</v>
      </c>
      <c r="H70" s="102">
        <f>IFERROR(VLOOKUP($B70,MMWR_TRAD_AGG_ST_DISTRICT_PEN[],H$1,0),"ERROR")</f>
        <v>9354</v>
      </c>
      <c r="I70" s="102">
        <f>IFERROR(VLOOKUP($B70,MMWR_TRAD_AGG_ST_DISTRICT_PEN[],I$1,0),"ERROR")</f>
        <v>2716</v>
      </c>
      <c r="J70" s="104">
        <f t="shared" si="9"/>
        <v>0.29035706649561682</v>
      </c>
      <c r="K70" s="102">
        <f>IFERROR(VLOOKUP($B70,MMWR_TRAD_AGG_ST_DISTRICT_PEN[],K$1,0),"ERROR")</f>
        <v>191</v>
      </c>
      <c r="L70" s="102">
        <f>IFERROR(VLOOKUP($B70,MMWR_TRAD_AGG_ST_DISTRICT_PEN[],L$1,0),"ERROR")</f>
        <v>186</v>
      </c>
      <c r="M70" s="104">
        <f t="shared" si="10"/>
        <v>0.97382198952879584</v>
      </c>
      <c r="N70" s="102">
        <f>IFERROR(VLOOKUP($B70,MMWR_TRAD_AGG_ST_DISTRICT_PEN[],N$1,0),"ERROR")</f>
        <v>720</v>
      </c>
      <c r="O70" s="102">
        <f>IFERROR(VLOOKUP($B70,MMWR_TRAD_AGG_ST_DISTRICT_PEN[],O$1,0),"ERROR")</f>
        <v>206</v>
      </c>
      <c r="P70" s="104">
        <f t="shared" si="11"/>
        <v>0.28611111111111109</v>
      </c>
      <c r="Q70" s="102">
        <f>IFERROR(VLOOKUP($B70,MMWR_TRAD_AGG_ST_DISTRICT_PEN[],Q$1,0),"ERROR")</f>
        <v>1127</v>
      </c>
      <c r="R70" s="106">
        <f>IFERROR(VLOOKUP($B70,MMWR_TRAD_AGG_ST_DISTRICT_PEN[],R$1,0),"ERROR")</f>
        <v>2386</v>
      </c>
      <c r="S70" s="106">
        <f>IFERROR(VLOOKUP($B70,MMWR_APP_STATE_PEN[],S$1,0),"ERROR")</f>
        <v>1279</v>
      </c>
      <c r="T70" s="28"/>
    </row>
    <row r="71" spans="1:20" s="123" customFormat="1" x14ac:dyDescent="0.2">
      <c r="A71" s="28"/>
      <c r="B71" s="127" t="s">
        <v>374</v>
      </c>
      <c r="C71" s="109">
        <f>IFERROR(VLOOKUP($B71,MMWR_TRAD_AGG_STATE_PEN[],C$1,0),"ERROR")</f>
        <v>208</v>
      </c>
      <c r="D71" s="110">
        <f>IFERROR(VLOOKUP($B71,MMWR_TRAD_AGG_STATE_PEN[],D$1,0),"ERROR")</f>
        <v>100.7355769231</v>
      </c>
      <c r="E71" s="111">
        <f>IFERROR(VLOOKUP($B71,MMWR_TRAD_AGG_STATE_PEN[],E$1,0),"ERROR")</f>
        <v>352</v>
      </c>
      <c r="F71" s="112">
        <f>IFERROR(VLOOKUP($B71,MMWR_TRAD_AGG_STATE_PEN[],F$1,0),"ERROR")</f>
        <v>75</v>
      </c>
      <c r="G71" s="113">
        <f t="shared" si="8"/>
        <v>0.21306818181818182</v>
      </c>
      <c r="H71" s="111">
        <f>IFERROR(VLOOKUP($B71,MMWR_TRAD_AGG_STATE_PEN[],H$1,0),"ERROR")</f>
        <v>272</v>
      </c>
      <c r="I71" s="112">
        <f>IFERROR(VLOOKUP($B71,MMWR_TRAD_AGG_STATE_PEN[],I$1,0),"ERROR")</f>
        <v>84</v>
      </c>
      <c r="J71" s="114">
        <f t="shared" si="9"/>
        <v>0.30882352941176472</v>
      </c>
      <c r="K71" s="111">
        <f>IFERROR(VLOOKUP($B71,MMWR_TRAD_AGG_STATE_PEN[],K$1,0),"ERROR")</f>
        <v>1</v>
      </c>
      <c r="L71" s="112">
        <f>IFERROR(VLOOKUP($B71,MMWR_TRAD_AGG_STATE_PEN[],L$1,0),"ERROR")</f>
        <v>0</v>
      </c>
      <c r="M71" s="114">
        <f t="shared" si="10"/>
        <v>0</v>
      </c>
      <c r="N71" s="111">
        <f>IFERROR(VLOOKUP($B71,MMWR_TRAD_AGG_STATE_PEN[],N$1,0),"ERROR")</f>
        <v>21</v>
      </c>
      <c r="O71" s="112">
        <f>IFERROR(VLOOKUP($B71,MMWR_TRAD_AGG_STATE_PEN[],O$1,0),"ERROR")</f>
        <v>6</v>
      </c>
      <c r="P71" s="114">
        <f t="shared" si="11"/>
        <v>0.2857142857142857</v>
      </c>
      <c r="Q71" s="115">
        <f>IFERROR(VLOOKUP($B71,MMWR_TRAD_AGG_STATE_PEN[],Q$1,0),"ERROR")</f>
        <v>22</v>
      </c>
      <c r="R71" s="115">
        <f>IFERROR(VLOOKUP($B71,MMWR_TRAD_AGG_STATE_PEN[],R$1,0),"ERROR")</f>
        <v>66</v>
      </c>
      <c r="S71" s="115">
        <f>IFERROR(VLOOKUP($B71,MMWR_APP_STATE_PEN[],S$1,0),"ERROR")</f>
        <v>42</v>
      </c>
      <c r="T71" s="28"/>
    </row>
    <row r="72" spans="1:20" s="123" customFormat="1" x14ac:dyDescent="0.2">
      <c r="A72" s="28"/>
      <c r="B72" s="127" t="s">
        <v>424</v>
      </c>
      <c r="C72" s="109">
        <f>IFERROR(VLOOKUP($B72,MMWR_TRAD_AGG_STATE_PEN[],C$1,0),"ERROR")</f>
        <v>52</v>
      </c>
      <c r="D72" s="110">
        <f>IFERROR(VLOOKUP($B72,MMWR_TRAD_AGG_STATE_PEN[],D$1,0),"ERROR")</f>
        <v>131.88461538460001</v>
      </c>
      <c r="E72" s="111">
        <f>IFERROR(VLOOKUP($B72,MMWR_TRAD_AGG_STATE_PEN[],E$1,0),"ERROR")</f>
        <v>97</v>
      </c>
      <c r="F72" s="112">
        <f>IFERROR(VLOOKUP($B72,MMWR_TRAD_AGG_STATE_PEN[],F$1,0),"ERROR")</f>
        <v>28</v>
      </c>
      <c r="G72" s="113">
        <f t="shared" si="8"/>
        <v>0.28865979381443296</v>
      </c>
      <c r="H72" s="111">
        <f>IFERROR(VLOOKUP($B72,MMWR_TRAD_AGG_STATE_PEN[],H$1,0),"ERROR")</f>
        <v>65</v>
      </c>
      <c r="I72" s="112">
        <f>IFERROR(VLOOKUP($B72,MMWR_TRAD_AGG_STATE_PEN[],I$1,0),"ERROR")</f>
        <v>32</v>
      </c>
      <c r="J72" s="114">
        <f t="shared" si="9"/>
        <v>0.49230769230769234</v>
      </c>
      <c r="K72" s="111">
        <f>IFERROR(VLOOKUP($B72,MMWR_TRAD_AGG_STATE_PEN[],K$1,0),"ERROR")</f>
        <v>2</v>
      </c>
      <c r="L72" s="112">
        <f>IFERROR(VLOOKUP($B72,MMWR_TRAD_AGG_STATE_PEN[],L$1,0),"ERROR")</f>
        <v>2</v>
      </c>
      <c r="M72" s="114">
        <f t="shared" si="10"/>
        <v>1</v>
      </c>
      <c r="N72" s="111">
        <f>IFERROR(VLOOKUP($B72,MMWR_TRAD_AGG_STATE_PEN[],N$1,0),"ERROR")</f>
        <v>9</v>
      </c>
      <c r="O72" s="112">
        <f>IFERROR(VLOOKUP($B72,MMWR_TRAD_AGG_STATE_PEN[],O$1,0),"ERROR")</f>
        <v>1</v>
      </c>
      <c r="P72" s="114">
        <f t="shared" si="11"/>
        <v>0.1111111111111111</v>
      </c>
      <c r="Q72" s="115">
        <f>IFERROR(VLOOKUP($B72,MMWR_TRAD_AGG_STATE_PEN[],Q$1,0),"ERROR")</f>
        <v>16</v>
      </c>
      <c r="R72" s="115">
        <f>IFERROR(VLOOKUP($B72,MMWR_TRAD_AGG_STATE_PEN[],R$1,0),"ERROR")</f>
        <v>25</v>
      </c>
      <c r="S72" s="115">
        <f>IFERROR(VLOOKUP($B72,MMWR_APP_STATE_PEN[],S$1,0),"ERROR")</f>
        <v>15</v>
      </c>
      <c r="T72" s="28"/>
    </row>
    <row r="73" spans="1:20" s="123" customFormat="1" x14ac:dyDescent="0.2">
      <c r="A73" s="28"/>
      <c r="B73" s="127" t="s">
        <v>415</v>
      </c>
      <c r="C73" s="109">
        <f>IFERROR(VLOOKUP($B73,MMWR_TRAD_AGG_STATE_PEN[],C$1,0),"ERROR")</f>
        <v>36</v>
      </c>
      <c r="D73" s="110">
        <f>IFERROR(VLOOKUP($B73,MMWR_TRAD_AGG_STATE_PEN[],D$1,0),"ERROR")</f>
        <v>105.75</v>
      </c>
      <c r="E73" s="111">
        <f>IFERROR(VLOOKUP($B73,MMWR_TRAD_AGG_STATE_PEN[],E$1,0),"ERROR")</f>
        <v>46</v>
      </c>
      <c r="F73" s="112">
        <f>IFERROR(VLOOKUP($B73,MMWR_TRAD_AGG_STATE_PEN[],F$1,0),"ERROR")</f>
        <v>11</v>
      </c>
      <c r="G73" s="113">
        <f t="shared" si="8"/>
        <v>0.2391304347826087</v>
      </c>
      <c r="H73" s="111">
        <f>IFERROR(VLOOKUP($B73,MMWR_TRAD_AGG_STATE_PEN[],H$1,0),"ERROR")</f>
        <v>55</v>
      </c>
      <c r="I73" s="112">
        <f>IFERROR(VLOOKUP($B73,MMWR_TRAD_AGG_STATE_PEN[],I$1,0),"ERROR")</f>
        <v>16</v>
      </c>
      <c r="J73" s="114">
        <f t="shared" si="9"/>
        <v>0.29090909090909089</v>
      </c>
      <c r="K73" s="111">
        <f>IFERROR(VLOOKUP($B73,MMWR_TRAD_AGG_STATE_PEN[],K$1,0),"ERROR")</f>
        <v>2</v>
      </c>
      <c r="L73" s="112">
        <f>IFERROR(VLOOKUP($B73,MMWR_TRAD_AGG_STATE_PEN[],L$1,0),"ERROR")</f>
        <v>2</v>
      </c>
      <c r="M73" s="114">
        <f t="shared" si="10"/>
        <v>1</v>
      </c>
      <c r="N73" s="111">
        <f>IFERROR(VLOOKUP($B73,MMWR_TRAD_AGG_STATE_PEN[],N$1,0),"ERROR")</f>
        <v>0</v>
      </c>
      <c r="O73" s="112">
        <f>IFERROR(VLOOKUP($B73,MMWR_TRAD_AGG_STATE_PEN[],O$1,0),"ERROR")</f>
        <v>0</v>
      </c>
      <c r="P73" s="114" t="str">
        <f t="shared" si="11"/>
        <v>0%</v>
      </c>
      <c r="Q73" s="115">
        <f>IFERROR(VLOOKUP($B73,MMWR_TRAD_AGG_STATE_PEN[],Q$1,0),"ERROR")</f>
        <v>8</v>
      </c>
      <c r="R73" s="115">
        <f>IFERROR(VLOOKUP($B73,MMWR_TRAD_AGG_STATE_PEN[],R$1,0),"ERROR")</f>
        <v>19</v>
      </c>
      <c r="S73" s="115">
        <f>IFERROR(VLOOKUP($B73,MMWR_APP_STATE_PEN[],S$1,0),"ERROR")</f>
        <v>11</v>
      </c>
      <c r="T73" s="28"/>
    </row>
    <row r="74" spans="1:20" s="123" customFormat="1" x14ac:dyDescent="0.2">
      <c r="A74" s="28"/>
      <c r="B74" s="127" t="s">
        <v>417</v>
      </c>
      <c r="C74" s="109">
        <f>IFERROR(VLOOKUP($B74,MMWR_TRAD_AGG_STATE_PEN[],C$1,0),"ERROR")</f>
        <v>132</v>
      </c>
      <c r="D74" s="110">
        <f>IFERROR(VLOOKUP($B74,MMWR_TRAD_AGG_STATE_PEN[],D$1,0),"ERROR")</f>
        <v>103.7348484848</v>
      </c>
      <c r="E74" s="111">
        <f>IFERROR(VLOOKUP($B74,MMWR_TRAD_AGG_STATE_PEN[],E$1,0),"ERROR")</f>
        <v>145</v>
      </c>
      <c r="F74" s="112">
        <f>IFERROR(VLOOKUP($B74,MMWR_TRAD_AGG_STATE_PEN[],F$1,0),"ERROR")</f>
        <v>36</v>
      </c>
      <c r="G74" s="113">
        <f t="shared" si="8"/>
        <v>0.24827586206896551</v>
      </c>
      <c r="H74" s="111">
        <f>IFERROR(VLOOKUP($B74,MMWR_TRAD_AGG_STATE_PEN[],H$1,0),"ERROR")</f>
        <v>167</v>
      </c>
      <c r="I74" s="112">
        <f>IFERROR(VLOOKUP($B74,MMWR_TRAD_AGG_STATE_PEN[],I$1,0),"ERROR")</f>
        <v>53</v>
      </c>
      <c r="J74" s="114">
        <f t="shared" si="9"/>
        <v>0.31736526946107785</v>
      </c>
      <c r="K74" s="111">
        <f>IFERROR(VLOOKUP($B74,MMWR_TRAD_AGG_STATE_PEN[],K$1,0),"ERROR")</f>
        <v>1</v>
      </c>
      <c r="L74" s="112">
        <f>IFERROR(VLOOKUP($B74,MMWR_TRAD_AGG_STATE_PEN[],L$1,0),"ERROR")</f>
        <v>1</v>
      </c>
      <c r="M74" s="114">
        <f t="shared" si="10"/>
        <v>1</v>
      </c>
      <c r="N74" s="111">
        <f>IFERROR(VLOOKUP($B74,MMWR_TRAD_AGG_STATE_PEN[],N$1,0),"ERROR")</f>
        <v>14</v>
      </c>
      <c r="O74" s="112">
        <f>IFERROR(VLOOKUP($B74,MMWR_TRAD_AGG_STATE_PEN[],O$1,0),"ERROR")</f>
        <v>5</v>
      </c>
      <c r="P74" s="114">
        <f t="shared" si="11"/>
        <v>0.35714285714285715</v>
      </c>
      <c r="Q74" s="115">
        <f>IFERROR(VLOOKUP($B74,MMWR_TRAD_AGG_STATE_PEN[],Q$1,0),"ERROR")</f>
        <v>34</v>
      </c>
      <c r="R74" s="115">
        <f>IFERROR(VLOOKUP($B74,MMWR_TRAD_AGG_STATE_PEN[],R$1,0),"ERROR")</f>
        <v>30</v>
      </c>
      <c r="S74" s="115">
        <f>IFERROR(VLOOKUP($B74,MMWR_APP_STATE_PEN[],S$1,0),"ERROR")</f>
        <v>27</v>
      </c>
      <c r="T74" s="28"/>
    </row>
    <row r="75" spans="1:20" s="123" customFormat="1" x14ac:dyDescent="0.2">
      <c r="A75" s="28"/>
      <c r="B75" s="127" t="s">
        <v>377</v>
      </c>
      <c r="C75" s="109">
        <f>IFERROR(VLOOKUP($B75,MMWR_TRAD_AGG_STATE_PEN[],C$1,0),"ERROR")</f>
        <v>328</v>
      </c>
      <c r="D75" s="110">
        <f>IFERROR(VLOOKUP($B75,MMWR_TRAD_AGG_STATE_PEN[],D$1,0),"ERROR")</f>
        <v>110.0975609756</v>
      </c>
      <c r="E75" s="111">
        <f>IFERROR(VLOOKUP($B75,MMWR_TRAD_AGG_STATE_PEN[],E$1,0),"ERROR")</f>
        <v>609</v>
      </c>
      <c r="F75" s="112">
        <f>IFERROR(VLOOKUP($B75,MMWR_TRAD_AGG_STATE_PEN[],F$1,0),"ERROR")</f>
        <v>139</v>
      </c>
      <c r="G75" s="113">
        <f t="shared" si="8"/>
        <v>0.22824302134646962</v>
      </c>
      <c r="H75" s="111">
        <f>IFERROR(VLOOKUP($B75,MMWR_TRAD_AGG_STATE_PEN[],H$1,0),"ERROR")</f>
        <v>458</v>
      </c>
      <c r="I75" s="112">
        <f>IFERROR(VLOOKUP($B75,MMWR_TRAD_AGG_STATE_PEN[],I$1,0),"ERROR")</f>
        <v>186</v>
      </c>
      <c r="J75" s="114">
        <f t="shared" si="9"/>
        <v>0.40611353711790393</v>
      </c>
      <c r="K75" s="111">
        <f>IFERROR(VLOOKUP($B75,MMWR_TRAD_AGG_STATE_PEN[],K$1,0),"ERROR")</f>
        <v>8</v>
      </c>
      <c r="L75" s="112">
        <f>IFERROR(VLOOKUP($B75,MMWR_TRAD_AGG_STATE_PEN[],L$1,0),"ERROR")</f>
        <v>8</v>
      </c>
      <c r="M75" s="114">
        <f t="shared" si="10"/>
        <v>1</v>
      </c>
      <c r="N75" s="111">
        <f>IFERROR(VLOOKUP($B75,MMWR_TRAD_AGG_STATE_PEN[],N$1,0),"ERROR")</f>
        <v>51</v>
      </c>
      <c r="O75" s="112">
        <f>IFERROR(VLOOKUP($B75,MMWR_TRAD_AGG_STATE_PEN[],O$1,0),"ERROR")</f>
        <v>20</v>
      </c>
      <c r="P75" s="114">
        <f t="shared" si="11"/>
        <v>0.39215686274509803</v>
      </c>
      <c r="Q75" s="115">
        <f>IFERROR(VLOOKUP($B75,MMWR_TRAD_AGG_STATE_PEN[],Q$1,0),"ERROR")</f>
        <v>61</v>
      </c>
      <c r="R75" s="115">
        <f>IFERROR(VLOOKUP($B75,MMWR_TRAD_AGG_STATE_PEN[],R$1,0),"ERROR")</f>
        <v>161</v>
      </c>
      <c r="S75" s="115">
        <f>IFERROR(VLOOKUP($B75,MMWR_APP_STATE_PEN[],S$1,0),"ERROR")</f>
        <v>79</v>
      </c>
      <c r="T75" s="28"/>
    </row>
    <row r="76" spans="1:20" s="123" customFormat="1" x14ac:dyDescent="0.2">
      <c r="A76" s="28"/>
      <c r="B76" s="127" t="s">
        <v>372</v>
      </c>
      <c r="C76" s="109">
        <f>IFERROR(VLOOKUP($B76,MMWR_TRAD_AGG_STATE_PEN[],C$1,0),"ERROR")</f>
        <v>356</v>
      </c>
      <c r="D76" s="110">
        <f>IFERROR(VLOOKUP($B76,MMWR_TRAD_AGG_STATE_PEN[],D$1,0),"ERROR")</f>
        <v>106.12359550559999</v>
      </c>
      <c r="E76" s="111">
        <f>IFERROR(VLOOKUP($B76,MMWR_TRAD_AGG_STATE_PEN[],E$1,0),"ERROR")</f>
        <v>609</v>
      </c>
      <c r="F76" s="112">
        <f>IFERROR(VLOOKUP($B76,MMWR_TRAD_AGG_STATE_PEN[],F$1,0),"ERROR")</f>
        <v>120</v>
      </c>
      <c r="G76" s="113">
        <f t="shared" si="8"/>
        <v>0.19704433497536947</v>
      </c>
      <c r="H76" s="111">
        <f>IFERROR(VLOOKUP($B76,MMWR_TRAD_AGG_STATE_PEN[],H$1,0),"ERROR")</f>
        <v>461</v>
      </c>
      <c r="I76" s="112">
        <f>IFERROR(VLOOKUP($B76,MMWR_TRAD_AGG_STATE_PEN[],I$1,0),"ERROR")</f>
        <v>156</v>
      </c>
      <c r="J76" s="114">
        <f t="shared" si="9"/>
        <v>0.33839479392624727</v>
      </c>
      <c r="K76" s="111">
        <f>IFERROR(VLOOKUP($B76,MMWR_TRAD_AGG_STATE_PEN[],K$1,0),"ERROR")</f>
        <v>3</v>
      </c>
      <c r="L76" s="112">
        <f>IFERROR(VLOOKUP($B76,MMWR_TRAD_AGG_STATE_PEN[],L$1,0),"ERROR")</f>
        <v>3</v>
      </c>
      <c r="M76" s="114">
        <f t="shared" si="10"/>
        <v>1</v>
      </c>
      <c r="N76" s="111">
        <f>IFERROR(VLOOKUP($B76,MMWR_TRAD_AGG_STATE_PEN[],N$1,0),"ERROR")</f>
        <v>52</v>
      </c>
      <c r="O76" s="112">
        <f>IFERROR(VLOOKUP($B76,MMWR_TRAD_AGG_STATE_PEN[],O$1,0),"ERROR")</f>
        <v>14</v>
      </c>
      <c r="P76" s="114">
        <f t="shared" si="11"/>
        <v>0.26923076923076922</v>
      </c>
      <c r="Q76" s="115">
        <f>IFERROR(VLOOKUP($B76,MMWR_TRAD_AGG_STATE_PEN[],Q$1,0),"ERROR")</f>
        <v>62</v>
      </c>
      <c r="R76" s="115">
        <f>IFERROR(VLOOKUP($B76,MMWR_TRAD_AGG_STATE_PEN[],R$1,0),"ERROR")</f>
        <v>172</v>
      </c>
      <c r="S76" s="115">
        <f>IFERROR(VLOOKUP($B76,MMWR_APP_STATE_PEN[],S$1,0),"ERROR")</f>
        <v>87</v>
      </c>
      <c r="T76" s="28"/>
    </row>
    <row r="77" spans="1:20" s="123" customFormat="1" x14ac:dyDescent="0.2">
      <c r="A77" s="28"/>
      <c r="B77" s="127" t="s">
        <v>416</v>
      </c>
      <c r="C77" s="109">
        <f>IFERROR(VLOOKUP($B77,MMWR_TRAD_AGG_STATE_PEN[],C$1,0),"ERROR")</f>
        <v>92</v>
      </c>
      <c r="D77" s="110">
        <f>IFERROR(VLOOKUP($B77,MMWR_TRAD_AGG_STATE_PEN[],D$1,0),"ERROR")</f>
        <v>117.7608695652</v>
      </c>
      <c r="E77" s="111">
        <f>IFERROR(VLOOKUP($B77,MMWR_TRAD_AGG_STATE_PEN[],E$1,0),"ERROR")</f>
        <v>167</v>
      </c>
      <c r="F77" s="112">
        <f>IFERROR(VLOOKUP($B77,MMWR_TRAD_AGG_STATE_PEN[],F$1,0),"ERROR")</f>
        <v>28</v>
      </c>
      <c r="G77" s="113">
        <f t="shared" si="8"/>
        <v>0.16766467065868262</v>
      </c>
      <c r="H77" s="111">
        <f>IFERROR(VLOOKUP($B77,MMWR_TRAD_AGG_STATE_PEN[],H$1,0),"ERROR")</f>
        <v>120</v>
      </c>
      <c r="I77" s="112">
        <f>IFERROR(VLOOKUP($B77,MMWR_TRAD_AGG_STATE_PEN[],I$1,0),"ERROR")</f>
        <v>36</v>
      </c>
      <c r="J77" s="114">
        <f t="shared" si="9"/>
        <v>0.3</v>
      </c>
      <c r="K77" s="111">
        <f>IFERROR(VLOOKUP($B77,MMWR_TRAD_AGG_STATE_PEN[],K$1,0),"ERROR")</f>
        <v>1</v>
      </c>
      <c r="L77" s="112">
        <f>IFERROR(VLOOKUP($B77,MMWR_TRAD_AGG_STATE_PEN[],L$1,0),"ERROR")</f>
        <v>0</v>
      </c>
      <c r="M77" s="114">
        <f t="shared" si="10"/>
        <v>0</v>
      </c>
      <c r="N77" s="111">
        <f>IFERROR(VLOOKUP($B77,MMWR_TRAD_AGG_STATE_PEN[],N$1,0),"ERROR")</f>
        <v>12</v>
      </c>
      <c r="O77" s="112">
        <f>IFERROR(VLOOKUP($B77,MMWR_TRAD_AGG_STATE_PEN[],O$1,0),"ERROR")</f>
        <v>2</v>
      </c>
      <c r="P77" s="114">
        <f t="shared" si="11"/>
        <v>0.16666666666666666</v>
      </c>
      <c r="Q77" s="115">
        <f>IFERROR(VLOOKUP($B77,MMWR_TRAD_AGG_STATE_PEN[],Q$1,0),"ERROR")</f>
        <v>7</v>
      </c>
      <c r="R77" s="115">
        <f>IFERROR(VLOOKUP($B77,MMWR_TRAD_AGG_STATE_PEN[],R$1,0),"ERROR")</f>
        <v>31</v>
      </c>
      <c r="S77" s="115">
        <f>IFERROR(VLOOKUP($B77,MMWR_APP_STATE_PEN[],S$1,0),"ERROR")</f>
        <v>14</v>
      </c>
      <c r="T77" s="28"/>
    </row>
    <row r="78" spans="1:20" s="123" customFormat="1" x14ac:dyDescent="0.2">
      <c r="A78" s="28"/>
      <c r="B78" s="127" t="s">
        <v>375</v>
      </c>
      <c r="C78" s="109">
        <f>IFERROR(VLOOKUP($B78,MMWR_TRAD_AGG_STATE_PEN[],C$1,0),"ERROR")</f>
        <v>428</v>
      </c>
      <c r="D78" s="110">
        <f>IFERROR(VLOOKUP($B78,MMWR_TRAD_AGG_STATE_PEN[],D$1,0),"ERROR")</f>
        <v>101.35046728970001</v>
      </c>
      <c r="E78" s="111">
        <f>IFERROR(VLOOKUP($B78,MMWR_TRAD_AGG_STATE_PEN[],E$1,0),"ERROR")</f>
        <v>785</v>
      </c>
      <c r="F78" s="112">
        <f>IFERROR(VLOOKUP($B78,MMWR_TRAD_AGG_STATE_PEN[],F$1,0),"ERROR")</f>
        <v>184</v>
      </c>
      <c r="G78" s="113">
        <f t="shared" si="8"/>
        <v>0.23439490445859873</v>
      </c>
      <c r="H78" s="111">
        <f>IFERROR(VLOOKUP($B78,MMWR_TRAD_AGG_STATE_PEN[],H$1,0),"ERROR")</f>
        <v>553</v>
      </c>
      <c r="I78" s="112">
        <f>IFERROR(VLOOKUP($B78,MMWR_TRAD_AGG_STATE_PEN[],I$1,0),"ERROR")</f>
        <v>169</v>
      </c>
      <c r="J78" s="114">
        <f t="shared" si="9"/>
        <v>0.30560578661844484</v>
      </c>
      <c r="K78" s="111">
        <f>IFERROR(VLOOKUP($B78,MMWR_TRAD_AGG_STATE_PEN[],K$1,0),"ERROR")</f>
        <v>1</v>
      </c>
      <c r="L78" s="112">
        <f>IFERROR(VLOOKUP($B78,MMWR_TRAD_AGG_STATE_PEN[],L$1,0),"ERROR")</f>
        <v>1</v>
      </c>
      <c r="M78" s="114">
        <f t="shared" si="10"/>
        <v>1</v>
      </c>
      <c r="N78" s="111">
        <f>IFERROR(VLOOKUP($B78,MMWR_TRAD_AGG_STATE_PEN[],N$1,0),"ERROR")</f>
        <v>47</v>
      </c>
      <c r="O78" s="112">
        <f>IFERROR(VLOOKUP($B78,MMWR_TRAD_AGG_STATE_PEN[],O$1,0),"ERROR")</f>
        <v>17</v>
      </c>
      <c r="P78" s="114">
        <f t="shared" si="11"/>
        <v>0.36170212765957449</v>
      </c>
      <c r="Q78" s="115">
        <f>IFERROR(VLOOKUP($B78,MMWR_TRAD_AGG_STATE_PEN[],Q$1,0),"ERROR")</f>
        <v>74</v>
      </c>
      <c r="R78" s="115">
        <f>IFERROR(VLOOKUP($B78,MMWR_TRAD_AGG_STATE_PEN[],R$1,0),"ERROR")</f>
        <v>190</v>
      </c>
      <c r="S78" s="115">
        <f>IFERROR(VLOOKUP($B78,MMWR_APP_STATE_PEN[],S$1,0),"ERROR")</f>
        <v>166</v>
      </c>
      <c r="T78" s="28"/>
    </row>
    <row r="79" spans="1:20" s="123" customFormat="1" x14ac:dyDescent="0.2">
      <c r="A79" s="28"/>
      <c r="B79" s="127" t="s">
        <v>60</v>
      </c>
      <c r="C79" s="109">
        <f>IFERROR(VLOOKUP($B79,MMWR_TRAD_AGG_STATE_PEN[],C$1,0),"ERROR")</f>
        <v>1117</v>
      </c>
      <c r="D79" s="110">
        <f>IFERROR(VLOOKUP($B79,MMWR_TRAD_AGG_STATE_PEN[],D$1,0),"ERROR")</f>
        <v>103.0501342883</v>
      </c>
      <c r="E79" s="111">
        <f>IFERROR(VLOOKUP($B79,MMWR_TRAD_AGG_STATE_PEN[],E$1,0),"ERROR")</f>
        <v>2255</v>
      </c>
      <c r="F79" s="112">
        <f>IFERROR(VLOOKUP($B79,MMWR_TRAD_AGG_STATE_PEN[],F$1,0),"ERROR")</f>
        <v>565</v>
      </c>
      <c r="G79" s="113">
        <f t="shared" si="8"/>
        <v>0.25055432372505543</v>
      </c>
      <c r="H79" s="111">
        <f>IFERROR(VLOOKUP($B79,MMWR_TRAD_AGG_STATE_PEN[],H$1,0),"ERROR")</f>
        <v>1538</v>
      </c>
      <c r="I79" s="112">
        <f>IFERROR(VLOOKUP($B79,MMWR_TRAD_AGG_STATE_PEN[],I$1,0),"ERROR")</f>
        <v>471</v>
      </c>
      <c r="J79" s="114">
        <f t="shared" si="9"/>
        <v>0.30624187256176855</v>
      </c>
      <c r="K79" s="111">
        <f>IFERROR(VLOOKUP($B79,MMWR_TRAD_AGG_STATE_PEN[],K$1,0),"ERROR")</f>
        <v>10</v>
      </c>
      <c r="L79" s="112">
        <f>IFERROR(VLOOKUP($B79,MMWR_TRAD_AGG_STATE_PEN[],L$1,0),"ERROR")</f>
        <v>9</v>
      </c>
      <c r="M79" s="114">
        <f t="shared" si="10"/>
        <v>0.9</v>
      </c>
      <c r="N79" s="111">
        <f>IFERROR(VLOOKUP($B79,MMWR_TRAD_AGG_STATE_PEN[],N$1,0),"ERROR")</f>
        <v>101</v>
      </c>
      <c r="O79" s="112">
        <f>IFERROR(VLOOKUP($B79,MMWR_TRAD_AGG_STATE_PEN[],O$1,0),"ERROR")</f>
        <v>30</v>
      </c>
      <c r="P79" s="114">
        <f t="shared" si="11"/>
        <v>0.29702970297029702</v>
      </c>
      <c r="Q79" s="115">
        <f>IFERROR(VLOOKUP($B79,MMWR_TRAD_AGG_STATE_PEN[],Q$1,0),"ERROR")</f>
        <v>166</v>
      </c>
      <c r="R79" s="115">
        <f>IFERROR(VLOOKUP($B79,MMWR_TRAD_AGG_STATE_PEN[],R$1,0),"ERROR")</f>
        <v>357</v>
      </c>
      <c r="S79" s="115">
        <f>IFERROR(VLOOKUP($B79,MMWR_APP_STATE_PEN[],S$1,0),"ERROR")</f>
        <v>212</v>
      </c>
      <c r="T79" s="28"/>
    </row>
    <row r="80" spans="1:20" s="123" customFormat="1" x14ac:dyDescent="0.2">
      <c r="A80" s="28"/>
      <c r="B80" s="127" t="s">
        <v>383</v>
      </c>
      <c r="C80" s="109">
        <f>IFERROR(VLOOKUP($B80,MMWR_TRAD_AGG_STATE_PEN[],C$1,0),"ERROR")</f>
        <v>1650</v>
      </c>
      <c r="D80" s="110">
        <f>IFERROR(VLOOKUP($B80,MMWR_TRAD_AGG_STATE_PEN[],D$1,0),"ERROR")</f>
        <v>93.995151515200007</v>
      </c>
      <c r="E80" s="111">
        <f>IFERROR(VLOOKUP($B80,MMWR_TRAD_AGG_STATE_PEN[],E$1,0),"ERROR")</f>
        <v>1580</v>
      </c>
      <c r="F80" s="112">
        <f>IFERROR(VLOOKUP($B80,MMWR_TRAD_AGG_STATE_PEN[],F$1,0),"ERROR")</f>
        <v>345</v>
      </c>
      <c r="G80" s="113">
        <f t="shared" si="8"/>
        <v>0.21835443037974683</v>
      </c>
      <c r="H80" s="111">
        <f>IFERROR(VLOOKUP($B80,MMWR_TRAD_AGG_STATE_PEN[],H$1,0),"ERROR")</f>
        <v>1968</v>
      </c>
      <c r="I80" s="112">
        <f>IFERROR(VLOOKUP($B80,MMWR_TRAD_AGG_STATE_PEN[],I$1,0),"ERROR")</f>
        <v>471</v>
      </c>
      <c r="J80" s="114">
        <f t="shared" si="9"/>
        <v>0.23932926829268292</v>
      </c>
      <c r="K80" s="111">
        <f>IFERROR(VLOOKUP($B80,MMWR_TRAD_AGG_STATE_PEN[],K$1,0),"ERROR")</f>
        <v>23</v>
      </c>
      <c r="L80" s="112">
        <f>IFERROR(VLOOKUP($B80,MMWR_TRAD_AGG_STATE_PEN[],L$1,0),"ERROR")</f>
        <v>22</v>
      </c>
      <c r="M80" s="114">
        <f t="shared" si="10"/>
        <v>0.95652173913043481</v>
      </c>
      <c r="N80" s="111">
        <f>IFERROR(VLOOKUP($B80,MMWR_TRAD_AGG_STATE_PEN[],N$1,0),"ERROR")</f>
        <v>141</v>
      </c>
      <c r="O80" s="112">
        <f>IFERROR(VLOOKUP($B80,MMWR_TRAD_AGG_STATE_PEN[],O$1,0),"ERROR")</f>
        <v>45</v>
      </c>
      <c r="P80" s="114">
        <f t="shared" si="11"/>
        <v>0.31914893617021278</v>
      </c>
      <c r="Q80" s="115">
        <f>IFERROR(VLOOKUP($B80,MMWR_TRAD_AGG_STATE_PEN[],Q$1,0),"ERROR")</f>
        <v>264</v>
      </c>
      <c r="R80" s="115">
        <f>IFERROR(VLOOKUP($B80,MMWR_TRAD_AGG_STATE_PEN[],R$1,0),"ERROR")</f>
        <v>441</v>
      </c>
      <c r="S80" s="115">
        <f>IFERROR(VLOOKUP($B80,MMWR_APP_STATE_PEN[],S$1,0),"ERROR")</f>
        <v>194</v>
      </c>
      <c r="T80" s="28"/>
    </row>
    <row r="81" spans="1:20" s="123" customFormat="1" x14ac:dyDescent="0.2">
      <c r="A81" s="28"/>
      <c r="B81" s="127" t="s">
        <v>376</v>
      </c>
      <c r="C81" s="109">
        <f>IFERROR(VLOOKUP($B81,MMWR_TRAD_AGG_STATE_PEN[],C$1,0),"ERROR")</f>
        <v>1566</v>
      </c>
      <c r="D81" s="110">
        <f>IFERROR(VLOOKUP($B81,MMWR_TRAD_AGG_STATE_PEN[],D$1,0),"ERROR")</f>
        <v>97.946998722900005</v>
      </c>
      <c r="E81" s="111">
        <f>IFERROR(VLOOKUP($B81,MMWR_TRAD_AGG_STATE_PEN[],E$1,0),"ERROR")</f>
        <v>2739</v>
      </c>
      <c r="F81" s="112">
        <f>IFERROR(VLOOKUP($B81,MMWR_TRAD_AGG_STATE_PEN[],F$1,0),"ERROR")</f>
        <v>632</v>
      </c>
      <c r="G81" s="113">
        <f t="shared" si="8"/>
        <v>0.230741146403797</v>
      </c>
      <c r="H81" s="111">
        <f>IFERROR(VLOOKUP($B81,MMWR_TRAD_AGG_STATE_PEN[],H$1,0),"ERROR")</f>
        <v>2138</v>
      </c>
      <c r="I81" s="112">
        <f>IFERROR(VLOOKUP($B81,MMWR_TRAD_AGG_STATE_PEN[],I$1,0),"ERROR")</f>
        <v>616</v>
      </c>
      <c r="J81" s="114">
        <f t="shared" si="9"/>
        <v>0.28811973807296537</v>
      </c>
      <c r="K81" s="111">
        <f>IFERROR(VLOOKUP($B81,MMWR_TRAD_AGG_STATE_PEN[],K$1,0),"ERROR")</f>
        <v>2</v>
      </c>
      <c r="L81" s="112">
        <f>IFERROR(VLOOKUP($B81,MMWR_TRAD_AGG_STATE_PEN[],L$1,0),"ERROR")</f>
        <v>2</v>
      </c>
      <c r="M81" s="114">
        <f t="shared" si="10"/>
        <v>1</v>
      </c>
      <c r="N81" s="111">
        <f>IFERROR(VLOOKUP($B81,MMWR_TRAD_AGG_STATE_PEN[],N$1,0),"ERROR")</f>
        <v>153</v>
      </c>
      <c r="O81" s="112">
        <f>IFERROR(VLOOKUP($B81,MMWR_TRAD_AGG_STATE_PEN[],O$1,0),"ERROR")</f>
        <v>28</v>
      </c>
      <c r="P81" s="114">
        <f t="shared" si="11"/>
        <v>0.18300653594771241</v>
      </c>
      <c r="Q81" s="115">
        <f>IFERROR(VLOOKUP($B81,MMWR_TRAD_AGG_STATE_PEN[],Q$1,0),"ERROR")</f>
        <v>160</v>
      </c>
      <c r="R81" s="115">
        <f>IFERROR(VLOOKUP($B81,MMWR_TRAD_AGG_STATE_PEN[],R$1,0),"ERROR")</f>
        <v>460</v>
      </c>
      <c r="S81" s="115">
        <f>IFERROR(VLOOKUP($B81,MMWR_APP_STATE_PEN[],S$1,0),"ERROR")</f>
        <v>199</v>
      </c>
      <c r="T81" s="28"/>
    </row>
    <row r="82" spans="1:20" s="123" customFormat="1" x14ac:dyDescent="0.2">
      <c r="A82" s="28"/>
      <c r="B82" s="127" t="s">
        <v>373</v>
      </c>
      <c r="C82" s="109">
        <f>IFERROR(VLOOKUP($B82,MMWR_TRAD_AGG_STATE_PEN[],C$1,0),"ERROR")</f>
        <v>104</v>
      </c>
      <c r="D82" s="110">
        <f>IFERROR(VLOOKUP($B82,MMWR_TRAD_AGG_STATE_PEN[],D$1,0),"ERROR")</f>
        <v>93.182692307699995</v>
      </c>
      <c r="E82" s="111">
        <f>IFERROR(VLOOKUP($B82,MMWR_TRAD_AGG_STATE_PEN[],E$1,0),"ERROR")</f>
        <v>182</v>
      </c>
      <c r="F82" s="112">
        <f>IFERROR(VLOOKUP($B82,MMWR_TRAD_AGG_STATE_PEN[],F$1,0),"ERROR")</f>
        <v>38</v>
      </c>
      <c r="G82" s="113">
        <f t="shared" si="8"/>
        <v>0.2087912087912088</v>
      </c>
      <c r="H82" s="111">
        <f>IFERROR(VLOOKUP($B82,MMWR_TRAD_AGG_STATE_PEN[],H$1,0),"ERROR")</f>
        <v>136</v>
      </c>
      <c r="I82" s="112">
        <f>IFERROR(VLOOKUP($B82,MMWR_TRAD_AGG_STATE_PEN[],I$1,0),"ERROR")</f>
        <v>38</v>
      </c>
      <c r="J82" s="114">
        <f t="shared" si="9"/>
        <v>0.27941176470588236</v>
      </c>
      <c r="K82" s="111">
        <f>IFERROR(VLOOKUP($B82,MMWR_TRAD_AGG_STATE_PEN[],K$1,0),"ERROR")</f>
        <v>0</v>
      </c>
      <c r="L82" s="112">
        <f>IFERROR(VLOOKUP($B82,MMWR_TRAD_AGG_STATE_PEN[],L$1,0),"ERROR")</f>
        <v>0</v>
      </c>
      <c r="M82" s="114" t="str">
        <f t="shared" si="10"/>
        <v>0%</v>
      </c>
      <c r="N82" s="111">
        <f>IFERROR(VLOOKUP($B82,MMWR_TRAD_AGG_STATE_PEN[],N$1,0),"ERROR")</f>
        <v>17</v>
      </c>
      <c r="O82" s="112">
        <f>IFERROR(VLOOKUP($B82,MMWR_TRAD_AGG_STATE_PEN[],O$1,0),"ERROR")</f>
        <v>8</v>
      </c>
      <c r="P82" s="114">
        <f t="shared" si="11"/>
        <v>0.47058823529411764</v>
      </c>
      <c r="Q82" s="115">
        <f>IFERROR(VLOOKUP($B82,MMWR_TRAD_AGG_STATE_PEN[],Q$1,0),"ERROR")</f>
        <v>9</v>
      </c>
      <c r="R82" s="115">
        <f>IFERROR(VLOOKUP($B82,MMWR_TRAD_AGG_STATE_PEN[],R$1,0),"ERROR")</f>
        <v>26</v>
      </c>
      <c r="S82" s="115">
        <f>IFERROR(VLOOKUP($B82,MMWR_APP_STATE_PEN[],S$1,0),"ERROR")</f>
        <v>19</v>
      </c>
      <c r="T82" s="28"/>
    </row>
    <row r="83" spans="1:20" s="123" customFormat="1" x14ac:dyDescent="0.2">
      <c r="A83" s="28"/>
      <c r="B83" s="127" t="s">
        <v>418</v>
      </c>
      <c r="C83" s="109">
        <f>IFERROR(VLOOKUP($B83,MMWR_TRAD_AGG_STATE_PEN[],C$1,0),"ERROR")</f>
        <v>36</v>
      </c>
      <c r="D83" s="110">
        <f>IFERROR(VLOOKUP($B83,MMWR_TRAD_AGG_STATE_PEN[],D$1,0),"ERROR")</f>
        <v>74.638888888899999</v>
      </c>
      <c r="E83" s="111">
        <f>IFERROR(VLOOKUP($B83,MMWR_TRAD_AGG_STATE_PEN[],E$1,0),"ERROR")</f>
        <v>49</v>
      </c>
      <c r="F83" s="112">
        <f>IFERROR(VLOOKUP($B83,MMWR_TRAD_AGG_STATE_PEN[],F$1,0),"ERROR")</f>
        <v>8</v>
      </c>
      <c r="G83" s="113">
        <f t="shared" si="8"/>
        <v>0.16326530612244897</v>
      </c>
      <c r="H83" s="111">
        <f>IFERROR(VLOOKUP($B83,MMWR_TRAD_AGG_STATE_PEN[],H$1,0),"ERROR")</f>
        <v>43</v>
      </c>
      <c r="I83" s="112">
        <f>IFERROR(VLOOKUP($B83,MMWR_TRAD_AGG_STATE_PEN[],I$1,0),"ERROR")</f>
        <v>5</v>
      </c>
      <c r="J83" s="114">
        <f t="shared" si="9"/>
        <v>0.11627906976744186</v>
      </c>
      <c r="K83" s="111">
        <f>IFERROR(VLOOKUP($B83,MMWR_TRAD_AGG_STATE_PEN[],K$1,0),"ERROR")</f>
        <v>0</v>
      </c>
      <c r="L83" s="112">
        <f>IFERROR(VLOOKUP($B83,MMWR_TRAD_AGG_STATE_PEN[],L$1,0),"ERROR")</f>
        <v>0</v>
      </c>
      <c r="M83" s="114" t="str">
        <f t="shared" si="10"/>
        <v>0%</v>
      </c>
      <c r="N83" s="111">
        <f>IFERROR(VLOOKUP($B83,MMWR_TRAD_AGG_STATE_PEN[],N$1,0),"ERROR")</f>
        <v>4</v>
      </c>
      <c r="O83" s="112">
        <f>IFERROR(VLOOKUP($B83,MMWR_TRAD_AGG_STATE_PEN[],O$1,0),"ERROR")</f>
        <v>0</v>
      </c>
      <c r="P83" s="114">
        <f t="shared" si="11"/>
        <v>0</v>
      </c>
      <c r="Q83" s="115">
        <f>IFERROR(VLOOKUP($B83,MMWR_TRAD_AGG_STATE_PEN[],Q$1,0),"ERROR")</f>
        <v>8</v>
      </c>
      <c r="R83" s="115">
        <f>IFERROR(VLOOKUP($B83,MMWR_TRAD_AGG_STATE_PEN[],R$1,0),"ERROR")</f>
        <v>13</v>
      </c>
      <c r="S83" s="115">
        <f>IFERROR(VLOOKUP($B83,MMWR_APP_STATE_PEN[],S$1,0),"ERROR")</f>
        <v>9</v>
      </c>
      <c r="T83" s="28"/>
    </row>
    <row r="84" spans="1:20" s="123" customFormat="1" x14ac:dyDescent="0.2">
      <c r="A84" s="28"/>
      <c r="B84" s="127" t="s">
        <v>379</v>
      </c>
      <c r="C84" s="109">
        <f>IFERROR(VLOOKUP($B84,MMWR_TRAD_AGG_STATE_PEN[],C$1,0),"ERROR")</f>
        <v>812</v>
      </c>
      <c r="D84" s="110">
        <f>IFERROR(VLOOKUP($B84,MMWR_TRAD_AGG_STATE_PEN[],D$1,0),"ERROR")</f>
        <v>103.315270936</v>
      </c>
      <c r="E84" s="111">
        <f>IFERROR(VLOOKUP($B84,MMWR_TRAD_AGG_STATE_PEN[],E$1,0),"ERROR")</f>
        <v>885</v>
      </c>
      <c r="F84" s="112">
        <f>IFERROR(VLOOKUP($B84,MMWR_TRAD_AGG_STATE_PEN[],F$1,0),"ERROR")</f>
        <v>186</v>
      </c>
      <c r="G84" s="113">
        <f t="shared" si="8"/>
        <v>0.21016949152542372</v>
      </c>
      <c r="H84" s="111">
        <f>IFERROR(VLOOKUP($B84,MMWR_TRAD_AGG_STATE_PEN[],H$1,0),"ERROR")</f>
        <v>1014</v>
      </c>
      <c r="I84" s="112">
        <f>IFERROR(VLOOKUP($B84,MMWR_TRAD_AGG_STATE_PEN[],I$1,0),"ERROR")</f>
        <v>299</v>
      </c>
      <c r="J84" s="114">
        <f t="shared" si="9"/>
        <v>0.29487179487179488</v>
      </c>
      <c r="K84" s="111">
        <f>IFERROR(VLOOKUP($B84,MMWR_TRAD_AGG_STATE_PEN[],K$1,0),"ERROR")</f>
        <v>137</v>
      </c>
      <c r="L84" s="112">
        <f>IFERROR(VLOOKUP($B84,MMWR_TRAD_AGG_STATE_PEN[],L$1,0),"ERROR")</f>
        <v>136</v>
      </c>
      <c r="M84" s="114">
        <f t="shared" si="10"/>
        <v>0.99270072992700731</v>
      </c>
      <c r="N84" s="111">
        <f>IFERROR(VLOOKUP($B84,MMWR_TRAD_AGG_STATE_PEN[],N$1,0),"ERROR")</f>
        <v>74</v>
      </c>
      <c r="O84" s="112">
        <f>IFERROR(VLOOKUP($B84,MMWR_TRAD_AGG_STATE_PEN[],O$1,0),"ERROR")</f>
        <v>26</v>
      </c>
      <c r="P84" s="114">
        <f t="shared" si="11"/>
        <v>0.35135135135135137</v>
      </c>
      <c r="Q84" s="115">
        <f>IFERROR(VLOOKUP($B84,MMWR_TRAD_AGG_STATE_PEN[],Q$1,0),"ERROR")</f>
        <v>175</v>
      </c>
      <c r="R84" s="115">
        <f>IFERROR(VLOOKUP($B84,MMWR_TRAD_AGG_STATE_PEN[],R$1,0),"ERROR")</f>
        <v>310</v>
      </c>
      <c r="S84" s="115">
        <f>IFERROR(VLOOKUP($B84,MMWR_APP_STATE_PEN[],S$1,0),"ERROR")</f>
        <v>148</v>
      </c>
      <c r="T84" s="28"/>
    </row>
    <row r="85" spans="1:20" s="123" customFormat="1" x14ac:dyDescent="0.2">
      <c r="A85" s="28"/>
      <c r="B85" s="127" t="s">
        <v>380</v>
      </c>
      <c r="C85" s="109">
        <f>IFERROR(VLOOKUP($B85,MMWR_TRAD_AGG_STATE_PEN[],C$1,0),"ERROR")</f>
        <v>295</v>
      </c>
      <c r="D85" s="110">
        <f>IFERROR(VLOOKUP($B85,MMWR_TRAD_AGG_STATE_PEN[],D$1,0),"ERROR")</f>
        <v>89.023728813600002</v>
      </c>
      <c r="E85" s="111">
        <f>IFERROR(VLOOKUP($B85,MMWR_TRAD_AGG_STATE_PEN[],E$1,0),"ERROR")</f>
        <v>301</v>
      </c>
      <c r="F85" s="112">
        <f>IFERROR(VLOOKUP($B85,MMWR_TRAD_AGG_STATE_PEN[],F$1,0),"ERROR")</f>
        <v>76</v>
      </c>
      <c r="G85" s="113">
        <f t="shared" si="8"/>
        <v>0.25249169435215946</v>
      </c>
      <c r="H85" s="111">
        <f>IFERROR(VLOOKUP($B85,MMWR_TRAD_AGG_STATE_PEN[],H$1,0),"ERROR")</f>
        <v>366</v>
      </c>
      <c r="I85" s="112">
        <f>IFERROR(VLOOKUP($B85,MMWR_TRAD_AGG_STATE_PEN[],I$1,0),"ERROR")</f>
        <v>84</v>
      </c>
      <c r="J85" s="114">
        <f t="shared" si="9"/>
        <v>0.22950819672131148</v>
      </c>
      <c r="K85" s="111">
        <f>IFERROR(VLOOKUP($B85,MMWR_TRAD_AGG_STATE_PEN[],K$1,0),"ERROR")</f>
        <v>0</v>
      </c>
      <c r="L85" s="112">
        <f>IFERROR(VLOOKUP($B85,MMWR_TRAD_AGG_STATE_PEN[],L$1,0),"ERROR")</f>
        <v>0</v>
      </c>
      <c r="M85" s="114" t="str">
        <f t="shared" si="10"/>
        <v>0%</v>
      </c>
      <c r="N85" s="111">
        <f>IFERROR(VLOOKUP($B85,MMWR_TRAD_AGG_STATE_PEN[],N$1,0),"ERROR")</f>
        <v>24</v>
      </c>
      <c r="O85" s="112">
        <f>IFERROR(VLOOKUP($B85,MMWR_TRAD_AGG_STATE_PEN[],O$1,0),"ERROR")</f>
        <v>4</v>
      </c>
      <c r="P85" s="114">
        <f t="shared" si="11"/>
        <v>0.16666666666666666</v>
      </c>
      <c r="Q85" s="115">
        <f>IFERROR(VLOOKUP($B85,MMWR_TRAD_AGG_STATE_PEN[],Q$1,0),"ERROR")</f>
        <v>61</v>
      </c>
      <c r="R85" s="115">
        <f>IFERROR(VLOOKUP($B85,MMWR_TRAD_AGG_STATE_PEN[],R$1,0),"ERROR")</f>
        <v>85</v>
      </c>
      <c r="S85" s="115">
        <f>IFERROR(VLOOKUP($B85,MMWR_APP_STATE_PEN[],S$1,0),"ERROR")</f>
        <v>57</v>
      </c>
      <c r="T85" s="28"/>
    </row>
    <row r="86" spans="1:20" s="123" customFormat="1" x14ac:dyDescent="0.2">
      <c r="A86" s="28"/>
      <c r="B86" s="126" t="s">
        <v>391</v>
      </c>
      <c r="C86" s="102">
        <f>IFERROR(VLOOKUP($B86,MMWR_TRAD_AGG_ST_DISTRICT_PEN[],C$1,0),"ERROR")</f>
        <v>5039</v>
      </c>
      <c r="D86" s="103">
        <f>IFERROR(VLOOKUP($B86,MMWR_TRAD_AGG_ST_DISTRICT_PEN[],D$1,0),"ERROR")</f>
        <v>60.031553879699999</v>
      </c>
      <c r="E86" s="102">
        <f>IFERROR(VLOOKUP($B86,MMWR_TRAD_AGG_ST_DISTRICT_PEN[],E$1,0),"ERROR")</f>
        <v>5878</v>
      </c>
      <c r="F86" s="102">
        <f>IFERROR(VLOOKUP($B86,MMWR_TRAD_AGG_ST_DISTRICT_PEN[],F$1,0),"ERROR")</f>
        <v>529</v>
      </c>
      <c r="G86" s="104">
        <f t="shared" si="8"/>
        <v>8.9996597482136786E-2</v>
      </c>
      <c r="H86" s="102">
        <f>IFERROR(VLOOKUP($B86,MMWR_TRAD_AGG_ST_DISTRICT_PEN[],H$1,0),"ERROR")</f>
        <v>6247</v>
      </c>
      <c r="I86" s="102">
        <f>IFERROR(VLOOKUP($B86,MMWR_TRAD_AGG_ST_DISTRICT_PEN[],I$1,0),"ERROR")</f>
        <v>392</v>
      </c>
      <c r="J86" s="104">
        <f t="shared" si="9"/>
        <v>6.2750120057627659E-2</v>
      </c>
      <c r="K86" s="102">
        <f>IFERROR(VLOOKUP($B86,MMWR_TRAD_AGG_ST_DISTRICT_PEN[],K$1,0),"ERROR")</f>
        <v>16</v>
      </c>
      <c r="L86" s="102">
        <f>IFERROR(VLOOKUP($B86,MMWR_TRAD_AGG_ST_DISTRICT_PEN[],L$1,0),"ERROR")</f>
        <v>12</v>
      </c>
      <c r="M86" s="104">
        <f t="shared" si="10"/>
        <v>0.75</v>
      </c>
      <c r="N86" s="102">
        <f>IFERROR(VLOOKUP($B86,MMWR_TRAD_AGG_ST_DISTRICT_PEN[],N$1,0),"ERROR")</f>
        <v>370</v>
      </c>
      <c r="O86" s="102">
        <f>IFERROR(VLOOKUP($B86,MMWR_TRAD_AGG_ST_DISTRICT_PEN[],O$1,0),"ERROR")</f>
        <v>72</v>
      </c>
      <c r="P86" s="104">
        <f t="shared" si="11"/>
        <v>0.19459459459459461</v>
      </c>
      <c r="Q86" s="102">
        <f>IFERROR(VLOOKUP($B86,MMWR_TRAD_AGG_ST_DISTRICT_PEN[],Q$1,0),"ERROR")</f>
        <v>2429</v>
      </c>
      <c r="R86" s="106">
        <f>IFERROR(VLOOKUP($B86,MMWR_TRAD_AGG_ST_DISTRICT_PEN[],R$1,0),"ERROR")</f>
        <v>669</v>
      </c>
      <c r="S86" s="106">
        <f>IFERROR(VLOOKUP($B86,MMWR_APP_STATE_PEN[],S$1,0),"ERROR")</f>
        <v>1522</v>
      </c>
      <c r="T86" s="28"/>
    </row>
    <row r="87" spans="1:20" s="123" customFormat="1" x14ac:dyDescent="0.2">
      <c r="A87" s="28"/>
      <c r="B87" s="127" t="s">
        <v>395</v>
      </c>
      <c r="C87" s="109">
        <f>IFERROR(VLOOKUP($B87,MMWR_TRAD_AGG_STATE_PEN[],C$1,0),"ERROR")</f>
        <v>641</v>
      </c>
      <c r="D87" s="110">
        <f>IFERROR(VLOOKUP($B87,MMWR_TRAD_AGG_STATE_PEN[],D$1,0),"ERROR")</f>
        <v>67.313572542900005</v>
      </c>
      <c r="E87" s="111">
        <f>IFERROR(VLOOKUP($B87,MMWR_TRAD_AGG_STATE_PEN[],E$1,0),"ERROR")</f>
        <v>826</v>
      </c>
      <c r="F87" s="112">
        <f>IFERROR(VLOOKUP($B87,MMWR_TRAD_AGG_STATE_PEN[],F$1,0),"ERROR")</f>
        <v>91</v>
      </c>
      <c r="G87" s="113">
        <f t="shared" si="8"/>
        <v>0.11016949152542373</v>
      </c>
      <c r="H87" s="111">
        <f>IFERROR(VLOOKUP($B87,MMWR_TRAD_AGG_STATE_PEN[],H$1,0),"ERROR")</f>
        <v>764</v>
      </c>
      <c r="I87" s="112">
        <f>IFERROR(VLOOKUP($B87,MMWR_TRAD_AGG_STATE_PEN[],I$1,0),"ERROR")</f>
        <v>51</v>
      </c>
      <c r="J87" s="114">
        <f t="shared" si="9"/>
        <v>6.6753926701570682E-2</v>
      </c>
      <c r="K87" s="111">
        <f>IFERROR(VLOOKUP($B87,MMWR_TRAD_AGG_STATE_PEN[],K$1,0),"ERROR")</f>
        <v>1</v>
      </c>
      <c r="L87" s="112">
        <f>IFERROR(VLOOKUP($B87,MMWR_TRAD_AGG_STATE_PEN[],L$1,0),"ERROR")</f>
        <v>0</v>
      </c>
      <c r="M87" s="114">
        <f t="shared" si="10"/>
        <v>0</v>
      </c>
      <c r="N87" s="111">
        <f>IFERROR(VLOOKUP($B87,MMWR_TRAD_AGG_STATE_PEN[],N$1,0),"ERROR")</f>
        <v>55</v>
      </c>
      <c r="O87" s="112">
        <f>IFERROR(VLOOKUP($B87,MMWR_TRAD_AGG_STATE_PEN[],O$1,0),"ERROR")</f>
        <v>11</v>
      </c>
      <c r="P87" s="114">
        <f t="shared" si="11"/>
        <v>0.2</v>
      </c>
      <c r="Q87" s="115">
        <f>IFERROR(VLOOKUP($B87,MMWR_TRAD_AGG_STATE_PEN[],Q$1,0),"ERROR")</f>
        <v>108</v>
      </c>
      <c r="R87" s="115">
        <f>IFERROR(VLOOKUP($B87,MMWR_TRAD_AGG_STATE_PEN[],R$1,0),"ERROR")</f>
        <v>128</v>
      </c>
      <c r="S87" s="115">
        <f>IFERROR(VLOOKUP($B87,MMWR_APP_STATE_PEN[],S$1,0),"ERROR")</f>
        <v>342</v>
      </c>
      <c r="T87" s="28"/>
    </row>
    <row r="88" spans="1:20" s="123" customFormat="1" x14ac:dyDescent="0.2">
      <c r="A88" s="28"/>
      <c r="B88" s="127" t="s">
        <v>393</v>
      </c>
      <c r="C88" s="109">
        <f>IFERROR(VLOOKUP($B88,MMWR_TRAD_AGG_STATE_PEN[],C$1,0),"ERROR")</f>
        <v>446</v>
      </c>
      <c r="D88" s="110">
        <f>IFERROR(VLOOKUP($B88,MMWR_TRAD_AGG_STATE_PEN[],D$1,0),"ERROR")</f>
        <v>63.923766816099999</v>
      </c>
      <c r="E88" s="111">
        <f>IFERROR(VLOOKUP($B88,MMWR_TRAD_AGG_STATE_PEN[],E$1,0),"ERROR")</f>
        <v>606</v>
      </c>
      <c r="F88" s="112">
        <f>IFERROR(VLOOKUP($B88,MMWR_TRAD_AGG_STATE_PEN[],F$1,0),"ERROR")</f>
        <v>68</v>
      </c>
      <c r="G88" s="113">
        <f t="shared" si="8"/>
        <v>0.11221122112211221</v>
      </c>
      <c r="H88" s="111">
        <f>IFERROR(VLOOKUP($B88,MMWR_TRAD_AGG_STATE_PEN[],H$1,0),"ERROR")</f>
        <v>563</v>
      </c>
      <c r="I88" s="112">
        <f>IFERROR(VLOOKUP($B88,MMWR_TRAD_AGG_STATE_PEN[],I$1,0),"ERROR")</f>
        <v>51</v>
      </c>
      <c r="J88" s="114">
        <f t="shared" si="9"/>
        <v>9.0586145648312605E-2</v>
      </c>
      <c r="K88" s="111">
        <f>IFERROR(VLOOKUP($B88,MMWR_TRAD_AGG_STATE_PEN[],K$1,0),"ERROR")</f>
        <v>2</v>
      </c>
      <c r="L88" s="112">
        <f>IFERROR(VLOOKUP($B88,MMWR_TRAD_AGG_STATE_PEN[],L$1,0),"ERROR")</f>
        <v>2</v>
      </c>
      <c r="M88" s="114">
        <f t="shared" si="10"/>
        <v>1</v>
      </c>
      <c r="N88" s="111">
        <f>IFERROR(VLOOKUP($B88,MMWR_TRAD_AGG_STATE_PEN[],N$1,0),"ERROR")</f>
        <v>39</v>
      </c>
      <c r="O88" s="112">
        <f>IFERROR(VLOOKUP($B88,MMWR_TRAD_AGG_STATE_PEN[],O$1,0),"ERROR")</f>
        <v>17</v>
      </c>
      <c r="P88" s="114">
        <f t="shared" si="11"/>
        <v>0.4358974358974359</v>
      </c>
      <c r="Q88" s="115">
        <f>IFERROR(VLOOKUP($B88,MMWR_TRAD_AGG_STATE_PEN[],Q$1,0),"ERROR")</f>
        <v>60</v>
      </c>
      <c r="R88" s="115">
        <f>IFERROR(VLOOKUP($B88,MMWR_TRAD_AGG_STATE_PEN[],R$1,0),"ERROR")</f>
        <v>73</v>
      </c>
      <c r="S88" s="115">
        <f>IFERROR(VLOOKUP($B88,MMWR_APP_STATE_PEN[],S$1,0),"ERROR")</f>
        <v>147</v>
      </c>
      <c r="T88" s="28"/>
    </row>
    <row r="89" spans="1:20" s="123" customFormat="1" x14ac:dyDescent="0.2">
      <c r="A89" s="28"/>
      <c r="B89" s="127" t="s">
        <v>400</v>
      </c>
      <c r="C89" s="109">
        <f>IFERROR(VLOOKUP($B89,MMWR_TRAD_AGG_STATE_PEN[],C$1,0),"ERROR")</f>
        <v>231</v>
      </c>
      <c r="D89" s="110">
        <f>IFERROR(VLOOKUP($B89,MMWR_TRAD_AGG_STATE_PEN[],D$1,0),"ERROR")</f>
        <v>55.285714285700003</v>
      </c>
      <c r="E89" s="111">
        <f>IFERROR(VLOOKUP($B89,MMWR_TRAD_AGG_STATE_PEN[],E$1,0),"ERROR")</f>
        <v>314</v>
      </c>
      <c r="F89" s="112">
        <f>IFERROR(VLOOKUP($B89,MMWR_TRAD_AGG_STATE_PEN[],F$1,0),"ERROR")</f>
        <v>8</v>
      </c>
      <c r="G89" s="113">
        <f t="shared" si="8"/>
        <v>2.5477707006369428E-2</v>
      </c>
      <c r="H89" s="111">
        <f>IFERROR(VLOOKUP($B89,MMWR_TRAD_AGG_STATE_PEN[],H$1,0),"ERROR")</f>
        <v>301</v>
      </c>
      <c r="I89" s="112">
        <f>IFERROR(VLOOKUP($B89,MMWR_TRAD_AGG_STATE_PEN[],I$1,0),"ERROR")</f>
        <v>7</v>
      </c>
      <c r="J89" s="114">
        <f t="shared" si="9"/>
        <v>2.3255813953488372E-2</v>
      </c>
      <c r="K89" s="111">
        <f>IFERROR(VLOOKUP($B89,MMWR_TRAD_AGG_STATE_PEN[],K$1,0),"ERROR")</f>
        <v>0</v>
      </c>
      <c r="L89" s="112">
        <f>IFERROR(VLOOKUP($B89,MMWR_TRAD_AGG_STATE_PEN[],L$1,0),"ERROR")</f>
        <v>0</v>
      </c>
      <c r="M89" s="114" t="str">
        <f t="shared" si="10"/>
        <v>0%</v>
      </c>
      <c r="N89" s="111">
        <f>IFERROR(VLOOKUP($B89,MMWR_TRAD_AGG_STATE_PEN[],N$1,0),"ERROR")</f>
        <v>7</v>
      </c>
      <c r="O89" s="112">
        <f>IFERROR(VLOOKUP($B89,MMWR_TRAD_AGG_STATE_PEN[],O$1,0),"ERROR")</f>
        <v>1</v>
      </c>
      <c r="P89" s="114">
        <f t="shared" si="11"/>
        <v>0.14285714285714285</v>
      </c>
      <c r="Q89" s="115">
        <f>IFERROR(VLOOKUP($B89,MMWR_TRAD_AGG_STATE_PEN[],Q$1,0),"ERROR")</f>
        <v>414</v>
      </c>
      <c r="R89" s="115">
        <f>IFERROR(VLOOKUP($B89,MMWR_TRAD_AGG_STATE_PEN[],R$1,0),"ERROR")</f>
        <v>30</v>
      </c>
      <c r="S89" s="115">
        <f>IFERROR(VLOOKUP($B89,MMWR_APP_STATE_PEN[],S$1,0),"ERROR")</f>
        <v>36</v>
      </c>
      <c r="T89" s="28"/>
    </row>
    <row r="90" spans="1:20" s="123" customFormat="1" x14ac:dyDescent="0.2">
      <c r="A90" s="28"/>
      <c r="B90" s="127" t="s">
        <v>423</v>
      </c>
      <c r="C90" s="109">
        <f>IFERROR(VLOOKUP($B90,MMWR_TRAD_AGG_STATE_PEN[],C$1,0),"ERROR")</f>
        <v>179</v>
      </c>
      <c r="D90" s="110">
        <f>IFERROR(VLOOKUP($B90,MMWR_TRAD_AGG_STATE_PEN[],D$1,0),"ERROR")</f>
        <v>60.854748603399997</v>
      </c>
      <c r="E90" s="111">
        <f>IFERROR(VLOOKUP($B90,MMWR_TRAD_AGG_STATE_PEN[],E$1,0),"ERROR")</f>
        <v>253</v>
      </c>
      <c r="F90" s="112">
        <f>IFERROR(VLOOKUP($B90,MMWR_TRAD_AGG_STATE_PEN[],F$1,0),"ERROR")</f>
        <v>5</v>
      </c>
      <c r="G90" s="113">
        <f t="shared" si="8"/>
        <v>1.9762845849802372E-2</v>
      </c>
      <c r="H90" s="111">
        <f>IFERROR(VLOOKUP($B90,MMWR_TRAD_AGG_STATE_PEN[],H$1,0),"ERROR")</f>
        <v>222</v>
      </c>
      <c r="I90" s="112">
        <f>IFERROR(VLOOKUP($B90,MMWR_TRAD_AGG_STATE_PEN[],I$1,0),"ERROR")</f>
        <v>7</v>
      </c>
      <c r="J90" s="114">
        <f t="shared" si="9"/>
        <v>3.1531531531531529E-2</v>
      </c>
      <c r="K90" s="111">
        <f>IFERROR(VLOOKUP($B90,MMWR_TRAD_AGG_STATE_PEN[],K$1,0),"ERROR")</f>
        <v>0</v>
      </c>
      <c r="L90" s="112">
        <f>IFERROR(VLOOKUP($B90,MMWR_TRAD_AGG_STATE_PEN[],L$1,0),"ERROR")</f>
        <v>0</v>
      </c>
      <c r="M90" s="114" t="str">
        <f t="shared" si="10"/>
        <v>0%</v>
      </c>
      <c r="N90" s="111">
        <f>IFERROR(VLOOKUP($B90,MMWR_TRAD_AGG_STATE_PEN[],N$1,0),"ERROR")</f>
        <v>7</v>
      </c>
      <c r="O90" s="112">
        <f>IFERROR(VLOOKUP($B90,MMWR_TRAD_AGG_STATE_PEN[],O$1,0),"ERROR")</f>
        <v>2</v>
      </c>
      <c r="P90" s="114">
        <f t="shared" si="11"/>
        <v>0.2857142857142857</v>
      </c>
      <c r="Q90" s="115">
        <f>IFERROR(VLOOKUP($B90,MMWR_TRAD_AGG_STATE_PEN[],Q$1,0),"ERROR")</f>
        <v>194</v>
      </c>
      <c r="R90" s="115">
        <f>IFERROR(VLOOKUP($B90,MMWR_TRAD_AGG_STATE_PEN[],R$1,0),"ERROR")</f>
        <v>32</v>
      </c>
      <c r="S90" s="115">
        <f>IFERROR(VLOOKUP($B90,MMWR_APP_STATE_PEN[],S$1,0),"ERROR")</f>
        <v>36</v>
      </c>
      <c r="T90" s="28"/>
    </row>
    <row r="91" spans="1:20" s="123" customFormat="1" x14ac:dyDescent="0.2">
      <c r="A91" s="28"/>
      <c r="B91" s="127" t="s">
        <v>396</v>
      </c>
      <c r="C91" s="109">
        <f>IFERROR(VLOOKUP($B91,MMWR_TRAD_AGG_STATE_PEN[],C$1,0),"ERROR")</f>
        <v>849</v>
      </c>
      <c r="D91" s="110">
        <f>IFERROR(VLOOKUP($B91,MMWR_TRAD_AGG_STATE_PEN[],D$1,0),"ERROR")</f>
        <v>62.316843345099997</v>
      </c>
      <c r="E91" s="111">
        <f>IFERROR(VLOOKUP($B91,MMWR_TRAD_AGG_STATE_PEN[],E$1,0),"ERROR")</f>
        <v>1089</v>
      </c>
      <c r="F91" s="112">
        <f>IFERROR(VLOOKUP($B91,MMWR_TRAD_AGG_STATE_PEN[],F$1,0),"ERROR")</f>
        <v>105</v>
      </c>
      <c r="G91" s="113">
        <f t="shared" si="8"/>
        <v>9.6418732782369149E-2</v>
      </c>
      <c r="H91" s="111">
        <f>IFERROR(VLOOKUP($B91,MMWR_TRAD_AGG_STATE_PEN[],H$1,0),"ERROR")</f>
        <v>1016</v>
      </c>
      <c r="I91" s="112">
        <f>IFERROR(VLOOKUP($B91,MMWR_TRAD_AGG_STATE_PEN[],I$1,0),"ERROR")</f>
        <v>85</v>
      </c>
      <c r="J91" s="114">
        <f t="shared" si="9"/>
        <v>8.366141732283465E-2</v>
      </c>
      <c r="K91" s="111">
        <f>IFERROR(VLOOKUP($B91,MMWR_TRAD_AGG_STATE_PEN[],K$1,0),"ERROR")</f>
        <v>1</v>
      </c>
      <c r="L91" s="112">
        <f>IFERROR(VLOOKUP($B91,MMWR_TRAD_AGG_STATE_PEN[],L$1,0),"ERROR")</f>
        <v>1</v>
      </c>
      <c r="M91" s="114">
        <f t="shared" si="10"/>
        <v>1</v>
      </c>
      <c r="N91" s="111">
        <f>IFERROR(VLOOKUP($B91,MMWR_TRAD_AGG_STATE_PEN[],N$1,0),"ERROR")</f>
        <v>79</v>
      </c>
      <c r="O91" s="112">
        <f>IFERROR(VLOOKUP($B91,MMWR_TRAD_AGG_STATE_PEN[],O$1,0),"ERROR")</f>
        <v>7</v>
      </c>
      <c r="P91" s="114">
        <f t="shared" si="11"/>
        <v>8.8607594936708861E-2</v>
      </c>
      <c r="Q91" s="115">
        <f>IFERROR(VLOOKUP($B91,MMWR_TRAD_AGG_STATE_PEN[],Q$1,0),"ERROR")</f>
        <v>114</v>
      </c>
      <c r="R91" s="115">
        <f>IFERROR(VLOOKUP($B91,MMWR_TRAD_AGG_STATE_PEN[],R$1,0),"ERROR")</f>
        <v>103</v>
      </c>
      <c r="S91" s="115">
        <f>IFERROR(VLOOKUP($B91,MMWR_APP_STATE_PEN[],S$1,0),"ERROR")</f>
        <v>252</v>
      </c>
      <c r="T91" s="28"/>
    </row>
    <row r="92" spans="1:20" s="123" customFormat="1" x14ac:dyDescent="0.2">
      <c r="A92" s="28"/>
      <c r="B92" s="127" t="s">
        <v>402</v>
      </c>
      <c r="C92" s="109">
        <f>IFERROR(VLOOKUP($B92,MMWR_TRAD_AGG_STATE_PEN[],C$1,0),"ERROR")</f>
        <v>340</v>
      </c>
      <c r="D92" s="110">
        <f>IFERROR(VLOOKUP($B92,MMWR_TRAD_AGG_STATE_PEN[],D$1,0),"ERROR")</f>
        <v>53.352941176500003</v>
      </c>
      <c r="E92" s="111">
        <f>IFERROR(VLOOKUP($B92,MMWR_TRAD_AGG_STATE_PEN[],E$1,0),"ERROR")</f>
        <v>306</v>
      </c>
      <c r="F92" s="112">
        <f>IFERROR(VLOOKUP($B92,MMWR_TRAD_AGG_STATE_PEN[],F$1,0),"ERROR")</f>
        <v>11</v>
      </c>
      <c r="G92" s="113">
        <f t="shared" si="8"/>
        <v>3.5947712418300651E-2</v>
      </c>
      <c r="H92" s="111">
        <f>IFERROR(VLOOKUP($B92,MMWR_TRAD_AGG_STATE_PEN[],H$1,0),"ERROR")</f>
        <v>387</v>
      </c>
      <c r="I92" s="112">
        <f>IFERROR(VLOOKUP($B92,MMWR_TRAD_AGG_STATE_PEN[],I$1,0),"ERROR")</f>
        <v>10</v>
      </c>
      <c r="J92" s="114">
        <f t="shared" si="9"/>
        <v>2.5839793281653745E-2</v>
      </c>
      <c r="K92" s="111">
        <f>IFERROR(VLOOKUP($B92,MMWR_TRAD_AGG_STATE_PEN[],K$1,0),"ERROR")</f>
        <v>1</v>
      </c>
      <c r="L92" s="112">
        <f>IFERROR(VLOOKUP($B92,MMWR_TRAD_AGG_STATE_PEN[],L$1,0),"ERROR")</f>
        <v>1</v>
      </c>
      <c r="M92" s="114">
        <f t="shared" si="10"/>
        <v>1</v>
      </c>
      <c r="N92" s="111">
        <f>IFERROR(VLOOKUP($B92,MMWR_TRAD_AGG_STATE_PEN[],N$1,0),"ERROR")</f>
        <v>13</v>
      </c>
      <c r="O92" s="112">
        <f>IFERROR(VLOOKUP($B92,MMWR_TRAD_AGG_STATE_PEN[],O$1,0),"ERROR")</f>
        <v>1</v>
      </c>
      <c r="P92" s="114">
        <f t="shared" si="11"/>
        <v>7.6923076923076927E-2</v>
      </c>
      <c r="Q92" s="115">
        <f>IFERROR(VLOOKUP($B92,MMWR_TRAD_AGG_STATE_PEN[],Q$1,0),"ERROR")</f>
        <v>810</v>
      </c>
      <c r="R92" s="115">
        <f>IFERROR(VLOOKUP($B92,MMWR_TRAD_AGG_STATE_PEN[],R$1,0),"ERROR")</f>
        <v>49</v>
      </c>
      <c r="S92" s="115">
        <f>IFERROR(VLOOKUP($B92,MMWR_APP_STATE_PEN[],S$1,0),"ERROR")</f>
        <v>38</v>
      </c>
      <c r="T92" s="28"/>
    </row>
    <row r="93" spans="1:20" s="123" customFormat="1" x14ac:dyDescent="0.2">
      <c r="A93" s="28"/>
      <c r="B93" s="127" t="s">
        <v>398</v>
      </c>
      <c r="C93" s="109">
        <f>IFERROR(VLOOKUP($B93,MMWR_TRAD_AGG_STATE_PEN[],C$1,0),"ERROR")</f>
        <v>746</v>
      </c>
      <c r="D93" s="110">
        <f>IFERROR(VLOOKUP($B93,MMWR_TRAD_AGG_STATE_PEN[],D$1,0),"ERROR")</f>
        <v>57.182305630000002</v>
      </c>
      <c r="E93" s="111">
        <f>IFERROR(VLOOKUP($B93,MMWR_TRAD_AGG_STATE_PEN[],E$1,0),"ERROR")</f>
        <v>692</v>
      </c>
      <c r="F93" s="112">
        <f>IFERROR(VLOOKUP($B93,MMWR_TRAD_AGG_STATE_PEN[],F$1,0),"ERROR")</f>
        <v>68</v>
      </c>
      <c r="G93" s="113">
        <f t="shared" si="8"/>
        <v>9.8265895953757232E-2</v>
      </c>
      <c r="H93" s="111">
        <f>IFERROR(VLOOKUP($B93,MMWR_TRAD_AGG_STATE_PEN[],H$1,0),"ERROR")</f>
        <v>920</v>
      </c>
      <c r="I93" s="112">
        <f>IFERROR(VLOOKUP($B93,MMWR_TRAD_AGG_STATE_PEN[],I$1,0),"ERROR")</f>
        <v>51</v>
      </c>
      <c r="J93" s="114">
        <f t="shared" si="9"/>
        <v>5.5434782608695651E-2</v>
      </c>
      <c r="K93" s="111">
        <f>IFERROR(VLOOKUP($B93,MMWR_TRAD_AGG_STATE_PEN[],K$1,0),"ERROR")</f>
        <v>3</v>
      </c>
      <c r="L93" s="112">
        <f>IFERROR(VLOOKUP($B93,MMWR_TRAD_AGG_STATE_PEN[],L$1,0),"ERROR")</f>
        <v>2</v>
      </c>
      <c r="M93" s="114">
        <f t="shared" si="10"/>
        <v>0.66666666666666663</v>
      </c>
      <c r="N93" s="111">
        <f>IFERROR(VLOOKUP($B93,MMWR_TRAD_AGG_STATE_PEN[],N$1,0),"ERROR")</f>
        <v>39</v>
      </c>
      <c r="O93" s="112">
        <f>IFERROR(VLOOKUP($B93,MMWR_TRAD_AGG_STATE_PEN[],O$1,0),"ERROR")</f>
        <v>10</v>
      </c>
      <c r="P93" s="114">
        <f t="shared" si="11"/>
        <v>0.25641025641025639</v>
      </c>
      <c r="Q93" s="115">
        <f>IFERROR(VLOOKUP($B93,MMWR_TRAD_AGG_STATE_PEN[],Q$1,0),"ERROR")</f>
        <v>119</v>
      </c>
      <c r="R93" s="115">
        <f>IFERROR(VLOOKUP($B93,MMWR_TRAD_AGG_STATE_PEN[],R$1,0),"ERROR")</f>
        <v>59</v>
      </c>
      <c r="S93" s="115">
        <f>IFERROR(VLOOKUP($B93,MMWR_APP_STATE_PEN[],S$1,0),"ERROR")</f>
        <v>217</v>
      </c>
      <c r="T93" s="28"/>
    </row>
    <row r="94" spans="1:20" s="123" customFormat="1" x14ac:dyDescent="0.2">
      <c r="A94" s="28"/>
      <c r="B94" s="127" t="s">
        <v>401</v>
      </c>
      <c r="C94" s="109">
        <f>IFERROR(VLOOKUP($B94,MMWR_TRAD_AGG_STATE_PEN[],C$1,0),"ERROR")</f>
        <v>122</v>
      </c>
      <c r="D94" s="110">
        <f>IFERROR(VLOOKUP($B94,MMWR_TRAD_AGG_STATE_PEN[],D$1,0),"ERROR")</f>
        <v>57.213114754099998</v>
      </c>
      <c r="E94" s="111">
        <f>IFERROR(VLOOKUP($B94,MMWR_TRAD_AGG_STATE_PEN[],E$1,0),"ERROR")</f>
        <v>74</v>
      </c>
      <c r="F94" s="112">
        <f>IFERROR(VLOOKUP($B94,MMWR_TRAD_AGG_STATE_PEN[],F$1,0),"ERROR")</f>
        <v>1</v>
      </c>
      <c r="G94" s="113">
        <f t="shared" si="8"/>
        <v>1.3513513513513514E-2</v>
      </c>
      <c r="H94" s="111">
        <f>IFERROR(VLOOKUP($B94,MMWR_TRAD_AGG_STATE_PEN[],H$1,0),"ERROR")</f>
        <v>147</v>
      </c>
      <c r="I94" s="112">
        <f>IFERROR(VLOOKUP($B94,MMWR_TRAD_AGG_STATE_PEN[],I$1,0),"ERROR")</f>
        <v>4</v>
      </c>
      <c r="J94" s="114">
        <f t="shared" si="9"/>
        <v>2.7210884353741496E-2</v>
      </c>
      <c r="K94" s="111">
        <f>IFERROR(VLOOKUP($B94,MMWR_TRAD_AGG_STATE_PEN[],K$1,0),"ERROR")</f>
        <v>0</v>
      </c>
      <c r="L94" s="112">
        <f>IFERROR(VLOOKUP($B94,MMWR_TRAD_AGG_STATE_PEN[],L$1,0),"ERROR")</f>
        <v>0</v>
      </c>
      <c r="M94" s="114" t="str">
        <f t="shared" si="10"/>
        <v>0%</v>
      </c>
      <c r="N94" s="111">
        <f>IFERROR(VLOOKUP($B94,MMWR_TRAD_AGG_STATE_PEN[],N$1,0),"ERROR")</f>
        <v>3</v>
      </c>
      <c r="O94" s="112">
        <f>IFERROR(VLOOKUP($B94,MMWR_TRAD_AGG_STATE_PEN[],O$1,0),"ERROR")</f>
        <v>0</v>
      </c>
      <c r="P94" s="114">
        <f t="shared" si="11"/>
        <v>0</v>
      </c>
      <c r="Q94" s="115">
        <f>IFERROR(VLOOKUP($B94,MMWR_TRAD_AGG_STATE_PEN[],Q$1,0),"ERROR")</f>
        <v>256</v>
      </c>
      <c r="R94" s="115">
        <f>IFERROR(VLOOKUP($B94,MMWR_TRAD_AGG_STATE_PEN[],R$1,0),"ERROR")</f>
        <v>15</v>
      </c>
      <c r="S94" s="115">
        <f>IFERROR(VLOOKUP($B94,MMWR_APP_STATE_PEN[],S$1,0),"ERROR")</f>
        <v>23</v>
      </c>
      <c r="T94" s="28"/>
    </row>
    <row r="95" spans="1:20" s="123" customFormat="1" x14ac:dyDescent="0.2">
      <c r="A95" s="28"/>
      <c r="B95" s="127" t="s">
        <v>420</v>
      </c>
      <c r="C95" s="109">
        <f>IFERROR(VLOOKUP($B95,MMWR_TRAD_AGG_STATE_PEN[],C$1,0),"ERROR")</f>
        <v>45</v>
      </c>
      <c r="D95" s="110">
        <f>IFERROR(VLOOKUP($B95,MMWR_TRAD_AGG_STATE_PEN[],D$1,0),"ERROR")</f>
        <v>63.311111111099997</v>
      </c>
      <c r="E95" s="111">
        <f>IFERROR(VLOOKUP($B95,MMWR_TRAD_AGG_STATE_PEN[],E$1,0),"ERROR")</f>
        <v>41</v>
      </c>
      <c r="F95" s="112">
        <f>IFERROR(VLOOKUP($B95,MMWR_TRAD_AGG_STATE_PEN[],F$1,0),"ERROR")</f>
        <v>0</v>
      </c>
      <c r="G95" s="113">
        <f t="shared" si="8"/>
        <v>0</v>
      </c>
      <c r="H95" s="111">
        <f>IFERROR(VLOOKUP($B95,MMWR_TRAD_AGG_STATE_PEN[],H$1,0),"ERROR")</f>
        <v>59</v>
      </c>
      <c r="I95" s="112">
        <f>IFERROR(VLOOKUP($B95,MMWR_TRAD_AGG_STATE_PEN[],I$1,0),"ERROR")</f>
        <v>1</v>
      </c>
      <c r="J95" s="114">
        <f t="shared" si="9"/>
        <v>1.6949152542372881E-2</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68</v>
      </c>
      <c r="R95" s="115">
        <f>IFERROR(VLOOKUP($B95,MMWR_TRAD_AGG_STATE_PEN[],R$1,0),"ERROR")</f>
        <v>6</v>
      </c>
      <c r="S95" s="115">
        <f>IFERROR(VLOOKUP($B95,MMWR_APP_STATE_PEN[],S$1,0),"ERROR")</f>
        <v>4</v>
      </c>
      <c r="T95" s="28"/>
    </row>
    <row r="96" spans="1:20" s="123" customFormat="1" x14ac:dyDescent="0.2">
      <c r="A96" s="28"/>
      <c r="B96" s="127" t="s">
        <v>392</v>
      </c>
      <c r="C96" s="109">
        <f>IFERROR(VLOOKUP($B96,MMWR_TRAD_AGG_STATE_PEN[],C$1,0),"ERROR")</f>
        <v>932</v>
      </c>
      <c r="D96" s="110">
        <f>IFERROR(VLOOKUP($B96,MMWR_TRAD_AGG_STATE_PEN[],D$1,0),"ERROR")</f>
        <v>57.952789699599997</v>
      </c>
      <c r="E96" s="111">
        <f>IFERROR(VLOOKUP($B96,MMWR_TRAD_AGG_STATE_PEN[],E$1,0),"ERROR")</f>
        <v>1218</v>
      </c>
      <c r="F96" s="112">
        <f>IFERROR(VLOOKUP($B96,MMWR_TRAD_AGG_STATE_PEN[],F$1,0),"ERROR")</f>
        <v>138</v>
      </c>
      <c r="G96" s="113">
        <f t="shared" si="8"/>
        <v>0.11330049261083744</v>
      </c>
      <c r="H96" s="111">
        <f>IFERROR(VLOOKUP($B96,MMWR_TRAD_AGG_STATE_PEN[],H$1,0),"ERROR")</f>
        <v>1229</v>
      </c>
      <c r="I96" s="112">
        <f>IFERROR(VLOOKUP($B96,MMWR_TRAD_AGG_STATE_PEN[],I$1,0),"ERROR")</f>
        <v>92</v>
      </c>
      <c r="J96" s="114">
        <f t="shared" si="9"/>
        <v>7.4857607811228646E-2</v>
      </c>
      <c r="K96" s="111">
        <f>IFERROR(VLOOKUP($B96,MMWR_TRAD_AGG_STATE_PEN[],K$1,0),"ERROR")</f>
        <v>7</v>
      </c>
      <c r="L96" s="112">
        <f>IFERROR(VLOOKUP($B96,MMWR_TRAD_AGG_STATE_PEN[],L$1,0),"ERROR")</f>
        <v>5</v>
      </c>
      <c r="M96" s="114">
        <f t="shared" si="10"/>
        <v>0.7142857142857143</v>
      </c>
      <c r="N96" s="111">
        <f>IFERROR(VLOOKUP($B96,MMWR_TRAD_AGG_STATE_PEN[],N$1,0),"ERROR")</f>
        <v>91</v>
      </c>
      <c r="O96" s="112">
        <f>IFERROR(VLOOKUP($B96,MMWR_TRAD_AGG_STATE_PEN[],O$1,0),"ERROR")</f>
        <v>18</v>
      </c>
      <c r="P96" s="114">
        <f t="shared" si="11"/>
        <v>0.19780219780219779</v>
      </c>
      <c r="Q96" s="115">
        <f>IFERROR(VLOOKUP($B96,MMWR_TRAD_AGG_STATE_PEN[],Q$1,0),"ERROR")</f>
        <v>122</v>
      </c>
      <c r="R96" s="115">
        <f>IFERROR(VLOOKUP($B96,MMWR_TRAD_AGG_STATE_PEN[],R$1,0),"ERROR")</f>
        <v>124</v>
      </c>
      <c r="S96" s="115">
        <f>IFERROR(VLOOKUP($B96,MMWR_APP_STATE_PEN[],S$1,0),"ERROR")</f>
        <v>318</v>
      </c>
      <c r="T96" s="28"/>
    </row>
    <row r="97" spans="1:20" s="123" customFormat="1" x14ac:dyDescent="0.2">
      <c r="A97" s="28"/>
      <c r="B97" s="127" t="s">
        <v>421</v>
      </c>
      <c r="C97" s="109">
        <f>IFERROR(VLOOKUP($B97,MMWR_TRAD_AGG_STATE_PEN[],C$1,0),"ERROR")</f>
        <v>75</v>
      </c>
      <c r="D97" s="110">
        <f>IFERROR(VLOOKUP($B97,MMWR_TRAD_AGG_STATE_PEN[],D$1,0),"ERROR")</f>
        <v>57.053333333300003</v>
      </c>
      <c r="E97" s="111">
        <f>IFERROR(VLOOKUP($B97,MMWR_TRAD_AGG_STATE_PEN[],E$1,0),"ERROR")</f>
        <v>54</v>
      </c>
      <c r="F97" s="112">
        <f>IFERROR(VLOOKUP($B97,MMWR_TRAD_AGG_STATE_PEN[],F$1,0),"ERROR")</f>
        <v>0</v>
      </c>
      <c r="G97" s="113">
        <f t="shared" si="8"/>
        <v>0</v>
      </c>
      <c r="H97" s="111">
        <f>IFERROR(VLOOKUP($B97,MMWR_TRAD_AGG_STATE_PEN[],H$1,0),"ERROR")</f>
        <v>90</v>
      </c>
      <c r="I97" s="112">
        <f>IFERROR(VLOOKUP($B97,MMWR_TRAD_AGG_STATE_PEN[],I$1,0),"ERROR")</f>
        <v>5</v>
      </c>
      <c r="J97" s="114">
        <f t="shared" si="9"/>
        <v>5.5555555555555552E-2</v>
      </c>
      <c r="K97" s="111">
        <f>IFERROR(VLOOKUP($B97,MMWR_TRAD_AGG_STATE_PEN[],K$1,0),"ERROR")</f>
        <v>0</v>
      </c>
      <c r="L97" s="112">
        <f>IFERROR(VLOOKUP($B97,MMWR_TRAD_AGG_STATE_PEN[],L$1,0),"ERROR")</f>
        <v>0</v>
      </c>
      <c r="M97" s="114" t="str">
        <f t="shared" si="10"/>
        <v>0%</v>
      </c>
      <c r="N97" s="111">
        <f>IFERROR(VLOOKUP($B97,MMWR_TRAD_AGG_STATE_PEN[],N$1,0),"ERROR")</f>
        <v>4</v>
      </c>
      <c r="O97" s="112">
        <f>IFERROR(VLOOKUP($B97,MMWR_TRAD_AGG_STATE_PEN[],O$1,0),"ERROR")</f>
        <v>0</v>
      </c>
      <c r="P97" s="114">
        <f t="shared" si="11"/>
        <v>0</v>
      </c>
      <c r="Q97" s="115">
        <f>IFERROR(VLOOKUP($B97,MMWR_TRAD_AGG_STATE_PEN[],Q$1,0),"ERROR")</f>
        <v>95</v>
      </c>
      <c r="R97" s="115">
        <f>IFERROR(VLOOKUP($B97,MMWR_TRAD_AGG_STATE_PEN[],R$1,0),"ERROR")</f>
        <v>3</v>
      </c>
      <c r="S97" s="115">
        <f>IFERROR(VLOOKUP($B97,MMWR_APP_STATE_PEN[],S$1,0),"ERROR")</f>
        <v>8</v>
      </c>
      <c r="T97" s="28"/>
    </row>
    <row r="98" spans="1:20" s="123" customFormat="1" x14ac:dyDescent="0.2">
      <c r="A98" s="28"/>
      <c r="B98" s="127" t="s">
        <v>397</v>
      </c>
      <c r="C98" s="109">
        <f>IFERROR(VLOOKUP($B98,MMWR_TRAD_AGG_STATE_PEN[],C$1,0),"ERROR")</f>
        <v>433</v>
      </c>
      <c r="D98" s="110">
        <f>IFERROR(VLOOKUP($B98,MMWR_TRAD_AGG_STATE_PEN[],D$1,0),"ERROR")</f>
        <v>58.549653579699999</v>
      </c>
      <c r="E98" s="111">
        <f>IFERROR(VLOOKUP($B98,MMWR_TRAD_AGG_STATE_PEN[],E$1,0),"ERROR")</f>
        <v>405</v>
      </c>
      <c r="F98" s="112">
        <f>IFERROR(VLOOKUP($B98,MMWR_TRAD_AGG_STATE_PEN[],F$1,0),"ERROR")</f>
        <v>34</v>
      </c>
      <c r="G98" s="113">
        <f t="shared" si="8"/>
        <v>8.3950617283950618E-2</v>
      </c>
      <c r="H98" s="111">
        <f>IFERROR(VLOOKUP($B98,MMWR_TRAD_AGG_STATE_PEN[],H$1,0),"ERROR")</f>
        <v>549</v>
      </c>
      <c r="I98" s="112">
        <f>IFERROR(VLOOKUP($B98,MMWR_TRAD_AGG_STATE_PEN[],I$1,0),"ERROR")</f>
        <v>28</v>
      </c>
      <c r="J98" s="114">
        <f t="shared" si="9"/>
        <v>5.1001821493624776E-2</v>
      </c>
      <c r="K98" s="111">
        <f>IFERROR(VLOOKUP($B98,MMWR_TRAD_AGG_STATE_PEN[],K$1,0),"ERROR")</f>
        <v>1</v>
      </c>
      <c r="L98" s="112">
        <f>IFERROR(VLOOKUP($B98,MMWR_TRAD_AGG_STATE_PEN[],L$1,0),"ERROR")</f>
        <v>1</v>
      </c>
      <c r="M98" s="114">
        <f t="shared" si="10"/>
        <v>1</v>
      </c>
      <c r="N98" s="111">
        <f>IFERROR(VLOOKUP($B98,MMWR_TRAD_AGG_STATE_PEN[],N$1,0),"ERROR")</f>
        <v>33</v>
      </c>
      <c r="O98" s="112">
        <f>IFERROR(VLOOKUP($B98,MMWR_TRAD_AGG_STATE_PEN[],O$1,0),"ERROR")</f>
        <v>5</v>
      </c>
      <c r="P98" s="114">
        <f t="shared" si="11"/>
        <v>0.15151515151515152</v>
      </c>
      <c r="Q98" s="115">
        <f>IFERROR(VLOOKUP($B98,MMWR_TRAD_AGG_STATE_PEN[],Q$1,0),"ERROR")</f>
        <v>69</v>
      </c>
      <c r="R98" s="115">
        <f>IFERROR(VLOOKUP($B98,MMWR_TRAD_AGG_STATE_PEN[],R$1,0),"ERROR")</f>
        <v>47</v>
      </c>
      <c r="S98" s="115">
        <f>IFERROR(VLOOKUP($B98,MMWR_APP_STATE_PEN[],S$1,0),"ERROR")</f>
        <v>101</v>
      </c>
      <c r="T98" s="28"/>
    </row>
    <row r="99" spans="1:20" s="123" customFormat="1" x14ac:dyDescent="0.2">
      <c r="A99" s="28"/>
      <c r="B99" s="126" t="s">
        <v>386</v>
      </c>
      <c r="C99" s="102">
        <f>IFERROR(VLOOKUP($B99,MMWR_TRAD_AGG_ST_DISTRICT_PEN[],C$1,0),"ERROR")</f>
        <v>3336</v>
      </c>
      <c r="D99" s="103">
        <f>IFERROR(VLOOKUP($B99,MMWR_TRAD_AGG_ST_DISTRICT_PEN[],D$1,0),"ERROR")</f>
        <v>58.858213429300001</v>
      </c>
      <c r="E99" s="102">
        <f>IFERROR(VLOOKUP($B99,MMWR_TRAD_AGG_ST_DISTRICT_PEN[],E$1,0),"ERROR")</f>
        <v>3374</v>
      </c>
      <c r="F99" s="102">
        <f>IFERROR(VLOOKUP($B99,MMWR_TRAD_AGG_ST_DISTRICT_PEN[],F$1,0),"ERROR")</f>
        <v>163</v>
      </c>
      <c r="G99" s="104">
        <f t="shared" si="8"/>
        <v>4.8310610551274454E-2</v>
      </c>
      <c r="H99" s="102">
        <f>IFERROR(VLOOKUP($B99,MMWR_TRAD_AGG_ST_DISTRICT_PEN[],H$1,0),"ERROR")</f>
        <v>4106</v>
      </c>
      <c r="I99" s="102">
        <f>IFERROR(VLOOKUP($B99,MMWR_TRAD_AGG_ST_DISTRICT_PEN[],I$1,0),"ERROR")</f>
        <v>188</v>
      </c>
      <c r="J99" s="104">
        <f t="shared" si="9"/>
        <v>4.5786653677545058E-2</v>
      </c>
      <c r="K99" s="102">
        <f>IFERROR(VLOOKUP($B99,MMWR_TRAD_AGG_ST_DISTRICT_PEN[],K$1,0),"ERROR")</f>
        <v>25</v>
      </c>
      <c r="L99" s="102">
        <f>IFERROR(VLOOKUP($B99,MMWR_TRAD_AGG_ST_DISTRICT_PEN[],L$1,0),"ERROR")</f>
        <v>20</v>
      </c>
      <c r="M99" s="104">
        <f t="shared" si="10"/>
        <v>0.8</v>
      </c>
      <c r="N99" s="102">
        <f>IFERROR(VLOOKUP($B99,MMWR_TRAD_AGG_ST_DISTRICT_PEN[],N$1,0),"ERROR")</f>
        <v>232</v>
      </c>
      <c r="O99" s="102">
        <f>IFERROR(VLOOKUP($B99,MMWR_TRAD_AGG_ST_DISTRICT_PEN[],O$1,0),"ERROR")</f>
        <v>68</v>
      </c>
      <c r="P99" s="104">
        <f t="shared" si="11"/>
        <v>0.29310344827586204</v>
      </c>
      <c r="Q99" s="102">
        <f>IFERROR(VLOOKUP($B99,MMWR_TRAD_AGG_ST_DISTRICT_PEN[],Q$1,0),"ERROR")</f>
        <v>3305</v>
      </c>
      <c r="R99" s="106">
        <f>IFERROR(VLOOKUP($B99,MMWR_TRAD_AGG_ST_DISTRICT_PEN[],R$1,0),"ERROR")</f>
        <v>668</v>
      </c>
      <c r="S99" s="106">
        <f>IFERROR(VLOOKUP($B99,MMWR_APP_STATE_PEN[],S$1,0),"ERROR")</f>
        <v>1125</v>
      </c>
      <c r="T99" s="28"/>
    </row>
    <row r="100" spans="1:20" s="123" customFormat="1" x14ac:dyDescent="0.2">
      <c r="A100" s="28"/>
      <c r="B100" s="127" t="s">
        <v>412</v>
      </c>
      <c r="C100" s="109">
        <f>IFERROR(VLOOKUP($B100,MMWR_TRAD_AGG_STATE_PEN[],C$1,0),"ERROR")</f>
        <v>319</v>
      </c>
      <c r="D100" s="110">
        <f>IFERROR(VLOOKUP($B100,MMWR_TRAD_AGG_STATE_PEN[],D$1,0),"ERROR")</f>
        <v>61.633228840100003</v>
      </c>
      <c r="E100" s="111">
        <f>IFERROR(VLOOKUP($B100,MMWR_TRAD_AGG_STATE_PEN[],E$1,0),"ERROR")</f>
        <v>262</v>
      </c>
      <c r="F100" s="112">
        <f>IFERROR(VLOOKUP($B100,MMWR_TRAD_AGG_STATE_PEN[],F$1,0),"ERROR")</f>
        <v>28</v>
      </c>
      <c r="G100" s="113">
        <f t="shared" si="8"/>
        <v>0.10687022900763359</v>
      </c>
      <c r="H100" s="111">
        <f>IFERROR(VLOOKUP($B100,MMWR_TRAD_AGG_STATE_PEN[],H$1,0),"ERROR")</f>
        <v>390</v>
      </c>
      <c r="I100" s="112">
        <f>IFERROR(VLOOKUP($B100,MMWR_TRAD_AGG_STATE_PEN[],I$1,0),"ERROR")</f>
        <v>20</v>
      </c>
      <c r="J100" s="114">
        <f t="shared" si="9"/>
        <v>5.128205128205128E-2</v>
      </c>
      <c r="K100" s="111">
        <f>IFERROR(VLOOKUP($B100,MMWR_TRAD_AGG_STATE_PEN[],K$1,0),"ERROR")</f>
        <v>5</v>
      </c>
      <c r="L100" s="112">
        <f>IFERROR(VLOOKUP($B100,MMWR_TRAD_AGG_STATE_PEN[],L$1,0),"ERROR")</f>
        <v>4</v>
      </c>
      <c r="M100" s="114">
        <f t="shared" si="10"/>
        <v>0.8</v>
      </c>
      <c r="N100" s="111">
        <f>IFERROR(VLOOKUP($B100,MMWR_TRAD_AGG_STATE_PEN[],N$1,0),"ERROR")</f>
        <v>34</v>
      </c>
      <c r="O100" s="112">
        <f>IFERROR(VLOOKUP($B100,MMWR_TRAD_AGG_STATE_PEN[],O$1,0),"ERROR")</f>
        <v>10</v>
      </c>
      <c r="P100" s="114">
        <f t="shared" si="11"/>
        <v>0.29411764705882354</v>
      </c>
      <c r="Q100" s="115">
        <f>IFERROR(VLOOKUP($B100,MMWR_TRAD_AGG_STATE_PEN[],Q$1,0),"ERROR")</f>
        <v>77</v>
      </c>
      <c r="R100" s="115">
        <f>IFERROR(VLOOKUP($B100,MMWR_TRAD_AGG_STATE_PEN[],R$1,0),"ERROR")</f>
        <v>30</v>
      </c>
      <c r="S100" s="115">
        <f>IFERROR(VLOOKUP($B100,MMWR_APP_STATE_PEN[],S$1,0),"ERROR")</f>
        <v>155</v>
      </c>
      <c r="T100" s="28"/>
    </row>
    <row r="101" spans="1:20" s="123" customFormat="1" x14ac:dyDescent="0.2">
      <c r="A101" s="28"/>
      <c r="B101" s="127" t="s">
        <v>404</v>
      </c>
      <c r="C101" s="109">
        <f>IFERROR(VLOOKUP($B101,MMWR_TRAD_AGG_STATE_PEN[],C$1,0),"ERROR")</f>
        <v>223</v>
      </c>
      <c r="D101" s="110">
        <f>IFERROR(VLOOKUP($B101,MMWR_TRAD_AGG_STATE_PEN[],D$1,0),"ERROR")</f>
        <v>55.260089686100002</v>
      </c>
      <c r="E101" s="111">
        <f>IFERROR(VLOOKUP($B101,MMWR_TRAD_AGG_STATE_PEN[],E$1,0),"ERROR")</f>
        <v>260</v>
      </c>
      <c r="F101" s="112">
        <f>IFERROR(VLOOKUP($B101,MMWR_TRAD_AGG_STATE_PEN[],F$1,0),"ERROR")</f>
        <v>7</v>
      </c>
      <c r="G101" s="113">
        <f t="shared" ref="G101:G127" si="12">IFERROR(F101/E101,"0%")</f>
        <v>2.6923076923076925E-2</v>
      </c>
      <c r="H101" s="111">
        <f>IFERROR(VLOOKUP($B101,MMWR_TRAD_AGG_STATE_PEN[],H$1,0),"ERROR")</f>
        <v>276</v>
      </c>
      <c r="I101" s="112">
        <f>IFERROR(VLOOKUP($B101,MMWR_TRAD_AGG_STATE_PEN[],I$1,0),"ERROR")</f>
        <v>13</v>
      </c>
      <c r="J101" s="114">
        <f t="shared" ref="J101:J127" si="13">IFERROR(I101/H101,"0%")</f>
        <v>4.710144927536232E-2</v>
      </c>
      <c r="K101" s="111">
        <f>IFERROR(VLOOKUP($B101,MMWR_TRAD_AGG_STATE_PEN[],K$1,0),"ERROR")</f>
        <v>4</v>
      </c>
      <c r="L101" s="112">
        <f>IFERROR(VLOOKUP($B101,MMWR_TRAD_AGG_STATE_PEN[],L$1,0),"ERROR")</f>
        <v>1</v>
      </c>
      <c r="M101" s="114">
        <f t="shared" ref="M101:M127" si="14">IFERROR(L101/K101,"0%")</f>
        <v>0.25</v>
      </c>
      <c r="N101" s="111">
        <f>IFERROR(VLOOKUP($B101,MMWR_TRAD_AGG_STATE_PEN[],N$1,0),"ERROR")</f>
        <v>17</v>
      </c>
      <c r="O101" s="112">
        <f>IFERROR(VLOOKUP($B101,MMWR_TRAD_AGG_STATE_PEN[],O$1,0),"ERROR")</f>
        <v>7</v>
      </c>
      <c r="P101" s="114">
        <f t="shared" ref="P101:P127" si="15">IFERROR(O101/N101,"0%")</f>
        <v>0.41176470588235292</v>
      </c>
      <c r="Q101" s="115">
        <f>IFERROR(VLOOKUP($B101,MMWR_TRAD_AGG_STATE_PEN[],Q$1,0),"ERROR")</f>
        <v>413</v>
      </c>
      <c r="R101" s="115">
        <f>IFERROR(VLOOKUP($B101,MMWR_TRAD_AGG_STATE_PEN[],R$1,0),"ERROR")</f>
        <v>51</v>
      </c>
      <c r="S101" s="115">
        <f>IFERROR(VLOOKUP($B101,MMWR_APP_STATE_PEN[],S$1,0),"ERROR")</f>
        <v>72</v>
      </c>
      <c r="T101" s="28"/>
    </row>
    <row r="102" spans="1:20" s="123" customFormat="1" x14ac:dyDescent="0.2">
      <c r="A102" s="28"/>
      <c r="B102" s="127" t="s">
        <v>388</v>
      </c>
      <c r="C102" s="109">
        <f>IFERROR(VLOOKUP($B102,MMWR_TRAD_AGG_STATE_PEN[],C$1,0),"ERROR")</f>
        <v>645</v>
      </c>
      <c r="D102" s="110">
        <f>IFERROR(VLOOKUP($B102,MMWR_TRAD_AGG_STATE_PEN[],D$1,0),"ERROR")</f>
        <v>61.727131782900003</v>
      </c>
      <c r="E102" s="111">
        <f>IFERROR(VLOOKUP($B102,MMWR_TRAD_AGG_STATE_PEN[],E$1,0),"ERROR")</f>
        <v>489</v>
      </c>
      <c r="F102" s="112">
        <f>IFERROR(VLOOKUP($B102,MMWR_TRAD_AGG_STATE_PEN[],F$1,0),"ERROR")</f>
        <v>39</v>
      </c>
      <c r="G102" s="113">
        <f t="shared" si="12"/>
        <v>7.9754601226993863E-2</v>
      </c>
      <c r="H102" s="111">
        <f>IFERROR(VLOOKUP($B102,MMWR_TRAD_AGG_STATE_PEN[],H$1,0),"ERROR")</f>
        <v>748</v>
      </c>
      <c r="I102" s="112">
        <f>IFERROR(VLOOKUP($B102,MMWR_TRAD_AGG_STATE_PEN[],I$1,0),"ERROR")</f>
        <v>44</v>
      </c>
      <c r="J102" s="114">
        <f t="shared" si="13"/>
        <v>5.8823529411764705E-2</v>
      </c>
      <c r="K102" s="111">
        <f>IFERROR(VLOOKUP($B102,MMWR_TRAD_AGG_STATE_PEN[],K$1,0),"ERROR")</f>
        <v>3</v>
      </c>
      <c r="L102" s="112">
        <f>IFERROR(VLOOKUP($B102,MMWR_TRAD_AGG_STATE_PEN[],L$1,0),"ERROR")</f>
        <v>2</v>
      </c>
      <c r="M102" s="114">
        <f t="shared" si="14"/>
        <v>0.66666666666666663</v>
      </c>
      <c r="N102" s="111">
        <f>IFERROR(VLOOKUP($B102,MMWR_TRAD_AGG_STATE_PEN[],N$1,0),"ERROR")</f>
        <v>35</v>
      </c>
      <c r="O102" s="112">
        <f>IFERROR(VLOOKUP($B102,MMWR_TRAD_AGG_STATE_PEN[],O$1,0),"ERROR")</f>
        <v>14</v>
      </c>
      <c r="P102" s="114">
        <f t="shared" si="15"/>
        <v>0.4</v>
      </c>
      <c r="Q102" s="115">
        <f>IFERROR(VLOOKUP($B102,MMWR_TRAD_AGG_STATE_PEN[],Q$1,0),"ERROR")</f>
        <v>83</v>
      </c>
      <c r="R102" s="115">
        <f>IFERROR(VLOOKUP($B102,MMWR_TRAD_AGG_STATE_PEN[],R$1,0),"ERROR")</f>
        <v>77</v>
      </c>
      <c r="S102" s="115">
        <f>IFERROR(VLOOKUP($B102,MMWR_APP_STATE_PEN[],S$1,0),"ERROR")</f>
        <v>187</v>
      </c>
      <c r="T102" s="28"/>
    </row>
    <row r="103" spans="1:20" s="123" customFormat="1" x14ac:dyDescent="0.2">
      <c r="A103" s="28"/>
      <c r="B103" s="127" t="s">
        <v>390</v>
      </c>
      <c r="C103" s="109">
        <f>IFERROR(VLOOKUP($B103,MMWR_TRAD_AGG_STATE_PEN[],C$1,0),"ERROR")</f>
        <v>398</v>
      </c>
      <c r="D103" s="110">
        <f>IFERROR(VLOOKUP($B103,MMWR_TRAD_AGG_STATE_PEN[],D$1,0),"ERROR")</f>
        <v>60.153266331700003</v>
      </c>
      <c r="E103" s="111">
        <f>IFERROR(VLOOKUP($B103,MMWR_TRAD_AGG_STATE_PEN[],E$1,0),"ERROR")</f>
        <v>320</v>
      </c>
      <c r="F103" s="112">
        <f>IFERROR(VLOOKUP($B103,MMWR_TRAD_AGG_STATE_PEN[],F$1,0),"ERROR")</f>
        <v>17</v>
      </c>
      <c r="G103" s="113">
        <f t="shared" si="12"/>
        <v>5.3124999999999999E-2</v>
      </c>
      <c r="H103" s="111">
        <f>IFERROR(VLOOKUP($B103,MMWR_TRAD_AGG_STATE_PEN[],H$1,0),"ERROR")</f>
        <v>451</v>
      </c>
      <c r="I103" s="112">
        <f>IFERROR(VLOOKUP($B103,MMWR_TRAD_AGG_STATE_PEN[],I$1,0),"ERROR")</f>
        <v>31</v>
      </c>
      <c r="J103" s="114">
        <f t="shared" si="13"/>
        <v>6.8736141906873618E-2</v>
      </c>
      <c r="K103" s="111">
        <f>IFERROR(VLOOKUP($B103,MMWR_TRAD_AGG_STATE_PEN[],K$1,0),"ERROR")</f>
        <v>3</v>
      </c>
      <c r="L103" s="112">
        <f>IFERROR(VLOOKUP($B103,MMWR_TRAD_AGG_STATE_PEN[],L$1,0),"ERROR")</f>
        <v>3</v>
      </c>
      <c r="M103" s="114">
        <f t="shared" si="14"/>
        <v>1</v>
      </c>
      <c r="N103" s="111">
        <f>IFERROR(VLOOKUP($B103,MMWR_TRAD_AGG_STATE_PEN[],N$1,0),"ERROR")</f>
        <v>36</v>
      </c>
      <c r="O103" s="112">
        <f>IFERROR(VLOOKUP($B103,MMWR_TRAD_AGG_STATE_PEN[],O$1,0),"ERROR")</f>
        <v>7</v>
      </c>
      <c r="P103" s="114">
        <f t="shared" si="15"/>
        <v>0.19444444444444445</v>
      </c>
      <c r="Q103" s="115">
        <f>IFERROR(VLOOKUP($B103,MMWR_TRAD_AGG_STATE_PEN[],Q$1,0),"ERROR")</f>
        <v>64</v>
      </c>
      <c r="R103" s="115">
        <f>IFERROR(VLOOKUP($B103,MMWR_TRAD_AGG_STATE_PEN[],R$1,0),"ERROR")</f>
        <v>28</v>
      </c>
      <c r="S103" s="115">
        <f>IFERROR(VLOOKUP($B103,MMWR_APP_STATE_PEN[],S$1,0),"ERROR")</f>
        <v>170</v>
      </c>
      <c r="T103" s="28"/>
    </row>
    <row r="104" spans="1:20" s="123" customFormat="1" x14ac:dyDescent="0.2">
      <c r="A104" s="28"/>
      <c r="B104" s="127" t="s">
        <v>419</v>
      </c>
      <c r="C104" s="109">
        <f>IFERROR(VLOOKUP($B104,MMWR_TRAD_AGG_STATE_PEN[],C$1,0),"ERROR")</f>
        <v>61</v>
      </c>
      <c r="D104" s="110">
        <f>IFERROR(VLOOKUP($B104,MMWR_TRAD_AGG_STATE_PEN[],D$1,0),"ERROR")</f>
        <v>47.852459016399997</v>
      </c>
      <c r="E104" s="111">
        <f>IFERROR(VLOOKUP($B104,MMWR_TRAD_AGG_STATE_PEN[],E$1,0),"ERROR")</f>
        <v>96</v>
      </c>
      <c r="F104" s="112">
        <f>IFERROR(VLOOKUP($B104,MMWR_TRAD_AGG_STATE_PEN[],F$1,0),"ERROR")</f>
        <v>3</v>
      </c>
      <c r="G104" s="113">
        <f t="shared" si="12"/>
        <v>3.125E-2</v>
      </c>
      <c r="H104" s="111">
        <f>IFERROR(VLOOKUP($B104,MMWR_TRAD_AGG_STATE_PEN[],H$1,0),"ERROR")</f>
        <v>73</v>
      </c>
      <c r="I104" s="112">
        <f>IFERROR(VLOOKUP($B104,MMWR_TRAD_AGG_STATE_PEN[],I$1,0),"ERROR")</f>
        <v>1</v>
      </c>
      <c r="J104" s="114">
        <f t="shared" si="13"/>
        <v>1.3698630136986301E-2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0</v>
      </c>
      <c r="P104" s="114">
        <f t="shared" si="15"/>
        <v>0</v>
      </c>
      <c r="Q104" s="115">
        <f>IFERROR(VLOOKUP($B104,MMWR_TRAD_AGG_STATE_PEN[],Q$1,0),"ERROR")</f>
        <v>133</v>
      </c>
      <c r="R104" s="115">
        <f>IFERROR(VLOOKUP($B104,MMWR_TRAD_AGG_STATE_PEN[],R$1,0),"ERROR")</f>
        <v>13</v>
      </c>
      <c r="S104" s="115">
        <f>IFERROR(VLOOKUP($B104,MMWR_APP_STATE_PEN[],S$1,0),"ERROR")</f>
        <v>2</v>
      </c>
      <c r="T104" s="28"/>
    </row>
    <row r="105" spans="1:20" s="123" customFormat="1" x14ac:dyDescent="0.2">
      <c r="A105" s="28"/>
      <c r="B105" s="127" t="s">
        <v>413</v>
      </c>
      <c r="C105" s="109">
        <f>IFERROR(VLOOKUP($B105,MMWR_TRAD_AGG_STATE_PEN[],C$1,0),"ERROR")</f>
        <v>290</v>
      </c>
      <c r="D105" s="110">
        <f>IFERROR(VLOOKUP($B105,MMWR_TRAD_AGG_STATE_PEN[],D$1,0),"ERROR")</f>
        <v>56.365517241399999</v>
      </c>
      <c r="E105" s="111">
        <f>IFERROR(VLOOKUP($B105,MMWR_TRAD_AGG_STATE_PEN[],E$1,0),"ERROR")</f>
        <v>269</v>
      </c>
      <c r="F105" s="112">
        <f>IFERROR(VLOOKUP($B105,MMWR_TRAD_AGG_STATE_PEN[],F$1,0),"ERROR")</f>
        <v>13</v>
      </c>
      <c r="G105" s="113">
        <f t="shared" si="12"/>
        <v>4.8327137546468404E-2</v>
      </c>
      <c r="H105" s="111">
        <f>IFERROR(VLOOKUP($B105,MMWR_TRAD_AGG_STATE_PEN[],H$1,0),"ERROR")</f>
        <v>349</v>
      </c>
      <c r="I105" s="112">
        <f>IFERROR(VLOOKUP($B105,MMWR_TRAD_AGG_STATE_PEN[],I$1,0),"ERROR")</f>
        <v>8</v>
      </c>
      <c r="J105" s="114">
        <f t="shared" si="13"/>
        <v>2.2922636103151862E-2</v>
      </c>
      <c r="K105" s="111">
        <f>IFERROR(VLOOKUP($B105,MMWR_TRAD_AGG_STATE_PEN[],K$1,0),"ERROR")</f>
        <v>2</v>
      </c>
      <c r="L105" s="112">
        <f>IFERROR(VLOOKUP($B105,MMWR_TRAD_AGG_STATE_PEN[],L$1,0),"ERROR")</f>
        <v>2</v>
      </c>
      <c r="M105" s="114">
        <f t="shared" si="14"/>
        <v>1</v>
      </c>
      <c r="N105" s="111">
        <f>IFERROR(VLOOKUP($B105,MMWR_TRAD_AGG_STATE_PEN[],N$1,0),"ERROR")</f>
        <v>8</v>
      </c>
      <c r="O105" s="112">
        <f>IFERROR(VLOOKUP($B105,MMWR_TRAD_AGG_STATE_PEN[],O$1,0),"ERROR")</f>
        <v>4</v>
      </c>
      <c r="P105" s="114">
        <f t="shared" si="15"/>
        <v>0.5</v>
      </c>
      <c r="Q105" s="115">
        <f>IFERROR(VLOOKUP($B105,MMWR_TRAD_AGG_STATE_PEN[],Q$1,0),"ERROR")</f>
        <v>691</v>
      </c>
      <c r="R105" s="115">
        <f>IFERROR(VLOOKUP($B105,MMWR_TRAD_AGG_STATE_PEN[],R$1,0),"ERROR")</f>
        <v>63</v>
      </c>
      <c r="S105" s="115">
        <f>IFERROR(VLOOKUP($B105,MMWR_APP_STATE_PEN[],S$1,0),"ERROR")</f>
        <v>94</v>
      </c>
      <c r="T105" s="28"/>
    </row>
    <row r="106" spans="1:20" s="123" customFormat="1" x14ac:dyDescent="0.2">
      <c r="A106" s="28"/>
      <c r="B106" s="127" t="s">
        <v>411</v>
      </c>
      <c r="C106" s="109">
        <f>IFERROR(VLOOKUP($B106,MMWR_TRAD_AGG_STATE_PEN[],C$1,0),"ERROR")</f>
        <v>1272</v>
      </c>
      <c r="D106" s="110">
        <f>IFERROR(VLOOKUP($B106,MMWR_TRAD_AGG_STATE_PEN[],D$1,0),"ERROR")</f>
        <v>58.0338050314</v>
      </c>
      <c r="E106" s="111">
        <f>IFERROR(VLOOKUP($B106,MMWR_TRAD_AGG_STATE_PEN[],E$1,0),"ERROR")</f>
        <v>1506</v>
      </c>
      <c r="F106" s="112">
        <f>IFERROR(VLOOKUP($B106,MMWR_TRAD_AGG_STATE_PEN[],F$1,0),"ERROR")</f>
        <v>51</v>
      </c>
      <c r="G106" s="113">
        <f t="shared" si="12"/>
        <v>3.386454183266932E-2</v>
      </c>
      <c r="H106" s="111">
        <f>IFERROR(VLOOKUP($B106,MMWR_TRAD_AGG_STATE_PEN[],H$1,0),"ERROR")</f>
        <v>1650</v>
      </c>
      <c r="I106" s="112">
        <f>IFERROR(VLOOKUP($B106,MMWR_TRAD_AGG_STATE_PEN[],I$1,0),"ERROR")</f>
        <v>62</v>
      </c>
      <c r="J106" s="114">
        <f t="shared" si="13"/>
        <v>3.7575757575757575E-2</v>
      </c>
      <c r="K106" s="111">
        <f>IFERROR(VLOOKUP($B106,MMWR_TRAD_AGG_STATE_PEN[],K$1,0),"ERROR")</f>
        <v>8</v>
      </c>
      <c r="L106" s="112">
        <f>IFERROR(VLOOKUP($B106,MMWR_TRAD_AGG_STATE_PEN[],L$1,0),"ERROR")</f>
        <v>8</v>
      </c>
      <c r="M106" s="114">
        <f t="shared" si="14"/>
        <v>1</v>
      </c>
      <c r="N106" s="111">
        <f>IFERROR(VLOOKUP($B106,MMWR_TRAD_AGG_STATE_PEN[],N$1,0),"ERROR")</f>
        <v>94</v>
      </c>
      <c r="O106" s="112">
        <f>IFERROR(VLOOKUP($B106,MMWR_TRAD_AGG_STATE_PEN[],O$1,0),"ERROR")</f>
        <v>25</v>
      </c>
      <c r="P106" s="114">
        <f t="shared" si="15"/>
        <v>0.26595744680851063</v>
      </c>
      <c r="Q106" s="115">
        <f>IFERROR(VLOOKUP($B106,MMWR_TRAD_AGG_STATE_PEN[],Q$1,0),"ERROR")</f>
        <v>1631</v>
      </c>
      <c r="R106" s="115">
        <f>IFERROR(VLOOKUP($B106,MMWR_TRAD_AGG_STATE_PEN[],R$1,0),"ERROR")</f>
        <v>377</v>
      </c>
      <c r="S106" s="115">
        <f>IFERROR(VLOOKUP($B106,MMWR_APP_STATE_PEN[],S$1,0),"ERROR")</f>
        <v>422</v>
      </c>
      <c r="T106" s="28"/>
    </row>
    <row r="107" spans="1:20" s="123" customFormat="1" x14ac:dyDescent="0.2">
      <c r="A107" s="28"/>
      <c r="B107" s="127" t="s">
        <v>407</v>
      </c>
      <c r="C107" s="109">
        <f>IFERROR(VLOOKUP($B107,MMWR_TRAD_AGG_STATE_PEN[],C$1,0),"ERROR")</f>
        <v>99</v>
      </c>
      <c r="D107" s="110">
        <f>IFERROR(VLOOKUP($B107,MMWR_TRAD_AGG_STATE_PEN[],D$1,0),"ERROR")</f>
        <v>59.818181818200003</v>
      </c>
      <c r="E107" s="111">
        <f>IFERROR(VLOOKUP($B107,MMWR_TRAD_AGG_STATE_PEN[],E$1,0),"ERROR")</f>
        <v>145</v>
      </c>
      <c r="F107" s="112">
        <f>IFERROR(VLOOKUP($B107,MMWR_TRAD_AGG_STATE_PEN[],F$1,0),"ERROR")</f>
        <v>4</v>
      </c>
      <c r="G107" s="113">
        <f t="shared" si="12"/>
        <v>2.7586206896551724E-2</v>
      </c>
      <c r="H107" s="111">
        <f>IFERROR(VLOOKUP($B107,MMWR_TRAD_AGG_STATE_PEN[],H$1,0),"ERROR")</f>
        <v>126</v>
      </c>
      <c r="I107" s="112">
        <f>IFERROR(VLOOKUP($B107,MMWR_TRAD_AGG_STATE_PEN[],I$1,0),"ERROR")</f>
        <v>5</v>
      </c>
      <c r="J107" s="114">
        <f t="shared" si="13"/>
        <v>3.968253968253968E-2</v>
      </c>
      <c r="K107" s="111">
        <f>IFERROR(VLOOKUP($B107,MMWR_TRAD_AGG_STATE_PEN[],K$1,0),"ERROR")</f>
        <v>0</v>
      </c>
      <c r="L107" s="112">
        <f>IFERROR(VLOOKUP($B107,MMWR_TRAD_AGG_STATE_PEN[],L$1,0),"ERROR")</f>
        <v>0</v>
      </c>
      <c r="M107" s="114" t="str">
        <f t="shared" si="14"/>
        <v>0%</v>
      </c>
      <c r="N107" s="111">
        <f>IFERROR(VLOOKUP($B107,MMWR_TRAD_AGG_STATE_PEN[],N$1,0),"ERROR")</f>
        <v>6</v>
      </c>
      <c r="O107" s="112">
        <f>IFERROR(VLOOKUP($B107,MMWR_TRAD_AGG_STATE_PEN[],O$1,0),"ERROR")</f>
        <v>1</v>
      </c>
      <c r="P107" s="114">
        <f t="shared" si="15"/>
        <v>0.16666666666666666</v>
      </c>
      <c r="Q107" s="115">
        <f>IFERROR(VLOOKUP($B107,MMWR_TRAD_AGG_STATE_PEN[],Q$1,0),"ERROR")</f>
        <v>147</v>
      </c>
      <c r="R107" s="115">
        <f>IFERROR(VLOOKUP($B107,MMWR_TRAD_AGG_STATE_PEN[],R$1,0),"ERROR")</f>
        <v>24</v>
      </c>
      <c r="S107" s="115">
        <f>IFERROR(VLOOKUP($B107,MMWR_APP_STATE_PEN[],S$1,0),"ERROR")</f>
        <v>19</v>
      </c>
      <c r="T107" s="28"/>
    </row>
    <row r="108" spans="1:20" s="123" customFormat="1" x14ac:dyDescent="0.2">
      <c r="A108" s="28"/>
      <c r="B108" s="127" t="s">
        <v>422</v>
      </c>
      <c r="C108" s="109">
        <f>IFERROR(VLOOKUP($B108,MMWR_TRAD_AGG_STATE_PEN[],C$1,0),"ERROR")</f>
        <v>29</v>
      </c>
      <c r="D108" s="110">
        <f>IFERROR(VLOOKUP($B108,MMWR_TRAD_AGG_STATE_PEN[],D$1,0),"ERROR")</f>
        <v>55.379310344799997</v>
      </c>
      <c r="E108" s="111">
        <f>IFERROR(VLOOKUP($B108,MMWR_TRAD_AGG_STATE_PEN[],E$1,0),"ERROR")</f>
        <v>27</v>
      </c>
      <c r="F108" s="112">
        <f>IFERROR(VLOOKUP($B108,MMWR_TRAD_AGG_STATE_PEN[],F$1,0),"ERROR")</f>
        <v>1</v>
      </c>
      <c r="G108" s="113">
        <f t="shared" si="12"/>
        <v>3.7037037037037035E-2</v>
      </c>
      <c r="H108" s="111">
        <f>IFERROR(VLOOKUP($B108,MMWR_TRAD_AGG_STATE_PEN[],H$1,0),"ERROR")</f>
        <v>43</v>
      </c>
      <c r="I108" s="112">
        <f>IFERROR(VLOOKUP($B108,MMWR_TRAD_AGG_STATE_PEN[],I$1,0),"ERROR")</f>
        <v>4</v>
      </c>
      <c r="J108" s="114">
        <f t="shared" si="13"/>
        <v>9.3023255813953487E-2</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0</v>
      </c>
      <c r="P108" s="114">
        <f t="shared" si="15"/>
        <v>0</v>
      </c>
      <c r="Q108" s="115">
        <f>IFERROR(VLOOKUP($B108,MMWR_TRAD_AGG_STATE_PEN[],Q$1,0),"ERROR")</f>
        <v>66</v>
      </c>
      <c r="R108" s="115">
        <f>IFERROR(VLOOKUP($B108,MMWR_TRAD_AGG_STATE_PEN[],R$1,0),"ERROR")</f>
        <v>5</v>
      </c>
      <c r="S108" s="115">
        <f>IFERROR(VLOOKUP($B108,MMWR_APP_STATE_PEN[],S$1,0),"ERROR")</f>
        <v>4</v>
      </c>
      <c r="T108" s="28"/>
    </row>
    <row r="109" spans="1:20" s="123" customFormat="1" x14ac:dyDescent="0.2">
      <c r="A109" s="28"/>
      <c r="B109" s="126" t="s">
        <v>405</v>
      </c>
      <c r="C109" s="102">
        <f>IFERROR(VLOOKUP($B109,MMWR_TRAD_AGG_ST_DISTRICT_PEN[],C$1,0),"ERROR")</f>
        <v>2621</v>
      </c>
      <c r="D109" s="103">
        <f>IFERROR(VLOOKUP($B109,MMWR_TRAD_AGG_ST_DISTRICT_PEN[],D$1,0),"ERROR")</f>
        <v>57.605112552500003</v>
      </c>
      <c r="E109" s="102">
        <f>IFERROR(VLOOKUP($B109,MMWR_TRAD_AGG_ST_DISTRICT_PEN[],E$1,0),"ERROR")</f>
        <v>3450</v>
      </c>
      <c r="F109" s="102">
        <f>IFERROR(VLOOKUP($B109,MMWR_TRAD_AGG_ST_DISTRICT_PEN[],F$1,0),"ERROR")</f>
        <v>131</v>
      </c>
      <c r="G109" s="104">
        <f t="shared" si="12"/>
        <v>3.797101449275362E-2</v>
      </c>
      <c r="H109" s="102">
        <f>IFERROR(VLOOKUP($B109,MMWR_TRAD_AGG_ST_DISTRICT_PEN[],H$1,0),"ERROR")</f>
        <v>3368</v>
      </c>
      <c r="I109" s="102">
        <f>IFERROR(VLOOKUP($B109,MMWR_TRAD_AGG_ST_DISTRICT_PEN[],I$1,0),"ERROR")</f>
        <v>150</v>
      </c>
      <c r="J109" s="104">
        <f t="shared" si="13"/>
        <v>4.453681710213777E-2</v>
      </c>
      <c r="K109" s="102">
        <f>IFERROR(VLOOKUP($B109,MMWR_TRAD_AGG_ST_DISTRICT_PEN[],K$1,0),"ERROR")</f>
        <v>21</v>
      </c>
      <c r="L109" s="102">
        <f>IFERROR(VLOOKUP($B109,MMWR_TRAD_AGG_ST_DISTRICT_PEN[],L$1,0),"ERROR")</f>
        <v>15</v>
      </c>
      <c r="M109" s="104">
        <f t="shared" si="14"/>
        <v>0.7142857142857143</v>
      </c>
      <c r="N109" s="102">
        <f>IFERROR(VLOOKUP($B109,MMWR_TRAD_AGG_ST_DISTRICT_PEN[],N$1,0),"ERROR")</f>
        <v>170</v>
      </c>
      <c r="O109" s="102">
        <f>IFERROR(VLOOKUP($B109,MMWR_TRAD_AGG_ST_DISTRICT_PEN[],O$1,0),"ERROR")</f>
        <v>63</v>
      </c>
      <c r="P109" s="104">
        <f t="shared" si="15"/>
        <v>0.37058823529411766</v>
      </c>
      <c r="Q109" s="102">
        <f>IFERROR(VLOOKUP($B109,MMWR_TRAD_AGG_ST_DISTRICT_PEN[],Q$1,0),"ERROR")</f>
        <v>3737</v>
      </c>
      <c r="R109" s="106">
        <f>IFERROR(VLOOKUP($B109,MMWR_TRAD_AGG_ST_DISTRICT_PEN[],R$1,0),"ERROR")</f>
        <v>721</v>
      </c>
      <c r="S109" s="106">
        <f>IFERROR(VLOOKUP($B109,MMWR_APP_STATE_PEN[],S$1,0),"ERROR")</f>
        <v>651</v>
      </c>
      <c r="T109" s="28"/>
    </row>
    <row r="110" spans="1:20" s="123" customFormat="1" x14ac:dyDescent="0.2">
      <c r="A110" s="28"/>
      <c r="B110" s="127" t="s">
        <v>425</v>
      </c>
      <c r="C110" s="109">
        <f>IFERROR(VLOOKUP($B110,MMWR_TRAD_AGG_STATE_PEN[],C$1,0),"ERROR")</f>
        <v>17</v>
      </c>
      <c r="D110" s="110">
        <f>IFERROR(VLOOKUP($B110,MMWR_TRAD_AGG_STATE_PEN[],D$1,0),"ERROR")</f>
        <v>70.705882352900005</v>
      </c>
      <c r="E110" s="111">
        <f>IFERROR(VLOOKUP($B110,MMWR_TRAD_AGG_STATE_PEN[],E$1,0),"ERROR")</f>
        <v>20</v>
      </c>
      <c r="F110" s="112">
        <f>IFERROR(VLOOKUP($B110,MMWR_TRAD_AGG_STATE_PEN[],F$1,0),"ERROR")</f>
        <v>0</v>
      </c>
      <c r="G110" s="113">
        <f t="shared" si="12"/>
        <v>0</v>
      </c>
      <c r="H110" s="111">
        <f>IFERROR(VLOOKUP($B110,MMWR_TRAD_AGG_STATE_PEN[],H$1,0),"ERROR")</f>
        <v>26</v>
      </c>
      <c r="I110" s="112">
        <f>IFERROR(VLOOKUP($B110,MMWR_TRAD_AGG_STATE_PEN[],I$1,0),"ERROR")</f>
        <v>2</v>
      </c>
      <c r="J110" s="114">
        <f t="shared" si="13"/>
        <v>7.6923076923076927E-2</v>
      </c>
      <c r="K110" s="111">
        <f>IFERROR(VLOOKUP($B110,MMWR_TRAD_AGG_STATE_PEN[],K$1,0),"ERROR")</f>
        <v>0</v>
      </c>
      <c r="L110" s="112">
        <f>IFERROR(VLOOKUP($B110,MMWR_TRAD_AGG_STATE_PEN[],L$1,0),"ERROR")</f>
        <v>0</v>
      </c>
      <c r="M110" s="114" t="str">
        <f t="shared" si="14"/>
        <v>0%</v>
      </c>
      <c r="N110" s="111">
        <f>IFERROR(VLOOKUP($B110,MMWR_TRAD_AGG_STATE_PEN[],N$1,0),"ERROR")</f>
        <v>1</v>
      </c>
      <c r="O110" s="112">
        <f>IFERROR(VLOOKUP($B110,MMWR_TRAD_AGG_STATE_PEN[],O$1,0),"ERROR")</f>
        <v>1</v>
      </c>
      <c r="P110" s="114">
        <f t="shared" si="15"/>
        <v>1</v>
      </c>
      <c r="Q110" s="115">
        <f>IFERROR(VLOOKUP($B110,MMWR_TRAD_AGG_STATE_PEN[],Q$1,0),"ERROR")</f>
        <v>43</v>
      </c>
      <c r="R110" s="115">
        <f>IFERROR(VLOOKUP($B110,MMWR_TRAD_AGG_STATE_PEN[],R$1,0),"ERROR")</f>
        <v>6</v>
      </c>
      <c r="S110" s="115">
        <f>IFERROR(VLOOKUP($B110,MMWR_APP_STATE_PEN[],S$1,0),"ERROR")</f>
        <v>5</v>
      </c>
      <c r="T110" s="28"/>
    </row>
    <row r="111" spans="1:20" s="123" customFormat="1" x14ac:dyDescent="0.2">
      <c r="A111" s="28"/>
      <c r="B111" s="127" t="s">
        <v>427</v>
      </c>
      <c r="C111" s="109">
        <f>IFERROR(VLOOKUP($B111,MMWR_TRAD_AGG_STATE_PEN[],C$1,0),"ERROR")</f>
        <v>332</v>
      </c>
      <c r="D111" s="110">
        <f>IFERROR(VLOOKUP($B111,MMWR_TRAD_AGG_STATE_PEN[],D$1,0),"ERROR")</f>
        <v>59.421686747000003</v>
      </c>
      <c r="E111" s="111">
        <f>IFERROR(VLOOKUP($B111,MMWR_TRAD_AGG_STATE_PEN[],E$1,0),"ERROR")</f>
        <v>425</v>
      </c>
      <c r="F111" s="112">
        <f>IFERROR(VLOOKUP($B111,MMWR_TRAD_AGG_STATE_PEN[],F$1,0),"ERROR")</f>
        <v>18</v>
      </c>
      <c r="G111" s="113">
        <f t="shared" si="12"/>
        <v>4.2352941176470586E-2</v>
      </c>
      <c r="H111" s="111">
        <f>IFERROR(VLOOKUP($B111,MMWR_TRAD_AGG_STATE_PEN[],H$1,0),"ERROR")</f>
        <v>416</v>
      </c>
      <c r="I111" s="112">
        <f>IFERROR(VLOOKUP($B111,MMWR_TRAD_AGG_STATE_PEN[],I$1,0),"ERROR")</f>
        <v>18</v>
      </c>
      <c r="J111" s="114">
        <f t="shared" si="13"/>
        <v>4.3269230769230768E-2</v>
      </c>
      <c r="K111" s="111">
        <f>IFERROR(VLOOKUP($B111,MMWR_TRAD_AGG_STATE_PEN[],K$1,0),"ERROR")</f>
        <v>1</v>
      </c>
      <c r="L111" s="112">
        <f>IFERROR(VLOOKUP($B111,MMWR_TRAD_AGG_STATE_PEN[],L$1,0),"ERROR")</f>
        <v>1</v>
      </c>
      <c r="M111" s="114">
        <f t="shared" si="14"/>
        <v>1</v>
      </c>
      <c r="N111" s="111">
        <f>IFERROR(VLOOKUP($B111,MMWR_TRAD_AGG_STATE_PEN[],N$1,0),"ERROR")</f>
        <v>17</v>
      </c>
      <c r="O111" s="112">
        <f>IFERROR(VLOOKUP($B111,MMWR_TRAD_AGG_STATE_PEN[],O$1,0),"ERROR")</f>
        <v>3</v>
      </c>
      <c r="P111" s="114">
        <f t="shared" si="15"/>
        <v>0.17647058823529413</v>
      </c>
      <c r="Q111" s="115">
        <f>IFERROR(VLOOKUP($B111,MMWR_TRAD_AGG_STATE_PEN[],Q$1,0),"ERROR")</f>
        <v>426</v>
      </c>
      <c r="R111" s="115">
        <f>IFERROR(VLOOKUP($B111,MMWR_TRAD_AGG_STATE_PEN[],R$1,0),"ERROR")</f>
        <v>108</v>
      </c>
      <c r="S111" s="115">
        <f>IFERROR(VLOOKUP($B111,MMWR_APP_STATE_PEN[],S$1,0),"ERROR")</f>
        <v>94</v>
      </c>
      <c r="T111" s="28"/>
    </row>
    <row r="112" spans="1:20" s="123" customFormat="1" x14ac:dyDescent="0.2">
      <c r="A112" s="28"/>
      <c r="B112" s="127" t="s">
        <v>408</v>
      </c>
      <c r="C112" s="109">
        <f>IFERROR(VLOOKUP($B112,MMWR_TRAD_AGG_STATE_PEN[],C$1,0),"ERROR")</f>
        <v>1389</v>
      </c>
      <c r="D112" s="110">
        <f>IFERROR(VLOOKUP($B112,MMWR_TRAD_AGG_STATE_PEN[],D$1,0),"ERROR")</f>
        <v>56.256299495999997</v>
      </c>
      <c r="E112" s="111">
        <f>IFERROR(VLOOKUP($B112,MMWR_TRAD_AGG_STATE_PEN[],E$1,0),"ERROR")</f>
        <v>1858</v>
      </c>
      <c r="F112" s="112">
        <f>IFERROR(VLOOKUP($B112,MMWR_TRAD_AGG_STATE_PEN[],F$1,0),"ERROR")</f>
        <v>65</v>
      </c>
      <c r="G112" s="113">
        <f t="shared" si="12"/>
        <v>3.4983853606027987E-2</v>
      </c>
      <c r="H112" s="111">
        <f>IFERROR(VLOOKUP($B112,MMWR_TRAD_AGG_STATE_PEN[],H$1,0),"ERROR")</f>
        <v>1759</v>
      </c>
      <c r="I112" s="112">
        <f>IFERROR(VLOOKUP($B112,MMWR_TRAD_AGG_STATE_PEN[],I$1,0),"ERROR")</f>
        <v>64</v>
      </c>
      <c r="J112" s="114">
        <f t="shared" si="13"/>
        <v>3.6384309266628764E-2</v>
      </c>
      <c r="K112" s="111">
        <f>IFERROR(VLOOKUP($B112,MMWR_TRAD_AGG_STATE_PEN[],K$1,0),"ERROR")</f>
        <v>15</v>
      </c>
      <c r="L112" s="112">
        <f>IFERROR(VLOOKUP($B112,MMWR_TRAD_AGG_STATE_PEN[],L$1,0),"ERROR")</f>
        <v>10</v>
      </c>
      <c r="M112" s="114">
        <f t="shared" si="14"/>
        <v>0.66666666666666663</v>
      </c>
      <c r="N112" s="111">
        <f>IFERROR(VLOOKUP($B112,MMWR_TRAD_AGG_STATE_PEN[],N$1,0),"ERROR")</f>
        <v>88</v>
      </c>
      <c r="O112" s="112">
        <f>IFERROR(VLOOKUP($B112,MMWR_TRAD_AGG_STATE_PEN[],O$1,0),"ERROR")</f>
        <v>31</v>
      </c>
      <c r="P112" s="114">
        <f t="shared" si="15"/>
        <v>0.35227272727272729</v>
      </c>
      <c r="Q112" s="115">
        <f>IFERROR(VLOOKUP($B112,MMWR_TRAD_AGG_STATE_PEN[],Q$1,0),"ERROR")</f>
        <v>1635</v>
      </c>
      <c r="R112" s="115">
        <f>IFERROR(VLOOKUP($B112,MMWR_TRAD_AGG_STATE_PEN[],R$1,0),"ERROR")</f>
        <v>360</v>
      </c>
      <c r="S112" s="115">
        <f>IFERROR(VLOOKUP($B112,MMWR_APP_STATE_PEN[],S$1,0),"ERROR")</f>
        <v>353</v>
      </c>
      <c r="T112" s="28"/>
    </row>
    <row r="113" spans="1:20" s="123" customFormat="1" x14ac:dyDescent="0.2">
      <c r="A113" s="28"/>
      <c r="B113" s="127" t="s">
        <v>429</v>
      </c>
      <c r="C113" s="109">
        <f>IFERROR(VLOOKUP($B113,MMWR_TRAD_AGG_STATE_PEN[],C$1,0),"ERROR")</f>
        <v>36</v>
      </c>
      <c r="D113" s="110">
        <f>IFERROR(VLOOKUP($B113,MMWR_TRAD_AGG_STATE_PEN[],D$1,0),"ERROR")</f>
        <v>63.611111111100001</v>
      </c>
      <c r="E113" s="111">
        <f>IFERROR(VLOOKUP($B113,MMWR_TRAD_AGG_STATE_PEN[],E$1,0),"ERROR")</f>
        <v>22</v>
      </c>
      <c r="F113" s="112">
        <f>IFERROR(VLOOKUP($B113,MMWR_TRAD_AGG_STATE_PEN[],F$1,0),"ERROR")</f>
        <v>1</v>
      </c>
      <c r="G113" s="113">
        <f t="shared" si="12"/>
        <v>4.5454545454545456E-2</v>
      </c>
      <c r="H113" s="111">
        <f>IFERROR(VLOOKUP($B113,MMWR_TRAD_AGG_STATE_PEN[],H$1,0),"ERROR")</f>
        <v>44</v>
      </c>
      <c r="I113" s="112">
        <f>IFERROR(VLOOKUP($B113,MMWR_TRAD_AGG_STATE_PEN[],I$1,0),"ERROR")</f>
        <v>2</v>
      </c>
      <c r="J113" s="114">
        <f t="shared" si="13"/>
        <v>4.5454545454545456E-2</v>
      </c>
      <c r="K113" s="111">
        <f>IFERROR(VLOOKUP($B113,MMWR_TRAD_AGG_STATE_PEN[],K$1,0),"ERROR")</f>
        <v>1</v>
      </c>
      <c r="L113" s="112">
        <f>IFERROR(VLOOKUP($B113,MMWR_TRAD_AGG_STATE_PEN[],L$1,0),"ERROR")</f>
        <v>1</v>
      </c>
      <c r="M113" s="114">
        <f t="shared" si="14"/>
        <v>1</v>
      </c>
      <c r="N113" s="111">
        <f>IFERROR(VLOOKUP($B113,MMWR_TRAD_AGG_STATE_PEN[],N$1,0),"ERROR")</f>
        <v>1</v>
      </c>
      <c r="O113" s="112">
        <f>IFERROR(VLOOKUP($B113,MMWR_TRAD_AGG_STATE_PEN[],O$1,0),"ERROR")</f>
        <v>0</v>
      </c>
      <c r="P113" s="114">
        <f t="shared" si="15"/>
        <v>0</v>
      </c>
      <c r="Q113" s="115">
        <f>IFERROR(VLOOKUP($B113,MMWR_TRAD_AGG_STATE_PEN[],Q$1,0),"ERROR")</f>
        <v>73</v>
      </c>
      <c r="R113" s="115">
        <f>IFERROR(VLOOKUP($B113,MMWR_TRAD_AGG_STATE_PEN[],R$1,0),"ERROR")</f>
        <v>12</v>
      </c>
      <c r="S113" s="115">
        <f>IFERROR(VLOOKUP($B113,MMWR_APP_STATE_PEN[],S$1,0),"ERROR")</f>
        <v>12</v>
      </c>
      <c r="T113" s="28"/>
    </row>
    <row r="114" spans="1:20" s="123" customFormat="1" x14ac:dyDescent="0.2">
      <c r="A114" s="28"/>
      <c r="B114" s="127" t="s">
        <v>409</v>
      </c>
      <c r="C114" s="109">
        <f>IFERROR(VLOOKUP($B114,MMWR_TRAD_AGG_STATE_PEN[],C$1,0),"ERROR")</f>
        <v>87</v>
      </c>
      <c r="D114" s="110">
        <f>IFERROR(VLOOKUP($B114,MMWR_TRAD_AGG_STATE_PEN[],D$1,0),"ERROR")</f>
        <v>54</v>
      </c>
      <c r="E114" s="111">
        <f>IFERROR(VLOOKUP($B114,MMWR_TRAD_AGG_STATE_PEN[],E$1,0),"ERROR")</f>
        <v>111</v>
      </c>
      <c r="F114" s="112">
        <f>IFERROR(VLOOKUP($B114,MMWR_TRAD_AGG_STATE_PEN[],F$1,0),"ERROR")</f>
        <v>2</v>
      </c>
      <c r="G114" s="113">
        <f t="shared" si="12"/>
        <v>1.8018018018018018E-2</v>
      </c>
      <c r="H114" s="111">
        <f>IFERROR(VLOOKUP($B114,MMWR_TRAD_AGG_STATE_PEN[],H$1,0),"ERROR")</f>
        <v>102</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2</v>
      </c>
      <c r="P114" s="114">
        <f t="shared" si="15"/>
        <v>0.66666666666666663</v>
      </c>
      <c r="Q114" s="115">
        <f>IFERROR(VLOOKUP($B114,MMWR_TRAD_AGG_STATE_PEN[],Q$1,0),"ERROR")</f>
        <v>135</v>
      </c>
      <c r="R114" s="115">
        <f>IFERROR(VLOOKUP($B114,MMWR_TRAD_AGG_STATE_PEN[],R$1,0),"ERROR")</f>
        <v>18</v>
      </c>
      <c r="S114" s="115">
        <f>IFERROR(VLOOKUP($B114,MMWR_APP_STATE_PEN[],S$1,0),"ERROR")</f>
        <v>8</v>
      </c>
      <c r="T114" s="28"/>
    </row>
    <row r="115" spans="1:20" s="123" customFormat="1" x14ac:dyDescent="0.2">
      <c r="A115" s="28"/>
      <c r="B115" s="127" t="s">
        <v>414</v>
      </c>
      <c r="C115" s="109">
        <f>IFERROR(VLOOKUP($B115,MMWR_TRAD_AGG_STATE_PEN[],C$1,0),"ERROR")</f>
        <v>130</v>
      </c>
      <c r="D115" s="110">
        <f>IFERROR(VLOOKUP($B115,MMWR_TRAD_AGG_STATE_PEN[],D$1,0),"ERROR")</f>
        <v>59.607692307699999</v>
      </c>
      <c r="E115" s="111">
        <f>IFERROR(VLOOKUP($B115,MMWR_TRAD_AGG_STATE_PEN[],E$1,0),"ERROR")</f>
        <v>186</v>
      </c>
      <c r="F115" s="112">
        <f>IFERROR(VLOOKUP($B115,MMWR_TRAD_AGG_STATE_PEN[],F$1,0),"ERROR")</f>
        <v>5</v>
      </c>
      <c r="G115" s="113">
        <f t="shared" si="12"/>
        <v>2.6881720430107527E-2</v>
      </c>
      <c r="H115" s="111">
        <f>IFERROR(VLOOKUP($B115,MMWR_TRAD_AGG_STATE_PEN[],H$1,0),"ERROR")</f>
        <v>172</v>
      </c>
      <c r="I115" s="112">
        <f>IFERROR(VLOOKUP($B115,MMWR_TRAD_AGG_STATE_PEN[],I$1,0),"ERROR")</f>
        <v>10</v>
      </c>
      <c r="J115" s="114">
        <f t="shared" si="13"/>
        <v>5.8139534883720929E-2</v>
      </c>
      <c r="K115" s="111">
        <f>IFERROR(VLOOKUP($B115,MMWR_TRAD_AGG_STATE_PEN[],K$1,0),"ERROR")</f>
        <v>0</v>
      </c>
      <c r="L115" s="112">
        <f>IFERROR(VLOOKUP($B115,MMWR_TRAD_AGG_STATE_PEN[],L$1,0),"ERROR")</f>
        <v>0</v>
      </c>
      <c r="M115" s="114" t="str">
        <f t="shared" si="14"/>
        <v>0%</v>
      </c>
      <c r="N115" s="111">
        <f>IFERROR(VLOOKUP($B115,MMWR_TRAD_AGG_STATE_PEN[],N$1,0),"ERROR")</f>
        <v>11</v>
      </c>
      <c r="O115" s="112">
        <f>IFERROR(VLOOKUP($B115,MMWR_TRAD_AGG_STATE_PEN[],O$1,0),"ERROR")</f>
        <v>5</v>
      </c>
      <c r="P115" s="114">
        <f t="shared" si="15"/>
        <v>0.45454545454545453</v>
      </c>
      <c r="Q115" s="115">
        <f>IFERROR(VLOOKUP($B115,MMWR_TRAD_AGG_STATE_PEN[],Q$1,0),"ERROR")</f>
        <v>185</v>
      </c>
      <c r="R115" s="115">
        <f>IFERROR(VLOOKUP($B115,MMWR_TRAD_AGG_STATE_PEN[],R$1,0),"ERROR")</f>
        <v>42</v>
      </c>
      <c r="S115" s="115">
        <f>IFERROR(VLOOKUP($B115,MMWR_APP_STATE_PEN[],S$1,0),"ERROR")</f>
        <v>34</v>
      </c>
      <c r="T115" s="28"/>
    </row>
    <row r="116" spans="1:20" s="123" customFormat="1" x14ac:dyDescent="0.2">
      <c r="A116" s="28"/>
      <c r="B116" s="127" t="s">
        <v>406</v>
      </c>
      <c r="C116" s="109">
        <f>IFERROR(VLOOKUP($B116,MMWR_TRAD_AGG_STATE_PEN[],C$1,0),"ERROR")</f>
        <v>101</v>
      </c>
      <c r="D116" s="110">
        <f>IFERROR(VLOOKUP($B116,MMWR_TRAD_AGG_STATE_PEN[],D$1,0),"ERROR")</f>
        <v>56.930693069299998</v>
      </c>
      <c r="E116" s="111">
        <f>IFERROR(VLOOKUP($B116,MMWR_TRAD_AGG_STATE_PEN[],E$1,0),"ERROR")</f>
        <v>156</v>
      </c>
      <c r="F116" s="112">
        <f>IFERROR(VLOOKUP($B116,MMWR_TRAD_AGG_STATE_PEN[],F$1,0),"ERROR")</f>
        <v>3</v>
      </c>
      <c r="G116" s="113">
        <f t="shared" si="12"/>
        <v>1.9230769230769232E-2</v>
      </c>
      <c r="H116" s="111">
        <f>IFERROR(VLOOKUP($B116,MMWR_TRAD_AGG_STATE_PEN[],H$1,0),"ERROR")</f>
        <v>128</v>
      </c>
      <c r="I116" s="112">
        <f>IFERROR(VLOOKUP($B116,MMWR_TRAD_AGG_STATE_PEN[],I$1,0),"ERROR")</f>
        <v>6</v>
      </c>
      <c r="J116" s="114">
        <f t="shared" si="13"/>
        <v>4.6875E-2</v>
      </c>
      <c r="K116" s="111">
        <f>IFERROR(VLOOKUP($B116,MMWR_TRAD_AGG_STATE_PEN[],K$1,0),"ERROR")</f>
        <v>0</v>
      </c>
      <c r="L116" s="112">
        <f>IFERROR(VLOOKUP($B116,MMWR_TRAD_AGG_STATE_PEN[],L$1,0),"ERROR")</f>
        <v>0</v>
      </c>
      <c r="M116" s="114" t="str">
        <f t="shared" si="14"/>
        <v>0%</v>
      </c>
      <c r="N116" s="111">
        <f>IFERROR(VLOOKUP($B116,MMWR_TRAD_AGG_STATE_PEN[],N$1,0),"ERROR")</f>
        <v>8</v>
      </c>
      <c r="O116" s="112">
        <f>IFERROR(VLOOKUP($B116,MMWR_TRAD_AGG_STATE_PEN[],O$1,0),"ERROR")</f>
        <v>2</v>
      </c>
      <c r="P116" s="114">
        <f t="shared" si="15"/>
        <v>0.25</v>
      </c>
      <c r="Q116" s="115">
        <f>IFERROR(VLOOKUP($B116,MMWR_TRAD_AGG_STATE_PEN[],Q$1,0),"ERROR")</f>
        <v>283</v>
      </c>
      <c r="R116" s="115">
        <f>IFERROR(VLOOKUP($B116,MMWR_TRAD_AGG_STATE_PEN[],R$1,0),"ERROR")</f>
        <v>26</v>
      </c>
      <c r="S116" s="115">
        <f>IFERROR(VLOOKUP($B116,MMWR_APP_STATE_PEN[],S$1,0),"ERROR")</f>
        <v>26</v>
      </c>
      <c r="T116" s="28"/>
    </row>
    <row r="117" spans="1:20" s="123" customFormat="1" x14ac:dyDescent="0.2">
      <c r="A117" s="28"/>
      <c r="B117" s="127" t="s">
        <v>410</v>
      </c>
      <c r="C117" s="109">
        <f>IFERROR(VLOOKUP($B117,MMWR_TRAD_AGG_STATE_PEN[],C$1,0),"ERROR")</f>
        <v>255</v>
      </c>
      <c r="D117" s="110">
        <f>IFERROR(VLOOKUP($B117,MMWR_TRAD_AGG_STATE_PEN[],D$1,0),"ERROR")</f>
        <v>59.556862745099998</v>
      </c>
      <c r="E117" s="111">
        <f>IFERROR(VLOOKUP($B117,MMWR_TRAD_AGG_STATE_PEN[],E$1,0),"ERROR")</f>
        <v>275</v>
      </c>
      <c r="F117" s="112">
        <f>IFERROR(VLOOKUP($B117,MMWR_TRAD_AGG_STATE_PEN[],F$1,0),"ERROR")</f>
        <v>17</v>
      </c>
      <c r="G117" s="113">
        <f t="shared" si="12"/>
        <v>6.1818181818181821E-2</v>
      </c>
      <c r="H117" s="111">
        <f>IFERROR(VLOOKUP($B117,MMWR_TRAD_AGG_STATE_PEN[],H$1,0),"ERROR")</f>
        <v>337</v>
      </c>
      <c r="I117" s="112">
        <f>IFERROR(VLOOKUP($B117,MMWR_TRAD_AGG_STATE_PEN[],I$1,0),"ERROR")</f>
        <v>12</v>
      </c>
      <c r="J117" s="114">
        <f t="shared" si="13"/>
        <v>3.5608308605341248E-2</v>
      </c>
      <c r="K117" s="111">
        <f>IFERROR(VLOOKUP($B117,MMWR_TRAD_AGG_STATE_PEN[],K$1,0),"ERROR")</f>
        <v>1</v>
      </c>
      <c r="L117" s="112">
        <f>IFERROR(VLOOKUP($B117,MMWR_TRAD_AGG_STATE_PEN[],L$1,0),"ERROR")</f>
        <v>1</v>
      </c>
      <c r="M117" s="114">
        <f t="shared" si="14"/>
        <v>1</v>
      </c>
      <c r="N117" s="111">
        <f>IFERROR(VLOOKUP($B117,MMWR_TRAD_AGG_STATE_PEN[],N$1,0),"ERROR")</f>
        <v>15</v>
      </c>
      <c r="O117" s="112">
        <f>IFERROR(VLOOKUP($B117,MMWR_TRAD_AGG_STATE_PEN[],O$1,0),"ERROR")</f>
        <v>5</v>
      </c>
      <c r="P117" s="114">
        <f t="shared" si="15"/>
        <v>0.33333333333333331</v>
      </c>
      <c r="Q117" s="115">
        <f>IFERROR(VLOOKUP($B117,MMWR_TRAD_AGG_STATE_PEN[],Q$1,0),"ERROR")</f>
        <v>421</v>
      </c>
      <c r="R117" s="115">
        <f>IFERROR(VLOOKUP($B117,MMWR_TRAD_AGG_STATE_PEN[],R$1,0),"ERROR")</f>
        <v>56</v>
      </c>
      <c r="S117" s="115">
        <f>IFERROR(VLOOKUP($B117,MMWR_APP_STATE_PEN[],S$1,0),"ERROR")</f>
        <v>37</v>
      </c>
      <c r="T117" s="28"/>
    </row>
    <row r="118" spans="1:20" s="123" customFormat="1" x14ac:dyDescent="0.2">
      <c r="A118" s="28"/>
      <c r="B118" s="127" t="s">
        <v>80</v>
      </c>
      <c r="C118" s="109">
        <f>IFERROR(VLOOKUP($B118,MMWR_TRAD_AGG_STATE_PEN[],C$1,0),"ERROR")</f>
        <v>274</v>
      </c>
      <c r="D118" s="110">
        <f>IFERROR(VLOOKUP($B118,MMWR_TRAD_AGG_STATE_PEN[],D$1,0),"ERROR")</f>
        <v>59.266423357699999</v>
      </c>
      <c r="E118" s="111">
        <f>IFERROR(VLOOKUP($B118,MMWR_TRAD_AGG_STATE_PEN[],E$1,0),"ERROR")</f>
        <v>397</v>
      </c>
      <c r="F118" s="112">
        <f>IFERROR(VLOOKUP($B118,MMWR_TRAD_AGG_STATE_PEN[],F$1,0),"ERROR")</f>
        <v>20</v>
      </c>
      <c r="G118" s="113">
        <f t="shared" si="12"/>
        <v>5.0377833753148617E-2</v>
      </c>
      <c r="H118" s="111">
        <f>IFERROR(VLOOKUP($B118,MMWR_TRAD_AGG_STATE_PEN[],H$1,0),"ERROR")</f>
        <v>384</v>
      </c>
      <c r="I118" s="112">
        <f>IFERROR(VLOOKUP($B118,MMWR_TRAD_AGG_STATE_PEN[],I$1,0),"ERROR")</f>
        <v>36</v>
      </c>
      <c r="J118" s="114">
        <f t="shared" si="13"/>
        <v>9.375E-2</v>
      </c>
      <c r="K118" s="111">
        <f>IFERROR(VLOOKUP($B118,MMWR_TRAD_AGG_STATE_PEN[],K$1,0),"ERROR")</f>
        <v>2</v>
      </c>
      <c r="L118" s="112">
        <f>IFERROR(VLOOKUP($B118,MMWR_TRAD_AGG_STATE_PEN[],L$1,0),"ERROR")</f>
        <v>1</v>
      </c>
      <c r="M118" s="114">
        <f t="shared" si="14"/>
        <v>0.5</v>
      </c>
      <c r="N118" s="111">
        <f>IFERROR(VLOOKUP($B118,MMWR_TRAD_AGG_STATE_PEN[],N$1,0),"ERROR")</f>
        <v>26</v>
      </c>
      <c r="O118" s="112">
        <f>IFERROR(VLOOKUP($B118,MMWR_TRAD_AGG_STATE_PEN[],O$1,0),"ERROR")</f>
        <v>14</v>
      </c>
      <c r="P118" s="114">
        <f t="shared" si="15"/>
        <v>0.53846153846153844</v>
      </c>
      <c r="Q118" s="115">
        <f>IFERROR(VLOOKUP($B118,MMWR_TRAD_AGG_STATE_PEN[],Q$1,0),"ERROR")</f>
        <v>536</v>
      </c>
      <c r="R118" s="115">
        <f>IFERROR(VLOOKUP($B118,MMWR_TRAD_AGG_STATE_PEN[],R$1,0),"ERROR")</f>
        <v>93</v>
      </c>
      <c r="S118" s="115">
        <f>IFERROR(VLOOKUP($B118,MMWR_APP_STATE_PEN[],S$1,0),"ERROR")</f>
        <v>82</v>
      </c>
      <c r="T118" s="28"/>
    </row>
    <row r="119" spans="1:20" s="123" customFormat="1" x14ac:dyDescent="0.2">
      <c r="A119" s="28"/>
      <c r="B119" s="126" t="s">
        <v>381</v>
      </c>
      <c r="C119" s="102">
        <f>IFERROR(VLOOKUP($B119,MMWR_TRAD_AGG_ST_DISTRICT_PEN[],C$1,0),"ERROR")</f>
        <v>9106</v>
      </c>
      <c r="D119" s="103">
        <f>IFERROR(VLOOKUP($B119,MMWR_TRAD_AGG_ST_DISTRICT_PEN[],D$1,0),"ERROR")</f>
        <v>87.844168679999996</v>
      </c>
      <c r="E119" s="102">
        <f>IFERROR(VLOOKUP($B119,MMWR_TRAD_AGG_ST_DISTRICT_PEN[],E$1,0),"ERROR")</f>
        <v>9099</v>
      </c>
      <c r="F119" s="102">
        <f>IFERROR(VLOOKUP($B119,MMWR_TRAD_AGG_ST_DISTRICT_PEN[],F$1,0),"ERROR")</f>
        <v>1691</v>
      </c>
      <c r="G119" s="104">
        <f t="shared" si="12"/>
        <v>0.18584459830750633</v>
      </c>
      <c r="H119" s="102">
        <f>IFERROR(VLOOKUP($B119,MMWR_TRAD_AGG_ST_DISTRICT_PEN[],H$1,0),"ERROR")</f>
        <v>10860</v>
      </c>
      <c r="I119" s="102">
        <f>IFERROR(VLOOKUP($B119,MMWR_TRAD_AGG_ST_DISTRICT_PEN[],I$1,0),"ERROR")</f>
        <v>2316</v>
      </c>
      <c r="J119" s="104">
        <f t="shared" si="13"/>
        <v>0.21325966850828729</v>
      </c>
      <c r="K119" s="102">
        <f>IFERROR(VLOOKUP($B119,MMWR_TRAD_AGG_ST_DISTRICT_PEN[],K$1,0),"ERROR")</f>
        <v>45</v>
      </c>
      <c r="L119" s="102">
        <f>IFERROR(VLOOKUP($B119,MMWR_TRAD_AGG_ST_DISTRICT_PEN[],L$1,0),"ERROR")</f>
        <v>39</v>
      </c>
      <c r="M119" s="104">
        <f t="shared" si="14"/>
        <v>0.8666666666666667</v>
      </c>
      <c r="N119" s="102">
        <f>IFERROR(VLOOKUP($B119,MMWR_TRAD_AGG_ST_DISTRICT_PEN[],N$1,0),"ERROR")</f>
        <v>640</v>
      </c>
      <c r="O119" s="102">
        <f>IFERROR(VLOOKUP($B119,MMWR_TRAD_AGG_ST_DISTRICT_PEN[],O$1,0),"ERROR")</f>
        <v>158</v>
      </c>
      <c r="P119" s="104">
        <f t="shared" si="15"/>
        <v>0.24687500000000001</v>
      </c>
      <c r="Q119" s="102">
        <f>IFERROR(VLOOKUP($B119,MMWR_TRAD_AGG_ST_DISTRICT_PEN[],Q$1,0),"ERROR")</f>
        <v>1219</v>
      </c>
      <c r="R119" s="106">
        <f>IFERROR(VLOOKUP($B119,MMWR_TRAD_AGG_ST_DISTRICT_PEN[],R$1,0),"ERROR")</f>
        <v>1889</v>
      </c>
      <c r="S119" s="106">
        <f>IFERROR(VLOOKUP($B119,MMWR_APP_STATE_PEN[],S$1,0),"ERROR")</f>
        <v>1711</v>
      </c>
      <c r="T119" s="28"/>
    </row>
    <row r="120" spans="1:20" s="123" customFormat="1" x14ac:dyDescent="0.2">
      <c r="A120" s="28"/>
      <c r="B120" s="127" t="s">
        <v>389</v>
      </c>
      <c r="C120" s="109">
        <f>IFERROR(VLOOKUP($B120,MMWR_TRAD_AGG_STATE_PEN[],C$1,0),"ERROR")</f>
        <v>1226</v>
      </c>
      <c r="D120" s="110">
        <f>IFERROR(VLOOKUP($B120,MMWR_TRAD_AGG_STATE_PEN[],D$1,0),"ERROR")</f>
        <v>59.366231647600003</v>
      </c>
      <c r="E120" s="111">
        <f>IFERROR(VLOOKUP($B120,MMWR_TRAD_AGG_STATE_PEN[],E$1,0),"ERROR")</f>
        <v>840</v>
      </c>
      <c r="F120" s="112">
        <f>IFERROR(VLOOKUP($B120,MMWR_TRAD_AGG_STATE_PEN[],F$1,0),"ERROR")</f>
        <v>91</v>
      </c>
      <c r="G120" s="113">
        <f t="shared" si="12"/>
        <v>0.10833333333333334</v>
      </c>
      <c r="H120" s="111">
        <f>IFERROR(VLOOKUP($B120,MMWR_TRAD_AGG_STATE_PEN[],H$1,0),"ERROR")</f>
        <v>1414</v>
      </c>
      <c r="I120" s="112">
        <f>IFERROR(VLOOKUP($B120,MMWR_TRAD_AGG_STATE_PEN[],I$1,0),"ERROR")</f>
        <v>66</v>
      </c>
      <c r="J120" s="114">
        <f t="shared" si="13"/>
        <v>4.6676096181046678E-2</v>
      </c>
      <c r="K120" s="111">
        <f>IFERROR(VLOOKUP($B120,MMWR_TRAD_AGG_STATE_PEN[],K$1,0),"ERROR")</f>
        <v>5</v>
      </c>
      <c r="L120" s="112">
        <f>IFERROR(VLOOKUP($B120,MMWR_TRAD_AGG_STATE_PEN[],L$1,0),"ERROR")</f>
        <v>5</v>
      </c>
      <c r="M120" s="114">
        <f t="shared" si="14"/>
        <v>1</v>
      </c>
      <c r="N120" s="111">
        <f>IFERROR(VLOOKUP($B120,MMWR_TRAD_AGG_STATE_PEN[],N$1,0),"ERROR")</f>
        <v>57</v>
      </c>
      <c r="O120" s="112">
        <f>IFERROR(VLOOKUP($B120,MMWR_TRAD_AGG_STATE_PEN[],O$1,0),"ERROR")</f>
        <v>14</v>
      </c>
      <c r="P120" s="114">
        <f t="shared" si="15"/>
        <v>0.24561403508771928</v>
      </c>
      <c r="Q120" s="115">
        <f>IFERROR(VLOOKUP($B120,MMWR_TRAD_AGG_STATE_PEN[],Q$1,0),"ERROR")</f>
        <v>129</v>
      </c>
      <c r="R120" s="115">
        <f>IFERROR(VLOOKUP($B120,MMWR_TRAD_AGG_STATE_PEN[],R$1,0),"ERROR")</f>
        <v>96</v>
      </c>
      <c r="S120" s="115">
        <f>IFERROR(VLOOKUP($B120,MMWR_APP_STATE_PEN[],S$1,0),"ERROR")</f>
        <v>270</v>
      </c>
      <c r="T120" s="28"/>
    </row>
    <row r="121" spans="1:20" s="123" customFormat="1" x14ac:dyDescent="0.2">
      <c r="A121" s="28"/>
      <c r="B121" s="127" t="s">
        <v>426</v>
      </c>
      <c r="C121" s="109">
        <f>IFERROR(VLOOKUP($B121,MMWR_TRAD_AGG_STATE_PEN[],C$1,0),"ERROR")</f>
        <v>2576</v>
      </c>
      <c r="D121" s="110">
        <f>IFERROR(VLOOKUP($B121,MMWR_TRAD_AGG_STATE_PEN[],D$1,0),"ERROR")</f>
        <v>99.441381987599996</v>
      </c>
      <c r="E121" s="111">
        <f>IFERROR(VLOOKUP($B121,MMWR_TRAD_AGG_STATE_PEN[],E$1,0),"ERROR")</f>
        <v>3721</v>
      </c>
      <c r="F121" s="112">
        <f>IFERROR(VLOOKUP($B121,MMWR_TRAD_AGG_STATE_PEN[],F$1,0),"ERROR")</f>
        <v>779</v>
      </c>
      <c r="G121" s="113">
        <f t="shared" si="12"/>
        <v>0.20935232464391293</v>
      </c>
      <c r="H121" s="111">
        <f>IFERROR(VLOOKUP($B121,MMWR_TRAD_AGG_STATE_PEN[],H$1,0),"ERROR")</f>
        <v>3154</v>
      </c>
      <c r="I121" s="112">
        <f>IFERROR(VLOOKUP($B121,MMWR_TRAD_AGG_STATE_PEN[],I$1,0),"ERROR")</f>
        <v>904</v>
      </c>
      <c r="J121" s="114">
        <f t="shared" si="13"/>
        <v>0.28662016487000636</v>
      </c>
      <c r="K121" s="111">
        <f>IFERROR(VLOOKUP($B121,MMWR_TRAD_AGG_STATE_PEN[],K$1,0),"ERROR")</f>
        <v>22</v>
      </c>
      <c r="L121" s="112">
        <f>IFERROR(VLOOKUP($B121,MMWR_TRAD_AGG_STATE_PEN[],L$1,0),"ERROR")</f>
        <v>20</v>
      </c>
      <c r="M121" s="114">
        <f t="shared" si="14"/>
        <v>0.90909090909090906</v>
      </c>
      <c r="N121" s="111">
        <f>IFERROR(VLOOKUP($B121,MMWR_TRAD_AGG_STATE_PEN[],N$1,0),"ERROR")</f>
        <v>213</v>
      </c>
      <c r="O121" s="112">
        <f>IFERROR(VLOOKUP($B121,MMWR_TRAD_AGG_STATE_PEN[],O$1,0),"ERROR")</f>
        <v>57</v>
      </c>
      <c r="P121" s="114">
        <f t="shared" si="15"/>
        <v>0.26760563380281688</v>
      </c>
      <c r="Q121" s="115">
        <f>IFERROR(VLOOKUP($B121,MMWR_TRAD_AGG_STATE_PEN[],Q$1,0),"ERROR")</f>
        <v>463</v>
      </c>
      <c r="R121" s="115">
        <f>IFERROR(VLOOKUP($B121,MMWR_TRAD_AGG_STATE_PEN[],R$1,0),"ERROR")</f>
        <v>762</v>
      </c>
      <c r="S121" s="115">
        <f>IFERROR(VLOOKUP($B121,MMWR_APP_STATE_PEN[],S$1,0),"ERROR")</f>
        <v>507</v>
      </c>
      <c r="T121" s="28"/>
    </row>
    <row r="122" spans="1:20" s="123" customFormat="1" x14ac:dyDescent="0.2">
      <c r="A122" s="28"/>
      <c r="B122" s="127" t="s">
        <v>382</v>
      </c>
      <c r="C122" s="109">
        <f>IFERROR(VLOOKUP($B122,MMWR_TRAD_AGG_STATE_PEN[],C$1,0),"ERROR")</f>
        <v>1295</v>
      </c>
      <c r="D122" s="110">
        <f>IFERROR(VLOOKUP($B122,MMWR_TRAD_AGG_STATE_PEN[],D$1,0),"ERROR")</f>
        <v>105.67104247100001</v>
      </c>
      <c r="E122" s="111">
        <f>IFERROR(VLOOKUP($B122,MMWR_TRAD_AGG_STATE_PEN[],E$1,0),"ERROR")</f>
        <v>1692</v>
      </c>
      <c r="F122" s="112">
        <f>IFERROR(VLOOKUP($B122,MMWR_TRAD_AGG_STATE_PEN[],F$1,0),"ERROR")</f>
        <v>385</v>
      </c>
      <c r="G122" s="113">
        <f t="shared" si="12"/>
        <v>0.22754137115839243</v>
      </c>
      <c r="H122" s="111">
        <f>IFERROR(VLOOKUP($B122,MMWR_TRAD_AGG_STATE_PEN[],H$1,0),"ERROR")</f>
        <v>1582</v>
      </c>
      <c r="I122" s="112">
        <f>IFERROR(VLOOKUP($B122,MMWR_TRAD_AGG_STATE_PEN[],I$1,0),"ERROR")</f>
        <v>518</v>
      </c>
      <c r="J122" s="114">
        <f t="shared" si="13"/>
        <v>0.32743362831858408</v>
      </c>
      <c r="K122" s="111">
        <f>IFERROR(VLOOKUP($B122,MMWR_TRAD_AGG_STATE_PEN[],K$1,0),"ERROR")</f>
        <v>9</v>
      </c>
      <c r="L122" s="112">
        <f>IFERROR(VLOOKUP($B122,MMWR_TRAD_AGG_STATE_PEN[],L$1,0),"ERROR")</f>
        <v>7</v>
      </c>
      <c r="M122" s="114">
        <f t="shared" si="14"/>
        <v>0.77777777777777779</v>
      </c>
      <c r="N122" s="111">
        <f>IFERROR(VLOOKUP($B122,MMWR_TRAD_AGG_STATE_PEN[],N$1,0),"ERROR")</f>
        <v>140</v>
      </c>
      <c r="O122" s="112">
        <f>IFERROR(VLOOKUP($B122,MMWR_TRAD_AGG_STATE_PEN[],O$1,0),"ERROR")</f>
        <v>33</v>
      </c>
      <c r="P122" s="114">
        <f t="shared" si="15"/>
        <v>0.23571428571428571</v>
      </c>
      <c r="Q122" s="115">
        <f>IFERROR(VLOOKUP($B122,MMWR_TRAD_AGG_STATE_PEN[],Q$1,0),"ERROR")</f>
        <v>205</v>
      </c>
      <c r="R122" s="115">
        <f>IFERROR(VLOOKUP($B122,MMWR_TRAD_AGG_STATE_PEN[],R$1,0),"ERROR")</f>
        <v>480</v>
      </c>
      <c r="S122" s="115">
        <f>IFERROR(VLOOKUP($B122,MMWR_APP_STATE_PEN[],S$1,0),"ERROR")</f>
        <v>319</v>
      </c>
      <c r="T122" s="28"/>
    </row>
    <row r="123" spans="1:20" s="123" customFormat="1" x14ac:dyDescent="0.2">
      <c r="A123" s="28"/>
      <c r="B123" s="127" t="s">
        <v>394</v>
      </c>
      <c r="C123" s="109">
        <f>IFERROR(VLOOKUP($B123,MMWR_TRAD_AGG_STATE_PEN[],C$1,0),"ERROR")</f>
        <v>427</v>
      </c>
      <c r="D123" s="110">
        <f>IFERROR(VLOOKUP($B123,MMWR_TRAD_AGG_STATE_PEN[],D$1,0),"ERROR")</f>
        <v>60.133489461400004</v>
      </c>
      <c r="E123" s="111">
        <f>IFERROR(VLOOKUP($B123,MMWR_TRAD_AGG_STATE_PEN[],E$1,0),"ERROR")</f>
        <v>405</v>
      </c>
      <c r="F123" s="112">
        <f>IFERROR(VLOOKUP($B123,MMWR_TRAD_AGG_STATE_PEN[],F$1,0),"ERROR")</f>
        <v>27</v>
      </c>
      <c r="G123" s="113">
        <f t="shared" si="12"/>
        <v>6.6666666666666666E-2</v>
      </c>
      <c r="H123" s="111">
        <f>IFERROR(VLOOKUP($B123,MMWR_TRAD_AGG_STATE_PEN[],H$1,0),"ERROR")</f>
        <v>517</v>
      </c>
      <c r="I123" s="112">
        <f>IFERROR(VLOOKUP($B123,MMWR_TRAD_AGG_STATE_PEN[],I$1,0),"ERROR")</f>
        <v>30</v>
      </c>
      <c r="J123" s="114">
        <f t="shared" si="13"/>
        <v>5.8027079303675046E-2</v>
      </c>
      <c r="K123" s="111">
        <f>IFERROR(VLOOKUP($B123,MMWR_TRAD_AGG_STATE_PEN[],K$1,0),"ERROR")</f>
        <v>1</v>
      </c>
      <c r="L123" s="112">
        <f>IFERROR(VLOOKUP($B123,MMWR_TRAD_AGG_STATE_PEN[],L$1,0),"ERROR")</f>
        <v>1</v>
      </c>
      <c r="M123" s="114">
        <f t="shared" si="14"/>
        <v>1</v>
      </c>
      <c r="N123" s="111">
        <f>IFERROR(VLOOKUP($B123,MMWR_TRAD_AGG_STATE_PEN[],N$1,0),"ERROR")</f>
        <v>45</v>
      </c>
      <c r="O123" s="112">
        <f>IFERROR(VLOOKUP($B123,MMWR_TRAD_AGG_STATE_PEN[],O$1,0),"ERROR")</f>
        <v>8</v>
      </c>
      <c r="P123" s="114">
        <f t="shared" si="15"/>
        <v>0.17777777777777778</v>
      </c>
      <c r="Q123" s="115">
        <f>IFERROR(VLOOKUP($B123,MMWR_TRAD_AGG_STATE_PEN[],Q$1,0),"ERROR")</f>
        <v>78</v>
      </c>
      <c r="R123" s="115">
        <f>IFERROR(VLOOKUP($B123,MMWR_TRAD_AGG_STATE_PEN[],R$1,0),"ERROR")</f>
        <v>71</v>
      </c>
      <c r="S123" s="115">
        <f>IFERROR(VLOOKUP($B123,MMWR_APP_STATE_PEN[],S$1,0),"ERROR")</f>
        <v>114</v>
      </c>
      <c r="T123" s="28"/>
    </row>
    <row r="124" spans="1:20" s="123" customFormat="1" x14ac:dyDescent="0.2">
      <c r="A124" s="28"/>
      <c r="B124" s="127" t="s">
        <v>428</v>
      </c>
      <c r="C124" s="109">
        <f>IFERROR(VLOOKUP($B124,MMWR_TRAD_AGG_STATE_PEN[],C$1,0),"ERROR")</f>
        <v>1864</v>
      </c>
      <c r="D124" s="110">
        <f>IFERROR(VLOOKUP($B124,MMWR_TRAD_AGG_STATE_PEN[],D$1,0),"ERROR")</f>
        <v>90.318133047200007</v>
      </c>
      <c r="E124" s="111">
        <f>IFERROR(VLOOKUP($B124,MMWR_TRAD_AGG_STATE_PEN[],E$1,0),"ERROR")</f>
        <v>600</v>
      </c>
      <c r="F124" s="112">
        <f>IFERROR(VLOOKUP($B124,MMWR_TRAD_AGG_STATE_PEN[],F$1,0),"ERROR")</f>
        <v>126</v>
      </c>
      <c r="G124" s="113">
        <f t="shared" si="12"/>
        <v>0.21</v>
      </c>
      <c r="H124" s="111">
        <f>IFERROR(VLOOKUP($B124,MMWR_TRAD_AGG_STATE_PEN[],H$1,0),"ERROR")</f>
        <v>2127</v>
      </c>
      <c r="I124" s="112">
        <f>IFERROR(VLOOKUP($B124,MMWR_TRAD_AGG_STATE_PEN[],I$1,0),"ERROR")</f>
        <v>429</v>
      </c>
      <c r="J124" s="114">
        <f t="shared" si="13"/>
        <v>0.20169252468265161</v>
      </c>
      <c r="K124" s="111">
        <f>IFERROR(VLOOKUP($B124,MMWR_TRAD_AGG_STATE_PEN[],K$1,0),"ERROR")</f>
        <v>5</v>
      </c>
      <c r="L124" s="112">
        <f>IFERROR(VLOOKUP($B124,MMWR_TRAD_AGG_STATE_PEN[],L$1,0),"ERROR")</f>
        <v>4</v>
      </c>
      <c r="M124" s="114">
        <f t="shared" si="14"/>
        <v>0.8</v>
      </c>
      <c r="N124" s="111">
        <f>IFERROR(VLOOKUP($B124,MMWR_TRAD_AGG_STATE_PEN[],N$1,0),"ERROR")</f>
        <v>36</v>
      </c>
      <c r="O124" s="112">
        <f>IFERROR(VLOOKUP($B124,MMWR_TRAD_AGG_STATE_PEN[],O$1,0),"ERROR")</f>
        <v>16</v>
      </c>
      <c r="P124" s="114">
        <f t="shared" si="15"/>
        <v>0.44444444444444442</v>
      </c>
      <c r="Q124" s="115">
        <f>IFERROR(VLOOKUP($B124,MMWR_TRAD_AGG_STATE_PEN[],Q$1,0),"ERROR")</f>
        <v>60</v>
      </c>
      <c r="R124" s="115">
        <f>IFERROR(VLOOKUP($B124,MMWR_TRAD_AGG_STATE_PEN[],R$1,0),"ERROR")</f>
        <v>104</v>
      </c>
      <c r="S124" s="115">
        <f>IFERROR(VLOOKUP($B124,MMWR_APP_STATE_PEN[],S$1,0),"ERROR")</f>
        <v>91</v>
      </c>
      <c r="T124" s="28"/>
    </row>
    <row r="125" spans="1:20" s="123" customFormat="1" x14ac:dyDescent="0.2">
      <c r="A125" s="28"/>
      <c r="B125" s="127" t="s">
        <v>384</v>
      </c>
      <c r="C125" s="109">
        <f>IFERROR(VLOOKUP($B125,MMWR_TRAD_AGG_STATE_PEN[],C$1,0),"ERROR")</f>
        <v>944</v>
      </c>
      <c r="D125" s="110">
        <f>IFERROR(VLOOKUP($B125,MMWR_TRAD_AGG_STATE_PEN[],D$1,0),"ERROR")</f>
        <v>98.792372881399999</v>
      </c>
      <c r="E125" s="111">
        <f>IFERROR(VLOOKUP($B125,MMWR_TRAD_AGG_STATE_PEN[],E$1,0),"ERROR")</f>
        <v>1082</v>
      </c>
      <c r="F125" s="112">
        <f>IFERROR(VLOOKUP($B125,MMWR_TRAD_AGG_STATE_PEN[],F$1,0),"ERROR")</f>
        <v>210</v>
      </c>
      <c r="G125" s="113">
        <f t="shared" si="12"/>
        <v>0.19408502772643252</v>
      </c>
      <c r="H125" s="111">
        <f>IFERROR(VLOOKUP($B125,MMWR_TRAD_AGG_STATE_PEN[],H$1,0),"ERROR")</f>
        <v>1135</v>
      </c>
      <c r="I125" s="112">
        <f>IFERROR(VLOOKUP($B125,MMWR_TRAD_AGG_STATE_PEN[],I$1,0),"ERROR")</f>
        <v>300</v>
      </c>
      <c r="J125" s="114">
        <f t="shared" si="13"/>
        <v>0.26431718061674009</v>
      </c>
      <c r="K125" s="111">
        <f>IFERROR(VLOOKUP($B125,MMWR_TRAD_AGG_STATE_PEN[],K$1,0),"ERROR")</f>
        <v>2</v>
      </c>
      <c r="L125" s="112">
        <f>IFERROR(VLOOKUP($B125,MMWR_TRAD_AGG_STATE_PEN[],L$1,0),"ERROR")</f>
        <v>1</v>
      </c>
      <c r="M125" s="114">
        <f t="shared" si="14"/>
        <v>0.5</v>
      </c>
      <c r="N125" s="111">
        <f>IFERROR(VLOOKUP($B125,MMWR_TRAD_AGG_STATE_PEN[],N$1,0),"ERROR")</f>
        <v>66</v>
      </c>
      <c r="O125" s="112">
        <f>IFERROR(VLOOKUP($B125,MMWR_TRAD_AGG_STATE_PEN[],O$1,0),"ERROR")</f>
        <v>12</v>
      </c>
      <c r="P125" s="114">
        <f t="shared" si="15"/>
        <v>0.18181818181818182</v>
      </c>
      <c r="Q125" s="115">
        <f>IFERROR(VLOOKUP($B125,MMWR_TRAD_AGG_STATE_PEN[],Q$1,0),"ERROR")</f>
        <v>142</v>
      </c>
      <c r="R125" s="115">
        <f>IFERROR(VLOOKUP($B125,MMWR_TRAD_AGG_STATE_PEN[],R$1,0),"ERROR")</f>
        <v>287</v>
      </c>
      <c r="S125" s="115">
        <f>IFERROR(VLOOKUP($B125,MMWR_APP_STATE_PEN[],S$1,0),"ERROR")</f>
        <v>155</v>
      </c>
      <c r="T125" s="28"/>
    </row>
    <row r="126" spans="1:20" s="123" customFormat="1" x14ac:dyDescent="0.2">
      <c r="A126" s="28"/>
      <c r="B126" s="127" t="s">
        <v>385</v>
      </c>
      <c r="C126" s="109">
        <f>IFERROR(VLOOKUP($B126,MMWR_TRAD_AGG_STATE_PEN[],C$1,0),"ERROR")</f>
        <v>774</v>
      </c>
      <c r="D126" s="110">
        <f>IFERROR(VLOOKUP($B126,MMWR_TRAD_AGG_STATE_PEN[],D$1,0),"ERROR")</f>
        <v>60.5051679587</v>
      </c>
      <c r="E126" s="111">
        <f>IFERROR(VLOOKUP($B126,MMWR_TRAD_AGG_STATE_PEN[],E$1,0),"ERROR")</f>
        <v>759</v>
      </c>
      <c r="F126" s="112">
        <f>IFERROR(VLOOKUP($B126,MMWR_TRAD_AGG_STATE_PEN[],F$1,0),"ERROR")</f>
        <v>73</v>
      </c>
      <c r="G126" s="113">
        <f t="shared" si="12"/>
        <v>9.6179183135704879E-2</v>
      </c>
      <c r="H126" s="111">
        <f>IFERROR(VLOOKUP($B126,MMWR_TRAD_AGG_STATE_PEN[],H$1,0),"ERROR")</f>
        <v>931</v>
      </c>
      <c r="I126" s="112">
        <f>IFERROR(VLOOKUP($B126,MMWR_TRAD_AGG_STATE_PEN[],I$1,0),"ERROR")</f>
        <v>69</v>
      </c>
      <c r="J126" s="114">
        <f t="shared" si="13"/>
        <v>7.4113856068743281E-2</v>
      </c>
      <c r="K126" s="111">
        <f>IFERROR(VLOOKUP($B126,MMWR_TRAD_AGG_STATE_PEN[],K$1,0),"ERROR")</f>
        <v>1</v>
      </c>
      <c r="L126" s="112">
        <f>IFERROR(VLOOKUP($B126,MMWR_TRAD_AGG_STATE_PEN[],L$1,0),"ERROR")</f>
        <v>1</v>
      </c>
      <c r="M126" s="114">
        <f t="shared" si="14"/>
        <v>1</v>
      </c>
      <c r="N126" s="111">
        <f>IFERROR(VLOOKUP($B126,MMWR_TRAD_AGG_STATE_PEN[],N$1,0),"ERROR")</f>
        <v>83</v>
      </c>
      <c r="O126" s="112">
        <f>IFERROR(VLOOKUP($B126,MMWR_TRAD_AGG_STATE_PEN[],O$1,0),"ERROR")</f>
        <v>18</v>
      </c>
      <c r="P126" s="114">
        <f t="shared" si="15"/>
        <v>0.21686746987951808</v>
      </c>
      <c r="Q126" s="115">
        <f>IFERROR(VLOOKUP($B126,MMWR_TRAD_AGG_STATE_PEN[],Q$1,0),"ERROR")</f>
        <v>142</v>
      </c>
      <c r="R126" s="115">
        <f>IFERROR(VLOOKUP($B126,MMWR_TRAD_AGG_STATE_PEN[],R$1,0),"ERROR")</f>
        <v>89</v>
      </c>
      <c r="S126" s="115">
        <f>IFERROR(VLOOKUP($B126,MMWR_APP_STATE_PEN[],S$1,0),"ERROR")</f>
        <v>255</v>
      </c>
      <c r="T126" s="28"/>
    </row>
    <row r="127" spans="1:20" s="123" customFormat="1" x14ac:dyDescent="0.2">
      <c r="A127" s="28"/>
      <c r="B127" s="128" t="s">
        <v>8</v>
      </c>
      <c r="C127" s="102">
        <f>IFERROR(VLOOKUP($B127,MMWR_TRAD_AGG_ST_DISTRICT_PEN[],C$1,0),"ERROR")</f>
        <v>215</v>
      </c>
      <c r="D127" s="103">
        <f>IFERROR(VLOOKUP($B127,MMWR_TRAD_AGG_ST_DISTRICT_PEN[],D$1,0),"ERROR")</f>
        <v>85.804651162799999</v>
      </c>
      <c r="E127" s="102">
        <f>IFERROR(VLOOKUP($B127,MMWR_TRAD_AGG_ST_DISTRICT_PEN[],E$1,0),"ERROR")</f>
        <v>208</v>
      </c>
      <c r="F127" s="102">
        <f>IFERROR(VLOOKUP($B127,MMWR_TRAD_AGG_ST_DISTRICT_PEN[],F$1,0),"ERROR")</f>
        <v>100</v>
      </c>
      <c r="G127" s="104">
        <f t="shared" si="12"/>
        <v>0.48076923076923078</v>
      </c>
      <c r="H127" s="102">
        <f>IFERROR(VLOOKUP($B127,MMWR_TRAD_AGG_ST_DISTRICT_PEN[],H$1,0),"ERROR")</f>
        <v>402</v>
      </c>
      <c r="I127" s="102">
        <f>IFERROR(VLOOKUP($B127,MMWR_TRAD_AGG_ST_DISTRICT_PEN[],I$1,0),"ERROR")</f>
        <v>168</v>
      </c>
      <c r="J127" s="104">
        <f t="shared" si="13"/>
        <v>0.41791044776119401</v>
      </c>
      <c r="K127" s="102">
        <f>IFERROR(VLOOKUP($B127,MMWR_TRAD_AGG_ST_DISTRICT_PEN[],K$1,0),"ERROR")</f>
        <v>9</v>
      </c>
      <c r="L127" s="102">
        <f>IFERROR(VLOOKUP($B127,MMWR_TRAD_AGG_ST_DISTRICT_PEN[],L$1,0),"ERROR")</f>
        <v>8</v>
      </c>
      <c r="M127" s="104">
        <f t="shared" si="14"/>
        <v>0.88888888888888884</v>
      </c>
      <c r="N127" s="102">
        <f>IFERROR(VLOOKUP($B127,MMWR_TRAD_AGG_ST_DISTRICT_PEN[],N$1,0),"ERROR")</f>
        <v>11</v>
      </c>
      <c r="O127" s="102">
        <f>IFERROR(VLOOKUP($B127,MMWR_TRAD_AGG_ST_DISTRICT_PEN[],O$1,0),"ERROR")</f>
        <v>2</v>
      </c>
      <c r="P127" s="104">
        <f t="shared" si="15"/>
        <v>0.18181818181818182</v>
      </c>
      <c r="Q127" s="102">
        <f>IFERROR(VLOOKUP($B127,MMWR_TRAD_AGG_ST_DISTRICT_PEN[],Q$1,0),"ERROR")</f>
        <v>52</v>
      </c>
      <c r="R127" s="106">
        <f>IFERROR(VLOOKUP($B127,MMWR_TRAD_AGG_ST_DISTRICT_PEN[],R$1,0),"ERROR")</f>
        <v>24</v>
      </c>
      <c r="S127" s="106">
        <f>IFERROR(VLOOKUP($B127,MMWR_APP_STATE_PEN[],S$1,0),"ERROR")</f>
        <v>1</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654</v>
      </c>
      <c r="C2" t="s">
        <v>457</v>
      </c>
      <c r="D2" t="s">
        <v>459</v>
      </c>
      <c r="F2" t="s">
        <v>653</v>
      </c>
      <c r="G2" t="s">
        <v>306</v>
      </c>
      <c r="H2" t="s">
        <v>133</v>
      </c>
      <c r="I2" t="s">
        <v>214</v>
      </c>
      <c r="J2" t="s">
        <v>215</v>
      </c>
      <c r="K2" t="s">
        <v>216</v>
      </c>
      <c r="L2" t="s">
        <v>217</v>
      </c>
      <c r="M2" t="s">
        <v>218</v>
      </c>
      <c r="N2" t="s">
        <v>219</v>
      </c>
      <c r="O2" t="s">
        <v>220</v>
      </c>
      <c r="P2" t="s">
        <v>221</v>
      </c>
      <c r="Q2" t="s">
        <v>222</v>
      </c>
      <c r="R2" t="s">
        <v>223</v>
      </c>
      <c r="T2" t="s">
        <v>652</v>
      </c>
      <c r="U2" t="s">
        <v>306</v>
      </c>
      <c r="V2" t="s">
        <v>133</v>
      </c>
      <c r="W2" t="s">
        <v>214</v>
      </c>
      <c r="X2" t="s">
        <v>460</v>
      </c>
      <c r="Y2" t="s">
        <v>216</v>
      </c>
      <c r="Z2" t="s">
        <v>217</v>
      </c>
      <c r="AA2" t="s">
        <v>218</v>
      </c>
      <c r="AB2" t="s">
        <v>461</v>
      </c>
      <c r="AC2" t="s">
        <v>220</v>
      </c>
      <c r="AD2" t="s">
        <v>221</v>
      </c>
      <c r="AE2" t="s">
        <v>222</v>
      </c>
      <c r="AF2" t="s">
        <v>223</v>
      </c>
      <c r="AH2" t="s">
        <v>651</v>
      </c>
      <c r="AI2" t="s">
        <v>306</v>
      </c>
      <c r="AJ2" t="s">
        <v>133</v>
      </c>
      <c r="AK2" t="s">
        <v>214</v>
      </c>
      <c r="AL2" t="s">
        <v>215</v>
      </c>
      <c r="AM2" t="s">
        <v>216</v>
      </c>
      <c r="AN2" t="s">
        <v>217</v>
      </c>
      <c r="AO2" t="s">
        <v>218</v>
      </c>
      <c r="AP2" t="s">
        <v>219</v>
      </c>
      <c r="AQ2" t="s">
        <v>220</v>
      </c>
      <c r="AR2" t="s">
        <v>221</v>
      </c>
      <c r="AS2" t="s">
        <v>222</v>
      </c>
      <c r="AT2" t="s">
        <v>223</v>
      </c>
      <c r="AV2" t="s">
        <v>650</v>
      </c>
      <c r="AW2" t="s">
        <v>306</v>
      </c>
      <c r="AX2" t="s">
        <v>133</v>
      </c>
      <c r="AY2" t="s">
        <v>214</v>
      </c>
      <c r="AZ2" t="s">
        <v>460</v>
      </c>
      <c r="BA2" t="s">
        <v>216</v>
      </c>
      <c r="BB2" t="s">
        <v>217</v>
      </c>
      <c r="BC2" t="s">
        <v>218</v>
      </c>
      <c r="BD2" t="s">
        <v>461</v>
      </c>
      <c r="BE2" t="s">
        <v>220</v>
      </c>
      <c r="BF2" t="s">
        <v>221</v>
      </c>
      <c r="BG2" t="s">
        <v>222</v>
      </c>
      <c r="BH2" t="s">
        <v>223</v>
      </c>
      <c r="BJ2" t="s">
        <v>712</v>
      </c>
      <c r="BK2" t="s">
        <v>731</v>
      </c>
      <c r="BL2" t="s">
        <v>700</v>
      </c>
      <c r="BM2" t="s">
        <v>701</v>
      </c>
      <c r="BN2" t="s">
        <v>702</v>
      </c>
      <c r="BO2" t="s">
        <v>703</v>
      </c>
      <c r="BP2" t="s">
        <v>704</v>
      </c>
      <c r="BQ2" t="s">
        <v>713</v>
      </c>
      <c r="BR2" t="s">
        <v>714</v>
      </c>
      <c r="BS2" t="s">
        <v>705</v>
      </c>
      <c r="BT2" t="s">
        <v>706</v>
      </c>
      <c r="BU2" t="s">
        <v>707</v>
      </c>
      <c r="BV2" t="s">
        <v>708</v>
      </c>
      <c r="BW2" t="s">
        <v>709</v>
      </c>
      <c r="BX2" t="s">
        <v>710</v>
      </c>
      <c r="BY2" t="s">
        <v>711</v>
      </c>
      <c r="CA2" t="s">
        <v>1031</v>
      </c>
      <c r="CB2" t="s">
        <v>736</v>
      </c>
      <c r="CC2" t="s">
        <v>737</v>
      </c>
      <c r="CD2" t="s">
        <v>715</v>
      </c>
      <c r="CE2" t="s">
        <v>716</v>
      </c>
      <c r="CF2" t="s">
        <v>717</v>
      </c>
      <c r="CG2" t="s">
        <v>718</v>
      </c>
      <c r="CH2" t="s">
        <v>719</v>
      </c>
      <c r="CI2" t="s">
        <v>720</v>
      </c>
      <c r="CJ2" t="s">
        <v>721</v>
      </c>
      <c r="CL2" t="s">
        <v>1032</v>
      </c>
      <c r="CM2" t="s">
        <v>736</v>
      </c>
      <c r="CN2" t="s">
        <v>737</v>
      </c>
      <c r="CO2" t="s">
        <v>715</v>
      </c>
      <c r="CP2" t="s">
        <v>716</v>
      </c>
      <c r="CQ2" t="s">
        <v>717</v>
      </c>
      <c r="CR2" t="s">
        <v>718</v>
      </c>
      <c r="CS2" t="s">
        <v>719</v>
      </c>
      <c r="CT2" t="s">
        <v>720</v>
      </c>
      <c r="CU2" t="s">
        <v>721</v>
      </c>
      <c r="CW2" t="s">
        <v>1033</v>
      </c>
      <c r="CX2" t="s">
        <v>736</v>
      </c>
      <c r="CY2" t="s">
        <v>737</v>
      </c>
      <c r="CZ2" t="s">
        <v>715</v>
      </c>
      <c r="DA2" t="s">
        <v>716</v>
      </c>
      <c r="DB2" t="s">
        <v>717</v>
      </c>
      <c r="DC2" t="s">
        <v>718</v>
      </c>
      <c r="DD2" t="s">
        <v>719</v>
      </c>
      <c r="DE2" t="s">
        <v>720</v>
      </c>
      <c r="DF2" t="s">
        <v>721</v>
      </c>
      <c r="DH2" t="s">
        <v>1034</v>
      </c>
      <c r="DI2" t="s">
        <v>736</v>
      </c>
      <c r="DJ2" t="s">
        <v>737</v>
      </c>
      <c r="DK2" t="s">
        <v>715</v>
      </c>
      <c r="DL2" t="s">
        <v>716</v>
      </c>
      <c r="DM2" t="s">
        <v>717</v>
      </c>
      <c r="DN2" t="s">
        <v>718</v>
      </c>
      <c r="DO2" t="s">
        <v>719</v>
      </c>
      <c r="DP2" t="s">
        <v>720</v>
      </c>
      <c r="DQ2" t="s">
        <v>721</v>
      </c>
    </row>
    <row r="3" spans="2:121" x14ac:dyDescent="0.2">
      <c r="C3">
        <v>357926</v>
      </c>
      <c r="D3">
        <v>288040</v>
      </c>
      <c r="F3" t="s">
        <v>31</v>
      </c>
      <c r="G3">
        <v>782</v>
      </c>
      <c r="H3">
        <v>142.45396419439999</v>
      </c>
      <c r="I3">
        <v>2667</v>
      </c>
      <c r="J3">
        <v>657</v>
      </c>
      <c r="K3">
        <v>1213</v>
      </c>
      <c r="L3">
        <v>410</v>
      </c>
      <c r="M3">
        <v>250</v>
      </c>
      <c r="N3">
        <v>115</v>
      </c>
      <c r="O3">
        <v>442</v>
      </c>
      <c r="P3">
        <v>281</v>
      </c>
      <c r="Q3">
        <v>0</v>
      </c>
      <c r="R3">
        <v>8</v>
      </c>
      <c r="T3" t="s">
        <v>209</v>
      </c>
      <c r="U3">
        <v>7852</v>
      </c>
      <c r="V3">
        <v>59.466505349000002</v>
      </c>
      <c r="W3">
        <v>7859</v>
      </c>
      <c r="X3">
        <v>766</v>
      </c>
      <c r="Y3">
        <v>9454</v>
      </c>
      <c r="Z3">
        <v>506</v>
      </c>
      <c r="AA3">
        <v>4</v>
      </c>
      <c r="AB3">
        <v>3</v>
      </c>
      <c r="AC3">
        <v>603</v>
      </c>
      <c r="AD3">
        <v>120</v>
      </c>
      <c r="AE3">
        <v>1125</v>
      </c>
      <c r="AF3">
        <v>876</v>
      </c>
      <c r="AH3" t="s">
        <v>389</v>
      </c>
      <c r="AI3">
        <v>11694</v>
      </c>
      <c r="AJ3">
        <v>379.21857362750001</v>
      </c>
      <c r="AK3">
        <v>7342</v>
      </c>
      <c r="AL3">
        <v>1723</v>
      </c>
      <c r="AM3">
        <v>15617</v>
      </c>
      <c r="AN3">
        <v>11389</v>
      </c>
      <c r="AO3">
        <v>5123</v>
      </c>
      <c r="AP3">
        <v>4491</v>
      </c>
      <c r="AQ3">
        <v>3264</v>
      </c>
      <c r="AR3">
        <v>1915</v>
      </c>
      <c r="AS3">
        <v>569</v>
      </c>
      <c r="AT3">
        <v>384</v>
      </c>
      <c r="AV3" t="s">
        <v>414</v>
      </c>
      <c r="AW3">
        <v>130</v>
      </c>
      <c r="AX3">
        <v>59.607692307699999</v>
      </c>
      <c r="AY3">
        <v>186</v>
      </c>
      <c r="AZ3">
        <v>5</v>
      </c>
      <c r="BA3">
        <v>172</v>
      </c>
      <c r="BB3">
        <v>10</v>
      </c>
      <c r="BC3">
        <v>0</v>
      </c>
      <c r="BE3">
        <v>11</v>
      </c>
      <c r="BF3">
        <v>5</v>
      </c>
      <c r="BG3">
        <v>185</v>
      </c>
      <c r="BH3">
        <v>42</v>
      </c>
      <c r="BJ3" t="s">
        <v>729</v>
      </c>
      <c r="BK3" t="s">
        <v>732</v>
      </c>
      <c r="BL3">
        <v>305353</v>
      </c>
      <c r="BM3">
        <v>71362</v>
      </c>
      <c r="BN3">
        <v>90.667188467100004</v>
      </c>
      <c r="BO3">
        <v>602241</v>
      </c>
      <c r="BP3">
        <v>68422</v>
      </c>
      <c r="BQ3">
        <v>130.65809036580001</v>
      </c>
      <c r="BR3">
        <v>119.73920668789999</v>
      </c>
      <c r="BS3">
        <v>305354</v>
      </c>
      <c r="BT3">
        <v>71363</v>
      </c>
      <c r="BU3">
        <v>90.668303018800003</v>
      </c>
      <c r="BV3">
        <v>602241</v>
      </c>
      <c r="BW3">
        <v>68422</v>
      </c>
      <c r="BX3">
        <v>130.65809036580001</v>
      </c>
      <c r="BY3">
        <v>119.73920668789999</v>
      </c>
      <c r="CA3" t="s">
        <v>1037</v>
      </c>
      <c r="CB3" t="s">
        <v>732</v>
      </c>
      <c r="CC3" t="s">
        <v>918</v>
      </c>
      <c r="CD3">
        <v>8543</v>
      </c>
      <c r="CE3">
        <v>1901</v>
      </c>
      <c r="CF3">
        <v>87.815638534499996</v>
      </c>
      <c r="CG3">
        <v>15655</v>
      </c>
      <c r="CH3">
        <v>1704</v>
      </c>
      <c r="CI3">
        <v>137.35292238900001</v>
      </c>
      <c r="CJ3">
        <v>127.3462441315</v>
      </c>
      <c r="CL3" t="s">
        <v>1037</v>
      </c>
      <c r="CM3" t="s">
        <v>732</v>
      </c>
      <c r="CN3" t="s">
        <v>918</v>
      </c>
      <c r="CO3">
        <v>8543</v>
      </c>
      <c r="CP3">
        <v>1901</v>
      </c>
      <c r="CQ3">
        <v>87.815638534499996</v>
      </c>
      <c r="CR3">
        <v>15655</v>
      </c>
      <c r="CS3">
        <v>1704</v>
      </c>
      <c r="CT3">
        <v>137.35292238900001</v>
      </c>
      <c r="CU3">
        <v>127.3462441315</v>
      </c>
      <c r="CW3" t="s">
        <v>1037</v>
      </c>
      <c r="CX3" t="s">
        <v>732</v>
      </c>
      <c r="CY3" t="s">
        <v>918</v>
      </c>
      <c r="CZ3">
        <v>8543</v>
      </c>
      <c r="DA3">
        <v>1901</v>
      </c>
      <c r="DB3">
        <v>87.815638534499996</v>
      </c>
      <c r="DC3">
        <v>15655</v>
      </c>
      <c r="DD3">
        <v>1704</v>
      </c>
      <c r="DE3">
        <v>137.35292238900001</v>
      </c>
      <c r="DF3">
        <v>127.3462441315</v>
      </c>
      <c r="DH3" t="s">
        <v>1037</v>
      </c>
      <c r="DI3" t="s">
        <v>732</v>
      </c>
      <c r="DJ3" t="s">
        <v>918</v>
      </c>
      <c r="DK3">
        <v>8543</v>
      </c>
      <c r="DL3">
        <v>1901</v>
      </c>
      <c r="DM3">
        <v>87.815638534499996</v>
      </c>
      <c r="DN3">
        <v>15655</v>
      </c>
      <c r="DO3">
        <v>1704</v>
      </c>
      <c r="DP3">
        <v>137.35292238900001</v>
      </c>
      <c r="DQ3">
        <v>127.3462441315</v>
      </c>
    </row>
    <row r="4" spans="2:121" x14ac:dyDescent="0.2">
      <c r="B4" t="s">
        <v>98</v>
      </c>
      <c r="C4">
        <v>97963</v>
      </c>
      <c r="D4">
        <v>76592</v>
      </c>
      <c r="F4" t="s">
        <v>77</v>
      </c>
      <c r="G4">
        <v>15851</v>
      </c>
      <c r="H4">
        <v>312.72588480220003</v>
      </c>
      <c r="I4">
        <v>20721</v>
      </c>
      <c r="J4">
        <v>4931</v>
      </c>
      <c r="K4">
        <v>19296</v>
      </c>
      <c r="L4">
        <v>12494</v>
      </c>
      <c r="M4">
        <v>4655</v>
      </c>
      <c r="N4">
        <v>3682</v>
      </c>
      <c r="O4">
        <v>12824</v>
      </c>
      <c r="P4">
        <v>8907</v>
      </c>
      <c r="Q4">
        <v>6</v>
      </c>
      <c r="R4">
        <v>270</v>
      </c>
      <c r="T4" t="s">
        <v>224</v>
      </c>
      <c r="U4">
        <v>0</v>
      </c>
      <c r="W4">
        <v>346</v>
      </c>
      <c r="X4">
        <v>137</v>
      </c>
      <c r="Y4">
        <v>615</v>
      </c>
      <c r="Z4">
        <v>417</v>
      </c>
      <c r="AA4">
        <v>214</v>
      </c>
      <c r="AB4">
        <v>213</v>
      </c>
      <c r="AC4">
        <v>169</v>
      </c>
      <c r="AD4">
        <v>106</v>
      </c>
      <c r="AE4">
        <v>4</v>
      </c>
      <c r="AF4">
        <v>0</v>
      </c>
      <c r="AH4" t="s">
        <v>425</v>
      </c>
      <c r="AI4">
        <v>1861</v>
      </c>
      <c r="AJ4">
        <v>468.98173025260002</v>
      </c>
      <c r="AK4">
        <v>1155</v>
      </c>
      <c r="AL4">
        <v>298</v>
      </c>
      <c r="AM4">
        <v>2637</v>
      </c>
      <c r="AN4">
        <v>2049</v>
      </c>
      <c r="AO4">
        <v>1863</v>
      </c>
      <c r="AP4">
        <v>1540</v>
      </c>
      <c r="AQ4">
        <v>696</v>
      </c>
      <c r="AR4">
        <v>415</v>
      </c>
      <c r="AS4">
        <v>0</v>
      </c>
      <c r="AT4">
        <v>3</v>
      </c>
      <c r="AV4" t="s">
        <v>401</v>
      </c>
      <c r="AW4">
        <v>122</v>
      </c>
      <c r="AX4">
        <v>57.213114754099998</v>
      </c>
      <c r="AY4">
        <v>74</v>
      </c>
      <c r="AZ4">
        <v>1</v>
      </c>
      <c r="BA4">
        <v>147</v>
      </c>
      <c r="BB4">
        <v>4</v>
      </c>
      <c r="BC4">
        <v>0</v>
      </c>
      <c r="BE4">
        <v>3</v>
      </c>
      <c r="BG4">
        <v>256</v>
      </c>
      <c r="BH4">
        <v>15</v>
      </c>
      <c r="BJ4" t="s">
        <v>638</v>
      </c>
      <c r="BK4" t="s">
        <v>386</v>
      </c>
      <c r="BL4">
        <v>704</v>
      </c>
      <c r="BM4">
        <v>110</v>
      </c>
      <c r="BN4">
        <v>71.867897727300004</v>
      </c>
      <c r="BO4">
        <v>1619</v>
      </c>
      <c r="BP4">
        <v>252</v>
      </c>
      <c r="BQ4">
        <v>124.92588017289999</v>
      </c>
      <c r="BR4">
        <v>94.400793650799997</v>
      </c>
      <c r="BS4">
        <v>690</v>
      </c>
      <c r="BT4">
        <v>116</v>
      </c>
      <c r="BU4">
        <v>73.434782608700004</v>
      </c>
      <c r="BV4">
        <v>1696</v>
      </c>
      <c r="BW4">
        <v>252</v>
      </c>
      <c r="BX4">
        <v>132.51591981129999</v>
      </c>
      <c r="BY4">
        <v>97.571428571400006</v>
      </c>
      <c r="CA4" t="s">
        <v>1036</v>
      </c>
      <c r="CB4" t="s">
        <v>732</v>
      </c>
      <c r="CC4" t="s">
        <v>918</v>
      </c>
      <c r="CD4">
        <v>305354</v>
      </c>
      <c r="CE4">
        <v>71363</v>
      </c>
      <c r="CF4">
        <v>90.668303018800003</v>
      </c>
      <c r="CG4">
        <v>602241</v>
      </c>
      <c r="CH4">
        <v>68422</v>
      </c>
      <c r="CI4">
        <v>130.65809036580001</v>
      </c>
      <c r="CJ4">
        <v>119.73920668789999</v>
      </c>
      <c r="CL4" t="s">
        <v>1036</v>
      </c>
      <c r="CM4" t="s">
        <v>732</v>
      </c>
      <c r="CN4" t="s">
        <v>918</v>
      </c>
      <c r="CO4">
        <v>305354</v>
      </c>
      <c r="CP4">
        <v>71363</v>
      </c>
      <c r="CQ4">
        <v>90.668303018800003</v>
      </c>
      <c r="CR4">
        <v>602241</v>
      </c>
      <c r="CS4">
        <v>68422</v>
      </c>
      <c r="CT4">
        <v>130.65809036580001</v>
      </c>
      <c r="CU4">
        <v>119.73920668789999</v>
      </c>
      <c r="CW4" t="s">
        <v>1036</v>
      </c>
      <c r="CX4" t="s">
        <v>732</v>
      </c>
      <c r="CY4" t="s">
        <v>918</v>
      </c>
      <c r="CZ4">
        <v>305354</v>
      </c>
      <c r="DA4">
        <v>71363</v>
      </c>
      <c r="DB4">
        <v>90.668303018800003</v>
      </c>
      <c r="DC4">
        <v>602241</v>
      </c>
      <c r="DD4">
        <v>68422</v>
      </c>
      <c r="DE4">
        <v>130.65809036580001</v>
      </c>
      <c r="DF4">
        <v>119.73920668789999</v>
      </c>
      <c r="DH4" t="s">
        <v>1036</v>
      </c>
      <c r="DI4" t="s">
        <v>732</v>
      </c>
      <c r="DJ4" t="s">
        <v>918</v>
      </c>
      <c r="DK4">
        <v>305354</v>
      </c>
      <c r="DL4">
        <v>71363</v>
      </c>
      <c r="DM4">
        <v>90.668303018800003</v>
      </c>
      <c r="DN4">
        <v>602241</v>
      </c>
      <c r="DO4">
        <v>68422</v>
      </c>
      <c r="DP4">
        <v>130.65809036580001</v>
      </c>
      <c r="DQ4">
        <v>119.73920668789999</v>
      </c>
    </row>
    <row r="5" spans="2:121" x14ac:dyDescent="0.2">
      <c r="B5" t="s">
        <v>107</v>
      </c>
      <c r="C5">
        <v>67513</v>
      </c>
      <c r="D5">
        <v>49882</v>
      </c>
      <c r="F5" t="s">
        <v>51</v>
      </c>
      <c r="G5">
        <v>3292</v>
      </c>
      <c r="H5">
        <v>336.70473876059998</v>
      </c>
      <c r="I5">
        <v>2866</v>
      </c>
      <c r="J5">
        <v>538</v>
      </c>
      <c r="K5">
        <v>6879</v>
      </c>
      <c r="L5">
        <v>3943</v>
      </c>
      <c r="M5">
        <v>3586</v>
      </c>
      <c r="N5">
        <v>3019</v>
      </c>
      <c r="O5">
        <v>1539</v>
      </c>
      <c r="P5">
        <v>900</v>
      </c>
      <c r="Q5">
        <v>0</v>
      </c>
      <c r="R5">
        <v>89</v>
      </c>
      <c r="T5" t="s">
        <v>210</v>
      </c>
      <c r="U5">
        <v>14105</v>
      </c>
      <c r="V5">
        <v>99.869053527099993</v>
      </c>
      <c r="W5">
        <v>17864</v>
      </c>
      <c r="X5">
        <v>3982</v>
      </c>
      <c r="Y5">
        <v>17400</v>
      </c>
      <c r="Z5">
        <v>4889</v>
      </c>
      <c r="AA5">
        <v>40</v>
      </c>
      <c r="AB5">
        <v>39</v>
      </c>
      <c r="AC5">
        <v>1109</v>
      </c>
      <c r="AD5">
        <v>283</v>
      </c>
      <c r="AE5">
        <v>1974</v>
      </c>
      <c r="AF5">
        <v>4115</v>
      </c>
      <c r="AH5" t="s">
        <v>427</v>
      </c>
      <c r="AI5">
        <v>4427</v>
      </c>
      <c r="AJ5">
        <v>279.26225434830002</v>
      </c>
      <c r="AK5">
        <v>5292</v>
      </c>
      <c r="AL5">
        <v>1148</v>
      </c>
      <c r="AM5">
        <v>6344</v>
      </c>
      <c r="AN5">
        <v>3884</v>
      </c>
      <c r="AO5">
        <v>1413</v>
      </c>
      <c r="AP5">
        <v>1047</v>
      </c>
      <c r="AQ5">
        <v>2604</v>
      </c>
      <c r="AR5">
        <v>1513</v>
      </c>
      <c r="AS5">
        <v>9</v>
      </c>
      <c r="AT5">
        <v>77</v>
      </c>
      <c r="AV5" t="s">
        <v>428</v>
      </c>
      <c r="AW5">
        <v>1864</v>
      </c>
      <c r="AX5">
        <v>90.318133047200007</v>
      </c>
      <c r="AY5">
        <v>600</v>
      </c>
      <c r="AZ5">
        <v>126</v>
      </c>
      <c r="BA5">
        <v>2127</v>
      </c>
      <c r="BB5">
        <v>429</v>
      </c>
      <c r="BC5">
        <v>5</v>
      </c>
      <c r="BD5">
        <v>4</v>
      </c>
      <c r="BE5">
        <v>36</v>
      </c>
      <c r="BF5">
        <v>16</v>
      </c>
      <c r="BG5">
        <v>60</v>
      </c>
      <c r="BH5">
        <v>104</v>
      </c>
      <c r="BJ5" t="s">
        <v>386</v>
      </c>
      <c r="BK5" t="s">
        <v>386</v>
      </c>
      <c r="BL5">
        <v>60695</v>
      </c>
      <c r="BM5">
        <v>14152</v>
      </c>
      <c r="BN5">
        <v>90.755515281300006</v>
      </c>
      <c r="BO5">
        <v>115816</v>
      </c>
      <c r="BP5">
        <v>13413</v>
      </c>
      <c r="BQ5">
        <v>134.94280582990001</v>
      </c>
      <c r="BR5">
        <v>120.2334302542</v>
      </c>
      <c r="BS5">
        <v>52126</v>
      </c>
      <c r="BT5">
        <v>11607</v>
      </c>
      <c r="BU5">
        <v>86.929823888300007</v>
      </c>
      <c r="BV5">
        <v>115344</v>
      </c>
      <c r="BW5">
        <v>13313</v>
      </c>
      <c r="BX5">
        <v>134.88411187400001</v>
      </c>
      <c r="BY5">
        <v>120.3383910463</v>
      </c>
      <c r="CA5" t="s">
        <v>1038</v>
      </c>
      <c r="CB5" t="s">
        <v>732</v>
      </c>
      <c r="CC5" t="s">
        <v>918</v>
      </c>
      <c r="CD5">
        <v>28368</v>
      </c>
      <c r="CE5">
        <v>3145</v>
      </c>
      <c r="CF5">
        <v>65.427982233500003</v>
      </c>
      <c r="CG5">
        <v>82061</v>
      </c>
      <c r="CH5">
        <v>8691</v>
      </c>
      <c r="CI5">
        <v>77.303444998200007</v>
      </c>
      <c r="CJ5">
        <v>81.268208491500005</v>
      </c>
      <c r="CL5" t="s">
        <v>1038</v>
      </c>
      <c r="CM5" t="s">
        <v>732</v>
      </c>
      <c r="CN5" t="s">
        <v>918</v>
      </c>
      <c r="CO5">
        <v>28368</v>
      </c>
      <c r="CP5">
        <v>3145</v>
      </c>
      <c r="CQ5">
        <v>65.427982233500003</v>
      </c>
      <c r="CR5">
        <v>82061</v>
      </c>
      <c r="CS5">
        <v>8691</v>
      </c>
      <c r="CT5">
        <v>77.303444998200007</v>
      </c>
      <c r="CU5">
        <v>81.268208491500005</v>
      </c>
      <c r="CW5" t="s">
        <v>1038</v>
      </c>
      <c r="CX5" t="s">
        <v>732</v>
      </c>
      <c r="CY5" t="s">
        <v>918</v>
      </c>
      <c r="CZ5">
        <v>28368</v>
      </c>
      <c r="DA5">
        <v>3145</v>
      </c>
      <c r="DB5">
        <v>65.427982233500003</v>
      </c>
      <c r="DC5">
        <v>82061</v>
      </c>
      <c r="DD5">
        <v>8691</v>
      </c>
      <c r="DE5">
        <v>77.303444998200007</v>
      </c>
      <c r="DF5">
        <v>81.268208491500005</v>
      </c>
      <c r="DH5" t="s">
        <v>1038</v>
      </c>
      <c r="DI5" t="s">
        <v>732</v>
      </c>
      <c r="DJ5" t="s">
        <v>918</v>
      </c>
      <c r="DK5">
        <v>28368</v>
      </c>
      <c r="DL5">
        <v>3145</v>
      </c>
      <c r="DM5">
        <v>65.427982233500003</v>
      </c>
      <c r="DN5">
        <v>82061</v>
      </c>
      <c r="DO5">
        <v>8691</v>
      </c>
      <c r="DP5">
        <v>77.303444998200007</v>
      </c>
      <c r="DQ5">
        <v>81.268208491500005</v>
      </c>
    </row>
    <row r="6" spans="2:121" x14ac:dyDescent="0.2">
      <c r="B6" t="s">
        <v>90</v>
      </c>
      <c r="C6">
        <v>9981</v>
      </c>
      <c r="D6">
        <v>1717</v>
      </c>
      <c r="F6" t="s">
        <v>181</v>
      </c>
      <c r="G6">
        <v>291</v>
      </c>
      <c r="H6">
        <v>130.85223367699999</v>
      </c>
      <c r="I6">
        <v>604</v>
      </c>
      <c r="J6">
        <v>53</v>
      </c>
      <c r="K6">
        <v>479</v>
      </c>
      <c r="L6">
        <v>122</v>
      </c>
      <c r="M6">
        <v>439</v>
      </c>
      <c r="N6">
        <v>259</v>
      </c>
      <c r="O6">
        <v>206</v>
      </c>
      <c r="P6">
        <v>84</v>
      </c>
      <c r="Q6">
        <v>0</v>
      </c>
      <c r="R6">
        <v>5</v>
      </c>
      <c r="T6" t="s">
        <v>212</v>
      </c>
      <c r="U6">
        <v>5572</v>
      </c>
      <c r="V6">
        <v>56.018844221099997</v>
      </c>
      <c r="W6">
        <v>6741</v>
      </c>
      <c r="X6">
        <v>200</v>
      </c>
      <c r="Y6">
        <v>6868</v>
      </c>
      <c r="Z6">
        <v>118</v>
      </c>
      <c r="AA6">
        <v>49</v>
      </c>
      <c r="AB6">
        <v>25</v>
      </c>
      <c r="AC6">
        <v>262</v>
      </c>
      <c r="AD6">
        <v>60</v>
      </c>
      <c r="AE6">
        <v>8766</v>
      </c>
      <c r="AF6">
        <v>1366</v>
      </c>
      <c r="AH6" t="s">
        <v>412</v>
      </c>
      <c r="AI6">
        <v>3370</v>
      </c>
      <c r="AJ6">
        <v>336.41958456970002</v>
      </c>
      <c r="AK6">
        <v>3185</v>
      </c>
      <c r="AL6">
        <v>620</v>
      </c>
      <c r="AM6">
        <v>4896</v>
      </c>
      <c r="AN6">
        <v>2980</v>
      </c>
      <c r="AO6">
        <v>1728</v>
      </c>
      <c r="AP6">
        <v>1469</v>
      </c>
      <c r="AQ6">
        <v>2499</v>
      </c>
      <c r="AR6">
        <v>1513</v>
      </c>
      <c r="AS6">
        <v>437</v>
      </c>
      <c r="AT6">
        <v>93</v>
      </c>
      <c r="AV6" t="s">
        <v>421</v>
      </c>
      <c r="AW6">
        <v>75</v>
      </c>
      <c r="AX6">
        <v>57.053333333300003</v>
      </c>
      <c r="AY6">
        <v>54</v>
      </c>
      <c r="BA6">
        <v>90</v>
      </c>
      <c r="BB6">
        <v>5</v>
      </c>
      <c r="BC6">
        <v>0</v>
      </c>
      <c r="BE6">
        <v>4</v>
      </c>
      <c r="BG6">
        <v>95</v>
      </c>
      <c r="BH6">
        <v>3</v>
      </c>
      <c r="BJ6" t="s">
        <v>585</v>
      </c>
      <c r="BK6" t="s">
        <v>386</v>
      </c>
      <c r="BL6">
        <v>6138</v>
      </c>
      <c r="BM6">
        <v>1695</v>
      </c>
      <c r="BN6">
        <v>101.1813294233</v>
      </c>
      <c r="BO6">
        <v>10983</v>
      </c>
      <c r="BP6">
        <v>1310</v>
      </c>
      <c r="BQ6">
        <v>149.0488937449</v>
      </c>
      <c r="BR6">
        <v>128.7755725191</v>
      </c>
      <c r="BS6">
        <v>5984</v>
      </c>
      <c r="BT6">
        <v>1595</v>
      </c>
      <c r="BU6">
        <v>98.421122994699999</v>
      </c>
      <c r="BV6">
        <v>10629</v>
      </c>
      <c r="BW6">
        <v>1252</v>
      </c>
      <c r="BX6">
        <v>146.9697996049</v>
      </c>
      <c r="BY6">
        <v>126.4081469649</v>
      </c>
      <c r="CA6" t="s">
        <v>1039</v>
      </c>
      <c r="CB6" t="s">
        <v>732</v>
      </c>
      <c r="CC6" t="s">
        <v>918</v>
      </c>
      <c r="CD6">
        <v>8329</v>
      </c>
      <c r="CE6">
        <v>2124</v>
      </c>
      <c r="CF6">
        <v>88.480970104500003</v>
      </c>
      <c r="CG6">
        <v>13499</v>
      </c>
      <c r="CH6">
        <v>1926</v>
      </c>
      <c r="CI6">
        <v>144.879398474</v>
      </c>
      <c r="CJ6">
        <v>135.97300103840001</v>
      </c>
      <c r="CL6" t="s">
        <v>1039</v>
      </c>
      <c r="CM6" t="s">
        <v>732</v>
      </c>
      <c r="CN6" t="s">
        <v>918</v>
      </c>
      <c r="CO6">
        <v>8329</v>
      </c>
      <c r="CP6">
        <v>2124</v>
      </c>
      <c r="CQ6">
        <v>88.480970104500003</v>
      </c>
      <c r="CR6">
        <v>13499</v>
      </c>
      <c r="CS6">
        <v>1926</v>
      </c>
      <c r="CT6">
        <v>144.879398474</v>
      </c>
      <c r="CU6">
        <v>135.97300103840001</v>
      </c>
      <c r="CW6" t="s">
        <v>1039</v>
      </c>
      <c r="CX6" t="s">
        <v>732</v>
      </c>
      <c r="CY6" t="s">
        <v>918</v>
      </c>
      <c r="CZ6">
        <v>8329</v>
      </c>
      <c r="DA6">
        <v>2124</v>
      </c>
      <c r="DB6">
        <v>88.480970104500003</v>
      </c>
      <c r="DC6">
        <v>13499</v>
      </c>
      <c r="DD6">
        <v>1926</v>
      </c>
      <c r="DE6">
        <v>144.879398474</v>
      </c>
      <c r="DF6">
        <v>135.97300103840001</v>
      </c>
      <c r="DH6" t="s">
        <v>1039</v>
      </c>
      <c r="DI6" t="s">
        <v>732</v>
      </c>
      <c r="DJ6" t="s">
        <v>918</v>
      </c>
      <c r="DK6">
        <v>8329</v>
      </c>
      <c r="DL6">
        <v>2124</v>
      </c>
      <c r="DM6">
        <v>88.480970104500003</v>
      </c>
      <c r="DN6">
        <v>13499</v>
      </c>
      <c r="DO6">
        <v>1926</v>
      </c>
      <c r="DP6">
        <v>144.879398474</v>
      </c>
      <c r="DQ6">
        <v>135.97300103840001</v>
      </c>
    </row>
    <row r="7" spans="2:121" x14ac:dyDescent="0.2">
      <c r="B7" t="s">
        <v>91</v>
      </c>
      <c r="C7">
        <v>426</v>
      </c>
      <c r="D7">
        <v>21</v>
      </c>
      <c r="F7" t="s">
        <v>58</v>
      </c>
      <c r="G7">
        <v>2946</v>
      </c>
      <c r="H7">
        <v>248.3374066531</v>
      </c>
      <c r="I7">
        <v>8365</v>
      </c>
      <c r="J7">
        <v>1822</v>
      </c>
      <c r="K7">
        <v>5454</v>
      </c>
      <c r="L7">
        <v>2697</v>
      </c>
      <c r="M7">
        <v>2795</v>
      </c>
      <c r="N7">
        <v>2207</v>
      </c>
      <c r="O7">
        <v>1512</v>
      </c>
      <c r="P7">
        <v>1049</v>
      </c>
      <c r="Q7">
        <v>0</v>
      </c>
      <c r="R7">
        <v>271</v>
      </c>
      <c r="T7" t="s">
        <v>463</v>
      </c>
      <c r="U7">
        <v>27529</v>
      </c>
      <c r="V7">
        <v>79.469686512400003</v>
      </c>
      <c r="W7">
        <v>32810</v>
      </c>
      <c r="X7">
        <v>5085</v>
      </c>
      <c r="Y7">
        <v>34337</v>
      </c>
      <c r="Z7">
        <v>5930</v>
      </c>
      <c r="AA7">
        <v>307</v>
      </c>
      <c r="AB7">
        <v>280</v>
      </c>
      <c r="AC7">
        <v>2143</v>
      </c>
      <c r="AD7">
        <v>569</v>
      </c>
      <c r="AE7">
        <v>11869</v>
      </c>
      <c r="AF7">
        <v>6357</v>
      </c>
      <c r="AH7" t="s">
        <v>408</v>
      </c>
      <c r="AI7">
        <v>23754</v>
      </c>
      <c r="AJ7">
        <v>404.9659425781</v>
      </c>
      <c r="AK7">
        <v>30866</v>
      </c>
      <c r="AL7">
        <v>6846</v>
      </c>
      <c r="AM7">
        <v>36013</v>
      </c>
      <c r="AN7">
        <v>25688</v>
      </c>
      <c r="AO7">
        <v>10047</v>
      </c>
      <c r="AP7">
        <v>8039</v>
      </c>
      <c r="AQ7">
        <v>15268</v>
      </c>
      <c r="AR7">
        <v>10315</v>
      </c>
      <c r="AS7">
        <v>67</v>
      </c>
      <c r="AT7">
        <v>151</v>
      </c>
      <c r="AV7" t="s">
        <v>389</v>
      </c>
      <c r="AW7">
        <v>1226</v>
      </c>
      <c r="AX7">
        <v>59.366231647600003</v>
      </c>
      <c r="AY7">
        <v>840</v>
      </c>
      <c r="AZ7">
        <v>91</v>
      </c>
      <c r="BA7">
        <v>1414</v>
      </c>
      <c r="BB7">
        <v>66</v>
      </c>
      <c r="BC7">
        <v>5</v>
      </c>
      <c r="BD7">
        <v>5</v>
      </c>
      <c r="BE7">
        <v>57</v>
      </c>
      <c r="BF7">
        <v>14</v>
      </c>
      <c r="BG7">
        <v>129</v>
      </c>
      <c r="BH7">
        <v>96</v>
      </c>
      <c r="BJ7" t="s">
        <v>632</v>
      </c>
      <c r="BK7" t="s">
        <v>386</v>
      </c>
      <c r="BL7">
        <v>631</v>
      </c>
      <c r="BM7">
        <v>51</v>
      </c>
      <c r="BN7">
        <v>59.202852614900003</v>
      </c>
      <c r="BO7">
        <v>2174</v>
      </c>
      <c r="BP7">
        <v>297</v>
      </c>
      <c r="BQ7">
        <v>86.214811407499994</v>
      </c>
      <c r="BR7">
        <v>70.757575757599994</v>
      </c>
      <c r="BS7">
        <v>1291</v>
      </c>
      <c r="BT7">
        <v>298</v>
      </c>
      <c r="BU7">
        <v>93.404337722700006</v>
      </c>
      <c r="BV7">
        <v>3799</v>
      </c>
      <c r="BW7">
        <v>639</v>
      </c>
      <c r="BX7">
        <v>115.2155830482</v>
      </c>
      <c r="BY7">
        <v>101.51956181529999</v>
      </c>
      <c r="CA7" t="s">
        <v>412</v>
      </c>
      <c r="CB7" t="s">
        <v>768</v>
      </c>
      <c r="CC7" t="s">
        <v>994</v>
      </c>
      <c r="CD7">
        <v>3145</v>
      </c>
      <c r="CE7">
        <v>586</v>
      </c>
      <c r="CF7">
        <v>77.121780604099996</v>
      </c>
      <c r="CG7">
        <v>7814</v>
      </c>
      <c r="CH7">
        <v>1027</v>
      </c>
      <c r="CI7">
        <v>118.1057077041</v>
      </c>
      <c r="CJ7">
        <v>98.903602726399996</v>
      </c>
      <c r="CL7" t="s">
        <v>412</v>
      </c>
      <c r="CM7" t="s">
        <v>749</v>
      </c>
      <c r="CN7" t="s">
        <v>748</v>
      </c>
      <c r="CO7">
        <v>308</v>
      </c>
      <c r="CP7">
        <v>30</v>
      </c>
      <c r="CQ7">
        <v>60.957792207799997</v>
      </c>
      <c r="CR7">
        <v>1216</v>
      </c>
      <c r="CS7">
        <v>154</v>
      </c>
      <c r="CT7">
        <v>65.590460526300006</v>
      </c>
      <c r="CU7">
        <v>67.422077922100002</v>
      </c>
      <c r="CW7" t="s">
        <v>412</v>
      </c>
      <c r="CX7" t="s">
        <v>759</v>
      </c>
      <c r="CY7" t="s">
        <v>758</v>
      </c>
      <c r="CZ7">
        <v>50</v>
      </c>
      <c r="DA7">
        <v>13</v>
      </c>
      <c r="DB7">
        <v>85.08</v>
      </c>
      <c r="DC7">
        <v>79</v>
      </c>
      <c r="DD7">
        <v>16</v>
      </c>
      <c r="DE7">
        <v>139.45569620250001</v>
      </c>
      <c r="DF7">
        <v>133.625</v>
      </c>
      <c r="DH7" t="s">
        <v>412</v>
      </c>
      <c r="DI7" t="s">
        <v>739</v>
      </c>
      <c r="DJ7" t="s">
        <v>738</v>
      </c>
      <c r="DK7">
        <v>40</v>
      </c>
      <c r="DL7">
        <v>11</v>
      </c>
      <c r="DM7">
        <v>84.724999999999994</v>
      </c>
      <c r="DN7">
        <v>65</v>
      </c>
      <c r="DO7">
        <v>3</v>
      </c>
      <c r="DP7">
        <v>130.92307692310001</v>
      </c>
      <c r="DQ7">
        <v>87</v>
      </c>
    </row>
    <row r="8" spans="2:121" x14ac:dyDescent="0.2">
      <c r="B8" t="s">
        <v>100</v>
      </c>
      <c r="C8">
        <v>294</v>
      </c>
      <c r="D8">
        <v>238</v>
      </c>
      <c r="F8" t="s">
        <v>27</v>
      </c>
      <c r="G8">
        <v>1211</v>
      </c>
      <c r="H8">
        <v>75.107349298100004</v>
      </c>
      <c r="I8">
        <v>5280</v>
      </c>
      <c r="J8">
        <v>772</v>
      </c>
      <c r="K8">
        <v>5420</v>
      </c>
      <c r="L8">
        <v>2270</v>
      </c>
      <c r="M8">
        <v>1243</v>
      </c>
      <c r="N8">
        <v>413</v>
      </c>
      <c r="O8">
        <v>1474</v>
      </c>
      <c r="P8">
        <v>810</v>
      </c>
      <c r="Q8">
        <v>0</v>
      </c>
      <c r="R8">
        <v>49</v>
      </c>
      <c r="AH8" t="s">
        <v>404</v>
      </c>
      <c r="AI8">
        <v>6507</v>
      </c>
      <c r="AJ8">
        <v>431.17565698480001</v>
      </c>
      <c r="AK8">
        <v>6698</v>
      </c>
      <c r="AL8">
        <v>1787</v>
      </c>
      <c r="AM8">
        <v>9724</v>
      </c>
      <c r="AN8">
        <v>6741</v>
      </c>
      <c r="AO8">
        <v>3405</v>
      </c>
      <c r="AP8">
        <v>2694</v>
      </c>
      <c r="AQ8">
        <v>1887</v>
      </c>
      <c r="AR8">
        <v>1124</v>
      </c>
      <c r="AS8">
        <v>7</v>
      </c>
      <c r="AT8">
        <v>59</v>
      </c>
      <c r="AV8" t="s">
        <v>410</v>
      </c>
      <c r="AW8">
        <v>255</v>
      </c>
      <c r="AX8">
        <v>59.556862745099998</v>
      </c>
      <c r="AY8">
        <v>275</v>
      </c>
      <c r="AZ8">
        <v>17</v>
      </c>
      <c r="BA8">
        <v>337</v>
      </c>
      <c r="BB8">
        <v>12</v>
      </c>
      <c r="BC8">
        <v>1</v>
      </c>
      <c r="BD8">
        <v>1</v>
      </c>
      <c r="BE8">
        <v>15</v>
      </c>
      <c r="BF8">
        <v>5</v>
      </c>
      <c r="BG8">
        <v>421</v>
      </c>
      <c r="BH8">
        <v>56</v>
      </c>
      <c r="BJ8" t="s">
        <v>620</v>
      </c>
      <c r="BK8" t="s">
        <v>386</v>
      </c>
      <c r="BL8">
        <v>16810</v>
      </c>
      <c r="BM8">
        <v>4445</v>
      </c>
      <c r="BN8">
        <v>97.860499702599995</v>
      </c>
      <c r="BO8">
        <v>27926</v>
      </c>
      <c r="BP8">
        <v>2891</v>
      </c>
      <c r="BQ8">
        <v>145.22881902169999</v>
      </c>
      <c r="BR8">
        <v>134.59840885509999</v>
      </c>
      <c r="BS8">
        <v>14651</v>
      </c>
      <c r="BT8">
        <v>3411</v>
      </c>
      <c r="BU8">
        <v>85.982595044700005</v>
      </c>
      <c r="BV8">
        <v>19733</v>
      </c>
      <c r="BW8">
        <v>2194</v>
      </c>
      <c r="BX8">
        <v>134.93954289769999</v>
      </c>
      <c r="BY8">
        <v>122.83500455790001</v>
      </c>
      <c r="CA8" t="s">
        <v>404</v>
      </c>
      <c r="CB8" t="s">
        <v>768</v>
      </c>
      <c r="CC8" t="s">
        <v>995</v>
      </c>
      <c r="CD8">
        <v>6368</v>
      </c>
      <c r="CE8">
        <v>1692</v>
      </c>
      <c r="CF8">
        <v>97.837154522600002</v>
      </c>
      <c r="CG8">
        <v>12220</v>
      </c>
      <c r="CH8">
        <v>1428</v>
      </c>
      <c r="CI8">
        <v>137.23805237319999</v>
      </c>
      <c r="CJ8">
        <v>121.6414565826</v>
      </c>
      <c r="CL8" t="s">
        <v>404</v>
      </c>
      <c r="CM8" t="s">
        <v>749</v>
      </c>
      <c r="CN8" t="s">
        <v>750</v>
      </c>
      <c r="CO8">
        <v>355</v>
      </c>
      <c r="CP8">
        <v>23</v>
      </c>
      <c r="CQ8">
        <v>58.338028168999998</v>
      </c>
      <c r="CR8">
        <v>1162</v>
      </c>
      <c r="CS8">
        <v>149</v>
      </c>
      <c r="CT8">
        <v>66.882960413099994</v>
      </c>
      <c r="CU8">
        <v>67.053691275199995</v>
      </c>
      <c r="CW8" t="s">
        <v>404</v>
      </c>
      <c r="CX8" t="s">
        <v>759</v>
      </c>
      <c r="CY8" t="s">
        <v>760</v>
      </c>
      <c r="CZ8">
        <v>203</v>
      </c>
      <c r="DA8">
        <v>44</v>
      </c>
      <c r="DB8">
        <v>83.192118226600002</v>
      </c>
      <c r="DC8">
        <v>435</v>
      </c>
      <c r="DD8">
        <v>82</v>
      </c>
      <c r="DE8">
        <v>136.70574712640001</v>
      </c>
      <c r="DF8">
        <v>128.9024390244</v>
      </c>
      <c r="DH8" t="s">
        <v>404</v>
      </c>
      <c r="DI8" t="s">
        <v>739</v>
      </c>
      <c r="DJ8" t="s">
        <v>740</v>
      </c>
      <c r="DK8">
        <v>274</v>
      </c>
      <c r="DL8">
        <v>46</v>
      </c>
      <c r="DM8">
        <v>72.795620438</v>
      </c>
      <c r="DN8">
        <v>674</v>
      </c>
      <c r="DO8">
        <v>81</v>
      </c>
      <c r="DP8">
        <v>121.71661721069999</v>
      </c>
      <c r="DQ8">
        <v>97.617283950599997</v>
      </c>
    </row>
    <row r="9" spans="2:121" x14ac:dyDescent="0.2">
      <c r="B9" t="s">
        <v>92</v>
      </c>
      <c r="C9">
        <v>12</v>
      </c>
      <c r="D9">
        <v>8</v>
      </c>
      <c r="F9" t="s">
        <v>59</v>
      </c>
      <c r="G9">
        <v>4054</v>
      </c>
      <c r="H9">
        <v>453.10730143069998</v>
      </c>
      <c r="I9">
        <v>5242</v>
      </c>
      <c r="J9">
        <v>1348</v>
      </c>
      <c r="K9">
        <v>5511</v>
      </c>
      <c r="L9">
        <v>3713</v>
      </c>
      <c r="M9">
        <v>965</v>
      </c>
      <c r="N9">
        <v>660</v>
      </c>
      <c r="O9">
        <v>1560</v>
      </c>
      <c r="P9">
        <v>1077</v>
      </c>
      <c r="Q9">
        <v>2</v>
      </c>
      <c r="R9">
        <v>267</v>
      </c>
      <c r="AH9" t="s">
        <v>374</v>
      </c>
      <c r="AI9">
        <v>898</v>
      </c>
      <c r="AJ9">
        <v>299.71492204899999</v>
      </c>
      <c r="AK9">
        <v>1723</v>
      </c>
      <c r="AL9">
        <v>437</v>
      </c>
      <c r="AM9">
        <v>2456</v>
      </c>
      <c r="AN9">
        <v>1486</v>
      </c>
      <c r="AO9">
        <v>640</v>
      </c>
      <c r="AP9">
        <v>407</v>
      </c>
      <c r="AQ9">
        <v>1098</v>
      </c>
      <c r="AR9">
        <v>810</v>
      </c>
      <c r="AS9">
        <v>305</v>
      </c>
      <c r="AT9">
        <v>5</v>
      </c>
      <c r="AV9" t="s">
        <v>418</v>
      </c>
      <c r="AW9">
        <v>36</v>
      </c>
      <c r="AX9">
        <v>74.638888888899999</v>
      </c>
      <c r="AY9">
        <v>49</v>
      </c>
      <c r="AZ9">
        <v>8</v>
      </c>
      <c r="BA9">
        <v>43</v>
      </c>
      <c r="BB9">
        <v>5</v>
      </c>
      <c r="BC9">
        <v>0</v>
      </c>
      <c r="BE9">
        <v>4</v>
      </c>
      <c r="BG9">
        <v>8</v>
      </c>
      <c r="BH9">
        <v>13</v>
      </c>
      <c r="BJ9" t="s">
        <v>556</v>
      </c>
      <c r="BK9" t="s">
        <v>386</v>
      </c>
      <c r="BL9">
        <v>4369</v>
      </c>
      <c r="BM9">
        <v>1444</v>
      </c>
      <c r="BN9">
        <v>112.16021972990001</v>
      </c>
      <c r="BO9">
        <v>5749</v>
      </c>
      <c r="BP9">
        <v>561</v>
      </c>
      <c r="BQ9">
        <v>145.41050617499999</v>
      </c>
      <c r="BR9">
        <v>136.7843137255</v>
      </c>
      <c r="BS9">
        <v>1447</v>
      </c>
      <c r="BT9">
        <v>606</v>
      </c>
      <c r="BU9">
        <v>128.85141672430001</v>
      </c>
      <c r="BV9">
        <v>7458</v>
      </c>
      <c r="BW9">
        <v>1000</v>
      </c>
      <c r="BX9">
        <v>148.31067310270001</v>
      </c>
      <c r="BY9">
        <v>138.529</v>
      </c>
      <c r="CA9" t="s">
        <v>388</v>
      </c>
      <c r="CB9" t="s">
        <v>768</v>
      </c>
      <c r="CC9" t="s">
        <v>996</v>
      </c>
      <c r="CD9">
        <v>5458</v>
      </c>
      <c r="CE9">
        <v>1351</v>
      </c>
      <c r="CF9">
        <v>91.817332356199998</v>
      </c>
      <c r="CG9">
        <v>10888</v>
      </c>
      <c r="CH9">
        <v>1262</v>
      </c>
      <c r="CI9">
        <v>135.7158339456</v>
      </c>
      <c r="CJ9">
        <v>127.3328050713</v>
      </c>
      <c r="CL9" t="s">
        <v>388</v>
      </c>
      <c r="CM9" t="s">
        <v>749</v>
      </c>
      <c r="CN9" t="s">
        <v>751</v>
      </c>
      <c r="CO9">
        <v>433</v>
      </c>
      <c r="CP9">
        <v>58</v>
      </c>
      <c r="CQ9">
        <v>62.648960739000003</v>
      </c>
      <c r="CR9">
        <v>1578</v>
      </c>
      <c r="CS9">
        <v>161</v>
      </c>
      <c r="CT9">
        <v>67.675538656499995</v>
      </c>
      <c r="CU9">
        <v>69.329192546599998</v>
      </c>
      <c r="CW9" t="s">
        <v>388</v>
      </c>
      <c r="CX9" t="s">
        <v>759</v>
      </c>
      <c r="CY9" t="s">
        <v>761</v>
      </c>
      <c r="CZ9">
        <v>90</v>
      </c>
      <c r="DA9">
        <v>20</v>
      </c>
      <c r="DB9">
        <v>84.011111111100007</v>
      </c>
      <c r="DC9">
        <v>102</v>
      </c>
      <c r="DD9">
        <v>14</v>
      </c>
      <c r="DE9">
        <v>146.3039215686</v>
      </c>
      <c r="DF9">
        <v>118.7857142857</v>
      </c>
      <c r="DH9" t="s">
        <v>388</v>
      </c>
      <c r="DI9" t="s">
        <v>739</v>
      </c>
      <c r="DJ9" t="s">
        <v>741</v>
      </c>
      <c r="DK9">
        <v>119</v>
      </c>
      <c r="DL9">
        <v>23</v>
      </c>
      <c r="DM9">
        <v>80.058823529400001</v>
      </c>
      <c r="DN9">
        <v>237</v>
      </c>
      <c r="DO9">
        <v>19</v>
      </c>
      <c r="DP9">
        <v>121.53586497889999</v>
      </c>
      <c r="DQ9">
        <v>117.6315789474</v>
      </c>
    </row>
    <row r="10" spans="2:121" x14ac:dyDescent="0.2">
      <c r="B10" t="s">
        <v>314</v>
      </c>
      <c r="C10">
        <v>1</v>
      </c>
      <c r="D10">
        <v>1</v>
      </c>
      <c r="F10" t="s">
        <v>24</v>
      </c>
      <c r="G10">
        <v>625</v>
      </c>
      <c r="H10">
        <v>159.79519999999999</v>
      </c>
      <c r="I10">
        <v>3937</v>
      </c>
      <c r="J10">
        <v>808</v>
      </c>
      <c r="K10">
        <v>1725</v>
      </c>
      <c r="L10">
        <v>801</v>
      </c>
      <c r="M10">
        <v>985</v>
      </c>
      <c r="N10">
        <v>602</v>
      </c>
      <c r="O10">
        <v>323</v>
      </c>
      <c r="P10">
        <v>142</v>
      </c>
      <c r="Q10">
        <v>0</v>
      </c>
      <c r="R10">
        <v>0</v>
      </c>
      <c r="AH10" t="s">
        <v>424</v>
      </c>
      <c r="AI10">
        <v>799</v>
      </c>
      <c r="AJ10">
        <v>426.69211514390003</v>
      </c>
      <c r="AK10">
        <v>871</v>
      </c>
      <c r="AL10">
        <v>213</v>
      </c>
      <c r="AM10">
        <v>1064</v>
      </c>
      <c r="AN10">
        <v>765</v>
      </c>
      <c r="AO10">
        <v>239</v>
      </c>
      <c r="AP10">
        <v>186</v>
      </c>
      <c r="AQ10">
        <v>377</v>
      </c>
      <c r="AR10">
        <v>216</v>
      </c>
      <c r="AS10">
        <v>90</v>
      </c>
      <c r="AT10">
        <v>1</v>
      </c>
      <c r="AV10" t="s">
        <v>372</v>
      </c>
      <c r="AW10">
        <v>356</v>
      </c>
      <c r="AX10">
        <v>106.12359550559999</v>
      </c>
      <c r="AY10">
        <v>609</v>
      </c>
      <c r="AZ10">
        <v>120</v>
      </c>
      <c r="BA10">
        <v>461</v>
      </c>
      <c r="BB10">
        <v>156</v>
      </c>
      <c r="BC10">
        <v>3</v>
      </c>
      <c r="BD10">
        <v>3</v>
      </c>
      <c r="BE10">
        <v>52</v>
      </c>
      <c r="BF10">
        <v>14</v>
      </c>
      <c r="BG10">
        <v>62</v>
      </c>
      <c r="BH10">
        <v>172</v>
      </c>
      <c r="BJ10" t="s">
        <v>608</v>
      </c>
      <c r="BK10" t="s">
        <v>386</v>
      </c>
      <c r="BL10">
        <v>3047</v>
      </c>
      <c r="BM10">
        <v>544</v>
      </c>
      <c r="BN10">
        <v>74.985559566800006</v>
      </c>
      <c r="BO10">
        <v>7567</v>
      </c>
      <c r="BP10">
        <v>993</v>
      </c>
      <c r="BQ10">
        <v>118.9450244483</v>
      </c>
      <c r="BR10">
        <v>99.543806646500002</v>
      </c>
      <c r="BS10">
        <v>3082</v>
      </c>
      <c r="BT10">
        <v>528</v>
      </c>
      <c r="BU10">
        <v>74.492537313400007</v>
      </c>
      <c r="BV10">
        <v>8372</v>
      </c>
      <c r="BW10">
        <v>992</v>
      </c>
      <c r="BX10">
        <v>126.8086478739</v>
      </c>
      <c r="BY10">
        <v>99.014112903200001</v>
      </c>
      <c r="CA10" t="s">
        <v>390</v>
      </c>
      <c r="CB10" t="s">
        <v>768</v>
      </c>
      <c r="CC10" t="s">
        <v>997</v>
      </c>
      <c r="CD10">
        <v>4703</v>
      </c>
      <c r="CE10">
        <v>1572</v>
      </c>
      <c r="CF10">
        <v>116.84988305340001</v>
      </c>
      <c r="CG10">
        <v>6496</v>
      </c>
      <c r="CH10">
        <v>784</v>
      </c>
      <c r="CI10">
        <v>143.11468596060001</v>
      </c>
      <c r="CJ10">
        <v>159.00892857139999</v>
      </c>
      <c r="CL10" t="s">
        <v>390</v>
      </c>
      <c r="CM10" t="s">
        <v>749</v>
      </c>
      <c r="CN10" t="s">
        <v>752</v>
      </c>
      <c r="CO10">
        <v>360</v>
      </c>
      <c r="CP10">
        <v>46</v>
      </c>
      <c r="CQ10">
        <v>65.280555555600003</v>
      </c>
      <c r="CR10">
        <v>1166</v>
      </c>
      <c r="CS10">
        <v>137</v>
      </c>
      <c r="CT10">
        <v>76.461406518000004</v>
      </c>
      <c r="CU10">
        <v>76.598540146000005</v>
      </c>
      <c r="CW10" t="s">
        <v>390</v>
      </c>
      <c r="CX10" t="s">
        <v>759</v>
      </c>
      <c r="CY10" t="s">
        <v>762</v>
      </c>
      <c r="CZ10">
        <v>66</v>
      </c>
      <c r="DA10">
        <v>23</v>
      </c>
      <c r="DB10">
        <v>101.696969697</v>
      </c>
      <c r="DC10">
        <v>109</v>
      </c>
      <c r="DD10">
        <v>15</v>
      </c>
      <c r="DE10">
        <v>151.09174311929999</v>
      </c>
      <c r="DF10">
        <v>136.13333333329999</v>
      </c>
      <c r="DH10" t="s">
        <v>390</v>
      </c>
      <c r="DI10" t="s">
        <v>739</v>
      </c>
      <c r="DJ10" t="s">
        <v>742</v>
      </c>
      <c r="DK10">
        <v>69</v>
      </c>
      <c r="DL10">
        <v>24</v>
      </c>
      <c r="DM10">
        <v>109.9130434783</v>
      </c>
      <c r="DN10">
        <v>115</v>
      </c>
      <c r="DO10">
        <v>6</v>
      </c>
      <c r="DP10">
        <v>138.38260869569999</v>
      </c>
      <c r="DQ10">
        <v>91.333333333300004</v>
      </c>
    </row>
    <row r="11" spans="2:121" x14ac:dyDescent="0.2">
      <c r="B11" t="s">
        <v>111</v>
      </c>
      <c r="C11">
        <v>8509</v>
      </c>
      <c r="D11">
        <v>499</v>
      </c>
      <c r="F11" t="s">
        <v>33</v>
      </c>
      <c r="G11">
        <v>8914</v>
      </c>
      <c r="H11">
        <v>737.73883778330003</v>
      </c>
      <c r="I11">
        <v>4381</v>
      </c>
      <c r="J11">
        <v>1147</v>
      </c>
      <c r="K11">
        <v>10409</v>
      </c>
      <c r="L11">
        <v>8633</v>
      </c>
      <c r="M11">
        <v>2961</v>
      </c>
      <c r="N11">
        <v>2665</v>
      </c>
      <c r="O11">
        <v>1485</v>
      </c>
      <c r="P11">
        <v>1123</v>
      </c>
      <c r="Q11">
        <v>0</v>
      </c>
      <c r="R11">
        <v>6</v>
      </c>
      <c r="AH11" t="s">
        <v>415</v>
      </c>
      <c r="AI11">
        <v>419</v>
      </c>
      <c r="AJ11">
        <v>516.47732696900005</v>
      </c>
      <c r="AK11">
        <v>436</v>
      </c>
      <c r="AL11">
        <v>84</v>
      </c>
      <c r="AM11">
        <v>611</v>
      </c>
      <c r="AN11">
        <v>439</v>
      </c>
      <c r="AO11">
        <v>209</v>
      </c>
      <c r="AP11">
        <v>182</v>
      </c>
      <c r="AQ11">
        <v>358</v>
      </c>
      <c r="AR11">
        <v>269</v>
      </c>
      <c r="AS11">
        <v>40</v>
      </c>
      <c r="AT11">
        <v>0</v>
      </c>
      <c r="AV11" t="s">
        <v>426</v>
      </c>
      <c r="AW11">
        <v>2576</v>
      </c>
      <c r="AX11">
        <v>99.441381987599996</v>
      </c>
      <c r="AY11">
        <v>3721</v>
      </c>
      <c r="AZ11">
        <v>779</v>
      </c>
      <c r="BA11">
        <v>3154</v>
      </c>
      <c r="BB11">
        <v>904</v>
      </c>
      <c r="BC11">
        <v>22</v>
      </c>
      <c r="BD11">
        <v>20</v>
      </c>
      <c r="BE11">
        <v>213</v>
      </c>
      <c r="BF11">
        <v>57</v>
      </c>
      <c r="BG11">
        <v>463</v>
      </c>
      <c r="BH11">
        <v>762</v>
      </c>
      <c r="BJ11" t="s">
        <v>610</v>
      </c>
      <c r="BK11" t="s">
        <v>386</v>
      </c>
      <c r="BL11">
        <v>5399</v>
      </c>
      <c r="BM11">
        <v>896</v>
      </c>
      <c r="BN11">
        <v>78.466382663499999</v>
      </c>
      <c r="BO11">
        <v>14836</v>
      </c>
      <c r="BP11">
        <v>1764</v>
      </c>
      <c r="BQ11">
        <v>115.5183337827</v>
      </c>
      <c r="BR11">
        <v>104.2409297052</v>
      </c>
      <c r="BS11">
        <v>6466</v>
      </c>
      <c r="BT11">
        <v>1342</v>
      </c>
      <c r="BU11">
        <v>87.764769563900003</v>
      </c>
      <c r="BV11">
        <v>19789</v>
      </c>
      <c r="BW11">
        <v>2066</v>
      </c>
      <c r="BX11">
        <v>125.7894284704</v>
      </c>
      <c r="BY11">
        <v>113.32090997100001</v>
      </c>
      <c r="CA11" t="s">
        <v>419</v>
      </c>
      <c r="CB11" t="s">
        <v>768</v>
      </c>
      <c r="CC11" t="s">
        <v>998</v>
      </c>
      <c r="CD11">
        <v>685</v>
      </c>
      <c r="CE11">
        <v>58</v>
      </c>
      <c r="CF11">
        <v>61.370802919699997</v>
      </c>
      <c r="CG11">
        <v>2366</v>
      </c>
      <c r="CH11">
        <v>305</v>
      </c>
      <c r="CI11">
        <v>87.206677937400002</v>
      </c>
      <c r="CJ11">
        <v>68.232786885199999</v>
      </c>
      <c r="CL11" t="s">
        <v>419</v>
      </c>
      <c r="CM11" t="s">
        <v>749</v>
      </c>
      <c r="CN11" t="s">
        <v>753</v>
      </c>
      <c r="CO11">
        <v>93</v>
      </c>
      <c r="CP11">
        <v>6</v>
      </c>
      <c r="CQ11">
        <v>54.752688171999999</v>
      </c>
      <c r="CR11">
        <v>361</v>
      </c>
      <c r="CS11">
        <v>35</v>
      </c>
      <c r="CT11">
        <v>58.204986149600003</v>
      </c>
      <c r="CU11">
        <v>49.8</v>
      </c>
      <c r="CW11" t="s">
        <v>419</v>
      </c>
      <c r="CX11" t="s">
        <v>759</v>
      </c>
      <c r="CY11" t="s">
        <v>763</v>
      </c>
      <c r="CZ11">
        <v>22</v>
      </c>
      <c r="DA11">
        <v>8</v>
      </c>
      <c r="DB11">
        <v>101.0909090909</v>
      </c>
      <c r="DC11">
        <v>37</v>
      </c>
      <c r="DD11">
        <v>8</v>
      </c>
      <c r="DE11">
        <v>141.32432432429999</v>
      </c>
      <c r="DF11">
        <v>167.375</v>
      </c>
      <c r="DH11" t="s">
        <v>419</v>
      </c>
      <c r="DI11" t="s">
        <v>739</v>
      </c>
      <c r="DJ11" t="s">
        <v>743</v>
      </c>
      <c r="DK11">
        <v>11</v>
      </c>
      <c r="DL11">
        <v>0</v>
      </c>
      <c r="DM11">
        <v>69.545454545499993</v>
      </c>
      <c r="DN11">
        <v>31</v>
      </c>
      <c r="DO11">
        <v>5</v>
      </c>
      <c r="DP11">
        <v>123.0322580645</v>
      </c>
      <c r="DQ11">
        <v>110.6</v>
      </c>
    </row>
    <row r="12" spans="2:121" x14ac:dyDescent="0.2">
      <c r="B12" t="s">
        <v>121</v>
      </c>
      <c r="C12">
        <v>854</v>
      </c>
      <c r="D12">
        <v>368</v>
      </c>
      <c r="F12" t="s">
        <v>57</v>
      </c>
      <c r="G12">
        <v>11111</v>
      </c>
      <c r="H12">
        <v>375.78390783909998</v>
      </c>
      <c r="I12">
        <v>6806</v>
      </c>
      <c r="J12">
        <v>1601</v>
      </c>
      <c r="K12">
        <v>12992</v>
      </c>
      <c r="L12">
        <v>9553</v>
      </c>
      <c r="M12">
        <v>4455</v>
      </c>
      <c r="N12">
        <v>4107</v>
      </c>
      <c r="O12">
        <v>1327</v>
      </c>
      <c r="P12">
        <v>616</v>
      </c>
      <c r="Q12">
        <v>0</v>
      </c>
      <c r="R12">
        <v>387</v>
      </c>
      <c r="T12" t="s">
        <v>649</v>
      </c>
      <c r="U12" t="s">
        <v>306</v>
      </c>
      <c r="V12" t="s">
        <v>133</v>
      </c>
      <c r="W12" t="s">
        <v>214</v>
      </c>
      <c r="X12" t="s">
        <v>215</v>
      </c>
      <c r="Y12" t="s">
        <v>216</v>
      </c>
      <c r="Z12" t="s">
        <v>217</v>
      </c>
      <c r="AA12" t="s">
        <v>218</v>
      </c>
      <c r="AB12" t="s">
        <v>219</v>
      </c>
      <c r="AC12" t="s">
        <v>220</v>
      </c>
      <c r="AD12" t="s">
        <v>221</v>
      </c>
      <c r="AE12" t="s">
        <v>222</v>
      </c>
      <c r="AF12" t="s">
        <v>223</v>
      </c>
      <c r="AH12" t="s">
        <v>426</v>
      </c>
      <c r="AI12">
        <v>19052</v>
      </c>
      <c r="AJ12">
        <v>323.73367625449998</v>
      </c>
      <c r="AK12">
        <v>23760</v>
      </c>
      <c r="AL12">
        <v>5352</v>
      </c>
      <c r="AM12">
        <v>26566</v>
      </c>
      <c r="AN12">
        <v>17251</v>
      </c>
      <c r="AO12">
        <v>7381</v>
      </c>
      <c r="AP12">
        <v>5624</v>
      </c>
      <c r="AQ12">
        <v>18133</v>
      </c>
      <c r="AR12">
        <v>12211</v>
      </c>
      <c r="AS12">
        <v>2275</v>
      </c>
      <c r="AT12">
        <v>294</v>
      </c>
      <c r="AV12" t="s">
        <v>388</v>
      </c>
      <c r="AW12">
        <v>645</v>
      </c>
      <c r="AX12">
        <v>61.727131782900003</v>
      </c>
      <c r="AY12">
        <v>489</v>
      </c>
      <c r="AZ12">
        <v>39</v>
      </c>
      <c r="BA12">
        <v>748</v>
      </c>
      <c r="BB12">
        <v>44</v>
      </c>
      <c r="BC12">
        <v>3</v>
      </c>
      <c r="BD12">
        <v>2</v>
      </c>
      <c r="BE12">
        <v>35</v>
      </c>
      <c r="BF12">
        <v>14</v>
      </c>
      <c r="BG12">
        <v>83</v>
      </c>
      <c r="BH12">
        <v>77</v>
      </c>
      <c r="BJ12" t="s">
        <v>552</v>
      </c>
      <c r="BK12" t="s">
        <v>386</v>
      </c>
      <c r="BL12">
        <v>5339</v>
      </c>
      <c r="BM12">
        <v>1344</v>
      </c>
      <c r="BN12">
        <v>91.769432477999999</v>
      </c>
      <c r="BO12">
        <v>10203</v>
      </c>
      <c r="BP12">
        <v>1214</v>
      </c>
      <c r="BQ12">
        <v>140.30834068409999</v>
      </c>
      <c r="BR12">
        <v>130.32619439870001</v>
      </c>
      <c r="BS12">
        <v>1067</v>
      </c>
      <c r="BT12">
        <v>404</v>
      </c>
      <c r="BU12">
        <v>115.9718837863</v>
      </c>
      <c r="BV12">
        <v>7761</v>
      </c>
      <c r="BW12">
        <v>961</v>
      </c>
      <c r="BX12">
        <v>138.91534596060001</v>
      </c>
      <c r="BY12">
        <v>147.20187304890001</v>
      </c>
      <c r="CA12" t="s">
        <v>413</v>
      </c>
      <c r="CB12" t="s">
        <v>768</v>
      </c>
      <c r="CC12" t="s">
        <v>999</v>
      </c>
      <c r="CD12">
        <v>5290</v>
      </c>
      <c r="CE12">
        <v>767</v>
      </c>
      <c r="CF12">
        <v>70.357277882800005</v>
      </c>
      <c r="CG12">
        <v>15019</v>
      </c>
      <c r="CH12">
        <v>1600</v>
      </c>
      <c r="CI12">
        <v>100.7595712098</v>
      </c>
      <c r="CJ12">
        <v>85.018749999999997</v>
      </c>
      <c r="CL12" t="s">
        <v>413</v>
      </c>
      <c r="CM12" t="s">
        <v>749</v>
      </c>
      <c r="CN12" t="s">
        <v>754</v>
      </c>
      <c r="CO12">
        <v>453</v>
      </c>
      <c r="CP12">
        <v>32</v>
      </c>
      <c r="CQ12">
        <v>56.439293598200003</v>
      </c>
      <c r="CR12">
        <v>1731</v>
      </c>
      <c r="CS12">
        <v>180</v>
      </c>
      <c r="CT12">
        <v>66.041594454099993</v>
      </c>
      <c r="CU12">
        <v>63.344444444399997</v>
      </c>
      <c r="CW12" t="s">
        <v>413</v>
      </c>
      <c r="CX12" t="s">
        <v>759</v>
      </c>
      <c r="CY12" t="s">
        <v>764</v>
      </c>
      <c r="CZ12">
        <v>104</v>
      </c>
      <c r="DA12">
        <v>19</v>
      </c>
      <c r="DB12">
        <v>72.288461538500002</v>
      </c>
      <c r="DC12">
        <v>181</v>
      </c>
      <c r="DD12">
        <v>29</v>
      </c>
      <c r="DE12">
        <v>138.39779005520001</v>
      </c>
      <c r="DF12">
        <v>131.5172413793</v>
      </c>
      <c r="DH12" t="s">
        <v>413</v>
      </c>
      <c r="DI12" t="s">
        <v>739</v>
      </c>
      <c r="DJ12" t="s">
        <v>744</v>
      </c>
      <c r="DK12">
        <v>153</v>
      </c>
      <c r="DL12">
        <v>26</v>
      </c>
      <c r="DM12">
        <v>75.169934640500003</v>
      </c>
      <c r="DN12">
        <v>313</v>
      </c>
      <c r="DO12">
        <v>50</v>
      </c>
      <c r="DP12">
        <v>125.5367412141</v>
      </c>
      <c r="DQ12">
        <v>126.28</v>
      </c>
    </row>
    <row r="13" spans="2:121" x14ac:dyDescent="0.2">
      <c r="B13" t="s">
        <v>97</v>
      </c>
      <c r="C13">
        <v>159</v>
      </c>
      <c r="D13">
        <v>103</v>
      </c>
      <c r="F13" t="s">
        <v>34</v>
      </c>
      <c r="G13">
        <v>249</v>
      </c>
      <c r="H13">
        <v>53.313253011999997</v>
      </c>
      <c r="I13">
        <v>1399</v>
      </c>
      <c r="J13">
        <v>305</v>
      </c>
      <c r="K13">
        <v>408</v>
      </c>
      <c r="L13">
        <v>40</v>
      </c>
      <c r="M13">
        <v>91</v>
      </c>
      <c r="N13">
        <v>34</v>
      </c>
      <c r="O13">
        <v>176</v>
      </c>
      <c r="P13">
        <v>67</v>
      </c>
      <c r="Q13">
        <v>0</v>
      </c>
      <c r="R13">
        <v>4</v>
      </c>
      <c r="T13" t="s">
        <v>386</v>
      </c>
      <c r="U13">
        <v>44911</v>
      </c>
      <c r="V13">
        <v>365.09020061899997</v>
      </c>
      <c r="W13">
        <v>62584</v>
      </c>
      <c r="X13">
        <v>15103</v>
      </c>
      <c r="Y13">
        <v>69213</v>
      </c>
      <c r="Z13">
        <v>44715</v>
      </c>
      <c r="AA13">
        <v>19663</v>
      </c>
      <c r="AB13">
        <v>14267</v>
      </c>
      <c r="AC13">
        <v>16981</v>
      </c>
      <c r="AD13">
        <v>9350</v>
      </c>
      <c r="AE13">
        <v>51</v>
      </c>
      <c r="AF13">
        <v>1132</v>
      </c>
      <c r="AH13" t="s">
        <v>382</v>
      </c>
      <c r="AI13">
        <v>13836</v>
      </c>
      <c r="AJ13">
        <v>356.67360508820002</v>
      </c>
      <c r="AK13">
        <v>17247</v>
      </c>
      <c r="AL13">
        <v>4792</v>
      </c>
      <c r="AM13">
        <v>20721</v>
      </c>
      <c r="AN13">
        <v>14345</v>
      </c>
      <c r="AO13">
        <v>8198</v>
      </c>
      <c r="AP13">
        <v>6741</v>
      </c>
      <c r="AQ13">
        <v>12928</v>
      </c>
      <c r="AR13">
        <v>10585</v>
      </c>
      <c r="AS13">
        <v>1086</v>
      </c>
      <c r="AT13">
        <v>29</v>
      </c>
      <c r="AV13" t="s">
        <v>409</v>
      </c>
      <c r="AW13">
        <v>87</v>
      </c>
      <c r="AX13">
        <v>54</v>
      </c>
      <c r="AY13">
        <v>111</v>
      </c>
      <c r="AZ13">
        <v>2</v>
      </c>
      <c r="BA13">
        <v>102</v>
      </c>
      <c r="BC13">
        <v>1</v>
      </c>
      <c r="BD13">
        <v>1</v>
      </c>
      <c r="BE13">
        <v>3</v>
      </c>
      <c r="BF13">
        <v>2</v>
      </c>
      <c r="BG13">
        <v>135</v>
      </c>
      <c r="BH13">
        <v>18</v>
      </c>
      <c r="BJ13" t="s">
        <v>589</v>
      </c>
      <c r="BK13" t="s">
        <v>386</v>
      </c>
      <c r="BL13">
        <v>2294</v>
      </c>
      <c r="BM13">
        <v>602</v>
      </c>
      <c r="BN13">
        <v>91.583696599800007</v>
      </c>
      <c r="BO13">
        <v>3441</v>
      </c>
      <c r="BP13">
        <v>387</v>
      </c>
      <c r="BQ13">
        <v>138.01278698050001</v>
      </c>
      <c r="BR13">
        <v>125.31782945739999</v>
      </c>
      <c r="BS13">
        <v>2447</v>
      </c>
      <c r="BT13">
        <v>881</v>
      </c>
      <c r="BU13">
        <v>106.7037188394</v>
      </c>
      <c r="BV13">
        <v>6346</v>
      </c>
      <c r="BW13">
        <v>542</v>
      </c>
      <c r="BX13">
        <v>156.07626851559999</v>
      </c>
      <c r="BY13">
        <v>151.7859778598</v>
      </c>
      <c r="CA13" t="s">
        <v>411</v>
      </c>
      <c r="CB13" t="s">
        <v>768</v>
      </c>
      <c r="CC13" t="s">
        <v>1000</v>
      </c>
      <c r="CD13">
        <v>34010</v>
      </c>
      <c r="CE13">
        <v>7648</v>
      </c>
      <c r="CF13">
        <v>89.446221699500001</v>
      </c>
      <c r="CG13">
        <v>64127</v>
      </c>
      <c r="CH13">
        <v>7154</v>
      </c>
      <c r="CI13">
        <v>132.4247820731</v>
      </c>
      <c r="CJ13">
        <v>120.0149566676</v>
      </c>
      <c r="CL13" t="s">
        <v>411</v>
      </c>
      <c r="CM13" t="s">
        <v>749</v>
      </c>
      <c r="CN13" t="s">
        <v>755</v>
      </c>
      <c r="CO13">
        <v>1970</v>
      </c>
      <c r="CP13">
        <v>156</v>
      </c>
      <c r="CQ13">
        <v>56.953807106600003</v>
      </c>
      <c r="CR13">
        <v>6722</v>
      </c>
      <c r="CS13">
        <v>762</v>
      </c>
      <c r="CT13">
        <v>67.394674204099999</v>
      </c>
      <c r="CU13">
        <v>67.143044619400001</v>
      </c>
      <c r="CW13" t="s">
        <v>411</v>
      </c>
      <c r="CX13" t="s">
        <v>759</v>
      </c>
      <c r="CY13" t="s">
        <v>765</v>
      </c>
      <c r="CZ13">
        <v>1000</v>
      </c>
      <c r="DA13">
        <v>244</v>
      </c>
      <c r="DB13">
        <v>86.046999999999997</v>
      </c>
      <c r="DC13">
        <v>1641</v>
      </c>
      <c r="DD13">
        <v>292</v>
      </c>
      <c r="DE13">
        <v>138.78244972580001</v>
      </c>
      <c r="DF13">
        <v>127.3630136986</v>
      </c>
      <c r="DH13" t="s">
        <v>411</v>
      </c>
      <c r="DI13" t="s">
        <v>739</v>
      </c>
      <c r="DJ13" t="s">
        <v>745</v>
      </c>
      <c r="DK13">
        <v>923</v>
      </c>
      <c r="DL13">
        <v>198</v>
      </c>
      <c r="DM13">
        <v>83.308775731300003</v>
      </c>
      <c r="DN13">
        <v>1759</v>
      </c>
      <c r="DO13">
        <v>226</v>
      </c>
      <c r="DP13">
        <v>130.8061398522</v>
      </c>
      <c r="DQ13">
        <v>113.2345132743</v>
      </c>
    </row>
    <row r="14" spans="2:121" x14ac:dyDescent="0.2">
      <c r="B14" t="s">
        <v>128</v>
      </c>
      <c r="C14">
        <v>1598</v>
      </c>
      <c r="D14">
        <v>238</v>
      </c>
      <c r="F14" t="s">
        <v>38</v>
      </c>
      <c r="G14">
        <v>4215</v>
      </c>
      <c r="H14">
        <v>439.2925266904</v>
      </c>
      <c r="I14">
        <v>7023</v>
      </c>
      <c r="J14">
        <v>1532</v>
      </c>
      <c r="K14">
        <v>6320</v>
      </c>
      <c r="L14">
        <v>3897</v>
      </c>
      <c r="M14">
        <v>1639</v>
      </c>
      <c r="N14">
        <v>1436</v>
      </c>
      <c r="O14">
        <v>2760</v>
      </c>
      <c r="P14">
        <v>2161</v>
      </c>
      <c r="Q14">
        <v>1</v>
      </c>
      <c r="R14">
        <v>331</v>
      </c>
      <c r="T14" t="s">
        <v>391</v>
      </c>
      <c r="U14">
        <v>33757</v>
      </c>
      <c r="V14">
        <v>343.58429362800001</v>
      </c>
      <c r="W14">
        <v>54878</v>
      </c>
      <c r="X14">
        <v>11065</v>
      </c>
      <c r="Y14">
        <v>58041</v>
      </c>
      <c r="Z14">
        <v>31669</v>
      </c>
      <c r="AA14">
        <v>14804</v>
      </c>
      <c r="AB14">
        <v>10969</v>
      </c>
      <c r="AC14">
        <v>12990</v>
      </c>
      <c r="AD14">
        <v>8628</v>
      </c>
      <c r="AE14">
        <v>8420</v>
      </c>
      <c r="AF14">
        <v>1049</v>
      </c>
      <c r="AH14" t="s">
        <v>429</v>
      </c>
      <c r="AI14">
        <v>1333</v>
      </c>
      <c r="AJ14">
        <v>291.06451612900003</v>
      </c>
      <c r="AK14">
        <v>1680</v>
      </c>
      <c r="AL14">
        <v>295</v>
      </c>
      <c r="AM14">
        <v>1921</v>
      </c>
      <c r="AN14">
        <v>1231</v>
      </c>
      <c r="AO14">
        <v>1087</v>
      </c>
      <c r="AP14">
        <v>664</v>
      </c>
      <c r="AQ14">
        <v>621</v>
      </c>
      <c r="AR14">
        <v>346</v>
      </c>
      <c r="AS14">
        <v>3</v>
      </c>
      <c r="AT14">
        <v>5</v>
      </c>
      <c r="AV14" t="s">
        <v>394</v>
      </c>
      <c r="AW14">
        <v>427</v>
      </c>
      <c r="AX14">
        <v>60.133489461400004</v>
      </c>
      <c r="AY14">
        <v>405</v>
      </c>
      <c r="AZ14">
        <v>27</v>
      </c>
      <c r="BA14">
        <v>517</v>
      </c>
      <c r="BB14">
        <v>30</v>
      </c>
      <c r="BC14">
        <v>1</v>
      </c>
      <c r="BD14">
        <v>1</v>
      </c>
      <c r="BE14">
        <v>45</v>
      </c>
      <c r="BF14">
        <v>8</v>
      </c>
      <c r="BG14">
        <v>78</v>
      </c>
      <c r="BH14">
        <v>71</v>
      </c>
      <c r="BJ14" t="s">
        <v>606</v>
      </c>
      <c r="BK14" t="s">
        <v>386</v>
      </c>
      <c r="BL14">
        <v>15964</v>
      </c>
      <c r="BM14">
        <v>3021</v>
      </c>
      <c r="BN14">
        <v>82.195502380400001</v>
      </c>
      <c r="BO14">
        <v>31318</v>
      </c>
      <c r="BP14">
        <v>3744</v>
      </c>
      <c r="BQ14">
        <v>133.78459671749999</v>
      </c>
      <c r="BR14">
        <v>118.5600961538</v>
      </c>
      <c r="BS14">
        <v>15001</v>
      </c>
      <c r="BT14">
        <v>2426</v>
      </c>
      <c r="BU14">
        <v>76.194853676400001</v>
      </c>
      <c r="BV14">
        <v>29761</v>
      </c>
      <c r="BW14">
        <v>3415</v>
      </c>
      <c r="BX14">
        <v>132.5609354524</v>
      </c>
      <c r="BY14">
        <v>114.2729136164</v>
      </c>
      <c r="CA14" t="s">
        <v>407</v>
      </c>
      <c r="CB14" t="s">
        <v>768</v>
      </c>
      <c r="CC14" t="s">
        <v>1001</v>
      </c>
      <c r="CD14">
        <v>2043</v>
      </c>
      <c r="CE14">
        <v>612</v>
      </c>
      <c r="CF14">
        <v>100.1507586882</v>
      </c>
      <c r="CG14">
        <v>2935</v>
      </c>
      <c r="CH14">
        <v>314</v>
      </c>
      <c r="CI14">
        <v>137.76933560480001</v>
      </c>
      <c r="CJ14">
        <v>127.67515923569999</v>
      </c>
      <c r="CL14" t="s">
        <v>407</v>
      </c>
      <c r="CM14" t="s">
        <v>749</v>
      </c>
      <c r="CN14" t="s">
        <v>756</v>
      </c>
      <c r="CO14">
        <v>176</v>
      </c>
      <c r="CP14">
        <v>8</v>
      </c>
      <c r="CQ14">
        <v>58.471590909100001</v>
      </c>
      <c r="CR14">
        <v>600</v>
      </c>
      <c r="CS14">
        <v>76</v>
      </c>
      <c r="CT14">
        <v>67.180000000000007</v>
      </c>
      <c r="CU14">
        <v>68.236842105299999</v>
      </c>
      <c r="CW14" t="s">
        <v>407</v>
      </c>
      <c r="CX14" t="s">
        <v>759</v>
      </c>
      <c r="CY14" t="s">
        <v>766</v>
      </c>
      <c r="CZ14">
        <v>63</v>
      </c>
      <c r="DA14">
        <v>21</v>
      </c>
      <c r="DB14">
        <v>99.777777777799997</v>
      </c>
      <c r="DC14">
        <v>89</v>
      </c>
      <c r="DD14">
        <v>12</v>
      </c>
      <c r="DE14">
        <v>143.4719101124</v>
      </c>
      <c r="DF14">
        <v>137.4166666667</v>
      </c>
      <c r="DH14" t="s">
        <v>407</v>
      </c>
      <c r="DI14" t="s">
        <v>739</v>
      </c>
      <c r="DJ14" t="s">
        <v>746</v>
      </c>
      <c r="DK14">
        <v>46</v>
      </c>
      <c r="DL14">
        <v>15</v>
      </c>
      <c r="DM14">
        <v>101.86956521739999</v>
      </c>
      <c r="DN14">
        <v>105</v>
      </c>
      <c r="DO14">
        <v>8</v>
      </c>
      <c r="DP14">
        <v>121.5523809524</v>
      </c>
      <c r="DQ14">
        <v>159.875</v>
      </c>
    </row>
    <row r="15" spans="2:121" x14ac:dyDescent="0.2">
      <c r="B15" t="s">
        <v>118</v>
      </c>
      <c r="C15">
        <v>30</v>
      </c>
      <c r="D15">
        <v>17</v>
      </c>
      <c r="F15" t="s">
        <v>36</v>
      </c>
      <c r="G15">
        <v>262</v>
      </c>
      <c r="H15">
        <v>241.96183206110001</v>
      </c>
      <c r="I15">
        <v>689</v>
      </c>
      <c r="J15">
        <v>109</v>
      </c>
      <c r="K15">
        <v>472</v>
      </c>
      <c r="L15">
        <v>247</v>
      </c>
      <c r="M15">
        <v>165</v>
      </c>
      <c r="N15">
        <v>104</v>
      </c>
      <c r="O15">
        <v>111</v>
      </c>
      <c r="P15">
        <v>41</v>
      </c>
      <c r="Q15">
        <v>2</v>
      </c>
      <c r="R15">
        <v>4</v>
      </c>
      <c r="T15" t="s">
        <v>370</v>
      </c>
      <c r="U15">
        <v>74030</v>
      </c>
      <c r="V15">
        <v>434.14433337840001</v>
      </c>
      <c r="W15">
        <v>77267</v>
      </c>
      <c r="X15">
        <v>19608</v>
      </c>
      <c r="Y15">
        <v>105406</v>
      </c>
      <c r="Z15">
        <v>74863</v>
      </c>
      <c r="AA15">
        <v>39500</v>
      </c>
      <c r="AB15">
        <v>31870</v>
      </c>
      <c r="AC15">
        <v>28667</v>
      </c>
      <c r="AD15">
        <v>20551</v>
      </c>
      <c r="AE15">
        <v>13644</v>
      </c>
      <c r="AF15">
        <v>55</v>
      </c>
      <c r="AH15" t="s">
        <v>409</v>
      </c>
      <c r="AI15">
        <v>567</v>
      </c>
      <c r="AJ15">
        <v>255.09347442679999</v>
      </c>
      <c r="AK15">
        <v>1546</v>
      </c>
      <c r="AL15">
        <v>354</v>
      </c>
      <c r="AM15">
        <v>873</v>
      </c>
      <c r="AN15">
        <v>407</v>
      </c>
      <c r="AO15">
        <v>269</v>
      </c>
      <c r="AP15">
        <v>177</v>
      </c>
      <c r="AQ15">
        <v>485</v>
      </c>
      <c r="AR15">
        <v>263</v>
      </c>
      <c r="AS15">
        <v>3</v>
      </c>
      <c r="AT15">
        <v>5</v>
      </c>
      <c r="AV15" t="s">
        <v>413</v>
      </c>
      <c r="AW15">
        <v>290</v>
      </c>
      <c r="AX15">
        <v>56.365517241399999</v>
      </c>
      <c r="AY15">
        <v>269</v>
      </c>
      <c r="AZ15">
        <v>13</v>
      </c>
      <c r="BA15">
        <v>349</v>
      </c>
      <c r="BB15">
        <v>8</v>
      </c>
      <c r="BC15">
        <v>2</v>
      </c>
      <c r="BD15">
        <v>2</v>
      </c>
      <c r="BE15">
        <v>8</v>
      </c>
      <c r="BF15">
        <v>4</v>
      </c>
      <c r="BG15">
        <v>691</v>
      </c>
      <c r="BH15">
        <v>63</v>
      </c>
      <c r="BJ15" t="s">
        <v>568</v>
      </c>
      <c r="BK15" t="s">
        <v>391</v>
      </c>
      <c r="BL15">
        <v>6010</v>
      </c>
      <c r="BM15">
        <v>1483</v>
      </c>
      <c r="BN15">
        <v>97.084359401</v>
      </c>
      <c r="BO15">
        <v>12142</v>
      </c>
      <c r="BP15">
        <v>1454</v>
      </c>
      <c r="BQ15">
        <v>146.44481963429999</v>
      </c>
      <c r="BR15">
        <v>131.49862448420001</v>
      </c>
      <c r="BS15">
        <v>4851</v>
      </c>
      <c r="BT15">
        <v>732</v>
      </c>
      <c r="BU15">
        <v>78.088435374100001</v>
      </c>
      <c r="BV15">
        <v>7155</v>
      </c>
      <c r="BW15">
        <v>849</v>
      </c>
      <c r="BX15">
        <v>125.8477987421</v>
      </c>
      <c r="BY15">
        <v>112.0412249706</v>
      </c>
      <c r="CA15" t="s">
        <v>422</v>
      </c>
      <c r="CB15" t="s">
        <v>768</v>
      </c>
      <c r="CC15" t="s">
        <v>1002</v>
      </c>
      <c r="CD15">
        <v>733</v>
      </c>
      <c r="CE15">
        <v>113</v>
      </c>
      <c r="CF15">
        <v>71.551159618</v>
      </c>
      <c r="CG15">
        <v>1724</v>
      </c>
      <c r="CH15">
        <v>271</v>
      </c>
      <c r="CI15">
        <v>126.569025522</v>
      </c>
      <c r="CJ15">
        <v>94.487084870800004</v>
      </c>
      <c r="CL15" t="s">
        <v>422</v>
      </c>
      <c r="CM15" t="s">
        <v>749</v>
      </c>
      <c r="CN15" t="s">
        <v>757</v>
      </c>
      <c r="CO15">
        <v>29</v>
      </c>
      <c r="CP15">
        <v>2</v>
      </c>
      <c r="CQ15">
        <v>50.482758620699997</v>
      </c>
      <c r="CR15">
        <v>101</v>
      </c>
      <c r="CS15">
        <v>10</v>
      </c>
      <c r="CT15">
        <v>61.514851485100003</v>
      </c>
      <c r="CU15">
        <v>78.400000000000006</v>
      </c>
      <c r="CW15" t="s">
        <v>422</v>
      </c>
      <c r="CX15" t="s">
        <v>759</v>
      </c>
      <c r="CY15" t="s">
        <v>767</v>
      </c>
      <c r="CZ15">
        <v>9</v>
      </c>
      <c r="DA15">
        <v>4</v>
      </c>
      <c r="DB15">
        <v>106.6666666667</v>
      </c>
      <c r="DC15">
        <v>31</v>
      </c>
      <c r="DD15">
        <v>8</v>
      </c>
      <c r="DE15">
        <v>151.45161290319999</v>
      </c>
      <c r="DF15">
        <v>145.5</v>
      </c>
      <c r="DH15" t="s">
        <v>422</v>
      </c>
      <c r="DI15" t="s">
        <v>739</v>
      </c>
      <c r="DJ15" t="s">
        <v>747</v>
      </c>
      <c r="DK15">
        <v>10</v>
      </c>
      <c r="DL15">
        <v>1</v>
      </c>
      <c r="DM15">
        <v>52.1</v>
      </c>
      <c r="DN15">
        <v>29</v>
      </c>
      <c r="DO15">
        <v>1</v>
      </c>
      <c r="DP15">
        <v>126.3793103448</v>
      </c>
      <c r="DQ15">
        <v>145</v>
      </c>
    </row>
    <row r="16" spans="2:121" x14ac:dyDescent="0.2">
      <c r="B16" t="s">
        <v>1062</v>
      </c>
      <c r="C16">
        <v>6</v>
      </c>
      <c r="F16" t="s">
        <v>61</v>
      </c>
      <c r="G16">
        <v>463</v>
      </c>
      <c r="H16">
        <v>174.68250539959999</v>
      </c>
      <c r="I16">
        <v>2725</v>
      </c>
      <c r="J16">
        <v>612</v>
      </c>
      <c r="K16">
        <v>1076</v>
      </c>
      <c r="L16">
        <v>404</v>
      </c>
      <c r="M16">
        <v>689</v>
      </c>
      <c r="N16">
        <v>629</v>
      </c>
      <c r="O16">
        <v>1503</v>
      </c>
      <c r="P16">
        <v>1125</v>
      </c>
      <c r="Q16">
        <v>0</v>
      </c>
      <c r="R16">
        <v>0</v>
      </c>
      <c r="T16" t="s">
        <v>8</v>
      </c>
      <c r="U16">
        <v>254</v>
      </c>
      <c r="V16">
        <v>449.86220472439999</v>
      </c>
      <c r="W16">
        <v>359</v>
      </c>
      <c r="X16">
        <v>3</v>
      </c>
      <c r="Y16">
        <v>285</v>
      </c>
      <c r="Z16">
        <v>210</v>
      </c>
      <c r="AA16">
        <v>33</v>
      </c>
      <c r="AB16">
        <v>18</v>
      </c>
      <c r="AC16">
        <v>60036</v>
      </c>
      <c r="AD16">
        <v>35227</v>
      </c>
      <c r="AE16">
        <v>0</v>
      </c>
      <c r="AF16">
        <v>1</v>
      </c>
      <c r="AH16" t="s">
        <v>395</v>
      </c>
      <c r="AI16">
        <v>5804</v>
      </c>
      <c r="AJ16">
        <v>476.06047553410002</v>
      </c>
      <c r="AK16">
        <v>6534</v>
      </c>
      <c r="AL16">
        <v>1630</v>
      </c>
      <c r="AM16">
        <v>8719</v>
      </c>
      <c r="AN16">
        <v>5811</v>
      </c>
      <c r="AO16">
        <v>2304</v>
      </c>
      <c r="AP16">
        <v>2049</v>
      </c>
      <c r="AQ16">
        <v>3233</v>
      </c>
      <c r="AR16">
        <v>1788</v>
      </c>
      <c r="AS16">
        <v>940</v>
      </c>
      <c r="AT16">
        <v>215</v>
      </c>
      <c r="AV16" t="s">
        <v>376</v>
      </c>
      <c r="AW16">
        <v>1566</v>
      </c>
      <c r="AX16">
        <v>97.946998722900005</v>
      </c>
      <c r="AY16">
        <v>2739</v>
      </c>
      <c r="AZ16">
        <v>632</v>
      </c>
      <c r="BA16">
        <v>2138</v>
      </c>
      <c r="BB16">
        <v>616</v>
      </c>
      <c r="BC16">
        <v>2</v>
      </c>
      <c r="BD16">
        <v>2</v>
      </c>
      <c r="BE16">
        <v>153</v>
      </c>
      <c r="BF16">
        <v>28</v>
      </c>
      <c r="BG16">
        <v>160</v>
      </c>
      <c r="BH16">
        <v>460</v>
      </c>
      <c r="BJ16" t="s">
        <v>560</v>
      </c>
      <c r="BK16" t="s">
        <v>391</v>
      </c>
      <c r="BL16">
        <v>7175</v>
      </c>
      <c r="BM16">
        <v>1523</v>
      </c>
      <c r="BN16">
        <v>93.8922648084</v>
      </c>
      <c r="BO16">
        <v>17073</v>
      </c>
      <c r="BP16">
        <v>1910</v>
      </c>
      <c r="BQ16">
        <v>131.83845838459999</v>
      </c>
      <c r="BR16">
        <v>119.94607329839999</v>
      </c>
      <c r="BS16">
        <v>7029</v>
      </c>
      <c r="BT16">
        <v>1463</v>
      </c>
      <c r="BU16">
        <v>92.507469056800005</v>
      </c>
      <c r="BV16">
        <v>18571</v>
      </c>
      <c r="BW16">
        <v>1966</v>
      </c>
      <c r="BX16">
        <v>141.7820795865</v>
      </c>
      <c r="BY16">
        <v>126.0269582909</v>
      </c>
      <c r="CA16" t="s">
        <v>386</v>
      </c>
      <c r="CB16" t="s">
        <v>768</v>
      </c>
      <c r="CD16">
        <v>62435</v>
      </c>
      <c r="CE16">
        <v>14399</v>
      </c>
      <c r="CF16">
        <v>90.1675182189</v>
      </c>
      <c r="CG16">
        <v>123589</v>
      </c>
      <c r="CH16">
        <v>14145</v>
      </c>
      <c r="CI16">
        <v>128.17868095060001</v>
      </c>
      <c r="CJ16">
        <v>116.0663838812</v>
      </c>
      <c r="CL16" t="s">
        <v>386</v>
      </c>
      <c r="CM16" t="s">
        <v>749</v>
      </c>
      <c r="CO16">
        <v>4177</v>
      </c>
      <c r="CP16">
        <v>361</v>
      </c>
      <c r="CQ16">
        <v>58.5889394302</v>
      </c>
      <c r="CR16">
        <v>14637</v>
      </c>
      <c r="CS16">
        <v>1664</v>
      </c>
      <c r="CT16">
        <v>67.520666803300003</v>
      </c>
      <c r="CU16">
        <v>67.492788461499998</v>
      </c>
      <c r="CW16" t="s">
        <v>386</v>
      </c>
      <c r="CX16" t="s">
        <v>759</v>
      </c>
      <c r="CZ16">
        <v>1607</v>
      </c>
      <c r="DA16">
        <v>396</v>
      </c>
      <c r="DB16">
        <v>86.154324828900002</v>
      </c>
      <c r="DC16">
        <v>2704</v>
      </c>
      <c r="DD16">
        <v>476</v>
      </c>
      <c r="DE16">
        <v>139.55658284020001</v>
      </c>
      <c r="DF16">
        <v>129.34663865549999</v>
      </c>
      <c r="DH16" t="s">
        <v>386</v>
      </c>
      <c r="DI16" t="s">
        <v>739</v>
      </c>
      <c r="DK16">
        <v>1645</v>
      </c>
      <c r="DL16">
        <v>344</v>
      </c>
      <c r="DM16">
        <v>81.953191489399998</v>
      </c>
      <c r="DN16">
        <v>3328</v>
      </c>
      <c r="DO16">
        <v>399</v>
      </c>
      <c r="DP16">
        <v>127.6706730769</v>
      </c>
      <c r="DQ16">
        <v>112.3634085213</v>
      </c>
    </row>
    <row r="17" spans="2:121" x14ac:dyDescent="0.2">
      <c r="B17" t="s">
        <v>119</v>
      </c>
      <c r="C17">
        <v>60</v>
      </c>
      <c r="D17">
        <v>47</v>
      </c>
      <c r="F17" t="s">
        <v>83</v>
      </c>
      <c r="G17">
        <v>17830</v>
      </c>
      <c r="H17">
        <v>317.9678070667</v>
      </c>
      <c r="I17">
        <v>18715</v>
      </c>
      <c r="J17">
        <v>5119</v>
      </c>
      <c r="K17">
        <v>28329</v>
      </c>
      <c r="L17">
        <v>20224</v>
      </c>
      <c r="M17">
        <v>12312</v>
      </c>
      <c r="N17">
        <v>9270</v>
      </c>
      <c r="O17">
        <v>3856</v>
      </c>
      <c r="P17">
        <v>2842</v>
      </c>
      <c r="Q17">
        <v>0</v>
      </c>
      <c r="R17">
        <v>18</v>
      </c>
      <c r="T17" t="s">
        <v>405</v>
      </c>
      <c r="U17">
        <v>50603</v>
      </c>
      <c r="V17">
        <v>392.46123747600001</v>
      </c>
      <c r="W17">
        <v>58708</v>
      </c>
      <c r="X17">
        <v>12584</v>
      </c>
      <c r="Y17">
        <v>75323</v>
      </c>
      <c r="Z17">
        <v>53018</v>
      </c>
      <c r="AA17">
        <v>23644</v>
      </c>
      <c r="AB17">
        <v>18697</v>
      </c>
      <c r="AC17">
        <v>19970</v>
      </c>
      <c r="AD17">
        <v>14619</v>
      </c>
      <c r="AE17">
        <v>435</v>
      </c>
      <c r="AF17">
        <v>744</v>
      </c>
      <c r="AH17" t="s">
        <v>393</v>
      </c>
      <c r="AI17">
        <v>5592</v>
      </c>
      <c r="AJ17">
        <v>633.18848354789998</v>
      </c>
      <c r="AK17">
        <v>4831</v>
      </c>
      <c r="AL17">
        <v>1046</v>
      </c>
      <c r="AM17">
        <v>8738</v>
      </c>
      <c r="AN17">
        <v>6646</v>
      </c>
      <c r="AO17">
        <v>2260</v>
      </c>
      <c r="AP17">
        <v>1914</v>
      </c>
      <c r="AQ17">
        <v>3055</v>
      </c>
      <c r="AR17">
        <v>2211</v>
      </c>
      <c r="AS17">
        <v>728</v>
      </c>
      <c r="AT17">
        <v>220</v>
      </c>
      <c r="AV17" t="s">
        <v>429</v>
      </c>
      <c r="AW17">
        <v>36</v>
      </c>
      <c r="AX17">
        <v>63.611111111100001</v>
      </c>
      <c r="AY17">
        <v>22</v>
      </c>
      <c r="AZ17">
        <v>1</v>
      </c>
      <c r="BA17">
        <v>44</v>
      </c>
      <c r="BB17">
        <v>2</v>
      </c>
      <c r="BC17">
        <v>1</v>
      </c>
      <c r="BD17">
        <v>1</v>
      </c>
      <c r="BE17">
        <v>1</v>
      </c>
      <c r="BG17">
        <v>73</v>
      </c>
      <c r="BH17">
        <v>12</v>
      </c>
      <c r="BJ17" t="s">
        <v>577</v>
      </c>
      <c r="BK17" t="s">
        <v>391</v>
      </c>
      <c r="BL17">
        <v>2550</v>
      </c>
      <c r="BM17">
        <v>365</v>
      </c>
      <c r="BN17">
        <v>74.877647058799994</v>
      </c>
      <c r="BO17">
        <v>4787</v>
      </c>
      <c r="BP17">
        <v>665</v>
      </c>
      <c r="BQ17">
        <v>113.17255065800001</v>
      </c>
      <c r="BR17">
        <v>108.59248120300001</v>
      </c>
      <c r="BS17">
        <v>2734</v>
      </c>
      <c r="BT17">
        <v>561</v>
      </c>
      <c r="BU17">
        <v>90.409290416999994</v>
      </c>
      <c r="BV17">
        <v>6588</v>
      </c>
      <c r="BW17">
        <v>787</v>
      </c>
      <c r="BX17">
        <v>129.2374013358</v>
      </c>
      <c r="BY17">
        <v>119.8996188056</v>
      </c>
      <c r="CA17" t="s">
        <v>395</v>
      </c>
      <c r="CB17" t="s">
        <v>808</v>
      </c>
      <c r="CC17" t="s">
        <v>1003</v>
      </c>
      <c r="CD17">
        <v>6224</v>
      </c>
      <c r="CE17">
        <v>1534</v>
      </c>
      <c r="CF17">
        <v>97.040006426700003</v>
      </c>
      <c r="CG17">
        <v>12849</v>
      </c>
      <c r="CH17">
        <v>1537</v>
      </c>
      <c r="CI17">
        <v>142.92738734529999</v>
      </c>
      <c r="CJ17">
        <v>129.3272608979</v>
      </c>
      <c r="CL17" t="s">
        <v>395</v>
      </c>
      <c r="CM17" t="s">
        <v>783</v>
      </c>
      <c r="CN17" t="s">
        <v>782</v>
      </c>
      <c r="CO17">
        <v>684</v>
      </c>
      <c r="CP17">
        <v>96</v>
      </c>
      <c r="CQ17">
        <v>69.413742690099994</v>
      </c>
      <c r="CR17">
        <v>2609</v>
      </c>
      <c r="CS17">
        <v>266</v>
      </c>
      <c r="CT17">
        <v>73.514373323100003</v>
      </c>
      <c r="CU17">
        <v>69.973684210499997</v>
      </c>
      <c r="CW17" t="s">
        <v>395</v>
      </c>
      <c r="CX17" t="s">
        <v>796</v>
      </c>
      <c r="CY17" t="s">
        <v>795</v>
      </c>
      <c r="CZ17">
        <v>193</v>
      </c>
      <c r="DA17">
        <v>61</v>
      </c>
      <c r="DB17">
        <v>93.274611398999994</v>
      </c>
      <c r="DC17">
        <v>311</v>
      </c>
      <c r="DD17">
        <v>48</v>
      </c>
      <c r="DE17">
        <v>143.884244373</v>
      </c>
      <c r="DF17">
        <v>118.0833333333</v>
      </c>
      <c r="DH17" t="s">
        <v>395</v>
      </c>
      <c r="DI17" t="s">
        <v>770</v>
      </c>
      <c r="DJ17" t="s">
        <v>769</v>
      </c>
      <c r="DK17">
        <v>139</v>
      </c>
      <c r="DL17">
        <v>38</v>
      </c>
      <c r="DM17">
        <v>92.136690647500004</v>
      </c>
      <c r="DN17">
        <v>304</v>
      </c>
      <c r="DO17">
        <v>34</v>
      </c>
      <c r="DP17">
        <v>130.01644736840001</v>
      </c>
      <c r="DQ17">
        <v>128.9411764706</v>
      </c>
    </row>
    <row r="18" spans="2:121" x14ac:dyDescent="0.2">
      <c r="B18" t="s">
        <v>94</v>
      </c>
      <c r="C18">
        <v>223</v>
      </c>
      <c r="D18">
        <v>40</v>
      </c>
      <c r="F18" t="s">
        <v>70</v>
      </c>
      <c r="G18">
        <v>3485</v>
      </c>
      <c r="H18">
        <v>269.31965566709999</v>
      </c>
      <c r="I18">
        <v>2295</v>
      </c>
      <c r="J18">
        <v>608</v>
      </c>
      <c r="K18">
        <v>7071</v>
      </c>
      <c r="L18">
        <v>4641</v>
      </c>
      <c r="M18">
        <v>932</v>
      </c>
      <c r="N18">
        <v>579</v>
      </c>
      <c r="O18">
        <v>365</v>
      </c>
      <c r="P18">
        <v>166</v>
      </c>
      <c r="Q18">
        <v>0</v>
      </c>
      <c r="R18">
        <v>2</v>
      </c>
      <c r="T18" t="s">
        <v>381</v>
      </c>
      <c r="U18">
        <v>59068</v>
      </c>
      <c r="V18">
        <v>349.92821832459998</v>
      </c>
      <c r="W18">
        <v>66829</v>
      </c>
      <c r="X18">
        <v>16981</v>
      </c>
      <c r="Y18">
        <v>81340</v>
      </c>
      <c r="Z18">
        <v>55290</v>
      </c>
      <c r="AA18">
        <v>26425</v>
      </c>
      <c r="AB18">
        <v>22123</v>
      </c>
      <c r="AC18">
        <v>30199</v>
      </c>
      <c r="AD18">
        <v>22267</v>
      </c>
      <c r="AE18">
        <v>159</v>
      </c>
      <c r="AF18">
        <v>1288</v>
      </c>
      <c r="AH18" t="s">
        <v>400</v>
      </c>
      <c r="AI18">
        <v>904</v>
      </c>
      <c r="AJ18">
        <v>163.52544247789999</v>
      </c>
      <c r="AK18">
        <v>2670</v>
      </c>
      <c r="AL18">
        <v>411</v>
      </c>
      <c r="AM18">
        <v>1393</v>
      </c>
      <c r="AN18">
        <v>520</v>
      </c>
      <c r="AO18">
        <v>343</v>
      </c>
      <c r="AP18">
        <v>219</v>
      </c>
      <c r="AQ18">
        <v>539</v>
      </c>
      <c r="AR18">
        <v>294</v>
      </c>
      <c r="AS18">
        <v>1</v>
      </c>
      <c r="AT18">
        <v>10</v>
      </c>
      <c r="AV18" t="s">
        <v>400</v>
      </c>
      <c r="AW18">
        <v>231</v>
      </c>
      <c r="AX18">
        <v>55.285714285700003</v>
      </c>
      <c r="AY18">
        <v>314</v>
      </c>
      <c r="AZ18">
        <v>8</v>
      </c>
      <c r="BA18">
        <v>301</v>
      </c>
      <c r="BB18">
        <v>7</v>
      </c>
      <c r="BC18">
        <v>0</v>
      </c>
      <c r="BE18">
        <v>7</v>
      </c>
      <c r="BF18">
        <v>1</v>
      </c>
      <c r="BG18">
        <v>414</v>
      </c>
      <c r="BH18">
        <v>30</v>
      </c>
      <c r="BJ18" t="s">
        <v>570</v>
      </c>
      <c r="BK18" t="s">
        <v>391</v>
      </c>
      <c r="BL18">
        <v>7669</v>
      </c>
      <c r="BM18">
        <v>2073</v>
      </c>
      <c r="BN18">
        <v>96.888903377199995</v>
      </c>
      <c r="BO18">
        <v>12547</v>
      </c>
      <c r="BP18">
        <v>1401</v>
      </c>
      <c r="BQ18">
        <v>138.47612975210001</v>
      </c>
      <c r="BR18">
        <v>117.3775874375</v>
      </c>
      <c r="BS18">
        <v>2164</v>
      </c>
      <c r="BT18">
        <v>803</v>
      </c>
      <c r="BU18">
        <v>108.40295748609999</v>
      </c>
      <c r="BV18">
        <v>12777</v>
      </c>
      <c r="BW18">
        <v>1544</v>
      </c>
      <c r="BX18">
        <v>136.1532441105</v>
      </c>
      <c r="BY18">
        <v>120.8633419689</v>
      </c>
      <c r="CA18" t="s">
        <v>393</v>
      </c>
      <c r="CB18" t="s">
        <v>808</v>
      </c>
      <c r="CC18" t="s">
        <v>1004</v>
      </c>
      <c r="CD18">
        <v>4656</v>
      </c>
      <c r="CE18">
        <v>1064</v>
      </c>
      <c r="CF18">
        <v>87.491623711299994</v>
      </c>
      <c r="CG18">
        <v>10159</v>
      </c>
      <c r="CH18">
        <v>1254</v>
      </c>
      <c r="CI18">
        <v>121.30849493060001</v>
      </c>
      <c r="CJ18">
        <v>116.9130781499</v>
      </c>
      <c r="CL18" t="s">
        <v>393</v>
      </c>
      <c r="CM18" t="s">
        <v>783</v>
      </c>
      <c r="CN18" t="s">
        <v>784</v>
      </c>
      <c r="CO18">
        <v>439</v>
      </c>
      <c r="CP18">
        <v>45</v>
      </c>
      <c r="CQ18">
        <v>64.913439635499998</v>
      </c>
      <c r="CR18">
        <v>1563</v>
      </c>
      <c r="CS18">
        <v>169</v>
      </c>
      <c r="CT18">
        <v>72.707613563699994</v>
      </c>
      <c r="CU18">
        <v>69.130177514799996</v>
      </c>
      <c r="CW18" t="s">
        <v>393</v>
      </c>
      <c r="CX18" t="s">
        <v>796</v>
      </c>
      <c r="CY18" t="s">
        <v>797</v>
      </c>
      <c r="CZ18">
        <v>81</v>
      </c>
      <c r="DA18">
        <v>26</v>
      </c>
      <c r="DB18">
        <v>100.25925925929999</v>
      </c>
      <c r="DC18">
        <v>157</v>
      </c>
      <c r="DD18">
        <v>29</v>
      </c>
      <c r="DE18">
        <v>139.79617834390001</v>
      </c>
      <c r="DF18">
        <v>123.31034482760001</v>
      </c>
      <c r="DH18" t="s">
        <v>393</v>
      </c>
      <c r="DI18" t="s">
        <v>770</v>
      </c>
      <c r="DJ18" t="s">
        <v>771</v>
      </c>
      <c r="DK18">
        <v>73</v>
      </c>
      <c r="DL18">
        <v>27</v>
      </c>
      <c r="DM18">
        <v>104.9589041096</v>
      </c>
      <c r="DN18">
        <v>133</v>
      </c>
      <c r="DO18">
        <v>8</v>
      </c>
      <c r="DP18">
        <v>140.0676691729</v>
      </c>
      <c r="DQ18">
        <v>133.125</v>
      </c>
    </row>
    <row r="19" spans="2:121" x14ac:dyDescent="0.2">
      <c r="B19" t="s">
        <v>123</v>
      </c>
      <c r="C19">
        <v>45</v>
      </c>
      <c r="D19">
        <v>31</v>
      </c>
      <c r="F19" t="s">
        <v>68</v>
      </c>
      <c r="G19">
        <v>2850</v>
      </c>
      <c r="H19">
        <v>407.68456140350003</v>
      </c>
      <c r="I19">
        <v>3904</v>
      </c>
      <c r="J19">
        <v>940</v>
      </c>
      <c r="K19">
        <v>3450</v>
      </c>
      <c r="L19">
        <v>2436</v>
      </c>
      <c r="M19">
        <v>608</v>
      </c>
      <c r="N19">
        <v>486</v>
      </c>
      <c r="O19">
        <v>1230</v>
      </c>
      <c r="P19">
        <v>920</v>
      </c>
      <c r="Q19">
        <v>0</v>
      </c>
      <c r="R19">
        <v>125</v>
      </c>
      <c r="T19" t="s">
        <v>462</v>
      </c>
      <c r="U19">
        <v>262623</v>
      </c>
      <c r="V19">
        <v>383.73709461850001</v>
      </c>
      <c r="W19">
        <v>320625</v>
      </c>
      <c r="X19">
        <v>75344</v>
      </c>
      <c r="Y19">
        <v>389608</v>
      </c>
      <c r="Z19">
        <v>259765</v>
      </c>
      <c r="AA19">
        <v>124069</v>
      </c>
      <c r="AB19">
        <v>97944</v>
      </c>
      <c r="AC19">
        <v>168843</v>
      </c>
      <c r="AD19">
        <v>110642</v>
      </c>
      <c r="AE19">
        <v>22709</v>
      </c>
      <c r="AF19">
        <v>4269</v>
      </c>
      <c r="AH19" t="s">
        <v>423</v>
      </c>
      <c r="AI19">
        <v>1689</v>
      </c>
      <c r="AJ19">
        <v>217.4920071048</v>
      </c>
      <c r="AK19">
        <v>2207</v>
      </c>
      <c r="AL19">
        <v>386</v>
      </c>
      <c r="AM19">
        <v>2548</v>
      </c>
      <c r="AN19">
        <v>1276</v>
      </c>
      <c r="AO19">
        <v>973</v>
      </c>
      <c r="AP19">
        <v>548</v>
      </c>
      <c r="AQ19">
        <v>761</v>
      </c>
      <c r="AR19">
        <v>425</v>
      </c>
      <c r="AS19">
        <v>10</v>
      </c>
      <c r="AT19">
        <v>13</v>
      </c>
      <c r="AV19" t="s">
        <v>383</v>
      </c>
      <c r="AW19">
        <v>1650</v>
      </c>
      <c r="AX19">
        <v>93.995151515200007</v>
      </c>
      <c r="AY19">
        <v>1580</v>
      </c>
      <c r="AZ19">
        <v>345</v>
      </c>
      <c r="BA19">
        <v>1968</v>
      </c>
      <c r="BB19">
        <v>471</v>
      </c>
      <c r="BC19">
        <v>23</v>
      </c>
      <c r="BD19">
        <v>22</v>
      </c>
      <c r="BE19">
        <v>141</v>
      </c>
      <c r="BF19">
        <v>45</v>
      </c>
      <c r="BG19">
        <v>264</v>
      </c>
      <c r="BH19">
        <v>441</v>
      </c>
      <c r="BJ19" t="s">
        <v>634</v>
      </c>
      <c r="BK19" t="s">
        <v>391</v>
      </c>
      <c r="BL19">
        <v>794</v>
      </c>
      <c r="BM19">
        <v>134</v>
      </c>
      <c r="BN19">
        <v>74.963476070499993</v>
      </c>
      <c r="BO19">
        <v>2021</v>
      </c>
      <c r="BP19">
        <v>259</v>
      </c>
      <c r="BQ19">
        <v>100.39386442359999</v>
      </c>
      <c r="BR19">
        <v>92.918918918900005</v>
      </c>
      <c r="BS19">
        <v>1024</v>
      </c>
      <c r="BT19">
        <v>228</v>
      </c>
      <c r="BU19">
        <v>90.9619140625</v>
      </c>
      <c r="BV19">
        <v>2687</v>
      </c>
      <c r="BW19">
        <v>296</v>
      </c>
      <c r="BX19">
        <v>129.96724972090001</v>
      </c>
      <c r="BY19">
        <v>110.8344594595</v>
      </c>
      <c r="CA19" t="s">
        <v>400</v>
      </c>
      <c r="CB19" t="s">
        <v>808</v>
      </c>
      <c r="CC19" t="s">
        <v>1005</v>
      </c>
      <c r="CD19">
        <v>2594</v>
      </c>
      <c r="CE19">
        <v>387</v>
      </c>
      <c r="CF19">
        <v>76.504240555099997</v>
      </c>
      <c r="CG19">
        <v>4984</v>
      </c>
      <c r="CH19">
        <v>678</v>
      </c>
      <c r="CI19">
        <v>112.1057383628</v>
      </c>
      <c r="CJ19">
        <v>107.35250737459999</v>
      </c>
      <c r="CL19" t="s">
        <v>400</v>
      </c>
      <c r="CM19" t="s">
        <v>783</v>
      </c>
      <c r="CN19" t="s">
        <v>785</v>
      </c>
      <c r="CO19">
        <v>292</v>
      </c>
      <c r="CP19">
        <v>20</v>
      </c>
      <c r="CQ19">
        <v>52.527397260299999</v>
      </c>
      <c r="CR19">
        <v>945</v>
      </c>
      <c r="CS19">
        <v>84</v>
      </c>
      <c r="CT19">
        <v>64.8486772487</v>
      </c>
      <c r="CU19">
        <v>65.380952381</v>
      </c>
      <c r="CW19" t="s">
        <v>400</v>
      </c>
      <c r="CX19" t="s">
        <v>796</v>
      </c>
      <c r="CY19" t="s">
        <v>798</v>
      </c>
      <c r="CZ19">
        <v>37</v>
      </c>
      <c r="DA19">
        <v>9</v>
      </c>
      <c r="DB19">
        <v>92.540540540500004</v>
      </c>
      <c r="DC19">
        <v>78</v>
      </c>
      <c r="DD19">
        <v>9</v>
      </c>
      <c r="DE19">
        <v>141.30769230769999</v>
      </c>
      <c r="DF19">
        <v>133.44444444440001</v>
      </c>
      <c r="DH19" t="s">
        <v>400</v>
      </c>
      <c r="DI19" t="s">
        <v>770</v>
      </c>
      <c r="DJ19" t="s">
        <v>772</v>
      </c>
      <c r="DK19">
        <v>14</v>
      </c>
      <c r="DL19">
        <v>4</v>
      </c>
      <c r="DM19">
        <v>107.07142857140001</v>
      </c>
      <c r="DN19">
        <v>67</v>
      </c>
      <c r="DO19">
        <v>10</v>
      </c>
      <c r="DP19">
        <v>129.88059701489999</v>
      </c>
      <c r="DQ19">
        <v>127.4</v>
      </c>
    </row>
    <row r="20" spans="2:121" x14ac:dyDescent="0.2">
      <c r="B20" t="s">
        <v>116</v>
      </c>
      <c r="C20">
        <v>18696</v>
      </c>
      <c r="D20">
        <v>3074</v>
      </c>
      <c r="F20" t="s">
        <v>74</v>
      </c>
      <c r="G20">
        <v>220</v>
      </c>
      <c r="H20">
        <v>124.7</v>
      </c>
      <c r="I20">
        <v>969</v>
      </c>
      <c r="J20">
        <v>217</v>
      </c>
      <c r="K20">
        <v>435</v>
      </c>
      <c r="L20">
        <v>112</v>
      </c>
      <c r="M20">
        <v>319</v>
      </c>
      <c r="N20">
        <v>141</v>
      </c>
      <c r="O20">
        <v>36</v>
      </c>
      <c r="P20">
        <v>15</v>
      </c>
      <c r="Q20">
        <v>0</v>
      </c>
      <c r="R20">
        <v>0</v>
      </c>
      <c r="AH20" t="s">
        <v>394</v>
      </c>
      <c r="AI20">
        <v>6227</v>
      </c>
      <c r="AJ20">
        <v>540.10615063429998</v>
      </c>
      <c r="AK20">
        <v>3382</v>
      </c>
      <c r="AL20">
        <v>605</v>
      </c>
      <c r="AM20">
        <v>8647</v>
      </c>
      <c r="AN20">
        <v>6512</v>
      </c>
      <c r="AO20">
        <v>2384</v>
      </c>
      <c r="AP20">
        <v>2047</v>
      </c>
      <c r="AQ20">
        <v>2228</v>
      </c>
      <c r="AR20">
        <v>1223</v>
      </c>
      <c r="AS20">
        <v>671</v>
      </c>
      <c r="AT20">
        <v>152</v>
      </c>
      <c r="AV20" t="s">
        <v>8</v>
      </c>
      <c r="AW20">
        <v>215</v>
      </c>
      <c r="AX20">
        <v>85.804651162799999</v>
      </c>
      <c r="AY20">
        <v>208</v>
      </c>
      <c r="AZ20">
        <v>100</v>
      </c>
      <c r="BA20">
        <v>402</v>
      </c>
      <c r="BB20">
        <v>168</v>
      </c>
      <c r="BC20">
        <v>9</v>
      </c>
      <c r="BD20">
        <v>8</v>
      </c>
      <c r="BE20">
        <v>11</v>
      </c>
      <c r="BF20">
        <v>2</v>
      </c>
      <c r="BG20">
        <v>52</v>
      </c>
      <c r="BH20">
        <v>24</v>
      </c>
      <c r="BJ20" t="s">
        <v>562</v>
      </c>
      <c r="BK20" t="s">
        <v>391</v>
      </c>
      <c r="BL20">
        <v>4557</v>
      </c>
      <c r="BM20">
        <v>1066</v>
      </c>
      <c r="BN20">
        <v>88.880842659600006</v>
      </c>
      <c r="BO20">
        <v>9680</v>
      </c>
      <c r="BP20">
        <v>1185</v>
      </c>
      <c r="BQ20">
        <v>124.1489669421</v>
      </c>
      <c r="BR20">
        <v>119.5206751055</v>
      </c>
      <c r="BS20">
        <v>1308</v>
      </c>
      <c r="BT20">
        <v>376</v>
      </c>
      <c r="BU20">
        <v>98.730886850199994</v>
      </c>
      <c r="BV20">
        <v>10420</v>
      </c>
      <c r="BW20">
        <v>1240</v>
      </c>
      <c r="BX20">
        <v>127.6684261036</v>
      </c>
      <c r="BY20">
        <v>122.5056451613</v>
      </c>
      <c r="CA20" t="s">
        <v>423</v>
      </c>
      <c r="CB20" t="s">
        <v>808</v>
      </c>
      <c r="CC20" t="s">
        <v>1006</v>
      </c>
      <c r="CD20">
        <v>2023</v>
      </c>
      <c r="CE20">
        <v>332</v>
      </c>
      <c r="CF20">
        <v>73.408304498299998</v>
      </c>
      <c r="CG20">
        <v>5758</v>
      </c>
      <c r="CH20">
        <v>590</v>
      </c>
      <c r="CI20">
        <v>117.2282042376</v>
      </c>
      <c r="CJ20">
        <v>90.925423728799998</v>
      </c>
      <c r="CL20" t="s">
        <v>423</v>
      </c>
      <c r="CM20" t="s">
        <v>783</v>
      </c>
      <c r="CN20" t="s">
        <v>786</v>
      </c>
      <c r="CO20">
        <v>263</v>
      </c>
      <c r="CP20">
        <v>23</v>
      </c>
      <c r="CQ20">
        <v>59.749049429700001</v>
      </c>
      <c r="CR20">
        <v>823</v>
      </c>
      <c r="CS20">
        <v>88</v>
      </c>
      <c r="CT20">
        <v>67.054678007299998</v>
      </c>
      <c r="CU20">
        <v>65.068181818200003</v>
      </c>
      <c r="CW20" t="s">
        <v>423</v>
      </c>
      <c r="CX20" t="s">
        <v>796</v>
      </c>
      <c r="CY20" t="s">
        <v>799</v>
      </c>
      <c r="CZ20">
        <v>90</v>
      </c>
      <c r="DA20">
        <v>20</v>
      </c>
      <c r="DB20">
        <v>81.933333333299998</v>
      </c>
      <c r="DC20">
        <v>122</v>
      </c>
      <c r="DD20">
        <v>27</v>
      </c>
      <c r="DE20">
        <v>118.2459016393</v>
      </c>
      <c r="DF20">
        <v>114.0740740741</v>
      </c>
      <c r="DH20" t="s">
        <v>423</v>
      </c>
      <c r="DI20" t="s">
        <v>770</v>
      </c>
      <c r="DJ20" t="s">
        <v>773</v>
      </c>
      <c r="DK20">
        <v>93</v>
      </c>
      <c r="DL20">
        <v>14</v>
      </c>
      <c r="DM20">
        <v>78.430107526900002</v>
      </c>
      <c r="DN20">
        <v>243</v>
      </c>
      <c r="DO20">
        <v>33</v>
      </c>
      <c r="DP20">
        <v>121.3827160494</v>
      </c>
      <c r="DQ20">
        <v>108.8181818182</v>
      </c>
    </row>
    <row r="21" spans="2:121" x14ac:dyDescent="0.2">
      <c r="B21" t="s">
        <v>315</v>
      </c>
      <c r="C21">
        <v>1</v>
      </c>
      <c r="D21">
        <v>1</v>
      </c>
      <c r="F21" t="s">
        <v>8</v>
      </c>
      <c r="G21">
        <v>254</v>
      </c>
      <c r="H21">
        <v>449.86220472439999</v>
      </c>
      <c r="I21">
        <v>359</v>
      </c>
      <c r="J21">
        <v>3</v>
      </c>
      <c r="K21">
        <v>285</v>
      </c>
      <c r="L21">
        <v>210</v>
      </c>
      <c r="M21">
        <v>33</v>
      </c>
      <c r="N21">
        <v>18</v>
      </c>
      <c r="O21">
        <v>60036</v>
      </c>
      <c r="P21">
        <v>35227</v>
      </c>
      <c r="Q21">
        <v>0</v>
      </c>
      <c r="R21">
        <v>1</v>
      </c>
      <c r="AH21" t="s">
        <v>388</v>
      </c>
      <c r="AI21">
        <v>4419</v>
      </c>
      <c r="AJ21">
        <v>442.124009957</v>
      </c>
      <c r="AK21">
        <v>5478</v>
      </c>
      <c r="AL21">
        <v>1400</v>
      </c>
      <c r="AM21">
        <v>6872</v>
      </c>
      <c r="AN21">
        <v>4587</v>
      </c>
      <c r="AO21">
        <v>1545</v>
      </c>
      <c r="AP21">
        <v>1129</v>
      </c>
      <c r="AQ21">
        <v>2602</v>
      </c>
      <c r="AR21">
        <v>1728</v>
      </c>
      <c r="AS21">
        <v>305</v>
      </c>
      <c r="AT21">
        <v>265</v>
      </c>
      <c r="AV21" t="s">
        <v>423</v>
      </c>
      <c r="AW21">
        <v>179</v>
      </c>
      <c r="AX21">
        <v>60.854748603399997</v>
      </c>
      <c r="AY21">
        <v>253</v>
      </c>
      <c r="AZ21">
        <v>5</v>
      </c>
      <c r="BA21">
        <v>222</v>
      </c>
      <c r="BB21">
        <v>7</v>
      </c>
      <c r="BC21">
        <v>0</v>
      </c>
      <c r="BE21">
        <v>7</v>
      </c>
      <c r="BF21">
        <v>2</v>
      </c>
      <c r="BG21">
        <v>194</v>
      </c>
      <c r="BH21">
        <v>32</v>
      </c>
      <c r="BJ21" t="s">
        <v>579</v>
      </c>
      <c r="BK21" t="s">
        <v>391</v>
      </c>
      <c r="BL21">
        <v>2122</v>
      </c>
      <c r="BM21">
        <v>276</v>
      </c>
      <c r="BN21">
        <v>74.863336474999997</v>
      </c>
      <c r="BO21">
        <v>3801</v>
      </c>
      <c r="BP21">
        <v>650</v>
      </c>
      <c r="BQ21">
        <v>122.93791107600001</v>
      </c>
      <c r="BR21">
        <v>111.73076923079999</v>
      </c>
      <c r="BS21">
        <v>5115</v>
      </c>
      <c r="BT21">
        <v>1249</v>
      </c>
      <c r="BU21">
        <v>100.2783968719</v>
      </c>
      <c r="BV21">
        <v>10907</v>
      </c>
      <c r="BW21">
        <v>1726</v>
      </c>
      <c r="BX21">
        <v>148.9198679747</v>
      </c>
      <c r="BY21">
        <v>138.31865585169999</v>
      </c>
      <c r="CA21" t="s">
        <v>396</v>
      </c>
      <c r="CB21" t="s">
        <v>808</v>
      </c>
      <c r="CC21" t="s">
        <v>1007</v>
      </c>
      <c r="CD21">
        <v>7726</v>
      </c>
      <c r="CE21">
        <v>2059</v>
      </c>
      <c r="CF21">
        <v>96.165803779399994</v>
      </c>
      <c r="CG21">
        <v>12996</v>
      </c>
      <c r="CH21">
        <v>1450</v>
      </c>
      <c r="CI21">
        <v>136.6605878732</v>
      </c>
      <c r="CJ21">
        <v>116.2151724138</v>
      </c>
      <c r="CL21" t="s">
        <v>396</v>
      </c>
      <c r="CM21" t="s">
        <v>783</v>
      </c>
      <c r="CN21" t="s">
        <v>787</v>
      </c>
      <c r="CO21">
        <v>842</v>
      </c>
      <c r="CP21">
        <v>98</v>
      </c>
      <c r="CQ21">
        <v>64.815914489299999</v>
      </c>
      <c r="CR21">
        <v>2904</v>
      </c>
      <c r="CS21">
        <v>285</v>
      </c>
      <c r="CT21">
        <v>72.520316804399997</v>
      </c>
      <c r="CU21">
        <v>76.863157894699995</v>
      </c>
      <c r="CW21" t="s">
        <v>396</v>
      </c>
      <c r="CX21" t="s">
        <v>796</v>
      </c>
      <c r="CY21" t="s">
        <v>800</v>
      </c>
      <c r="CZ21">
        <v>144</v>
      </c>
      <c r="DA21">
        <v>42</v>
      </c>
      <c r="DB21">
        <v>97.381944444400006</v>
      </c>
      <c r="DC21">
        <v>233</v>
      </c>
      <c r="DD21">
        <v>42</v>
      </c>
      <c r="DE21">
        <v>147.2575107296</v>
      </c>
      <c r="DF21">
        <v>140.07142857139999</v>
      </c>
      <c r="DH21" t="s">
        <v>396</v>
      </c>
      <c r="DI21" t="s">
        <v>770</v>
      </c>
      <c r="DJ21" t="s">
        <v>774</v>
      </c>
      <c r="DK21">
        <v>112</v>
      </c>
      <c r="DL21">
        <v>30</v>
      </c>
      <c r="DM21">
        <v>85.464285714300004</v>
      </c>
      <c r="DN21">
        <v>194</v>
      </c>
      <c r="DO21">
        <v>15</v>
      </c>
      <c r="DP21">
        <v>128.0154639175</v>
      </c>
      <c r="DQ21">
        <v>104.1333333333</v>
      </c>
    </row>
    <row r="22" spans="2:121" x14ac:dyDescent="0.2">
      <c r="B22" t="s">
        <v>109</v>
      </c>
      <c r="C22">
        <v>19353</v>
      </c>
      <c r="D22">
        <v>12669</v>
      </c>
      <c r="F22" t="s">
        <v>44</v>
      </c>
      <c r="G22">
        <v>783</v>
      </c>
      <c r="H22">
        <v>280.3690932312</v>
      </c>
      <c r="I22">
        <v>1696</v>
      </c>
      <c r="J22">
        <v>426</v>
      </c>
      <c r="K22">
        <v>2323</v>
      </c>
      <c r="L22">
        <v>1406</v>
      </c>
      <c r="M22">
        <v>456</v>
      </c>
      <c r="N22">
        <v>267</v>
      </c>
      <c r="O22">
        <v>824</v>
      </c>
      <c r="P22">
        <v>648</v>
      </c>
      <c r="Q22">
        <v>0</v>
      </c>
      <c r="R22">
        <v>5</v>
      </c>
      <c r="AH22" t="s">
        <v>417</v>
      </c>
      <c r="AI22">
        <v>1096</v>
      </c>
      <c r="AJ22">
        <v>301.5145985401</v>
      </c>
      <c r="AK22">
        <v>1296</v>
      </c>
      <c r="AL22">
        <v>221</v>
      </c>
      <c r="AM22">
        <v>1852</v>
      </c>
      <c r="AN22">
        <v>924</v>
      </c>
      <c r="AO22">
        <v>992</v>
      </c>
      <c r="AP22">
        <v>776</v>
      </c>
      <c r="AQ22">
        <v>429</v>
      </c>
      <c r="AR22">
        <v>259</v>
      </c>
      <c r="AS22">
        <v>356</v>
      </c>
      <c r="AT22">
        <v>2</v>
      </c>
      <c r="AV22" t="s">
        <v>377</v>
      </c>
      <c r="AW22">
        <v>328</v>
      </c>
      <c r="AX22">
        <v>110.0975609756</v>
      </c>
      <c r="AY22">
        <v>609</v>
      </c>
      <c r="AZ22">
        <v>139</v>
      </c>
      <c r="BA22">
        <v>458</v>
      </c>
      <c r="BB22">
        <v>186</v>
      </c>
      <c r="BC22">
        <v>8</v>
      </c>
      <c r="BD22">
        <v>8</v>
      </c>
      <c r="BE22">
        <v>51</v>
      </c>
      <c r="BF22">
        <v>20</v>
      </c>
      <c r="BG22">
        <v>61</v>
      </c>
      <c r="BH22">
        <v>161</v>
      </c>
      <c r="BJ22" t="s">
        <v>391</v>
      </c>
      <c r="BK22" t="s">
        <v>391</v>
      </c>
      <c r="BL22">
        <v>50173</v>
      </c>
      <c r="BM22">
        <v>10442</v>
      </c>
      <c r="BN22">
        <v>86.645905168100001</v>
      </c>
      <c r="BO22">
        <v>103550</v>
      </c>
      <c r="BP22">
        <v>12463</v>
      </c>
      <c r="BQ22">
        <v>126.3934041526</v>
      </c>
      <c r="BR22">
        <v>114.8079114178</v>
      </c>
      <c r="BS22">
        <v>38721</v>
      </c>
      <c r="BT22">
        <v>8601</v>
      </c>
      <c r="BU22">
        <v>90.580899253599995</v>
      </c>
      <c r="BV22">
        <v>115973</v>
      </c>
      <c r="BW22">
        <v>13791</v>
      </c>
      <c r="BX22">
        <v>133.44780250580001</v>
      </c>
      <c r="BY22">
        <v>119.8124138931</v>
      </c>
      <c r="CA22" t="s">
        <v>402</v>
      </c>
      <c r="CB22" t="s">
        <v>808</v>
      </c>
      <c r="CC22" t="s">
        <v>1008</v>
      </c>
      <c r="CD22">
        <v>4526</v>
      </c>
      <c r="CE22">
        <v>707</v>
      </c>
      <c r="CF22">
        <v>74.345558992500003</v>
      </c>
      <c r="CG22">
        <v>11568</v>
      </c>
      <c r="CH22">
        <v>1096</v>
      </c>
      <c r="CI22">
        <v>107.7684993084</v>
      </c>
      <c r="CJ22">
        <v>100.8558394161</v>
      </c>
      <c r="CL22" t="s">
        <v>402</v>
      </c>
      <c r="CM22" t="s">
        <v>783</v>
      </c>
      <c r="CN22" t="s">
        <v>788</v>
      </c>
      <c r="CO22">
        <v>299</v>
      </c>
      <c r="CP22">
        <v>16</v>
      </c>
      <c r="CQ22">
        <v>51.334448160500003</v>
      </c>
      <c r="CR22">
        <v>1166</v>
      </c>
      <c r="CS22">
        <v>132</v>
      </c>
      <c r="CT22">
        <v>64.3396226415</v>
      </c>
      <c r="CU22">
        <v>58.075757575799997</v>
      </c>
      <c r="CW22" t="s">
        <v>402</v>
      </c>
      <c r="CX22" t="s">
        <v>796</v>
      </c>
      <c r="CY22" t="s">
        <v>801</v>
      </c>
      <c r="CZ22">
        <v>48</v>
      </c>
      <c r="DA22">
        <v>11</v>
      </c>
      <c r="DB22">
        <v>84.020833333300004</v>
      </c>
      <c r="DC22">
        <v>112</v>
      </c>
      <c r="DD22">
        <v>8</v>
      </c>
      <c r="DE22">
        <v>131.78571428570001</v>
      </c>
      <c r="DF22">
        <v>143.625</v>
      </c>
      <c r="DH22" t="s">
        <v>402</v>
      </c>
      <c r="DI22" t="s">
        <v>770</v>
      </c>
      <c r="DJ22" t="s">
        <v>775</v>
      </c>
      <c r="DK22">
        <v>27</v>
      </c>
      <c r="DL22">
        <v>11</v>
      </c>
      <c r="DM22">
        <v>121.6666666667</v>
      </c>
      <c r="DN22">
        <v>67</v>
      </c>
      <c r="DO22">
        <v>7</v>
      </c>
      <c r="DP22">
        <v>123</v>
      </c>
      <c r="DQ22">
        <v>89</v>
      </c>
    </row>
    <row r="23" spans="2:121" x14ac:dyDescent="0.2">
      <c r="B23" t="s">
        <v>1059</v>
      </c>
      <c r="C23">
        <v>1128</v>
      </c>
      <c r="D23">
        <v>626</v>
      </c>
      <c r="F23" t="s">
        <v>43</v>
      </c>
      <c r="G23">
        <v>137</v>
      </c>
      <c r="H23">
        <v>72.927007299300001</v>
      </c>
      <c r="I23">
        <v>764</v>
      </c>
      <c r="J23">
        <v>136</v>
      </c>
      <c r="K23">
        <v>265</v>
      </c>
      <c r="L23">
        <v>21</v>
      </c>
      <c r="M23">
        <v>113</v>
      </c>
      <c r="N23">
        <v>40</v>
      </c>
      <c r="O23">
        <v>96</v>
      </c>
      <c r="P23">
        <v>44</v>
      </c>
      <c r="Q23">
        <v>0</v>
      </c>
      <c r="R23">
        <v>1</v>
      </c>
      <c r="AH23" t="s">
        <v>377</v>
      </c>
      <c r="AI23">
        <v>8776</v>
      </c>
      <c r="AJ23">
        <v>674.2226526892</v>
      </c>
      <c r="AK23">
        <v>5253</v>
      </c>
      <c r="AL23">
        <v>1425</v>
      </c>
      <c r="AM23">
        <v>11490</v>
      </c>
      <c r="AN23">
        <v>8934</v>
      </c>
      <c r="AO23">
        <v>4011</v>
      </c>
      <c r="AP23">
        <v>3486</v>
      </c>
      <c r="AQ23">
        <v>3050</v>
      </c>
      <c r="AR23">
        <v>2068</v>
      </c>
      <c r="AS23">
        <v>431</v>
      </c>
      <c r="AT23">
        <v>6</v>
      </c>
      <c r="AV23" t="s">
        <v>408</v>
      </c>
      <c r="AW23">
        <v>1389</v>
      </c>
      <c r="AX23">
        <v>56.256299495999997</v>
      </c>
      <c r="AY23">
        <v>1858</v>
      </c>
      <c r="AZ23">
        <v>65</v>
      </c>
      <c r="BA23">
        <v>1759</v>
      </c>
      <c r="BB23">
        <v>64</v>
      </c>
      <c r="BC23">
        <v>15</v>
      </c>
      <c r="BD23">
        <v>10</v>
      </c>
      <c r="BE23">
        <v>88</v>
      </c>
      <c r="BF23">
        <v>31</v>
      </c>
      <c r="BG23">
        <v>1635</v>
      </c>
      <c r="BH23">
        <v>360</v>
      </c>
      <c r="BJ23" t="s">
        <v>572</v>
      </c>
      <c r="BK23" t="s">
        <v>391</v>
      </c>
      <c r="BL23">
        <v>3902</v>
      </c>
      <c r="BM23">
        <v>574</v>
      </c>
      <c r="BN23">
        <v>74.184264479800007</v>
      </c>
      <c r="BO23">
        <v>8439</v>
      </c>
      <c r="BP23">
        <v>1329</v>
      </c>
      <c r="BQ23">
        <v>118.97073112930001</v>
      </c>
      <c r="BR23">
        <v>104.9977426637</v>
      </c>
      <c r="BS23">
        <v>3895</v>
      </c>
      <c r="BT23">
        <v>610</v>
      </c>
      <c r="BU23">
        <v>77.634659820300001</v>
      </c>
      <c r="BV23">
        <v>9605</v>
      </c>
      <c r="BW23">
        <v>1363</v>
      </c>
      <c r="BX23">
        <v>135.703071317</v>
      </c>
      <c r="BY23">
        <v>108.698459281</v>
      </c>
      <c r="CA23" t="s">
        <v>398</v>
      </c>
      <c r="CB23" t="s">
        <v>808</v>
      </c>
      <c r="CC23" t="s">
        <v>1009</v>
      </c>
      <c r="CD23">
        <v>5429</v>
      </c>
      <c r="CE23">
        <v>1236</v>
      </c>
      <c r="CF23">
        <v>86.718732731599999</v>
      </c>
      <c r="CG23">
        <v>12039</v>
      </c>
      <c r="CH23">
        <v>1507</v>
      </c>
      <c r="CI23">
        <v>117.31672065790001</v>
      </c>
      <c r="CJ23">
        <v>111.597876576</v>
      </c>
      <c r="CL23" t="s">
        <v>398</v>
      </c>
      <c r="CM23" t="s">
        <v>783</v>
      </c>
      <c r="CN23" t="s">
        <v>789</v>
      </c>
      <c r="CO23">
        <v>575</v>
      </c>
      <c r="CP23">
        <v>79</v>
      </c>
      <c r="CQ23">
        <v>68.005217391299993</v>
      </c>
      <c r="CR23">
        <v>2012</v>
      </c>
      <c r="CS23">
        <v>199</v>
      </c>
      <c r="CT23">
        <v>70.142644135200001</v>
      </c>
      <c r="CU23">
        <v>68.964824120599999</v>
      </c>
      <c r="CW23" t="s">
        <v>398</v>
      </c>
      <c r="CX23" t="s">
        <v>796</v>
      </c>
      <c r="CY23" t="s">
        <v>802</v>
      </c>
      <c r="CZ23">
        <v>141</v>
      </c>
      <c r="DA23">
        <v>28</v>
      </c>
      <c r="DB23">
        <v>78.914893617000004</v>
      </c>
      <c r="DC23">
        <v>278</v>
      </c>
      <c r="DD23">
        <v>48</v>
      </c>
      <c r="DE23">
        <v>130.94604316549999</v>
      </c>
      <c r="DF23">
        <v>115.2708333333</v>
      </c>
      <c r="DH23" t="s">
        <v>398</v>
      </c>
      <c r="DI23" t="s">
        <v>770</v>
      </c>
      <c r="DJ23" t="s">
        <v>776</v>
      </c>
      <c r="DK23">
        <v>119</v>
      </c>
      <c r="DL23">
        <v>26</v>
      </c>
      <c r="DM23">
        <v>81.689075630299996</v>
      </c>
      <c r="DN23">
        <v>255</v>
      </c>
      <c r="DO23">
        <v>35</v>
      </c>
      <c r="DP23">
        <v>129.79607843139999</v>
      </c>
      <c r="DQ23">
        <v>102.2857142857</v>
      </c>
    </row>
    <row r="24" spans="2:121" x14ac:dyDescent="0.2">
      <c r="B24" t="s">
        <v>110</v>
      </c>
      <c r="C24">
        <v>1080</v>
      </c>
      <c r="D24">
        <v>305</v>
      </c>
      <c r="F24" t="s">
        <v>39</v>
      </c>
      <c r="G24">
        <v>8193</v>
      </c>
      <c r="H24">
        <v>289.8835591358</v>
      </c>
      <c r="I24">
        <v>8663</v>
      </c>
      <c r="J24">
        <v>2365</v>
      </c>
      <c r="K24">
        <v>12812</v>
      </c>
      <c r="L24">
        <v>8594</v>
      </c>
      <c r="M24">
        <v>2836</v>
      </c>
      <c r="N24">
        <v>2258</v>
      </c>
      <c r="O24">
        <v>1555</v>
      </c>
      <c r="P24">
        <v>754</v>
      </c>
      <c r="Q24">
        <v>1</v>
      </c>
      <c r="R24">
        <v>55</v>
      </c>
      <c r="T24" t="s">
        <v>648</v>
      </c>
      <c r="U24" t="s">
        <v>306</v>
      </c>
      <c r="V24" t="s">
        <v>133</v>
      </c>
      <c r="W24" t="s">
        <v>214</v>
      </c>
      <c r="X24" t="s">
        <v>215</v>
      </c>
      <c r="Y24" t="s">
        <v>216</v>
      </c>
      <c r="Z24" t="s">
        <v>217</v>
      </c>
      <c r="AA24" t="s">
        <v>218</v>
      </c>
      <c r="AB24" t="s">
        <v>219</v>
      </c>
      <c r="AC24" t="s">
        <v>220</v>
      </c>
      <c r="AD24" t="s">
        <v>221</v>
      </c>
      <c r="AE24" t="s">
        <v>222</v>
      </c>
      <c r="AF24" t="s">
        <v>223</v>
      </c>
      <c r="AH24" t="s">
        <v>372</v>
      </c>
      <c r="AI24">
        <v>4076</v>
      </c>
      <c r="AJ24">
        <v>582.98650637879996</v>
      </c>
      <c r="AK24">
        <v>4491</v>
      </c>
      <c r="AL24">
        <v>1054</v>
      </c>
      <c r="AM24">
        <v>5990</v>
      </c>
      <c r="AN24">
        <v>4401</v>
      </c>
      <c r="AO24">
        <v>2846</v>
      </c>
      <c r="AP24">
        <v>2306</v>
      </c>
      <c r="AQ24">
        <v>1359</v>
      </c>
      <c r="AR24">
        <v>1013</v>
      </c>
      <c r="AS24">
        <v>795</v>
      </c>
      <c r="AT24">
        <v>12</v>
      </c>
      <c r="AV24" t="s">
        <v>398</v>
      </c>
      <c r="AW24">
        <v>746</v>
      </c>
      <c r="AX24">
        <v>57.182305630000002</v>
      </c>
      <c r="AY24">
        <v>692</v>
      </c>
      <c r="AZ24">
        <v>68</v>
      </c>
      <c r="BA24">
        <v>920</v>
      </c>
      <c r="BB24">
        <v>51</v>
      </c>
      <c r="BC24">
        <v>3</v>
      </c>
      <c r="BD24">
        <v>2</v>
      </c>
      <c r="BE24">
        <v>39</v>
      </c>
      <c r="BF24">
        <v>10</v>
      </c>
      <c r="BG24">
        <v>119</v>
      </c>
      <c r="BH24">
        <v>59</v>
      </c>
      <c r="BJ24" t="s">
        <v>636</v>
      </c>
      <c r="BK24" t="s">
        <v>391</v>
      </c>
      <c r="BL24">
        <v>1027</v>
      </c>
      <c r="BM24">
        <v>217</v>
      </c>
      <c r="BN24">
        <v>85.137293086699998</v>
      </c>
      <c r="BO24">
        <v>1689</v>
      </c>
      <c r="BP24">
        <v>173</v>
      </c>
      <c r="BQ24">
        <v>104.6459443458</v>
      </c>
      <c r="BR24">
        <v>93.283236994199996</v>
      </c>
      <c r="BS24">
        <v>1402</v>
      </c>
      <c r="BT24">
        <v>525</v>
      </c>
      <c r="BU24">
        <v>117.4529243937</v>
      </c>
      <c r="BV24">
        <v>3046</v>
      </c>
      <c r="BW24">
        <v>271</v>
      </c>
      <c r="BX24">
        <v>136.53053184500001</v>
      </c>
      <c r="BY24">
        <v>112.3653136531</v>
      </c>
      <c r="CA24" t="s">
        <v>401</v>
      </c>
      <c r="CB24" t="s">
        <v>808</v>
      </c>
      <c r="CC24" t="s">
        <v>1010</v>
      </c>
      <c r="CD24">
        <v>2087</v>
      </c>
      <c r="CE24">
        <v>256</v>
      </c>
      <c r="CF24">
        <v>72.132247244799998</v>
      </c>
      <c r="CG24">
        <v>3926</v>
      </c>
      <c r="CH24">
        <v>649</v>
      </c>
      <c r="CI24">
        <v>119.949057565</v>
      </c>
      <c r="CJ24">
        <v>109.45916795070001</v>
      </c>
      <c r="CL24" t="s">
        <v>401</v>
      </c>
      <c r="CM24" t="s">
        <v>783</v>
      </c>
      <c r="CN24" t="s">
        <v>790</v>
      </c>
      <c r="CO24">
        <v>114</v>
      </c>
      <c r="CP24">
        <v>10</v>
      </c>
      <c r="CQ24">
        <v>60.429824561399997</v>
      </c>
      <c r="CR24">
        <v>359</v>
      </c>
      <c r="CS24">
        <v>33</v>
      </c>
      <c r="CT24">
        <v>71.852367688000001</v>
      </c>
      <c r="CU24">
        <v>67.151515151500007</v>
      </c>
      <c r="CW24" t="s">
        <v>401</v>
      </c>
      <c r="CX24" t="s">
        <v>796</v>
      </c>
      <c r="CY24" t="s">
        <v>803</v>
      </c>
      <c r="CZ24">
        <v>38</v>
      </c>
      <c r="DA24">
        <v>15</v>
      </c>
      <c r="DB24">
        <v>95.842105263199997</v>
      </c>
      <c r="DC24">
        <v>66</v>
      </c>
      <c r="DD24">
        <v>11</v>
      </c>
      <c r="DE24">
        <v>124.5757575758</v>
      </c>
      <c r="DF24">
        <v>105.63636363640001</v>
      </c>
      <c r="DH24" t="s">
        <v>401</v>
      </c>
      <c r="DI24" t="s">
        <v>770</v>
      </c>
      <c r="DJ24" t="s">
        <v>777</v>
      </c>
      <c r="DK24">
        <v>63</v>
      </c>
      <c r="DL24">
        <v>15</v>
      </c>
      <c r="DM24">
        <v>82.650793650799997</v>
      </c>
      <c r="DN24">
        <v>126</v>
      </c>
      <c r="DO24">
        <v>14</v>
      </c>
      <c r="DP24">
        <v>120.31746031749999</v>
      </c>
      <c r="DQ24">
        <v>99.642857142899999</v>
      </c>
    </row>
    <row r="25" spans="2:121" x14ac:dyDescent="0.2">
      <c r="B25" t="s">
        <v>104</v>
      </c>
      <c r="C25">
        <v>36137</v>
      </c>
      <c r="D25">
        <v>25024</v>
      </c>
      <c r="F25" t="s">
        <v>79</v>
      </c>
      <c r="G25">
        <v>9945</v>
      </c>
      <c r="H25">
        <v>332.61045751630002</v>
      </c>
      <c r="I25">
        <v>16652</v>
      </c>
      <c r="J25">
        <v>3088</v>
      </c>
      <c r="K25">
        <v>12239</v>
      </c>
      <c r="L25">
        <v>7368</v>
      </c>
      <c r="M25">
        <v>3570</v>
      </c>
      <c r="N25">
        <v>2171</v>
      </c>
      <c r="O25">
        <v>6135</v>
      </c>
      <c r="P25">
        <v>2199</v>
      </c>
      <c r="Q25">
        <v>4</v>
      </c>
      <c r="R25">
        <v>192</v>
      </c>
      <c r="T25" t="s">
        <v>386</v>
      </c>
      <c r="U25">
        <v>46834</v>
      </c>
      <c r="V25">
        <v>366.15104411329997</v>
      </c>
      <c r="W25">
        <v>65091</v>
      </c>
      <c r="X25">
        <v>14882</v>
      </c>
      <c r="Y25">
        <v>68864</v>
      </c>
      <c r="Z25">
        <v>44388</v>
      </c>
      <c r="AA25">
        <v>19062</v>
      </c>
      <c r="AB25">
        <v>13744</v>
      </c>
      <c r="AC25">
        <v>29211</v>
      </c>
      <c r="AD25">
        <v>16842</v>
      </c>
      <c r="AE25">
        <v>1267</v>
      </c>
      <c r="AF25">
        <v>1086</v>
      </c>
      <c r="AH25" t="s">
        <v>396</v>
      </c>
      <c r="AI25">
        <v>3388</v>
      </c>
      <c r="AJ25">
        <v>320.63695395510001</v>
      </c>
      <c r="AK25">
        <v>7901</v>
      </c>
      <c r="AL25">
        <v>2141</v>
      </c>
      <c r="AM25">
        <v>6457</v>
      </c>
      <c r="AN25">
        <v>4013</v>
      </c>
      <c r="AO25">
        <v>1427</v>
      </c>
      <c r="AP25">
        <v>1121</v>
      </c>
      <c r="AQ25">
        <v>2537</v>
      </c>
      <c r="AR25">
        <v>1336</v>
      </c>
      <c r="AS25">
        <v>1046</v>
      </c>
      <c r="AT25">
        <v>211</v>
      </c>
      <c r="AV25" t="s">
        <v>404</v>
      </c>
      <c r="AW25">
        <v>223</v>
      </c>
      <c r="AX25">
        <v>55.260089686100002</v>
      </c>
      <c r="AY25">
        <v>260</v>
      </c>
      <c r="AZ25">
        <v>7</v>
      </c>
      <c r="BA25">
        <v>276</v>
      </c>
      <c r="BB25">
        <v>13</v>
      </c>
      <c r="BC25">
        <v>4</v>
      </c>
      <c r="BD25">
        <v>1</v>
      </c>
      <c r="BE25">
        <v>17</v>
      </c>
      <c r="BF25">
        <v>7</v>
      </c>
      <c r="BG25">
        <v>413</v>
      </c>
      <c r="BH25">
        <v>51</v>
      </c>
      <c r="BJ25" t="s">
        <v>575</v>
      </c>
      <c r="BK25" t="s">
        <v>391</v>
      </c>
      <c r="BL25">
        <v>5461</v>
      </c>
      <c r="BM25">
        <v>1227</v>
      </c>
      <c r="BN25">
        <v>85.216626991400005</v>
      </c>
      <c r="BO25">
        <v>11283</v>
      </c>
      <c r="BP25">
        <v>1446</v>
      </c>
      <c r="BQ25">
        <v>119.53345741379999</v>
      </c>
      <c r="BR25">
        <v>113.785615491</v>
      </c>
      <c r="BS25">
        <v>5438</v>
      </c>
      <c r="BT25">
        <v>1219</v>
      </c>
      <c r="BU25">
        <v>85.652813534399996</v>
      </c>
      <c r="BV25">
        <v>12574</v>
      </c>
      <c r="BW25">
        <v>1475</v>
      </c>
      <c r="BX25">
        <v>124.68084937170001</v>
      </c>
      <c r="BY25">
        <v>118.01152542369999</v>
      </c>
      <c r="CA25" t="s">
        <v>420</v>
      </c>
      <c r="CB25" t="s">
        <v>808</v>
      </c>
      <c r="CC25" t="s">
        <v>1011</v>
      </c>
      <c r="CD25">
        <v>574</v>
      </c>
      <c r="CE25">
        <v>89</v>
      </c>
      <c r="CF25">
        <v>72.303135888499995</v>
      </c>
      <c r="CG25">
        <v>1515</v>
      </c>
      <c r="CH25">
        <v>200</v>
      </c>
      <c r="CI25">
        <v>99.327392739299995</v>
      </c>
      <c r="CJ25">
        <v>90.15</v>
      </c>
      <c r="CL25" t="s">
        <v>420</v>
      </c>
      <c r="CM25" t="s">
        <v>783</v>
      </c>
      <c r="CN25" t="s">
        <v>791</v>
      </c>
      <c r="CO25">
        <v>45</v>
      </c>
      <c r="CP25">
        <v>3</v>
      </c>
      <c r="CQ25">
        <v>62.644444444400001</v>
      </c>
      <c r="CR25">
        <v>141</v>
      </c>
      <c r="CS25">
        <v>15</v>
      </c>
      <c r="CT25">
        <v>61.638297872300001</v>
      </c>
      <c r="CU25">
        <v>78.666666666699996</v>
      </c>
      <c r="CW25" t="s">
        <v>420</v>
      </c>
      <c r="CX25" t="s">
        <v>796</v>
      </c>
      <c r="CY25" t="s">
        <v>804</v>
      </c>
      <c r="CZ25">
        <v>12</v>
      </c>
      <c r="DA25">
        <v>4</v>
      </c>
      <c r="DB25">
        <v>96.166666666699996</v>
      </c>
      <c r="DC25">
        <v>25</v>
      </c>
      <c r="DD25">
        <v>2</v>
      </c>
      <c r="DE25">
        <v>111.16</v>
      </c>
      <c r="DF25">
        <v>64</v>
      </c>
      <c r="DH25" t="s">
        <v>420</v>
      </c>
      <c r="DI25" t="s">
        <v>770</v>
      </c>
      <c r="DJ25" t="s">
        <v>778</v>
      </c>
      <c r="DK25">
        <v>4</v>
      </c>
      <c r="DL25">
        <v>0</v>
      </c>
      <c r="DM25">
        <v>61.75</v>
      </c>
      <c r="DN25">
        <v>8</v>
      </c>
      <c r="DO25">
        <v>1</v>
      </c>
      <c r="DP25">
        <v>114.75</v>
      </c>
      <c r="DQ25">
        <v>66</v>
      </c>
    </row>
    <row r="26" spans="2:121" x14ac:dyDescent="0.2">
      <c r="B26" t="s">
        <v>103</v>
      </c>
      <c r="C26">
        <v>40</v>
      </c>
      <c r="D26">
        <v>39</v>
      </c>
      <c r="F26" t="s">
        <v>35</v>
      </c>
      <c r="G26">
        <v>4059</v>
      </c>
      <c r="H26">
        <v>628.721606307</v>
      </c>
      <c r="I26">
        <v>3441</v>
      </c>
      <c r="J26">
        <v>815</v>
      </c>
      <c r="K26">
        <v>5562</v>
      </c>
      <c r="L26">
        <v>4250</v>
      </c>
      <c r="M26">
        <v>2723</v>
      </c>
      <c r="N26">
        <v>2183</v>
      </c>
      <c r="O26">
        <v>640</v>
      </c>
      <c r="P26">
        <v>570</v>
      </c>
      <c r="Q26">
        <v>0</v>
      </c>
      <c r="R26">
        <v>1</v>
      </c>
      <c r="T26" t="s">
        <v>391</v>
      </c>
      <c r="U26">
        <v>32558</v>
      </c>
      <c r="V26">
        <v>377.1681307206</v>
      </c>
      <c r="W26">
        <v>49423</v>
      </c>
      <c r="X26">
        <v>10580</v>
      </c>
      <c r="Y26">
        <v>53103</v>
      </c>
      <c r="Z26">
        <v>31977</v>
      </c>
      <c r="AA26">
        <v>14193</v>
      </c>
      <c r="AB26">
        <v>10970</v>
      </c>
      <c r="AC26">
        <v>23390</v>
      </c>
      <c r="AD26">
        <v>15143</v>
      </c>
      <c r="AE26">
        <v>5249</v>
      </c>
      <c r="AF26">
        <v>1078</v>
      </c>
      <c r="AH26" t="s">
        <v>402</v>
      </c>
      <c r="AI26">
        <v>1542</v>
      </c>
      <c r="AJ26">
        <v>181.60765239950001</v>
      </c>
      <c r="AK26">
        <v>4470</v>
      </c>
      <c r="AL26">
        <v>737</v>
      </c>
      <c r="AM26">
        <v>2711</v>
      </c>
      <c r="AN26">
        <v>1086</v>
      </c>
      <c r="AO26">
        <v>781</v>
      </c>
      <c r="AP26">
        <v>334</v>
      </c>
      <c r="AQ26">
        <v>1192</v>
      </c>
      <c r="AR26">
        <v>761</v>
      </c>
      <c r="AS26">
        <v>10</v>
      </c>
      <c r="AT26">
        <v>4</v>
      </c>
      <c r="AV26" t="s">
        <v>375</v>
      </c>
      <c r="AW26">
        <v>428</v>
      </c>
      <c r="AX26">
        <v>101.35046728970001</v>
      </c>
      <c r="AY26">
        <v>785</v>
      </c>
      <c r="AZ26">
        <v>184</v>
      </c>
      <c r="BA26">
        <v>553</v>
      </c>
      <c r="BB26">
        <v>169</v>
      </c>
      <c r="BC26">
        <v>1</v>
      </c>
      <c r="BD26">
        <v>1</v>
      </c>
      <c r="BE26">
        <v>47</v>
      </c>
      <c r="BF26">
        <v>17</v>
      </c>
      <c r="BG26">
        <v>74</v>
      </c>
      <c r="BH26">
        <v>190</v>
      </c>
      <c r="BJ26" t="s">
        <v>581</v>
      </c>
      <c r="BK26" t="s">
        <v>391</v>
      </c>
      <c r="BL26">
        <v>6901</v>
      </c>
      <c r="BM26">
        <v>1150</v>
      </c>
      <c r="BN26">
        <v>78.109984060299993</v>
      </c>
      <c r="BO26">
        <v>14664</v>
      </c>
      <c r="BP26">
        <v>1428</v>
      </c>
      <c r="BQ26">
        <v>115.68657937810001</v>
      </c>
      <c r="BR26">
        <v>111.2864145658</v>
      </c>
      <c r="BS26">
        <v>1893</v>
      </c>
      <c r="BT26">
        <v>586</v>
      </c>
      <c r="BU26">
        <v>107.0348652932</v>
      </c>
      <c r="BV26">
        <v>17522</v>
      </c>
      <c r="BW26">
        <v>1817</v>
      </c>
      <c r="BX26">
        <v>127.5184910398</v>
      </c>
      <c r="BY26">
        <v>117.0115575124</v>
      </c>
      <c r="CA26" t="s">
        <v>392</v>
      </c>
      <c r="CB26" t="s">
        <v>808</v>
      </c>
      <c r="CC26" t="s">
        <v>1012</v>
      </c>
      <c r="CD26">
        <v>7487</v>
      </c>
      <c r="CE26">
        <v>1585</v>
      </c>
      <c r="CF26">
        <v>93.438359823699997</v>
      </c>
      <c r="CG26">
        <v>17681</v>
      </c>
      <c r="CH26">
        <v>1973</v>
      </c>
      <c r="CI26">
        <v>129.33075052320001</v>
      </c>
      <c r="CJ26">
        <v>118.97212366949999</v>
      </c>
      <c r="CL26" t="s">
        <v>392</v>
      </c>
      <c r="CM26" t="s">
        <v>783</v>
      </c>
      <c r="CN26" t="s">
        <v>792</v>
      </c>
      <c r="CO26">
        <v>874</v>
      </c>
      <c r="CP26">
        <v>116</v>
      </c>
      <c r="CQ26">
        <v>65.199084668200001</v>
      </c>
      <c r="CR26">
        <v>3305</v>
      </c>
      <c r="CS26">
        <v>318</v>
      </c>
      <c r="CT26">
        <v>71.836611195200007</v>
      </c>
      <c r="CU26">
        <v>74.3018867925</v>
      </c>
      <c r="CW26" t="s">
        <v>392</v>
      </c>
      <c r="CX26" t="s">
        <v>796</v>
      </c>
      <c r="CY26" t="s">
        <v>805</v>
      </c>
      <c r="CZ26">
        <v>187</v>
      </c>
      <c r="DA26">
        <v>57</v>
      </c>
      <c r="DB26">
        <v>88.4598930481</v>
      </c>
      <c r="DC26">
        <v>351</v>
      </c>
      <c r="DD26">
        <v>62</v>
      </c>
      <c r="DE26">
        <v>144.2849002849</v>
      </c>
      <c r="DF26">
        <v>127.9677419355</v>
      </c>
      <c r="DH26" t="s">
        <v>392</v>
      </c>
      <c r="DI26" t="s">
        <v>770</v>
      </c>
      <c r="DJ26" t="s">
        <v>779</v>
      </c>
      <c r="DK26">
        <v>146</v>
      </c>
      <c r="DL26">
        <v>45</v>
      </c>
      <c r="DM26">
        <v>100.52739726030001</v>
      </c>
      <c r="DN26">
        <v>225</v>
      </c>
      <c r="DO26">
        <v>14</v>
      </c>
      <c r="DP26">
        <v>139.54666666669999</v>
      </c>
      <c r="DQ26">
        <v>134.6428571429</v>
      </c>
    </row>
    <row r="27" spans="2:121" x14ac:dyDescent="0.2">
      <c r="B27" t="s">
        <v>106</v>
      </c>
      <c r="C27">
        <v>71531</v>
      </c>
      <c r="D27">
        <v>40690</v>
      </c>
      <c r="F27" t="s">
        <v>55</v>
      </c>
      <c r="G27">
        <v>692</v>
      </c>
      <c r="H27">
        <v>185.8309248555</v>
      </c>
      <c r="I27">
        <v>854</v>
      </c>
      <c r="J27">
        <v>218</v>
      </c>
      <c r="K27">
        <v>805</v>
      </c>
      <c r="L27">
        <v>423</v>
      </c>
      <c r="M27">
        <v>254</v>
      </c>
      <c r="N27">
        <v>229</v>
      </c>
      <c r="O27">
        <v>468</v>
      </c>
      <c r="P27">
        <v>350</v>
      </c>
      <c r="Q27">
        <v>428</v>
      </c>
      <c r="R27">
        <v>160</v>
      </c>
      <c r="T27" t="s">
        <v>370</v>
      </c>
      <c r="U27">
        <v>63563</v>
      </c>
      <c r="V27">
        <v>415.95495807309999</v>
      </c>
      <c r="W27">
        <v>71277</v>
      </c>
      <c r="X27">
        <v>17665</v>
      </c>
      <c r="Y27">
        <v>92589</v>
      </c>
      <c r="Z27">
        <v>62388</v>
      </c>
      <c r="AA27">
        <v>36109</v>
      </c>
      <c r="AB27">
        <v>29477</v>
      </c>
      <c r="AC27">
        <v>38012</v>
      </c>
      <c r="AD27">
        <v>25204</v>
      </c>
      <c r="AE27">
        <v>9161</v>
      </c>
      <c r="AF27">
        <v>144</v>
      </c>
      <c r="AH27" t="s">
        <v>390</v>
      </c>
      <c r="AI27">
        <v>3940</v>
      </c>
      <c r="AJ27">
        <v>405.99314720810003</v>
      </c>
      <c r="AK27">
        <v>4705</v>
      </c>
      <c r="AL27">
        <v>1509</v>
      </c>
      <c r="AM27">
        <v>6255</v>
      </c>
      <c r="AN27">
        <v>4680</v>
      </c>
      <c r="AO27">
        <v>1512</v>
      </c>
      <c r="AP27">
        <v>1159</v>
      </c>
      <c r="AQ27">
        <v>1986</v>
      </c>
      <c r="AR27">
        <v>1320</v>
      </c>
      <c r="AS27">
        <v>485</v>
      </c>
      <c r="AT27">
        <v>187</v>
      </c>
      <c r="AV27" t="s">
        <v>80</v>
      </c>
      <c r="AW27">
        <v>274</v>
      </c>
      <c r="AX27">
        <v>59.266423357699999</v>
      </c>
      <c r="AY27">
        <v>397</v>
      </c>
      <c r="AZ27">
        <v>20</v>
      </c>
      <c r="BA27">
        <v>384</v>
      </c>
      <c r="BB27">
        <v>36</v>
      </c>
      <c r="BC27">
        <v>2</v>
      </c>
      <c r="BD27">
        <v>1</v>
      </c>
      <c r="BE27">
        <v>26</v>
      </c>
      <c r="BF27">
        <v>14</v>
      </c>
      <c r="BG27">
        <v>536</v>
      </c>
      <c r="BH27">
        <v>93</v>
      </c>
      <c r="BJ27" t="s">
        <v>640</v>
      </c>
      <c r="BK27" t="s">
        <v>391</v>
      </c>
      <c r="BL27">
        <v>2005</v>
      </c>
      <c r="BM27">
        <v>354</v>
      </c>
      <c r="BN27">
        <v>75.527680798000006</v>
      </c>
      <c r="BO27">
        <v>5424</v>
      </c>
      <c r="BP27">
        <v>563</v>
      </c>
      <c r="BQ27">
        <v>125.7372787611</v>
      </c>
      <c r="BR27">
        <v>100.25044404969999</v>
      </c>
      <c r="BS27">
        <v>1868</v>
      </c>
      <c r="BT27">
        <v>249</v>
      </c>
      <c r="BU27">
        <v>67.4068522484</v>
      </c>
      <c r="BV27">
        <v>4121</v>
      </c>
      <c r="BW27">
        <v>457</v>
      </c>
      <c r="BX27">
        <v>127.78645959719999</v>
      </c>
      <c r="BY27">
        <v>86.938730853400003</v>
      </c>
      <c r="CA27" t="s">
        <v>421</v>
      </c>
      <c r="CB27" t="s">
        <v>808</v>
      </c>
      <c r="CC27" t="s">
        <v>1013</v>
      </c>
      <c r="CD27">
        <v>1039</v>
      </c>
      <c r="CE27">
        <v>211</v>
      </c>
      <c r="CF27">
        <v>84.251203079899994</v>
      </c>
      <c r="CG27">
        <v>1821</v>
      </c>
      <c r="CH27">
        <v>187</v>
      </c>
      <c r="CI27">
        <v>106.3481603515</v>
      </c>
      <c r="CJ27">
        <v>95.048128342200002</v>
      </c>
      <c r="CL27" t="s">
        <v>421</v>
      </c>
      <c r="CM27" t="s">
        <v>783</v>
      </c>
      <c r="CN27" t="s">
        <v>793</v>
      </c>
      <c r="CO27">
        <v>52</v>
      </c>
      <c r="CP27">
        <v>1</v>
      </c>
      <c r="CQ27">
        <v>46.115384615399996</v>
      </c>
      <c r="CR27">
        <v>249</v>
      </c>
      <c r="CS27">
        <v>29</v>
      </c>
      <c r="CT27">
        <v>62.718875502000003</v>
      </c>
      <c r="CU27">
        <v>45.413793103400003</v>
      </c>
      <c r="CW27" t="s">
        <v>421</v>
      </c>
      <c r="CX27" t="s">
        <v>796</v>
      </c>
      <c r="CY27" t="s">
        <v>806</v>
      </c>
      <c r="CZ27">
        <v>5</v>
      </c>
      <c r="DA27">
        <v>0</v>
      </c>
      <c r="DB27">
        <v>99.2</v>
      </c>
      <c r="DC27">
        <v>24</v>
      </c>
      <c r="DD27">
        <v>4</v>
      </c>
      <c r="DE27">
        <v>147.25</v>
      </c>
      <c r="DF27">
        <v>174.25</v>
      </c>
      <c r="DH27" t="s">
        <v>421</v>
      </c>
      <c r="DI27" t="s">
        <v>770</v>
      </c>
      <c r="DJ27" t="s">
        <v>780</v>
      </c>
      <c r="DK27">
        <v>9</v>
      </c>
      <c r="DL27">
        <v>1</v>
      </c>
      <c r="DM27">
        <v>82.666666666699996</v>
      </c>
      <c r="DN27">
        <v>19</v>
      </c>
      <c r="DO27">
        <v>1</v>
      </c>
      <c r="DP27">
        <v>152.84210526320001</v>
      </c>
      <c r="DQ27">
        <v>119</v>
      </c>
    </row>
    <row r="28" spans="2:121" x14ac:dyDescent="0.2">
      <c r="B28" t="s">
        <v>88</v>
      </c>
      <c r="C28">
        <v>76090</v>
      </c>
      <c r="D28">
        <v>19957</v>
      </c>
      <c r="F28" t="s">
        <v>69</v>
      </c>
      <c r="G28">
        <v>16293</v>
      </c>
      <c r="H28">
        <v>404.528877432</v>
      </c>
      <c r="I28">
        <v>10828</v>
      </c>
      <c r="J28">
        <v>2510</v>
      </c>
      <c r="K28">
        <v>19315</v>
      </c>
      <c r="L28">
        <v>13398</v>
      </c>
      <c r="M28">
        <v>8576</v>
      </c>
      <c r="N28">
        <v>7786</v>
      </c>
      <c r="O28">
        <v>4518</v>
      </c>
      <c r="P28">
        <v>3885</v>
      </c>
      <c r="Q28">
        <v>5</v>
      </c>
      <c r="R28">
        <v>7</v>
      </c>
      <c r="T28" t="s">
        <v>8</v>
      </c>
      <c r="U28">
        <v>3511</v>
      </c>
      <c r="V28">
        <v>356.07148960410001</v>
      </c>
      <c r="W28">
        <v>4440</v>
      </c>
      <c r="X28">
        <v>1959</v>
      </c>
      <c r="Y28">
        <v>4822</v>
      </c>
      <c r="Z28">
        <v>3266</v>
      </c>
      <c r="AA28">
        <v>1385</v>
      </c>
      <c r="AB28">
        <v>915</v>
      </c>
      <c r="AC28">
        <v>1379</v>
      </c>
      <c r="AD28">
        <v>967</v>
      </c>
      <c r="AE28">
        <v>465</v>
      </c>
      <c r="AF28">
        <v>152</v>
      </c>
      <c r="AH28" t="s">
        <v>398</v>
      </c>
      <c r="AI28">
        <v>3925</v>
      </c>
      <c r="AJ28">
        <v>234.48458598729999</v>
      </c>
      <c r="AK28">
        <v>5709</v>
      </c>
      <c r="AL28">
        <v>1268</v>
      </c>
      <c r="AM28">
        <v>6163</v>
      </c>
      <c r="AN28">
        <v>3219</v>
      </c>
      <c r="AO28">
        <v>2157</v>
      </c>
      <c r="AP28">
        <v>1769</v>
      </c>
      <c r="AQ28">
        <v>6022</v>
      </c>
      <c r="AR28">
        <v>4366</v>
      </c>
      <c r="AS28">
        <v>915</v>
      </c>
      <c r="AT28">
        <v>49</v>
      </c>
      <c r="AV28" t="s">
        <v>382</v>
      </c>
      <c r="AW28">
        <v>1295</v>
      </c>
      <c r="AX28">
        <v>105.67104247100001</v>
      </c>
      <c r="AY28">
        <v>1692</v>
      </c>
      <c r="AZ28">
        <v>385</v>
      </c>
      <c r="BA28">
        <v>1582</v>
      </c>
      <c r="BB28">
        <v>518</v>
      </c>
      <c r="BC28">
        <v>9</v>
      </c>
      <c r="BD28">
        <v>7</v>
      </c>
      <c r="BE28">
        <v>140</v>
      </c>
      <c r="BF28">
        <v>33</v>
      </c>
      <c r="BG28">
        <v>205</v>
      </c>
      <c r="BH28">
        <v>480</v>
      </c>
      <c r="BJ28" t="s">
        <v>534</v>
      </c>
      <c r="BK28" t="s">
        <v>370</v>
      </c>
      <c r="BL28">
        <v>4399</v>
      </c>
      <c r="BM28">
        <v>1175</v>
      </c>
      <c r="BN28">
        <v>101.5994544215</v>
      </c>
      <c r="BO28">
        <v>8531</v>
      </c>
      <c r="BP28">
        <v>1164</v>
      </c>
      <c r="BQ28">
        <v>144.39878091669999</v>
      </c>
      <c r="BR28">
        <v>133.01718213059999</v>
      </c>
      <c r="BS28">
        <v>858</v>
      </c>
      <c r="BT28">
        <v>336</v>
      </c>
      <c r="BU28">
        <v>117.84265734269999</v>
      </c>
      <c r="BV28">
        <v>5081</v>
      </c>
      <c r="BW28">
        <v>494</v>
      </c>
      <c r="BX28">
        <v>135.6325526471</v>
      </c>
      <c r="BY28">
        <v>134.16599190279999</v>
      </c>
      <c r="CA28" t="s">
        <v>397</v>
      </c>
      <c r="CB28" t="s">
        <v>808</v>
      </c>
      <c r="CC28" t="s">
        <v>1014</v>
      </c>
      <c r="CD28">
        <v>3501</v>
      </c>
      <c r="CE28">
        <v>567</v>
      </c>
      <c r="CF28">
        <v>77.116823764599999</v>
      </c>
      <c r="CG28">
        <v>8031</v>
      </c>
      <c r="CH28">
        <v>1172</v>
      </c>
      <c r="CI28">
        <v>116.5268335201</v>
      </c>
      <c r="CJ28">
        <v>106.51962457339999</v>
      </c>
      <c r="CL28" t="s">
        <v>397</v>
      </c>
      <c r="CM28" t="s">
        <v>783</v>
      </c>
      <c r="CN28" t="s">
        <v>794</v>
      </c>
      <c r="CO28">
        <v>303</v>
      </c>
      <c r="CP28">
        <v>26</v>
      </c>
      <c r="CQ28">
        <v>62.102310230999997</v>
      </c>
      <c r="CR28">
        <v>1239</v>
      </c>
      <c r="CS28">
        <v>142</v>
      </c>
      <c r="CT28">
        <v>59.299435028200001</v>
      </c>
      <c r="CU28">
        <v>62.739436619700001</v>
      </c>
      <c r="CW28" t="s">
        <v>397</v>
      </c>
      <c r="CX28" t="s">
        <v>796</v>
      </c>
      <c r="CY28" t="s">
        <v>807</v>
      </c>
      <c r="CZ28">
        <v>76</v>
      </c>
      <c r="DA28">
        <v>12</v>
      </c>
      <c r="DB28">
        <v>72.092105263199997</v>
      </c>
      <c r="DC28">
        <v>143</v>
      </c>
      <c r="DD28">
        <v>29</v>
      </c>
      <c r="DE28">
        <v>136.82517482520001</v>
      </c>
      <c r="DF28">
        <v>125.7586206897</v>
      </c>
      <c r="DH28" t="s">
        <v>397</v>
      </c>
      <c r="DI28" t="s">
        <v>770</v>
      </c>
      <c r="DJ28" t="s">
        <v>781</v>
      </c>
      <c r="DK28">
        <v>53</v>
      </c>
      <c r="DL28">
        <v>13</v>
      </c>
      <c r="DM28">
        <v>91.396226415100003</v>
      </c>
      <c r="DN28">
        <v>87</v>
      </c>
      <c r="DO28">
        <v>4</v>
      </c>
      <c r="DP28">
        <v>128.32183908050001</v>
      </c>
      <c r="DQ28">
        <v>120.25</v>
      </c>
    </row>
    <row r="29" spans="2:121" x14ac:dyDescent="0.2">
      <c r="B29" t="s">
        <v>96</v>
      </c>
      <c r="C29">
        <v>111057</v>
      </c>
      <c r="D29">
        <v>67560</v>
      </c>
      <c r="F29" t="s">
        <v>41</v>
      </c>
      <c r="G29">
        <v>696</v>
      </c>
      <c r="H29">
        <v>110.5301724138</v>
      </c>
      <c r="I29">
        <v>2485</v>
      </c>
      <c r="J29">
        <v>364</v>
      </c>
      <c r="K29">
        <v>1028</v>
      </c>
      <c r="L29">
        <v>277</v>
      </c>
      <c r="M29">
        <v>220</v>
      </c>
      <c r="N29">
        <v>131</v>
      </c>
      <c r="O29">
        <v>216</v>
      </c>
      <c r="P29">
        <v>99</v>
      </c>
      <c r="Q29">
        <v>0</v>
      </c>
      <c r="R29">
        <v>9</v>
      </c>
      <c r="T29" t="s">
        <v>405</v>
      </c>
      <c r="U29">
        <v>51922</v>
      </c>
      <c r="V29">
        <v>395.22067716959998</v>
      </c>
      <c r="W29">
        <v>58559</v>
      </c>
      <c r="X29">
        <v>12700</v>
      </c>
      <c r="Y29">
        <v>76373</v>
      </c>
      <c r="Z29">
        <v>53972</v>
      </c>
      <c r="AA29">
        <v>23325</v>
      </c>
      <c r="AB29">
        <v>18351</v>
      </c>
      <c r="AC29">
        <v>31951</v>
      </c>
      <c r="AD29">
        <v>21205</v>
      </c>
      <c r="AE29">
        <v>112</v>
      </c>
      <c r="AF29">
        <v>612</v>
      </c>
      <c r="AH29" t="s">
        <v>419</v>
      </c>
      <c r="AI29">
        <v>473</v>
      </c>
      <c r="AJ29">
        <v>260.38689217759998</v>
      </c>
      <c r="AK29">
        <v>703</v>
      </c>
      <c r="AL29">
        <v>69</v>
      </c>
      <c r="AM29">
        <v>837</v>
      </c>
      <c r="AN29">
        <v>438</v>
      </c>
      <c r="AO29">
        <v>416</v>
      </c>
      <c r="AP29">
        <v>258</v>
      </c>
      <c r="AQ29">
        <v>407</v>
      </c>
      <c r="AR29">
        <v>207</v>
      </c>
      <c r="AS29">
        <v>1</v>
      </c>
      <c r="AT29">
        <v>8</v>
      </c>
      <c r="AV29" t="s">
        <v>419</v>
      </c>
      <c r="AW29">
        <v>61</v>
      </c>
      <c r="AX29">
        <v>47.852459016399997</v>
      </c>
      <c r="AY29">
        <v>96</v>
      </c>
      <c r="AZ29">
        <v>3</v>
      </c>
      <c r="BA29">
        <v>73</v>
      </c>
      <c r="BB29">
        <v>1</v>
      </c>
      <c r="BC29">
        <v>0</v>
      </c>
      <c r="BE29">
        <v>1</v>
      </c>
      <c r="BG29">
        <v>133</v>
      </c>
      <c r="BH29">
        <v>13</v>
      </c>
      <c r="BJ29" t="s">
        <v>513</v>
      </c>
      <c r="BK29" t="s">
        <v>370</v>
      </c>
      <c r="BL29">
        <v>3589</v>
      </c>
      <c r="BM29">
        <v>809</v>
      </c>
      <c r="BN29">
        <v>86.960713290599998</v>
      </c>
      <c r="BO29">
        <v>6247</v>
      </c>
      <c r="BP29">
        <v>757</v>
      </c>
      <c r="BQ29">
        <v>134.84888746600001</v>
      </c>
      <c r="BR29">
        <v>126.6869220608</v>
      </c>
      <c r="BS29">
        <v>1111</v>
      </c>
      <c r="BT29">
        <v>370</v>
      </c>
      <c r="BU29">
        <v>102.3609360936</v>
      </c>
      <c r="BV29">
        <v>5580</v>
      </c>
      <c r="BW29">
        <v>467</v>
      </c>
      <c r="BX29">
        <v>129.09498207889999</v>
      </c>
      <c r="BY29">
        <v>141.8608137045</v>
      </c>
      <c r="CA29" t="s">
        <v>391</v>
      </c>
      <c r="CB29" t="s">
        <v>808</v>
      </c>
      <c r="CD29">
        <v>47866</v>
      </c>
      <c r="CE29">
        <v>10027</v>
      </c>
      <c r="CF29">
        <v>86.861112271799996</v>
      </c>
      <c r="CG29">
        <v>103327</v>
      </c>
      <c r="CH29">
        <v>12293</v>
      </c>
      <c r="CI29">
        <v>123.63902948889999</v>
      </c>
      <c r="CJ29">
        <v>112.70316440249999</v>
      </c>
      <c r="CL29" t="s">
        <v>391</v>
      </c>
      <c r="CM29" t="s">
        <v>783</v>
      </c>
      <c r="CO29">
        <v>4782</v>
      </c>
      <c r="CP29">
        <v>533</v>
      </c>
      <c r="CQ29">
        <v>63.5637808448</v>
      </c>
      <c r="CR29">
        <v>17315</v>
      </c>
      <c r="CS29">
        <v>1760</v>
      </c>
      <c r="CT29">
        <v>69.861391856799997</v>
      </c>
      <c r="CU29">
        <v>69.352272727300004</v>
      </c>
      <c r="CW29" t="s">
        <v>391</v>
      </c>
      <c r="CX29" t="s">
        <v>796</v>
      </c>
      <c r="CZ29">
        <v>1052</v>
      </c>
      <c r="DA29">
        <v>285</v>
      </c>
      <c r="DB29">
        <v>88.799429657800005</v>
      </c>
      <c r="DC29">
        <v>1900</v>
      </c>
      <c r="DD29">
        <v>319</v>
      </c>
      <c r="DE29">
        <v>138.0857894737</v>
      </c>
      <c r="DF29">
        <v>124.3197492163</v>
      </c>
      <c r="DH29" t="s">
        <v>391</v>
      </c>
      <c r="DI29" t="s">
        <v>770</v>
      </c>
      <c r="DK29">
        <v>852</v>
      </c>
      <c r="DL29">
        <v>224</v>
      </c>
      <c r="DM29">
        <v>91.031690140799995</v>
      </c>
      <c r="DN29">
        <v>1728</v>
      </c>
      <c r="DO29">
        <v>176</v>
      </c>
      <c r="DP29">
        <v>129.6701388889</v>
      </c>
      <c r="DQ29">
        <v>113.7784090909</v>
      </c>
    </row>
    <row r="30" spans="2:121" x14ac:dyDescent="0.2">
      <c r="B30" t="s">
        <v>20</v>
      </c>
      <c r="C30">
        <v>297</v>
      </c>
      <c r="D30">
        <v>140</v>
      </c>
      <c r="F30" t="s">
        <v>45</v>
      </c>
      <c r="G30">
        <v>1478</v>
      </c>
      <c r="H30">
        <v>257.8098782138</v>
      </c>
      <c r="I30">
        <v>2010</v>
      </c>
      <c r="J30">
        <v>328</v>
      </c>
      <c r="K30">
        <v>1843</v>
      </c>
      <c r="L30">
        <v>1151</v>
      </c>
      <c r="M30">
        <v>1067</v>
      </c>
      <c r="N30">
        <v>648</v>
      </c>
      <c r="O30">
        <v>254</v>
      </c>
      <c r="P30">
        <v>116</v>
      </c>
      <c r="Q30">
        <v>0</v>
      </c>
      <c r="R30">
        <v>1</v>
      </c>
      <c r="T30" t="s">
        <v>381</v>
      </c>
      <c r="U30">
        <v>64235</v>
      </c>
      <c r="V30">
        <v>360.23770530079997</v>
      </c>
      <c r="W30">
        <v>71835</v>
      </c>
      <c r="X30">
        <v>17558</v>
      </c>
      <c r="Y30">
        <v>93857</v>
      </c>
      <c r="Z30">
        <v>63774</v>
      </c>
      <c r="AA30">
        <v>29995</v>
      </c>
      <c r="AB30">
        <v>24487</v>
      </c>
      <c r="AC30">
        <v>44900</v>
      </c>
      <c r="AD30">
        <v>31281</v>
      </c>
      <c r="AE30">
        <v>6455</v>
      </c>
      <c r="AF30">
        <v>1197</v>
      </c>
      <c r="AH30" t="s">
        <v>401</v>
      </c>
      <c r="AI30">
        <v>907</v>
      </c>
      <c r="AJ30">
        <v>196.29547960310001</v>
      </c>
      <c r="AK30">
        <v>2098</v>
      </c>
      <c r="AL30">
        <v>298</v>
      </c>
      <c r="AM30">
        <v>1732</v>
      </c>
      <c r="AN30">
        <v>813</v>
      </c>
      <c r="AO30">
        <v>808</v>
      </c>
      <c r="AP30">
        <v>585</v>
      </c>
      <c r="AQ30">
        <v>623</v>
      </c>
      <c r="AR30">
        <v>357</v>
      </c>
      <c r="AS30">
        <v>1</v>
      </c>
      <c r="AT30">
        <v>13</v>
      </c>
      <c r="AV30" t="s">
        <v>416</v>
      </c>
      <c r="AW30">
        <v>92</v>
      </c>
      <c r="AX30">
        <v>117.7608695652</v>
      </c>
      <c r="AY30">
        <v>167</v>
      </c>
      <c r="AZ30">
        <v>28</v>
      </c>
      <c r="BA30">
        <v>120</v>
      </c>
      <c r="BB30">
        <v>36</v>
      </c>
      <c r="BC30">
        <v>1</v>
      </c>
      <c r="BE30">
        <v>12</v>
      </c>
      <c r="BF30">
        <v>2</v>
      </c>
      <c r="BG30">
        <v>7</v>
      </c>
      <c r="BH30">
        <v>31</v>
      </c>
      <c r="BJ30" t="s">
        <v>521</v>
      </c>
      <c r="BK30" t="s">
        <v>370</v>
      </c>
      <c r="BL30">
        <v>3772</v>
      </c>
      <c r="BM30">
        <v>751</v>
      </c>
      <c r="BN30">
        <v>85.197242841999994</v>
      </c>
      <c r="BO30">
        <v>7211</v>
      </c>
      <c r="BP30">
        <v>888</v>
      </c>
      <c r="BQ30">
        <v>139.8313687422</v>
      </c>
      <c r="BR30">
        <v>117.5394144144</v>
      </c>
      <c r="BS30">
        <v>984</v>
      </c>
      <c r="BT30">
        <v>294</v>
      </c>
      <c r="BU30">
        <v>98.305894308899994</v>
      </c>
      <c r="BV30">
        <v>5721</v>
      </c>
      <c r="BW30">
        <v>728</v>
      </c>
      <c r="BX30">
        <v>135.5698304492</v>
      </c>
      <c r="BY30">
        <v>121.3159340659</v>
      </c>
      <c r="CA30" t="s">
        <v>374</v>
      </c>
      <c r="CB30" t="s">
        <v>857</v>
      </c>
      <c r="CC30" t="s">
        <v>980</v>
      </c>
      <c r="CD30">
        <v>1681</v>
      </c>
      <c r="CE30">
        <v>408</v>
      </c>
      <c r="CF30">
        <v>87.901249256400007</v>
      </c>
      <c r="CG30">
        <v>3796</v>
      </c>
      <c r="CH30">
        <v>438</v>
      </c>
      <c r="CI30">
        <v>114.8003161222</v>
      </c>
      <c r="CJ30">
        <v>115.1187214612</v>
      </c>
      <c r="CL30" t="s">
        <v>374</v>
      </c>
      <c r="CM30" t="s">
        <v>826</v>
      </c>
      <c r="CN30" t="s">
        <v>825</v>
      </c>
      <c r="CO30">
        <v>230</v>
      </c>
      <c r="CP30">
        <v>22</v>
      </c>
      <c r="CQ30">
        <v>69.304347826099999</v>
      </c>
      <c r="CR30">
        <v>482</v>
      </c>
      <c r="CS30">
        <v>46</v>
      </c>
      <c r="CT30">
        <v>92.753112033199997</v>
      </c>
      <c r="CU30">
        <v>107.8913043478</v>
      </c>
      <c r="CW30" t="s">
        <v>374</v>
      </c>
      <c r="CX30" t="s">
        <v>842</v>
      </c>
      <c r="CY30" t="s">
        <v>841</v>
      </c>
      <c r="CZ30">
        <v>50</v>
      </c>
      <c r="DA30">
        <v>7</v>
      </c>
      <c r="DB30">
        <v>66.84</v>
      </c>
      <c r="DC30">
        <v>74</v>
      </c>
      <c r="DD30">
        <v>7</v>
      </c>
      <c r="DE30">
        <v>146.2567567568</v>
      </c>
      <c r="DF30">
        <v>177.28571428570001</v>
      </c>
      <c r="DH30" t="s">
        <v>374</v>
      </c>
      <c r="DI30" t="s">
        <v>810</v>
      </c>
      <c r="DJ30" t="s">
        <v>809</v>
      </c>
      <c r="DK30">
        <v>39</v>
      </c>
      <c r="DL30">
        <v>9</v>
      </c>
      <c r="DM30">
        <v>91.205128205099996</v>
      </c>
      <c r="DN30">
        <v>87</v>
      </c>
      <c r="DO30">
        <v>7</v>
      </c>
      <c r="DP30">
        <v>146.85057471260001</v>
      </c>
      <c r="DQ30">
        <v>142.57142857139999</v>
      </c>
    </row>
    <row r="31" spans="2:121" x14ac:dyDescent="0.2">
      <c r="B31" t="s">
        <v>22</v>
      </c>
      <c r="C31">
        <v>196613</v>
      </c>
      <c r="D31">
        <v>40509</v>
      </c>
      <c r="F31" t="s">
        <v>73</v>
      </c>
      <c r="G31">
        <v>10158</v>
      </c>
      <c r="H31">
        <v>401.34239023430001</v>
      </c>
      <c r="I31">
        <v>7345</v>
      </c>
      <c r="J31">
        <v>1100</v>
      </c>
      <c r="K31">
        <v>14902</v>
      </c>
      <c r="L31">
        <v>10775</v>
      </c>
      <c r="M31">
        <v>4527</v>
      </c>
      <c r="N31">
        <v>3428</v>
      </c>
      <c r="O31">
        <v>4502</v>
      </c>
      <c r="P31">
        <v>3636</v>
      </c>
      <c r="Q31">
        <v>3</v>
      </c>
      <c r="R31">
        <v>151</v>
      </c>
      <c r="T31" t="s">
        <v>462</v>
      </c>
      <c r="U31">
        <v>262623</v>
      </c>
      <c r="V31">
        <v>383.73709461850001</v>
      </c>
      <c r="W31">
        <v>320625</v>
      </c>
      <c r="X31">
        <v>75344</v>
      </c>
      <c r="Y31">
        <v>389608</v>
      </c>
      <c r="Z31">
        <v>259765</v>
      </c>
      <c r="AA31">
        <v>124069</v>
      </c>
      <c r="AB31">
        <v>97944</v>
      </c>
      <c r="AC31">
        <v>168843</v>
      </c>
      <c r="AD31">
        <v>110642</v>
      </c>
      <c r="AE31">
        <v>22709</v>
      </c>
      <c r="AF31">
        <v>4269</v>
      </c>
      <c r="AH31" t="s">
        <v>414</v>
      </c>
      <c r="AI31">
        <v>3240</v>
      </c>
      <c r="AJ31">
        <v>404.54660493829999</v>
      </c>
      <c r="AK31">
        <v>4149</v>
      </c>
      <c r="AL31">
        <v>993</v>
      </c>
      <c r="AM31">
        <v>4313</v>
      </c>
      <c r="AN31">
        <v>3049</v>
      </c>
      <c r="AO31">
        <v>1006</v>
      </c>
      <c r="AP31">
        <v>821</v>
      </c>
      <c r="AQ31">
        <v>2042</v>
      </c>
      <c r="AR31">
        <v>1428</v>
      </c>
      <c r="AS31">
        <v>6</v>
      </c>
      <c r="AT31">
        <v>129</v>
      </c>
      <c r="AV31" t="s">
        <v>385</v>
      </c>
      <c r="AW31">
        <v>774</v>
      </c>
      <c r="AX31">
        <v>60.5051679587</v>
      </c>
      <c r="AY31">
        <v>759</v>
      </c>
      <c r="AZ31">
        <v>73</v>
      </c>
      <c r="BA31">
        <v>931</v>
      </c>
      <c r="BB31">
        <v>69</v>
      </c>
      <c r="BC31">
        <v>1</v>
      </c>
      <c r="BD31">
        <v>1</v>
      </c>
      <c r="BE31">
        <v>83</v>
      </c>
      <c r="BF31">
        <v>18</v>
      </c>
      <c r="BG31">
        <v>142</v>
      </c>
      <c r="BH31">
        <v>89</v>
      </c>
      <c r="BJ31" t="s">
        <v>523</v>
      </c>
      <c r="BK31" t="s">
        <v>370</v>
      </c>
      <c r="BL31">
        <v>1748</v>
      </c>
      <c r="BM31">
        <v>410</v>
      </c>
      <c r="BN31">
        <v>86.791189931399998</v>
      </c>
      <c r="BO31">
        <v>3667</v>
      </c>
      <c r="BP31">
        <v>422</v>
      </c>
      <c r="BQ31">
        <v>115.8355604036</v>
      </c>
      <c r="BR31">
        <v>115.07109004740001</v>
      </c>
      <c r="BS31">
        <v>967</v>
      </c>
      <c r="BT31">
        <v>221</v>
      </c>
      <c r="BU31">
        <v>80.634953464299997</v>
      </c>
      <c r="BV31">
        <v>5304</v>
      </c>
      <c r="BW31">
        <v>598</v>
      </c>
      <c r="BX31">
        <v>134.2916666667</v>
      </c>
      <c r="BY31">
        <v>135.5</v>
      </c>
      <c r="CA31" t="s">
        <v>424</v>
      </c>
      <c r="CB31" t="s">
        <v>857</v>
      </c>
      <c r="CC31" t="s">
        <v>981</v>
      </c>
      <c r="CD31">
        <v>847</v>
      </c>
      <c r="CE31">
        <v>201</v>
      </c>
      <c r="CF31">
        <v>91.974025974</v>
      </c>
      <c r="CG31">
        <v>1707</v>
      </c>
      <c r="CH31">
        <v>187</v>
      </c>
      <c r="CI31">
        <v>139.74575278270001</v>
      </c>
      <c r="CJ31">
        <v>130.7326203209</v>
      </c>
      <c r="CL31" t="s">
        <v>424</v>
      </c>
      <c r="CM31" t="s">
        <v>826</v>
      </c>
      <c r="CN31" t="s">
        <v>827</v>
      </c>
      <c r="CO31">
        <v>88</v>
      </c>
      <c r="CP31">
        <v>15</v>
      </c>
      <c r="CQ31">
        <v>74.761363636400006</v>
      </c>
      <c r="CR31">
        <v>161</v>
      </c>
      <c r="CS31">
        <v>23</v>
      </c>
      <c r="CT31">
        <v>94.428571428599994</v>
      </c>
      <c r="CU31">
        <v>110.13043478260001</v>
      </c>
      <c r="CW31" t="s">
        <v>424</v>
      </c>
      <c r="CX31" t="s">
        <v>842</v>
      </c>
      <c r="CY31" t="s">
        <v>843</v>
      </c>
      <c r="CZ31">
        <v>18</v>
      </c>
      <c r="DA31">
        <v>7</v>
      </c>
      <c r="DB31">
        <v>123.7777777778</v>
      </c>
      <c r="DC31">
        <v>22</v>
      </c>
      <c r="DD31">
        <v>2</v>
      </c>
      <c r="DE31">
        <v>142.5909090909</v>
      </c>
      <c r="DF31">
        <v>144.5</v>
      </c>
      <c r="DH31" t="s">
        <v>424</v>
      </c>
      <c r="DI31" t="s">
        <v>810</v>
      </c>
      <c r="DJ31" t="s">
        <v>811</v>
      </c>
      <c r="DK31">
        <v>20</v>
      </c>
      <c r="DL31">
        <v>5</v>
      </c>
      <c r="DM31">
        <v>98.15</v>
      </c>
      <c r="DN31">
        <v>30</v>
      </c>
      <c r="DO31">
        <v>0</v>
      </c>
      <c r="DP31">
        <v>157.80000000000001</v>
      </c>
      <c r="DQ31">
        <v>0</v>
      </c>
    </row>
    <row r="32" spans="2:121" x14ac:dyDescent="0.2">
      <c r="B32" t="s">
        <v>157</v>
      </c>
      <c r="C32">
        <v>3773</v>
      </c>
      <c r="D32">
        <v>3622</v>
      </c>
      <c r="F32" t="s">
        <v>65</v>
      </c>
      <c r="G32">
        <v>3779</v>
      </c>
      <c r="H32">
        <v>448.04022228100001</v>
      </c>
      <c r="I32">
        <v>5194</v>
      </c>
      <c r="J32">
        <v>1687</v>
      </c>
      <c r="K32">
        <v>5182</v>
      </c>
      <c r="L32">
        <v>3749</v>
      </c>
      <c r="M32">
        <v>467</v>
      </c>
      <c r="N32">
        <v>359</v>
      </c>
      <c r="O32">
        <v>811</v>
      </c>
      <c r="P32">
        <v>531</v>
      </c>
      <c r="Q32">
        <v>0</v>
      </c>
      <c r="R32">
        <v>2</v>
      </c>
      <c r="AH32" t="s">
        <v>416</v>
      </c>
      <c r="AI32">
        <v>1154</v>
      </c>
      <c r="AJ32">
        <v>314.34315424610003</v>
      </c>
      <c r="AK32">
        <v>1211</v>
      </c>
      <c r="AL32">
        <v>214</v>
      </c>
      <c r="AM32">
        <v>1752</v>
      </c>
      <c r="AN32">
        <v>1090</v>
      </c>
      <c r="AO32">
        <v>399</v>
      </c>
      <c r="AP32">
        <v>316</v>
      </c>
      <c r="AQ32">
        <v>292</v>
      </c>
      <c r="AR32">
        <v>154</v>
      </c>
      <c r="AS32">
        <v>173</v>
      </c>
      <c r="AT32">
        <v>4</v>
      </c>
      <c r="AV32" t="s">
        <v>406</v>
      </c>
      <c r="AW32">
        <v>101</v>
      </c>
      <c r="AX32">
        <v>56.930693069299998</v>
      </c>
      <c r="AY32">
        <v>156</v>
      </c>
      <c r="AZ32">
        <v>3</v>
      </c>
      <c r="BA32">
        <v>128</v>
      </c>
      <c r="BB32">
        <v>6</v>
      </c>
      <c r="BC32">
        <v>0</v>
      </c>
      <c r="BE32">
        <v>8</v>
      </c>
      <c r="BF32">
        <v>2</v>
      </c>
      <c r="BG32">
        <v>283</v>
      </c>
      <c r="BH32">
        <v>26</v>
      </c>
      <c r="BJ32" t="s">
        <v>538</v>
      </c>
      <c r="BK32" t="s">
        <v>370</v>
      </c>
      <c r="BL32">
        <v>2785</v>
      </c>
      <c r="BM32">
        <v>553</v>
      </c>
      <c r="BN32">
        <v>78.786714542200002</v>
      </c>
      <c r="BO32">
        <v>4838</v>
      </c>
      <c r="BP32">
        <v>541</v>
      </c>
      <c r="BQ32">
        <v>119.24865646959999</v>
      </c>
      <c r="BR32">
        <v>108.24214417739999</v>
      </c>
      <c r="BS32">
        <v>1977</v>
      </c>
      <c r="BT32">
        <v>434</v>
      </c>
      <c r="BU32">
        <v>89.396560445099993</v>
      </c>
      <c r="BV32">
        <v>9704</v>
      </c>
      <c r="BW32">
        <v>841</v>
      </c>
      <c r="BX32">
        <v>135.0450329761</v>
      </c>
      <c r="BY32">
        <v>116.1950059453</v>
      </c>
      <c r="CA32" t="s">
        <v>415</v>
      </c>
      <c r="CB32" t="s">
        <v>857</v>
      </c>
      <c r="CC32" t="s">
        <v>982</v>
      </c>
      <c r="CD32">
        <v>387</v>
      </c>
      <c r="CE32">
        <v>75</v>
      </c>
      <c r="CF32">
        <v>84.291989664100001</v>
      </c>
      <c r="CG32">
        <v>780</v>
      </c>
      <c r="CH32">
        <v>91</v>
      </c>
      <c r="CI32">
        <v>145.30769230769999</v>
      </c>
      <c r="CJ32">
        <v>141</v>
      </c>
      <c r="CL32" t="s">
        <v>415</v>
      </c>
      <c r="CM32" t="s">
        <v>826</v>
      </c>
      <c r="CN32" t="s">
        <v>828</v>
      </c>
      <c r="CO32">
        <v>57</v>
      </c>
      <c r="CP32">
        <v>12</v>
      </c>
      <c r="CQ32">
        <v>88.350877193000002</v>
      </c>
      <c r="CR32">
        <v>153</v>
      </c>
      <c r="CS32">
        <v>14</v>
      </c>
      <c r="CT32">
        <v>99.006535947700002</v>
      </c>
      <c r="CU32">
        <v>91.428571428599994</v>
      </c>
      <c r="CW32" t="s">
        <v>415</v>
      </c>
      <c r="CX32" t="s">
        <v>842</v>
      </c>
      <c r="CY32" t="s">
        <v>844</v>
      </c>
      <c r="CZ32">
        <v>17</v>
      </c>
      <c r="DA32">
        <v>6</v>
      </c>
      <c r="DB32">
        <v>97.705882352900005</v>
      </c>
      <c r="DC32">
        <v>23</v>
      </c>
      <c r="DD32">
        <v>2</v>
      </c>
      <c r="DE32">
        <v>159.21739130430001</v>
      </c>
      <c r="DF32">
        <v>117.5</v>
      </c>
      <c r="DH32" t="s">
        <v>415</v>
      </c>
      <c r="DI32" t="s">
        <v>810</v>
      </c>
      <c r="DJ32" t="s">
        <v>812</v>
      </c>
      <c r="DK32">
        <v>20</v>
      </c>
      <c r="DL32">
        <v>0</v>
      </c>
      <c r="DM32">
        <v>69.5</v>
      </c>
      <c r="DN32">
        <v>33</v>
      </c>
      <c r="DO32">
        <v>3</v>
      </c>
      <c r="DP32">
        <v>142.75757575759999</v>
      </c>
      <c r="DQ32">
        <v>157</v>
      </c>
    </row>
    <row r="33" spans="2:121" x14ac:dyDescent="0.2">
      <c r="B33" t="s">
        <v>114</v>
      </c>
      <c r="C33">
        <v>4736</v>
      </c>
      <c r="D33">
        <v>947</v>
      </c>
      <c r="F33" t="s">
        <v>67</v>
      </c>
      <c r="G33">
        <v>770</v>
      </c>
      <c r="H33">
        <v>213.01558441559999</v>
      </c>
      <c r="I33">
        <v>1901</v>
      </c>
      <c r="J33">
        <v>429</v>
      </c>
      <c r="K33">
        <v>3141</v>
      </c>
      <c r="L33">
        <v>1254</v>
      </c>
      <c r="M33">
        <v>2017</v>
      </c>
      <c r="N33">
        <v>1958</v>
      </c>
      <c r="O33">
        <v>435</v>
      </c>
      <c r="P33">
        <v>236</v>
      </c>
      <c r="Q33">
        <v>0</v>
      </c>
      <c r="R33">
        <v>0</v>
      </c>
      <c r="AH33" t="s">
        <v>375</v>
      </c>
      <c r="AI33">
        <v>1783</v>
      </c>
      <c r="AJ33">
        <v>342.8883903533</v>
      </c>
      <c r="AK33">
        <v>4268</v>
      </c>
      <c r="AL33">
        <v>1074</v>
      </c>
      <c r="AM33">
        <v>3476</v>
      </c>
      <c r="AN33">
        <v>1861</v>
      </c>
      <c r="AO33">
        <v>1422</v>
      </c>
      <c r="AP33">
        <v>1185</v>
      </c>
      <c r="AQ33">
        <v>2391</v>
      </c>
      <c r="AR33">
        <v>1647</v>
      </c>
      <c r="AS33">
        <v>772</v>
      </c>
      <c r="AT33">
        <v>3</v>
      </c>
      <c r="AV33" t="s">
        <v>427</v>
      </c>
      <c r="AW33">
        <v>332</v>
      </c>
      <c r="AX33">
        <v>59.421686747000003</v>
      </c>
      <c r="AY33">
        <v>425</v>
      </c>
      <c r="AZ33">
        <v>18</v>
      </c>
      <c r="BA33">
        <v>416</v>
      </c>
      <c r="BB33">
        <v>18</v>
      </c>
      <c r="BC33">
        <v>1</v>
      </c>
      <c r="BD33">
        <v>1</v>
      </c>
      <c r="BE33">
        <v>17</v>
      </c>
      <c r="BF33">
        <v>3</v>
      </c>
      <c r="BG33">
        <v>426</v>
      </c>
      <c r="BH33">
        <v>108</v>
      </c>
      <c r="BJ33" t="s">
        <v>623</v>
      </c>
      <c r="BK33" t="s">
        <v>370</v>
      </c>
      <c r="BL33">
        <v>1107</v>
      </c>
      <c r="BM33">
        <v>173</v>
      </c>
      <c r="BN33">
        <v>72.029810298100003</v>
      </c>
      <c r="BO33">
        <v>2248</v>
      </c>
      <c r="BP33">
        <v>241</v>
      </c>
      <c r="BQ33">
        <v>134.99065836299999</v>
      </c>
      <c r="BR33">
        <v>114.69709543570001</v>
      </c>
      <c r="BS33">
        <v>323</v>
      </c>
      <c r="BT33">
        <v>123</v>
      </c>
      <c r="BU33">
        <v>114.23219814239999</v>
      </c>
      <c r="BV33">
        <v>2297</v>
      </c>
      <c r="BW33">
        <v>256</v>
      </c>
      <c r="BX33">
        <v>140.59773617760001</v>
      </c>
      <c r="BY33">
        <v>129.72265625</v>
      </c>
      <c r="CA33" t="s">
        <v>417</v>
      </c>
      <c r="CB33" t="s">
        <v>857</v>
      </c>
      <c r="CC33" t="s">
        <v>983</v>
      </c>
      <c r="CD33">
        <v>1294</v>
      </c>
      <c r="CE33">
        <v>205</v>
      </c>
      <c r="CF33">
        <v>70.472952086600003</v>
      </c>
      <c r="CG33">
        <v>2841</v>
      </c>
      <c r="CH33">
        <v>556</v>
      </c>
      <c r="CI33">
        <v>110.1383315734</v>
      </c>
      <c r="CJ33">
        <v>98.6690647482</v>
      </c>
      <c r="CL33" t="s">
        <v>417</v>
      </c>
      <c r="CM33" t="s">
        <v>826</v>
      </c>
      <c r="CN33" t="s">
        <v>829</v>
      </c>
      <c r="CO33">
        <v>128</v>
      </c>
      <c r="CP33">
        <v>17</v>
      </c>
      <c r="CQ33">
        <v>66.71875</v>
      </c>
      <c r="CR33">
        <v>315</v>
      </c>
      <c r="CS33">
        <v>37</v>
      </c>
      <c r="CT33">
        <v>82.825396825400006</v>
      </c>
      <c r="CU33">
        <v>95.675675675700006</v>
      </c>
      <c r="CW33" t="s">
        <v>417</v>
      </c>
      <c r="CX33" t="s">
        <v>842</v>
      </c>
      <c r="CY33" t="s">
        <v>845</v>
      </c>
      <c r="CZ33">
        <v>18</v>
      </c>
      <c r="DA33">
        <v>8</v>
      </c>
      <c r="DB33">
        <v>102.8333333333</v>
      </c>
      <c r="DC33">
        <v>31</v>
      </c>
      <c r="DD33">
        <v>2</v>
      </c>
      <c r="DE33">
        <v>152.90322580649999</v>
      </c>
      <c r="DF33">
        <v>189</v>
      </c>
      <c r="DH33" t="s">
        <v>417</v>
      </c>
      <c r="DI33" t="s">
        <v>810</v>
      </c>
      <c r="DJ33" t="s">
        <v>813</v>
      </c>
      <c r="DK33">
        <v>12</v>
      </c>
      <c r="DL33">
        <v>3</v>
      </c>
      <c r="DM33">
        <v>99.666666666699996</v>
      </c>
      <c r="DN33">
        <v>33</v>
      </c>
      <c r="DO33">
        <v>5</v>
      </c>
      <c r="DP33">
        <v>151.54545454550001</v>
      </c>
      <c r="DQ33">
        <v>112</v>
      </c>
    </row>
    <row r="34" spans="2:121" x14ac:dyDescent="0.2">
      <c r="B34" t="s">
        <v>122</v>
      </c>
      <c r="C34">
        <v>732</v>
      </c>
      <c r="D34">
        <v>22</v>
      </c>
      <c r="F34" t="s">
        <v>37</v>
      </c>
      <c r="G34">
        <v>5101</v>
      </c>
      <c r="H34">
        <v>498.91629092329998</v>
      </c>
      <c r="I34">
        <v>5884</v>
      </c>
      <c r="J34">
        <v>1455</v>
      </c>
      <c r="K34">
        <v>6623</v>
      </c>
      <c r="L34">
        <v>4801</v>
      </c>
      <c r="M34">
        <v>1785</v>
      </c>
      <c r="N34">
        <v>1659</v>
      </c>
      <c r="O34">
        <v>1427</v>
      </c>
      <c r="P34">
        <v>789</v>
      </c>
      <c r="Q34">
        <v>0</v>
      </c>
      <c r="R34">
        <v>215</v>
      </c>
      <c r="AH34" t="s">
        <v>406</v>
      </c>
      <c r="AI34">
        <v>1042</v>
      </c>
      <c r="AJ34">
        <v>226.20153550859999</v>
      </c>
      <c r="AK34">
        <v>2638</v>
      </c>
      <c r="AL34">
        <v>626</v>
      </c>
      <c r="AM34">
        <v>1789</v>
      </c>
      <c r="AN34">
        <v>835</v>
      </c>
      <c r="AO34">
        <v>532</v>
      </c>
      <c r="AP34">
        <v>333</v>
      </c>
      <c r="AQ34">
        <v>944</v>
      </c>
      <c r="AR34">
        <v>576</v>
      </c>
      <c r="AS34">
        <v>8</v>
      </c>
      <c r="AT34">
        <v>11</v>
      </c>
      <c r="AV34" t="s">
        <v>396</v>
      </c>
      <c r="AW34">
        <v>849</v>
      </c>
      <c r="AX34">
        <v>62.316843345099997</v>
      </c>
      <c r="AY34">
        <v>1089</v>
      </c>
      <c r="AZ34">
        <v>105</v>
      </c>
      <c r="BA34">
        <v>1016</v>
      </c>
      <c r="BB34">
        <v>85</v>
      </c>
      <c r="BC34">
        <v>1</v>
      </c>
      <c r="BD34">
        <v>1</v>
      </c>
      <c r="BE34">
        <v>79</v>
      </c>
      <c r="BF34">
        <v>7</v>
      </c>
      <c r="BG34">
        <v>114</v>
      </c>
      <c r="BH34">
        <v>103</v>
      </c>
      <c r="BJ34" t="s">
        <v>519</v>
      </c>
      <c r="BK34" t="s">
        <v>370</v>
      </c>
      <c r="BL34">
        <v>4767</v>
      </c>
      <c r="BM34">
        <v>1307</v>
      </c>
      <c r="BN34">
        <v>99.514369624500006</v>
      </c>
      <c r="BO34">
        <v>8272</v>
      </c>
      <c r="BP34">
        <v>1037</v>
      </c>
      <c r="BQ34">
        <v>135.55186170210001</v>
      </c>
      <c r="BR34">
        <v>130.78784956609999</v>
      </c>
      <c r="BS34">
        <v>1276</v>
      </c>
      <c r="BT34">
        <v>420</v>
      </c>
      <c r="BU34">
        <v>103.02664576799999</v>
      </c>
      <c r="BV34">
        <v>6748</v>
      </c>
      <c r="BW34">
        <v>884</v>
      </c>
      <c r="BX34">
        <v>129.39137522230001</v>
      </c>
      <c r="BY34">
        <v>125.0871040724</v>
      </c>
      <c r="CA34" t="s">
        <v>377</v>
      </c>
      <c r="CB34" t="s">
        <v>857</v>
      </c>
      <c r="CC34" t="s">
        <v>984</v>
      </c>
      <c r="CD34">
        <v>4844</v>
      </c>
      <c r="CE34">
        <v>1337</v>
      </c>
      <c r="CF34">
        <v>102.38976052850001</v>
      </c>
      <c r="CG34">
        <v>9971</v>
      </c>
      <c r="CH34">
        <v>1279</v>
      </c>
      <c r="CI34">
        <v>137.714271387</v>
      </c>
      <c r="CJ34">
        <v>130.379202502</v>
      </c>
      <c r="CL34" t="s">
        <v>377</v>
      </c>
      <c r="CM34" t="s">
        <v>826</v>
      </c>
      <c r="CN34" t="s">
        <v>830</v>
      </c>
      <c r="CO34">
        <v>466</v>
      </c>
      <c r="CP34">
        <v>68</v>
      </c>
      <c r="CQ34">
        <v>71.474248927000005</v>
      </c>
      <c r="CR34">
        <v>1073</v>
      </c>
      <c r="CS34">
        <v>112</v>
      </c>
      <c r="CT34">
        <v>96.752096924499995</v>
      </c>
      <c r="CU34">
        <v>112.2321428571</v>
      </c>
      <c r="CW34" t="s">
        <v>377</v>
      </c>
      <c r="CX34" t="s">
        <v>842</v>
      </c>
      <c r="CY34" t="s">
        <v>846</v>
      </c>
      <c r="CZ34">
        <v>202</v>
      </c>
      <c r="DA34">
        <v>51</v>
      </c>
      <c r="DB34">
        <v>87.831683168300003</v>
      </c>
      <c r="DC34">
        <v>323</v>
      </c>
      <c r="DD34">
        <v>32</v>
      </c>
      <c r="DE34">
        <v>151.83900928790001</v>
      </c>
      <c r="DF34">
        <v>154.8125</v>
      </c>
      <c r="DH34" t="s">
        <v>377</v>
      </c>
      <c r="DI34" t="s">
        <v>810</v>
      </c>
      <c r="DJ34" t="s">
        <v>814</v>
      </c>
      <c r="DK34">
        <v>266</v>
      </c>
      <c r="DL34">
        <v>62</v>
      </c>
      <c r="DM34">
        <v>93.503759398499994</v>
      </c>
      <c r="DN34">
        <v>438</v>
      </c>
      <c r="DO34">
        <v>40</v>
      </c>
      <c r="DP34">
        <v>149.78082191780001</v>
      </c>
      <c r="DQ34">
        <v>143.85</v>
      </c>
    </row>
    <row r="35" spans="2:121" x14ac:dyDescent="0.2">
      <c r="B35" t="s">
        <v>93</v>
      </c>
      <c r="C35">
        <v>243</v>
      </c>
      <c r="D35">
        <v>167</v>
      </c>
      <c r="F35" t="s">
        <v>71</v>
      </c>
      <c r="G35">
        <v>5711</v>
      </c>
      <c r="H35">
        <v>350.5526177552</v>
      </c>
      <c r="I35">
        <v>10419</v>
      </c>
      <c r="J35">
        <v>2113</v>
      </c>
      <c r="K35">
        <v>16178</v>
      </c>
      <c r="L35">
        <v>10534</v>
      </c>
      <c r="M35">
        <v>6066</v>
      </c>
      <c r="N35">
        <v>4206</v>
      </c>
      <c r="O35">
        <v>2393</v>
      </c>
      <c r="P35">
        <v>1594</v>
      </c>
      <c r="Q35">
        <v>0</v>
      </c>
      <c r="R35">
        <v>60</v>
      </c>
      <c r="AH35" t="s">
        <v>60</v>
      </c>
      <c r="AI35">
        <v>3856</v>
      </c>
      <c r="AJ35">
        <v>288.81820539419999</v>
      </c>
      <c r="AK35">
        <v>8800</v>
      </c>
      <c r="AL35">
        <v>2147</v>
      </c>
      <c r="AM35">
        <v>7649</v>
      </c>
      <c r="AN35">
        <v>3953</v>
      </c>
      <c r="AO35">
        <v>3984</v>
      </c>
      <c r="AP35">
        <v>3079</v>
      </c>
      <c r="AQ35">
        <v>5756</v>
      </c>
      <c r="AR35">
        <v>2076</v>
      </c>
      <c r="AS35">
        <v>1718</v>
      </c>
      <c r="AT35">
        <v>13</v>
      </c>
      <c r="AV35" t="s">
        <v>373</v>
      </c>
      <c r="AW35">
        <v>104</v>
      </c>
      <c r="AX35">
        <v>93.182692307699995</v>
      </c>
      <c r="AY35">
        <v>182</v>
      </c>
      <c r="AZ35">
        <v>38</v>
      </c>
      <c r="BA35">
        <v>136</v>
      </c>
      <c r="BB35">
        <v>38</v>
      </c>
      <c r="BC35">
        <v>0</v>
      </c>
      <c r="BE35">
        <v>17</v>
      </c>
      <c r="BF35">
        <v>8</v>
      </c>
      <c r="BG35">
        <v>9</v>
      </c>
      <c r="BH35">
        <v>26</v>
      </c>
      <c r="BJ35" t="s">
        <v>525</v>
      </c>
      <c r="BK35" t="s">
        <v>370</v>
      </c>
      <c r="BL35">
        <v>2898</v>
      </c>
      <c r="BM35">
        <v>627</v>
      </c>
      <c r="BN35">
        <v>86.406832298099999</v>
      </c>
      <c r="BO35">
        <v>4397</v>
      </c>
      <c r="BP35">
        <v>572</v>
      </c>
      <c r="BQ35">
        <v>140.95815328629999</v>
      </c>
      <c r="BR35">
        <v>124.8793706294</v>
      </c>
      <c r="BS35">
        <v>693</v>
      </c>
      <c r="BT35">
        <v>276</v>
      </c>
      <c r="BU35">
        <v>112.08946608949999</v>
      </c>
      <c r="BV35">
        <v>3260</v>
      </c>
      <c r="BW35">
        <v>304</v>
      </c>
      <c r="BX35">
        <v>138.57331288340001</v>
      </c>
      <c r="BY35">
        <v>141.6019736842</v>
      </c>
      <c r="CA35" t="s">
        <v>372</v>
      </c>
      <c r="CB35" t="s">
        <v>857</v>
      </c>
      <c r="CC35" t="s">
        <v>985</v>
      </c>
      <c r="CD35">
        <v>4419</v>
      </c>
      <c r="CE35">
        <v>1005</v>
      </c>
      <c r="CF35">
        <v>87.236252545799999</v>
      </c>
      <c r="CG35">
        <v>7738</v>
      </c>
      <c r="CH35">
        <v>952</v>
      </c>
      <c r="CI35">
        <v>131.01757560089999</v>
      </c>
      <c r="CJ35">
        <v>120.6228991597</v>
      </c>
      <c r="CL35" t="s">
        <v>372</v>
      </c>
      <c r="CM35" t="s">
        <v>826</v>
      </c>
      <c r="CN35" t="s">
        <v>831</v>
      </c>
      <c r="CO35">
        <v>450</v>
      </c>
      <c r="CP35">
        <v>57</v>
      </c>
      <c r="CQ35">
        <v>70.024444444400004</v>
      </c>
      <c r="CR35">
        <v>1036</v>
      </c>
      <c r="CS35">
        <v>108</v>
      </c>
      <c r="CT35">
        <v>90.0241312741</v>
      </c>
      <c r="CU35">
        <v>109.9259259259</v>
      </c>
      <c r="CW35" t="s">
        <v>372</v>
      </c>
      <c r="CX35" t="s">
        <v>842</v>
      </c>
      <c r="CY35" t="s">
        <v>847</v>
      </c>
      <c r="CZ35">
        <v>69</v>
      </c>
      <c r="DA35">
        <v>11</v>
      </c>
      <c r="DB35">
        <v>72.797101449300001</v>
      </c>
      <c r="DC35">
        <v>133</v>
      </c>
      <c r="DD35">
        <v>17</v>
      </c>
      <c r="DE35">
        <v>147.23308270679999</v>
      </c>
      <c r="DF35">
        <v>150.1764705882</v>
      </c>
      <c r="DH35" t="s">
        <v>372</v>
      </c>
      <c r="DI35" t="s">
        <v>810</v>
      </c>
      <c r="DJ35" t="s">
        <v>815</v>
      </c>
      <c r="DK35">
        <v>34</v>
      </c>
      <c r="DL35">
        <v>3</v>
      </c>
      <c r="DM35">
        <v>58.970588235299999</v>
      </c>
      <c r="DN35">
        <v>82</v>
      </c>
      <c r="DO35">
        <v>10</v>
      </c>
      <c r="DP35">
        <v>134.8780487805</v>
      </c>
      <c r="DQ35">
        <v>133.6</v>
      </c>
    </row>
    <row r="36" spans="2:121" x14ac:dyDescent="0.2">
      <c r="B36" t="s">
        <v>89</v>
      </c>
      <c r="C36">
        <v>20</v>
      </c>
      <c r="F36" t="s">
        <v>47</v>
      </c>
      <c r="G36">
        <v>1873</v>
      </c>
      <c r="H36">
        <v>243.4767752269</v>
      </c>
      <c r="I36">
        <v>2621</v>
      </c>
      <c r="J36">
        <v>548</v>
      </c>
      <c r="K36">
        <v>3060</v>
      </c>
      <c r="L36">
        <v>2045</v>
      </c>
      <c r="M36">
        <v>430</v>
      </c>
      <c r="N36">
        <v>356</v>
      </c>
      <c r="O36">
        <v>1211</v>
      </c>
      <c r="P36">
        <v>874</v>
      </c>
      <c r="Q36">
        <v>0</v>
      </c>
      <c r="R36">
        <v>10</v>
      </c>
      <c r="T36" t="s">
        <v>647</v>
      </c>
      <c r="U36" t="s">
        <v>306</v>
      </c>
      <c r="V36" t="s">
        <v>133</v>
      </c>
      <c r="W36" t="s">
        <v>214</v>
      </c>
      <c r="X36" t="s">
        <v>460</v>
      </c>
      <c r="Y36" t="s">
        <v>216</v>
      </c>
      <c r="Z36" t="s">
        <v>217</v>
      </c>
      <c r="AA36" t="s">
        <v>218</v>
      </c>
      <c r="AB36" t="s">
        <v>461</v>
      </c>
      <c r="AC36" t="s">
        <v>220</v>
      </c>
      <c r="AD36" t="s">
        <v>221</v>
      </c>
      <c r="AE36" t="s">
        <v>222</v>
      </c>
      <c r="AF36" t="s">
        <v>223</v>
      </c>
      <c r="AH36" t="s">
        <v>383</v>
      </c>
      <c r="AI36">
        <v>14849</v>
      </c>
      <c r="AJ36">
        <v>303.42757088019999</v>
      </c>
      <c r="AK36">
        <v>17788</v>
      </c>
      <c r="AL36">
        <v>4755</v>
      </c>
      <c r="AM36">
        <v>19938</v>
      </c>
      <c r="AN36">
        <v>13352</v>
      </c>
      <c r="AO36">
        <v>9425</v>
      </c>
      <c r="AP36">
        <v>7393</v>
      </c>
      <c r="AQ36">
        <v>7139</v>
      </c>
      <c r="AR36">
        <v>4802</v>
      </c>
      <c r="AS36">
        <v>1249</v>
      </c>
      <c r="AT36">
        <v>47</v>
      </c>
      <c r="AV36" t="s">
        <v>384</v>
      </c>
      <c r="AW36">
        <v>944</v>
      </c>
      <c r="AX36">
        <v>98.792372881399999</v>
      </c>
      <c r="AY36">
        <v>1082</v>
      </c>
      <c r="AZ36">
        <v>210</v>
      </c>
      <c r="BA36">
        <v>1135</v>
      </c>
      <c r="BB36">
        <v>300</v>
      </c>
      <c r="BC36">
        <v>2</v>
      </c>
      <c r="BD36">
        <v>1</v>
      </c>
      <c r="BE36">
        <v>66</v>
      </c>
      <c r="BF36">
        <v>12</v>
      </c>
      <c r="BG36">
        <v>142</v>
      </c>
      <c r="BH36">
        <v>287</v>
      </c>
      <c r="BJ36" t="s">
        <v>370</v>
      </c>
      <c r="BK36" t="s">
        <v>370</v>
      </c>
      <c r="BL36">
        <v>70490</v>
      </c>
      <c r="BM36">
        <v>17784</v>
      </c>
      <c r="BN36">
        <v>93.485402184700007</v>
      </c>
      <c r="BO36">
        <v>130417</v>
      </c>
      <c r="BP36">
        <v>14544</v>
      </c>
      <c r="BQ36">
        <v>133.08029628040001</v>
      </c>
      <c r="BR36">
        <v>122.78032178220001</v>
      </c>
      <c r="BS36">
        <v>24348</v>
      </c>
      <c r="BT36">
        <v>7205</v>
      </c>
      <c r="BU36">
        <v>94.587070806599996</v>
      </c>
      <c r="BV36">
        <v>127517</v>
      </c>
      <c r="BW36">
        <v>13680</v>
      </c>
      <c r="BX36">
        <v>131.92664507480001</v>
      </c>
      <c r="BY36">
        <v>123.8929824561</v>
      </c>
      <c r="CA36" t="s">
        <v>416</v>
      </c>
      <c r="CB36" t="s">
        <v>857</v>
      </c>
      <c r="CC36" t="s">
        <v>986</v>
      </c>
      <c r="CD36">
        <v>1202</v>
      </c>
      <c r="CE36">
        <v>197</v>
      </c>
      <c r="CF36">
        <v>76.219633943399998</v>
      </c>
      <c r="CG36">
        <v>2359</v>
      </c>
      <c r="CH36">
        <v>249</v>
      </c>
      <c r="CI36">
        <v>133.5256464604</v>
      </c>
      <c r="CJ36">
        <v>114.5863453815</v>
      </c>
      <c r="CL36" t="s">
        <v>416</v>
      </c>
      <c r="CM36" t="s">
        <v>826</v>
      </c>
      <c r="CN36" t="s">
        <v>832</v>
      </c>
      <c r="CO36">
        <v>120</v>
      </c>
      <c r="CP36">
        <v>12</v>
      </c>
      <c r="CQ36">
        <v>66.158333333300007</v>
      </c>
      <c r="CR36">
        <v>240</v>
      </c>
      <c r="CS36">
        <v>23</v>
      </c>
      <c r="CT36">
        <v>94.883333333300001</v>
      </c>
      <c r="CU36">
        <v>96.043478260900002</v>
      </c>
      <c r="CW36" t="s">
        <v>416</v>
      </c>
      <c r="CX36" t="s">
        <v>842</v>
      </c>
      <c r="CY36" t="s">
        <v>848</v>
      </c>
      <c r="CZ36">
        <v>21</v>
      </c>
      <c r="DA36">
        <v>8</v>
      </c>
      <c r="DB36">
        <v>98.761904761899999</v>
      </c>
      <c r="DC36">
        <v>31</v>
      </c>
      <c r="DD36">
        <v>2</v>
      </c>
      <c r="DE36">
        <v>150.32258064519999</v>
      </c>
      <c r="DF36">
        <v>93</v>
      </c>
      <c r="DH36" t="s">
        <v>416</v>
      </c>
      <c r="DI36" t="s">
        <v>810</v>
      </c>
      <c r="DJ36" t="s">
        <v>816</v>
      </c>
      <c r="DK36">
        <v>15</v>
      </c>
      <c r="DL36">
        <v>4</v>
      </c>
      <c r="DM36">
        <v>100.1333333333</v>
      </c>
      <c r="DN36">
        <v>32</v>
      </c>
      <c r="DO36">
        <v>1</v>
      </c>
      <c r="DP36">
        <v>135.75</v>
      </c>
      <c r="DQ36">
        <v>158</v>
      </c>
    </row>
    <row r="37" spans="2:121" x14ac:dyDescent="0.2">
      <c r="B37" t="s">
        <v>95</v>
      </c>
      <c r="C37">
        <v>1275</v>
      </c>
      <c r="D37">
        <v>891</v>
      </c>
      <c r="F37" t="s">
        <v>82</v>
      </c>
      <c r="G37">
        <v>627</v>
      </c>
      <c r="H37">
        <v>412.8915470494</v>
      </c>
      <c r="I37">
        <v>693</v>
      </c>
      <c r="J37">
        <v>165</v>
      </c>
      <c r="K37">
        <v>729</v>
      </c>
      <c r="L37">
        <v>536</v>
      </c>
      <c r="M37">
        <v>53</v>
      </c>
      <c r="N37">
        <v>48</v>
      </c>
      <c r="O37">
        <v>128</v>
      </c>
      <c r="P37">
        <v>59</v>
      </c>
      <c r="Q37">
        <v>0</v>
      </c>
      <c r="R37">
        <v>0</v>
      </c>
      <c r="T37" t="s">
        <v>391</v>
      </c>
      <c r="U37">
        <v>5039</v>
      </c>
      <c r="V37">
        <v>60.031553879699999</v>
      </c>
      <c r="W37">
        <v>5878</v>
      </c>
      <c r="X37">
        <v>529</v>
      </c>
      <c r="Y37">
        <v>6247</v>
      </c>
      <c r="Z37">
        <v>392</v>
      </c>
      <c r="AA37">
        <v>16</v>
      </c>
      <c r="AB37">
        <v>12</v>
      </c>
      <c r="AC37">
        <v>370</v>
      </c>
      <c r="AD37">
        <v>72</v>
      </c>
      <c r="AE37">
        <v>2429</v>
      </c>
      <c r="AF37">
        <v>669</v>
      </c>
      <c r="AH37" t="s">
        <v>420</v>
      </c>
      <c r="AI37">
        <v>165</v>
      </c>
      <c r="AJ37">
        <v>190.0242424242</v>
      </c>
      <c r="AK37">
        <v>573</v>
      </c>
      <c r="AL37">
        <v>95</v>
      </c>
      <c r="AM37">
        <v>321</v>
      </c>
      <c r="AN37">
        <v>107</v>
      </c>
      <c r="AO37">
        <v>126</v>
      </c>
      <c r="AP37">
        <v>60</v>
      </c>
      <c r="AQ37">
        <v>173</v>
      </c>
      <c r="AR37">
        <v>98</v>
      </c>
      <c r="AS37">
        <v>1</v>
      </c>
      <c r="AT37">
        <v>2</v>
      </c>
      <c r="AV37" t="s">
        <v>392</v>
      </c>
      <c r="AW37">
        <v>932</v>
      </c>
      <c r="AX37">
        <v>57.952789699599997</v>
      </c>
      <c r="AY37">
        <v>1218</v>
      </c>
      <c r="AZ37">
        <v>138</v>
      </c>
      <c r="BA37">
        <v>1229</v>
      </c>
      <c r="BB37">
        <v>92</v>
      </c>
      <c r="BC37">
        <v>7</v>
      </c>
      <c r="BD37">
        <v>5</v>
      </c>
      <c r="BE37">
        <v>91</v>
      </c>
      <c r="BF37">
        <v>18</v>
      </c>
      <c r="BG37">
        <v>122</v>
      </c>
      <c r="BH37">
        <v>124</v>
      </c>
      <c r="BJ37" t="s">
        <v>527</v>
      </c>
      <c r="BK37" t="s">
        <v>370</v>
      </c>
      <c r="BL37">
        <v>7793</v>
      </c>
      <c r="BM37">
        <v>2271</v>
      </c>
      <c r="BN37">
        <v>104.62004362890001</v>
      </c>
      <c r="BO37">
        <v>13697</v>
      </c>
      <c r="BP37">
        <v>1272</v>
      </c>
      <c r="BQ37">
        <v>148.6451777762</v>
      </c>
      <c r="BR37">
        <v>135.69339622640001</v>
      </c>
      <c r="BS37">
        <v>3545</v>
      </c>
      <c r="BT37">
        <v>988</v>
      </c>
      <c r="BU37">
        <v>93.822566995800003</v>
      </c>
      <c r="BV37">
        <v>14159</v>
      </c>
      <c r="BW37">
        <v>1317</v>
      </c>
      <c r="BX37">
        <v>147.339783883</v>
      </c>
      <c r="BY37">
        <v>121.8208048595</v>
      </c>
      <c r="CA37" t="s">
        <v>375</v>
      </c>
      <c r="CB37" t="s">
        <v>857</v>
      </c>
      <c r="CC37" t="s">
        <v>987</v>
      </c>
      <c r="CD37">
        <v>4127</v>
      </c>
      <c r="CE37">
        <v>1013</v>
      </c>
      <c r="CF37">
        <v>93.432759873999998</v>
      </c>
      <c r="CG37">
        <v>7051</v>
      </c>
      <c r="CH37">
        <v>767</v>
      </c>
      <c r="CI37">
        <v>139.19231314710001</v>
      </c>
      <c r="CJ37">
        <v>125.6936114733</v>
      </c>
      <c r="CL37" t="s">
        <v>375</v>
      </c>
      <c r="CM37" t="s">
        <v>826</v>
      </c>
      <c r="CN37" t="s">
        <v>833</v>
      </c>
      <c r="CO37">
        <v>548</v>
      </c>
      <c r="CP37">
        <v>76</v>
      </c>
      <c r="CQ37">
        <v>71.788321167899994</v>
      </c>
      <c r="CR37">
        <v>1091</v>
      </c>
      <c r="CS37">
        <v>99</v>
      </c>
      <c r="CT37">
        <v>92.894592117299993</v>
      </c>
      <c r="CU37">
        <v>100.1313131313</v>
      </c>
      <c r="CW37" t="s">
        <v>375</v>
      </c>
      <c r="CX37" t="s">
        <v>842</v>
      </c>
      <c r="CY37" t="s">
        <v>849</v>
      </c>
      <c r="CZ37">
        <v>107</v>
      </c>
      <c r="DA37">
        <v>34</v>
      </c>
      <c r="DB37">
        <v>97.102803738299997</v>
      </c>
      <c r="DC37">
        <v>127</v>
      </c>
      <c r="DD37">
        <v>16</v>
      </c>
      <c r="DE37">
        <v>147.75590551179999</v>
      </c>
      <c r="DF37">
        <v>137.1875</v>
      </c>
      <c r="DH37" t="s">
        <v>375</v>
      </c>
      <c r="DI37" t="s">
        <v>810</v>
      </c>
      <c r="DJ37" t="s">
        <v>817</v>
      </c>
      <c r="DK37">
        <v>57</v>
      </c>
      <c r="DL37">
        <v>15</v>
      </c>
      <c r="DM37">
        <v>88.438596491200002</v>
      </c>
      <c r="DN37">
        <v>122</v>
      </c>
      <c r="DO37">
        <v>11</v>
      </c>
      <c r="DP37">
        <v>141.0573770492</v>
      </c>
      <c r="DQ37">
        <v>138.8181818182</v>
      </c>
    </row>
    <row r="38" spans="2:121" x14ac:dyDescent="0.2">
      <c r="B38" t="s">
        <v>1060</v>
      </c>
      <c r="C38">
        <v>113</v>
      </c>
      <c r="D38">
        <v>110</v>
      </c>
      <c r="F38" t="s">
        <v>60</v>
      </c>
      <c r="G38">
        <v>2860</v>
      </c>
      <c r="H38">
        <v>287.51573426570002</v>
      </c>
      <c r="I38">
        <v>4600</v>
      </c>
      <c r="J38">
        <v>1295</v>
      </c>
      <c r="K38">
        <v>4287</v>
      </c>
      <c r="L38">
        <v>2587</v>
      </c>
      <c r="M38">
        <v>2835</v>
      </c>
      <c r="N38">
        <v>2394</v>
      </c>
      <c r="O38">
        <v>3831</v>
      </c>
      <c r="P38">
        <v>634</v>
      </c>
      <c r="Q38">
        <v>0</v>
      </c>
      <c r="R38">
        <v>3</v>
      </c>
      <c r="T38" t="s">
        <v>381</v>
      </c>
      <c r="U38">
        <v>9106</v>
      </c>
      <c r="V38">
        <v>87.844168679999996</v>
      </c>
      <c r="W38">
        <v>9099</v>
      </c>
      <c r="X38">
        <v>1691</v>
      </c>
      <c r="Y38">
        <v>10860</v>
      </c>
      <c r="Z38">
        <v>2316</v>
      </c>
      <c r="AA38">
        <v>45</v>
      </c>
      <c r="AB38">
        <v>39</v>
      </c>
      <c r="AC38">
        <v>640</v>
      </c>
      <c r="AD38">
        <v>158</v>
      </c>
      <c r="AE38">
        <v>1219</v>
      </c>
      <c r="AF38">
        <v>1889</v>
      </c>
      <c r="AH38" t="s">
        <v>392</v>
      </c>
      <c r="AI38">
        <v>4941</v>
      </c>
      <c r="AJ38">
        <v>418.14490993729999</v>
      </c>
      <c r="AK38">
        <v>7879</v>
      </c>
      <c r="AL38">
        <v>1751</v>
      </c>
      <c r="AM38">
        <v>9036</v>
      </c>
      <c r="AN38">
        <v>5573</v>
      </c>
      <c r="AO38">
        <v>1977</v>
      </c>
      <c r="AP38">
        <v>1670</v>
      </c>
      <c r="AQ38">
        <v>4055</v>
      </c>
      <c r="AR38">
        <v>2850</v>
      </c>
      <c r="AS38">
        <v>1057</v>
      </c>
      <c r="AT38">
        <v>334</v>
      </c>
      <c r="AV38" t="s">
        <v>415</v>
      </c>
      <c r="AW38">
        <v>36</v>
      </c>
      <c r="AX38">
        <v>105.75</v>
      </c>
      <c r="AY38">
        <v>46</v>
      </c>
      <c r="AZ38">
        <v>11</v>
      </c>
      <c r="BA38">
        <v>55</v>
      </c>
      <c r="BB38">
        <v>16</v>
      </c>
      <c r="BC38">
        <v>2</v>
      </c>
      <c r="BD38">
        <v>2</v>
      </c>
      <c r="BE38">
        <v>0</v>
      </c>
      <c r="BG38">
        <v>8</v>
      </c>
      <c r="BH38">
        <v>19</v>
      </c>
      <c r="BJ38" t="s">
        <v>530</v>
      </c>
      <c r="BK38" t="s">
        <v>370</v>
      </c>
      <c r="BL38">
        <v>4916</v>
      </c>
      <c r="BM38">
        <v>1608</v>
      </c>
      <c r="BN38">
        <v>109.86187957689999</v>
      </c>
      <c r="BO38">
        <v>7387</v>
      </c>
      <c r="BP38">
        <v>700</v>
      </c>
      <c r="BQ38">
        <v>158.0879924191</v>
      </c>
      <c r="BR38">
        <v>154.06714285710001</v>
      </c>
      <c r="BS38">
        <v>865</v>
      </c>
      <c r="BT38">
        <v>433</v>
      </c>
      <c r="BU38">
        <v>150.42080924859999</v>
      </c>
      <c r="BV38">
        <v>5974</v>
      </c>
      <c r="BW38">
        <v>686</v>
      </c>
      <c r="BX38">
        <v>173.19601606960001</v>
      </c>
      <c r="BY38">
        <v>171.16180758019999</v>
      </c>
      <c r="CA38" t="s">
        <v>60</v>
      </c>
      <c r="CB38" t="s">
        <v>857</v>
      </c>
      <c r="CC38" t="s">
        <v>519</v>
      </c>
      <c r="CD38">
        <v>8373</v>
      </c>
      <c r="CE38">
        <v>2010</v>
      </c>
      <c r="CF38">
        <v>93.002985787699998</v>
      </c>
      <c r="CG38">
        <v>16138</v>
      </c>
      <c r="CH38">
        <v>1987</v>
      </c>
      <c r="CI38">
        <v>131.76601809389999</v>
      </c>
      <c r="CJ38">
        <v>119.5420231505</v>
      </c>
      <c r="CL38" t="s">
        <v>60</v>
      </c>
      <c r="CM38" t="s">
        <v>826</v>
      </c>
      <c r="CN38" t="s">
        <v>834</v>
      </c>
      <c r="CO38">
        <v>1337</v>
      </c>
      <c r="CP38">
        <v>172</v>
      </c>
      <c r="CQ38">
        <v>71.170531039599993</v>
      </c>
      <c r="CR38">
        <v>2818</v>
      </c>
      <c r="CS38">
        <v>296</v>
      </c>
      <c r="CT38">
        <v>96.249112846000003</v>
      </c>
      <c r="CU38">
        <v>111.8513513514</v>
      </c>
      <c r="CW38" t="s">
        <v>60</v>
      </c>
      <c r="CX38" t="s">
        <v>842</v>
      </c>
      <c r="CY38" t="s">
        <v>850</v>
      </c>
      <c r="CZ38">
        <v>235</v>
      </c>
      <c r="DA38">
        <v>57</v>
      </c>
      <c r="DB38">
        <v>84.825531914899997</v>
      </c>
      <c r="DC38">
        <v>313</v>
      </c>
      <c r="DD38">
        <v>33</v>
      </c>
      <c r="DE38">
        <v>140.71884984030001</v>
      </c>
      <c r="DF38">
        <v>141.0909090909</v>
      </c>
      <c r="DH38" t="s">
        <v>60</v>
      </c>
      <c r="DI38" t="s">
        <v>810</v>
      </c>
      <c r="DJ38" t="s">
        <v>818</v>
      </c>
      <c r="DK38">
        <v>141</v>
      </c>
      <c r="DL38">
        <v>29</v>
      </c>
      <c r="DM38">
        <v>85.2553191489</v>
      </c>
      <c r="DN38">
        <v>229</v>
      </c>
      <c r="DO38">
        <v>22</v>
      </c>
      <c r="DP38">
        <v>139.42794759829999</v>
      </c>
      <c r="DQ38">
        <v>152.5909090909</v>
      </c>
    </row>
    <row r="39" spans="2:121" x14ac:dyDescent="0.2">
      <c r="B39" t="s">
        <v>115</v>
      </c>
      <c r="C39">
        <v>3452</v>
      </c>
      <c r="D39">
        <v>794</v>
      </c>
      <c r="F39" t="s">
        <v>49</v>
      </c>
      <c r="G39">
        <v>3567</v>
      </c>
      <c r="H39">
        <v>417.28202971680003</v>
      </c>
      <c r="I39">
        <v>4493</v>
      </c>
      <c r="J39">
        <v>1508</v>
      </c>
      <c r="K39">
        <v>5712</v>
      </c>
      <c r="L39">
        <v>4473</v>
      </c>
      <c r="M39">
        <v>2210</v>
      </c>
      <c r="N39">
        <v>1787</v>
      </c>
      <c r="O39">
        <v>1258</v>
      </c>
      <c r="P39">
        <v>902</v>
      </c>
      <c r="Q39">
        <v>42</v>
      </c>
      <c r="R39">
        <v>233</v>
      </c>
      <c r="T39" t="s">
        <v>370</v>
      </c>
      <c r="U39">
        <v>7212</v>
      </c>
      <c r="V39">
        <v>99.768580144200001</v>
      </c>
      <c r="W39">
        <v>10801</v>
      </c>
      <c r="X39">
        <v>2471</v>
      </c>
      <c r="Y39">
        <v>9354</v>
      </c>
      <c r="Z39">
        <v>2716</v>
      </c>
      <c r="AA39">
        <v>191</v>
      </c>
      <c r="AB39">
        <v>186</v>
      </c>
      <c r="AC39">
        <v>720</v>
      </c>
      <c r="AD39">
        <v>206</v>
      </c>
      <c r="AE39">
        <v>1127</v>
      </c>
      <c r="AF39">
        <v>2386</v>
      </c>
      <c r="AH39" t="s">
        <v>413</v>
      </c>
      <c r="AI39">
        <v>1855</v>
      </c>
      <c r="AJ39">
        <v>215.7293800539</v>
      </c>
      <c r="AK39">
        <v>5687</v>
      </c>
      <c r="AL39">
        <v>838</v>
      </c>
      <c r="AM39">
        <v>3095</v>
      </c>
      <c r="AN39">
        <v>1015</v>
      </c>
      <c r="AO39">
        <v>1249</v>
      </c>
      <c r="AP39">
        <v>521</v>
      </c>
      <c r="AQ39">
        <v>2852</v>
      </c>
      <c r="AR39">
        <v>1605</v>
      </c>
      <c r="AS39">
        <v>8</v>
      </c>
      <c r="AT39">
        <v>49</v>
      </c>
      <c r="AV39" t="s">
        <v>397</v>
      </c>
      <c r="AW39">
        <v>433</v>
      </c>
      <c r="AX39">
        <v>58.549653579699999</v>
      </c>
      <c r="AY39">
        <v>405</v>
      </c>
      <c r="AZ39">
        <v>34</v>
      </c>
      <c r="BA39">
        <v>549</v>
      </c>
      <c r="BB39">
        <v>28</v>
      </c>
      <c r="BC39">
        <v>1</v>
      </c>
      <c r="BD39">
        <v>1</v>
      </c>
      <c r="BE39">
        <v>33</v>
      </c>
      <c r="BF39">
        <v>5</v>
      </c>
      <c r="BG39">
        <v>69</v>
      </c>
      <c r="BH39">
        <v>47</v>
      </c>
      <c r="BJ39" t="s">
        <v>515</v>
      </c>
      <c r="BK39" t="s">
        <v>370</v>
      </c>
      <c r="BL39">
        <v>2617</v>
      </c>
      <c r="BM39">
        <v>434</v>
      </c>
      <c r="BN39">
        <v>65.876958349299997</v>
      </c>
      <c r="BO39">
        <v>11901</v>
      </c>
      <c r="BP39">
        <v>1334</v>
      </c>
      <c r="BQ39">
        <v>58.760860431899999</v>
      </c>
      <c r="BR39">
        <v>56.672413793099999</v>
      </c>
      <c r="BS39">
        <v>1816</v>
      </c>
      <c r="BT39">
        <v>314</v>
      </c>
      <c r="BU39">
        <v>62.195484581499997</v>
      </c>
      <c r="BV39">
        <v>14397</v>
      </c>
      <c r="BW39">
        <v>1563</v>
      </c>
      <c r="BX39">
        <v>79.356254775300002</v>
      </c>
      <c r="BY39">
        <v>69.191938579699993</v>
      </c>
      <c r="CA39" t="s">
        <v>383</v>
      </c>
      <c r="CB39" t="s">
        <v>857</v>
      </c>
      <c r="CC39" t="s">
        <v>988</v>
      </c>
      <c r="CD39">
        <v>16702</v>
      </c>
      <c r="CE39">
        <v>4356</v>
      </c>
      <c r="CF39">
        <v>95.098790563999998</v>
      </c>
      <c r="CG39">
        <v>28152</v>
      </c>
      <c r="CH39">
        <v>2802</v>
      </c>
      <c r="CI39">
        <v>138.8054134697</v>
      </c>
      <c r="CJ39">
        <v>122.7394718059</v>
      </c>
      <c r="CL39" t="s">
        <v>383</v>
      </c>
      <c r="CM39" t="s">
        <v>826</v>
      </c>
      <c r="CN39" t="s">
        <v>835</v>
      </c>
      <c r="CO39">
        <v>1459</v>
      </c>
      <c r="CP39">
        <v>196</v>
      </c>
      <c r="CQ39">
        <v>71.836874571600006</v>
      </c>
      <c r="CR39">
        <v>2817</v>
      </c>
      <c r="CS39">
        <v>307</v>
      </c>
      <c r="CT39">
        <v>95.6627618033</v>
      </c>
      <c r="CU39">
        <v>114.4885993485</v>
      </c>
      <c r="CW39" t="s">
        <v>383</v>
      </c>
      <c r="CX39" t="s">
        <v>842</v>
      </c>
      <c r="CY39" t="s">
        <v>851</v>
      </c>
      <c r="CZ39">
        <v>479</v>
      </c>
      <c r="DA39">
        <v>155</v>
      </c>
      <c r="DB39">
        <v>97.192066805799996</v>
      </c>
      <c r="DC39">
        <v>729</v>
      </c>
      <c r="DD39">
        <v>90</v>
      </c>
      <c r="DE39">
        <v>153.9615912209</v>
      </c>
      <c r="DF39">
        <v>152.94444444440001</v>
      </c>
      <c r="DH39" t="s">
        <v>383</v>
      </c>
      <c r="DI39" t="s">
        <v>810</v>
      </c>
      <c r="DJ39" t="s">
        <v>819</v>
      </c>
      <c r="DK39">
        <v>886</v>
      </c>
      <c r="DL39">
        <v>193</v>
      </c>
      <c r="DM39">
        <v>91.529345372500003</v>
      </c>
      <c r="DN39">
        <v>1273</v>
      </c>
      <c r="DO39">
        <v>113</v>
      </c>
      <c r="DP39">
        <v>147.46661429689999</v>
      </c>
      <c r="DQ39">
        <v>150.39823008849999</v>
      </c>
    </row>
    <row r="40" spans="2:121" x14ac:dyDescent="0.2">
      <c r="B40" t="s">
        <v>99</v>
      </c>
      <c r="C40">
        <v>15535</v>
      </c>
      <c r="D40">
        <v>3260</v>
      </c>
      <c r="F40" t="s">
        <v>52</v>
      </c>
      <c r="G40">
        <v>7391</v>
      </c>
      <c r="H40">
        <v>407.61398998779998</v>
      </c>
      <c r="I40">
        <v>9566</v>
      </c>
      <c r="J40">
        <v>2015</v>
      </c>
      <c r="K40">
        <v>8954</v>
      </c>
      <c r="L40">
        <v>6830</v>
      </c>
      <c r="M40">
        <v>1038</v>
      </c>
      <c r="N40">
        <v>893</v>
      </c>
      <c r="O40">
        <v>4094</v>
      </c>
      <c r="P40">
        <v>3329</v>
      </c>
      <c r="Q40">
        <v>4</v>
      </c>
      <c r="R40">
        <v>33</v>
      </c>
      <c r="T40" t="s">
        <v>8</v>
      </c>
      <c r="U40">
        <v>215</v>
      </c>
      <c r="V40">
        <v>85.804651162799999</v>
      </c>
      <c r="W40">
        <v>208</v>
      </c>
      <c r="X40">
        <v>100</v>
      </c>
      <c r="Y40">
        <v>402</v>
      </c>
      <c r="Z40">
        <v>168</v>
      </c>
      <c r="AA40">
        <v>9</v>
      </c>
      <c r="AB40">
        <v>8</v>
      </c>
      <c r="AC40">
        <v>11</v>
      </c>
      <c r="AD40">
        <v>2</v>
      </c>
      <c r="AE40">
        <v>52</v>
      </c>
      <c r="AF40">
        <v>24</v>
      </c>
      <c r="AH40" t="s">
        <v>410</v>
      </c>
      <c r="AI40">
        <v>5982</v>
      </c>
      <c r="AJ40">
        <v>470.582079572</v>
      </c>
      <c r="AK40">
        <v>4735</v>
      </c>
      <c r="AL40">
        <v>1044</v>
      </c>
      <c r="AM40">
        <v>8266</v>
      </c>
      <c r="AN40">
        <v>6383</v>
      </c>
      <c r="AO40">
        <v>2978</v>
      </c>
      <c r="AP40">
        <v>2689</v>
      </c>
      <c r="AQ40">
        <v>3093</v>
      </c>
      <c r="AR40">
        <v>2005</v>
      </c>
      <c r="AS40">
        <v>6</v>
      </c>
      <c r="AT40">
        <v>89</v>
      </c>
      <c r="AV40" t="s">
        <v>411</v>
      </c>
      <c r="AW40">
        <v>1272</v>
      </c>
      <c r="AX40">
        <v>58.0338050314</v>
      </c>
      <c r="AY40">
        <v>1506</v>
      </c>
      <c r="AZ40">
        <v>51</v>
      </c>
      <c r="BA40">
        <v>1650</v>
      </c>
      <c r="BB40">
        <v>62</v>
      </c>
      <c r="BC40">
        <v>8</v>
      </c>
      <c r="BD40">
        <v>8</v>
      </c>
      <c r="BE40">
        <v>94</v>
      </c>
      <c r="BF40">
        <v>25</v>
      </c>
      <c r="BG40">
        <v>1631</v>
      </c>
      <c r="BH40">
        <v>377</v>
      </c>
      <c r="BJ40" t="s">
        <v>536</v>
      </c>
      <c r="BK40" t="s">
        <v>370</v>
      </c>
      <c r="BL40">
        <v>10350</v>
      </c>
      <c r="BM40">
        <v>2644</v>
      </c>
      <c r="BN40">
        <v>91.957101449299998</v>
      </c>
      <c r="BO40">
        <v>19171</v>
      </c>
      <c r="BP40">
        <v>2228</v>
      </c>
      <c r="BQ40">
        <v>137.5032601325</v>
      </c>
      <c r="BR40">
        <v>133.77468581689999</v>
      </c>
      <c r="BS40">
        <v>2520</v>
      </c>
      <c r="BT40">
        <v>894</v>
      </c>
      <c r="BU40">
        <v>102.6575396825</v>
      </c>
      <c r="BV40">
        <v>19084</v>
      </c>
      <c r="BW40">
        <v>2352</v>
      </c>
      <c r="BX40">
        <v>134.17176692519999</v>
      </c>
      <c r="BY40">
        <v>131.39965986390001</v>
      </c>
      <c r="CA40" t="s">
        <v>376</v>
      </c>
      <c r="CB40" t="s">
        <v>857</v>
      </c>
      <c r="CC40" t="s">
        <v>989</v>
      </c>
      <c r="CD40">
        <v>9085</v>
      </c>
      <c r="CE40">
        <v>2496</v>
      </c>
      <c r="CF40">
        <v>99.8033021464</v>
      </c>
      <c r="CG40">
        <v>16687</v>
      </c>
      <c r="CH40">
        <v>1579</v>
      </c>
      <c r="CI40">
        <v>141.2164559238</v>
      </c>
      <c r="CJ40">
        <v>128.7948068398</v>
      </c>
      <c r="CL40" t="s">
        <v>376</v>
      </c>
      <c r="CM40" t="s">
        <v>826</v>
      </c>
      <c r="CN40" t="s">
        <v>836</v>
      </c>
      <c r="CO40">
        <v>1607</v>
      </c>
      <c r="CP40">
        <v>209</v>
      </c>
      <c r="CQ40">
        <v>69.968886123199994</v>
      </c>
      <c r="CR40">
        <v>3334</v>
      </c>
      <c r="CS40">
        <v>346</v>
      </c>
      <c r="CT40">
        <v>93.013797240599999</v>
      </c>
      <c r="CU40">
        <v>107.57514450870001</v>
      </c>
      <c r="CW40" t="s">
        <v>376</v>
      </c>
      <c r="CX40" t="s">
        <v>842</v>
      </c>
      <c r="CY40" t="s">
        <v>852</v>
      </c>
      <c r="CZ40">
        <v>163</v>
      </c>
      <c r="DA40">
        <v>40</v>
      </c>
      <c r="DB40">
        <v>94.496932515300003</v>
      </c>
      <c r="DC40">
        <v>261</v>
      </c>
      <c r="DD40">
        <v>27</v>
      </c>
      <c r="DE40">
        <v>145.82758620690001</v>
      </c>
      <c r="DF40">
        <v>153.1111111111</v>
      </c>
      <c r="DH40" t="s">
        <v>376</v>
      </c>
      <c r="DI40" t="s">
        <v>810</v>
      </c>
      <c r="DJ40" t="s">
        <v>820</v>
      </c>
      <c r="DK40">
        <v>111</v>
      </c>
      <c r="DL40">
        <v>20</v>
      </c>
      <c r="DM40">
        <v>84.5495495495</v>
      </c>
      <c r="DN40">
        <v>235</v>
      </c>
      <c r="DO40">
        <v>22</v>
      </c>
      <c r="DP40">
        <v>132.32340425530001</v>
      </c>
      <c r="DQ40">
        <v>100.95454545450001</v>
      </c>
    </row>
    <row r="41" spans="2:121" x14ac:dyDescent="0.2">
      <c r="B41" t="s">
        <v>124</v>
      </c>
      <c r="C41">
        <v>512</v>
      </c>
      <c r="D41">
        <v>148</v>
      </c>
      <c r="F41" t="s">
        <v>25</v>
      </c>
      <c r="G41">
        <v>12179</v>
      </c>
      <c r="H41">
        <v>355.21496017739997</v>
      </c>
      <c r="I41">
        <v>16199</v>
      </c>
      <c r="J41">
        <v>4586</v>
      </c>
      <c r="K41">
        <v>17875</v>
      </c>
      <c r="L41">
        <v>12617</v>
      </c>
      <c r="M41">
        <v>7625</v>
      </c>
      <c r="N41">
        <v>6077</v>
      </c>
      <c r="O41">
        <v>10044</v>
      </c>
      <c r="P41">
        <v>9148</v>
      </c>
      <c r="Q41">
        <v>68</v>
      </c>
      <c r="R41">
        <v>12</v>
      </c>
      <c r="T41" t="s">
        <v>386</v>
      </c>
      <c r="U41">
        <v>3336</v>
      </c>
      <c r="V41">
        <v>58.858213429300001</v>
      </c>
      <c r="W41">
        <v>3374</v>
      </c>
      <c r="X41">
        <v>163</v>
      </c>
      <c r="Y41">
        <v>4106</v>
      </c>
      <c r="Z41">
        <v>188</v>
      </c>
      <c r="AA41">
        <v>25</v>
      </c>
      <c r="AB41">
        <v>20</v>
      </c>
      <c r="AC41">
        <v>232</v>
      </c>
      <c r="AD41">
        <v>68</v>
      </c>
      <c r="AE41">
        <v>3305</v>
      </c>
      <c r="AF41">
        <v>668</v>
      </c>
      <c r="AH41" t="s">
        <v>8</v>
      </c>
      <c r="AI41">
        <v>3511</v>
      </c>
      <c r="AJ41">
        <v>356.07148960410001</v>
      </c>
      <c r="AK41">
        <v>4440</v>
      </c>
      <c r="AL41">
        <v>1959</v>
      </c>
      <c r="AM41">
        <v>4822</v>
      </c>
      <c r="AN41">
        <v>3266</v>
      </c>
      <c r="AO41">
        <v>1385</v>
      </c>
      <c r="AP41">
        <v>915</v>
      </c>
      <c r="AQ41">
        <v>1379</v>
      </c>
      <c r="AR41">
        <v>967</v>
      </c>
      <c r="AS41">
        <v>465</v>
      </c>
      <c r="AT41">
        <v>152</v>
      </c>
      <c r="AV41" t="s">
        <v>60</v>
      </c>
      <c r="AW41">
        <v>1117</v>
      </c>
      <c r="AX41">
        <v>103.0501342883</v>
      </c>
      <c r="AY41">
        <v>2255</v>
      </c>
      <c r="AZ41">
        <v>565</v>
      </c>
      <c r="BA41">
        <v>1538</v>
      </c>
      <c r="BB41">
        <v>471</v>
      </c>
      <c r="BC41">
        <v>10</v>
      </c>
      <c r="BD41">
        <v>9</v>
      </c>
      <c r="BE41">
        <v>101</v>
      </c>
      <c r="BF41">
        <v>30</v>
      </c>
      <c r="BG41">
        <v>166</v>
      </c>
      <c r="BH41">
        <v>357</v>
      </c>
      <c r="BJ41" t="s">
        <v>628</v>
      </c>
      <c r="BK41" t="s">
        <v>370</v>
      </c>
      <c r="BL41">
        <v>1277</v>
      </c>
      <c r="BM41">
        <v>193</v>
      </c>
      <c r="BN41">
        <v>70.139389193400007</v>
      </c>
      <c r="BO41">
        <v>2767</v>
      </c>
      <c r="BP41">
        <v>569</v>
      </c>
      <c r="BQ41">
        <v>110.2349114565</v>
      </c>
      <c r="BR41">
        <v>98.8137082601</v>
      </c>
      <c r="BS41">
        <v>2429</v>
      </c>
      <c r="BT41">
        <v>478</v>
      </c>
      <c r="BU41">
        <v>74.192671881400003</v>
      </c>
      <c r="BV41">
        <v>10051</v>
      </c>
      <c r="BW41">
        <v>1292</v>
      </c>
      <c r="BX41">
        <v>140.1607800219</v>
      </c>
      <c r="BY41">
        <v>140.34210526320001</v>
      </c>
      <c r="CA41" t="s">
        <v>373</v>
      </c>
      <c r="CB41" t="s">
        <v>857</v>
      </c>
      <c r="CC41" t="s">
        <v>990</v>
      </c>
      <c r="CD41">
        <v>922</v>
      </c>
      <c r="CE41">
        <v>173</v>
      </c>
      <c r="CF41">
        <v>77.601952277699993</v>
      </c>
      <c r="CG41">
        <v>1824</v>
      </c>
      <c r="CH41">
        <v>226</v>
      </c>
      <c r="CI41">
        <v>113.8256578947</v>
      </c>
      <c r="CJ41">
        <v>97.234513274299999</v>
      </c>
      <c r="CL41" t="s">
        <v>373</v>
      </c>
      <c r="CM41" t="s">
        <v>826</v>
      </c>
      <c r="CN41" t="s">
        <v>837</v>
      </c>
      <c r="CO41">
        <v>125</v>
      </c>
      <c r="CP41">
        <v>16</v>
      </c>
      <c r="CQ41">
        <v>65.808000000000007</v>
      </c>
      <c r="CR41">
        <v>263</v>
      </c>
      <c r="CS41">
        <v>21</v>
      </c>
      <c r="CT41">
        <v>94.935361216700002</v>
      </c>
      <c r="CU41">
        <v>114.19047619049999</v>
      </c>
      <c r="CW41" t="s">
        <v>373</v>
      </c>
      <c r="CX41" t="s">
        <v>842</v>
      </c>
      <c r="CY41" t="s">
        <v>853</v>
      </c>
      <c r="CZ41">
        <v>12</v>
      </c>
      <c r="DA41">
        <v>3</v>
      </c>
      <c r="DB41">
        <v>95.416666666699996</v>
      </c>
      <c r="DC41">
        <v>15</v>
      </c>
      <c r="DD41">
        <v>1</v>
      </c>
      <c r="DE41">
        <v>177.13333333329999</v>
      </c>
      <c r="DF41">
        <v>234</v>
      </c>
      <c r="DH41" t="s">
        <v>373</v>
      </c>
      <c r="DI41" t="s">
        <v>810</v>
      </c>
      <c r="DJ41" t="s">
        <v>821</v>
      </c>
      <c r="DK41">
        <v>3</v>
      </c>
      <c r="DL41">
        <v>1</v>
      </c>
      <c r="DM41">
        <v>110.6666666667</v>
      </c>
      <c r="DN41">
        <v>19</v>
      </c>
      <c r="DO41">
        <v>2</v>
      </c>
      <c r="DP41">
        <v>127.4736842105</v>
      </c>
      <c r="DQ41">
        <v>75</v>
      </c>
    </row>
    <row r="42" spans="2:121" x14ac:dyDescent="0.2">
      <c r="B42" t="s">
        <v>105</v>
      </c>
      <c r="C42">
        <v>7602</v>
      </c>
      <c r="D42">
        <v>5913</v>
      </c>
      <c r="F42" t="s">
        <v>75</v>
      </c>
      <c r="G42">
        <v>3593</v>
      </c>
      <c r="H42">
        <v>200.21708878370001</v>
      </c>
      <c r="I42">
        <v>5546</v>
      </c>
      <c r="J42">
        <v>1182</v>
      </c>
      <c r="K42">
        <v>5157</v>
      </c>
      <c r="L42">
        <v>2616</v>
      </c>
      <c r="M42">
        <v>2019</v>
      </c>
      <c r="N42">
        <v>1730</v>
      </c>
      <c r="O42">
        <v>2422</v>
      </c>
      <c r="P42">
        <v>2136</v>
      </c>
      <c r="Q42">
        <v>1</v>
      </c>
      <c r="R42">
        <v>35</v>
      </c>
      <c r="T42" t="s">
        <v>405</v>
      </c>
      <c r="U42">
        <v>2621</v>
      </c>
      <c r="V42">
        <v>57.605112552500003</v>
      </c>
      <c r="W42">
        <v>3450</v>
      </c>
      <c r="X42">
        <v>131</v>
      </c>
      <c r="Y42">
        <v>3368</v>
      </c>
      <c r="Z42">
        <v>150</v>
      </c>
      <c r="AA42">
        <v>21</v>
      </c>
      <c r="AB42">
        <v>15</v>
      </c>
      <c r="AC42">
        <v>170</v>
      </c>
      <c r="AD42">
        <v>63</v>
      </c>
      <c r="AE42">
        <v>3737</v>
      </c>
      <c r="AF42">
        <v>721</v>
      </c>
      <c r="AH42" t="s">
        <v>376</v>
      </c>
      <c r="AI42">
        <v>6294</v>
      </c>
      <c r="AJ42">
        <v>452.23689227839998</v>
      </c>
      <c r="AK42">
        <v>9468</v>
      </c>
      <c r="AL42">
        <v>2567</v>
      </c>
      <c r="AM42">
        <v>10116</v>
      </c>
      <c r="AN42">
        <v>7359</v>
      </c>
      <c r="AO42">
        <v>1851</v>
      </c>
      <c r="AP42">
        <v>1522</v>
      </c>
      <c r="AQ42">
        <v>6502</v>
      </c>
      <c r="AR42">
        <v>5149</v>
      </c>
      <c r="AS42">
        <v>1606</v>
      </c>
      <c r="AT42">
        <v>15</v>
      </c>
      <c r="AV42" t="s">
        <v>412</v>
      </c>
      <c r="AW42">
        <v>319</v>
      </c>
      <c r="AX42">
        <v>61.633228840100003</v>
      </c>
      <c r="AY42">
        <v>262</v>
      </c>
      <c r="AZ42">
        <v>28</v>
      </c>
      <c r="BA42">
        <v>390</v>
      </c>
      <c r="BB42">
        <v>20</v>
      </c>
      <c r="BC42">
        <v>5</v>
      </c>
      <c r="BD42">
        <v>4</v>
      </c>
      <c r="BE42">
        <v>34</v>
      </c>
      <c r="BF42">
        <v>10</v>
      </c>
      <c r="BG42">
        <v>77</v>
      </c>
      <c r="BH42">
        <v>30</v>
      </c>
      <c r="BJ42" t="s">
        <v>630</v>
      </c>
      <c r="BK42" t="s">
        <v>370</v>
      </c>
      <c r="BL42">
        <v>487</v>
      </c>
      <c r="BM42">
        <v>164</v>
      </c>
      <c r="BN42">
        <v>102.96919917859999</v>
      </c>
      <c r="BO42">
        <v>828</v>
      </c>
      <c r="BP42">
        <v>75</v>
      </c>
      <c r="BQ42">
        <v>134.64492753619999</v>
      </c>
      <c r="BR42">
        <v>116.2</v>
      </c>
      <c r="BS42">
        <v>166</v>
      </c>
      <c r="BT42">
        <v>71</v>
      </c>
      <c r="BU42">
        <v>134.3192771084</v>
      </c>
      <c r="BV42">
        <v>1188</v>
      </c>
      <c r="BW42">
        <v>151</v>
      </c>
      <c r="BX42">
        <v>154.29882154879999</v>
      </c>
      <c r="BY42">
        <v>126.6291390728</v>
      </c>
      <c r="CA42" t="s">
        <v>418</v>
      </c>
      <c r="CB42" t="s">
        <v>857</v>
      </c>
      <c r="CC42" t="s">
        <v>991</v>
      </c>
      <c r="CD42">
        <v>473</v>
      </c>
      <c r="CE42">
        <v>148</v>
      </c>
      <c r="CF42">
        <v>97.479915433399995</v>
      </c>
      <c r="CG42">
        <v>820</v>
      </c>
      <c r="CH42">
        <v>80</v>
      </c>
      <c r="CI42">
        <v>131.3024390244</v>
      </c>
      <c r="CJ42">
        <v>114.1375</v>
      </c>
      <c r="CL42" t="s">
        <v>418</v>
      </c>
      <c r="CM42" t="s">
        <v>826</v>
      </c>
      <c r="CN42" t="s">
        <v>838</v>
      </c>
      <c r="CO42">
        <v>44</v>
      </c>
      <c r="CP42">
        <v>8</v>
      </c>
      <c r="CQ42">
        <v>85.25</v>
      </c>
      <c r="CR42">
        <v>93</v>
      </c>
      <c r="CS42">
        <v>13</v>
      </c>
      <c r="CT42">
        <v>95.430107526900002</v>
      </c>
      <c r="CU42">
        <v>115.4615384615</v>
      </c>
      <c r="CW42" t="s">
        <v>418</v>
      </c>
      <c r="CX42" t="s">
        <v>842</v>
      </c>
      <c r="CY42" t="s">
        <v>854</v>
      </c>
      <c r="CZ42">
        <v>7</v>
      </c>
      <c r="DA42">
        <v>2</v>
      </c>
      <c r="DB42">
        <v>69.142857142899999</v>
      </c>
      <c r="DC42">
        <v>6</v>
      </c>
      <c r="DD42">
        <v>0</v>
      </c>
      <c r="DE42">
        <v>135.1666666667</v>
      </c>
      <c r="DF42">
        <v>0</v>
      </c>
      <c r="DH42" t="s">
        <v>418</v>
      </c>
      <c r="DI42" t="s">
        <v>810</v>
      </c>
      <c r="DJ42" t="s">
        <v>822</v>
      </c>
      <c r="DK42">
        <v>3</v>
      </c>
      <c r="DL42">
        <v>1</v>
      </c>
      <c r="DM42">
        <v>113.3333333333</v>
      </c>
      <c r="DN42">
        <v>10</v>
      </c>
      <c r="DO42">
        <v>0</v>
      </c>
      <c r="DP42">
        <v>112.9</v>
      </c>
      <c r="DQ42">
        <v>0</v>
      </c>
    </row>
    <row r="43" spans="2:121" x14ac:dyDescent="0.2">
      <c r="B43" t="s">
        <v>113</v>
      </c>
      <c r="C43">
        <v>16561</v>
      </c>
      <c r="D43">
        <v>3958</v>
      </c>
      <c r="F43" t="s">
        <v>32</v>
      </c>
      <c r="G43">
        <v>2029</v>
      </c>
      <c r="H43">
        <v>479.07737801870002</v>
      </c>
      <c r="I43">
        <v>1109</v>
      </c>
      <c r="J43">
        <v>300</v>
      </c>
      <c r="K43">
        <v>2720</v>
      </c>
      <c r="L43">
        <v>2178</v>
      </c>
      <c r="M43">
        <v>2113</v>
      </c>
      <c r="N43">
        <v>1803</v>
      </c>
      <c r="O43">
        <v>571</v>
      </c>
      <c r="P43">
        <v>307</v>
      </c>
      <c r="Q43">
        <v>0</v>
      </c>
      <c r="R43">
        <v>4</v>
      </c>
      <c r="AH43" t="s">
        <v>428</v>
      </c>
      <c r="AI43">
        <v>1341</v>
      </c>
      <c r="AJ43">
        <v>308.50932140190002</v>
      </c>
      <c r="AK43">
        <v>2437</v>
      </c>
      <c r="AL43">
        <v>743</v>
      </c>
      <c r="AM43">
        <v>3629</v>
      </c>
      <c r="AN43">
        <v>2170</v>
      </c>
      <c r="AO43">
        <v>941</v>
      </c>
      <c r="AP43">
        <v>792</v>
      </c>
      <c r="AQ43">
        <v>1835</v>
      </c>
      <c r="AR43">
        <v>1322</v>
      </c>
      <c r="AS43">
        <v>400</v>
      </c>
      <c r="AT43">
        <v>2</v>
      </c>
      <c r="AV43" t="s">
        <v>417</v>
      </c>
      <c r="AW43">
        <v>132</v>
      </c>
      <c r="AX43">
        <v>103.7348484848</v>
      </c>
      <c r="AY43">
        <v>145</v>
      </c>
      <c r="AZ43">
        <v>36</v>
      </c>
      <c r="BA43">
        <v>167</v>
      </c>
      <c r="BB43">
        <v>53</v>
      </c>
      <c r="BC43">
        <v>1</v>
      </c>
      <c r="BD43">
        <v>1</v>
      </c>
      <c r="BE43">
        <v>14</v>
      </c>
      <c r="BF43">
        <v>5</v>
      </c>
      <c r="BG43">
        <v>34</v>
      </c>
      <c r="BH43">
        <v>30</v>
      </c>
      <c r="BJ43" t="s">
        <v>644</v>
      </c>
      <c r="BK43" t="s">
        <v>370</v>
      </c>
      <c r="BL43">
        <v>738</v>
      </c>
      <c r="BM43">
        <v>172</v>
      </c>
      <c r="BN43">
        <v>89.292682926799998</v>
      </c>
      <c r="BO43">
        <v>1430</v>
      </c>
      <c r="BP43">
        <v>153</v>
      </c>
      <c r="BQ43">
        <v>141.56153846149999</v>
      </c>
      <c r="BR43">
        <v>138.1568627451</v>
      </c>
      <c r="BS43">
        <v>281</v>
      </c>
      <c r="BT43">
        <v>105</v>
      </c>
      <c r="BU43">
        <v>127.60854092530001</v>
      </c>
      <c r="BV43">
        <v>878</v>
      </c>
      <c r="BW43">
        <v>115</v>
      </c>
      <c r="BX43">
        <v>118.8496583144</v>
      </c>
      <c r="BY43">
        <v>119.21739130429999</v>
      </c>
      <c r="CA43" t="s">
        <v>379</v>
      </c>
      <c r="CB43" t="s">
        <v>857</v>
      </c>
      <c r="CC43" t="s">
        <v>992</v>
      </c>
      <c r="CD43">
        <v>10142</v>
      </c>
      <c r="CE43">
        <v>2443</v>
      </c>
      <c r="CF43">
        <v>89.5699073161</v>
      </c>
      <c r="CG43">
        <v>19989</v>
      </c>
      <c r="CH43">
        <v>2305</v>
      </c>
      <c r="CI43">
        <v>132.72534894189999</v>
      </c>
      <c r="CJ43">
        <v>127.5596529284</v>
      </c>
      <c r="CL43" t="s">
        <v>379</v>
      </c>
      <c r="CM43" t="s">
        <v>826</v>
      </c>
      <c r="CN43" t="s">
        <v>839</v>
      </c>
      <c r="CO43">
        <v>897</v>
      </c>
      <c r="CP43">
        <v>126</v>
      </c>
      <c r="CQ43">
        <v>68.395763656599996</v>
      </c>
      <c r="CR43">
        <v>1785</v>
      </c>
      <c r="CS43">
        <v>193</v>
      </c>
      <c r="CT43">
        <v>99.247619047599997</v>
      </c>
      <c r="CU43">
        <v>95.1606217617</v>
      </c>
      <c r="CW43" t="s">
        <v>379</v>
      </c>
      <c r="CX43" t="s">
        <v>842</v>
      </c>
      <c r="CY43" t="s">
        <v>855</v>
      </c>
      <c r="CZ43">
        <v>564</v>
      </c>
      <c r="DA43">
        <v>146</v>
      </c>
      <c r="DB43">
        <v>90.085106382999996</v>
      </c>
      <c r="DC43">
        <v>830</v>
      </c>
      <c r="DD43">
        <v>90</v>
      </c>
      <c r="DE43">
        <v>162.16385542169999</v>
      </c>
      <c r="DF43">
        <v>157.5666666667</v>
      </c>
      <c r="DH43" t="s">
        <v>379</v>
      </c>
      <c r="DI43" t="s">
        <v>810</v>
      </c>
      <c r="DJ43" t="s">
        <v>823</v>
      </c>
      <c r="DK43">
        <v>899</v>
      </c>
      <c r="DL43">
        <v>238</v>
      </c>
      <c r="DM43">
        <v>96.969966629599995</v>
      </c>
      <c r="DN43">
        <v>1349</v>
      </c>
      <c r="DO43">
        <v>148</v>
      </c>
      <c r="DP43">
        <v>157.10452186809999</v>
      </c>
      <c r="DQ43">
        <v>155.027027027</v>
      </c>
    </row>
    <row r="44" spans="2:121" x14ac:dyDescent="0.2">
      <c r="B44" t="s">
        <v>112</v>
      </c>
      <c r="C44">
        <v>7740</v>
      </c>
      <c r="D44">
        <v>628</v>
      </c>
      <c r="F44" t="s">
        <v>66</v>
      </c>
      <c r="G44">
        <v>5878</v>
      </c>
      <c r="H44">
        <v>473.59595100370001</v>
      </c>
      <c r="I44">
        <v>4678</v>
      </c>
      <c r="J44">
        <v>986</v>
      </c>
      <c r="K44">
        <v>7267</v>
      </c>
      <c r="L44">
        <v>5587</v>
      </c>
      <c r="M44">
        <v>2878</v>
      </c>
      <c r="N44">
        <v>2712</v>
      </c>
      <c r="O44">
        <v>2087</v>
      </c>
      <c r="P44">
        <v>1393</v>
      </c>
      <c r="Q44">
        <v>0</v>
      </c>
      <c r="R44">
        <v>88</v>
      </c>
      <c r="AH44" t="s">
        <v>373</v>
      </c>
      <c r="AI44">
        <v>290</v>
      </c>
      <c r="AJ44">
        <v>219.52413793100001</v>
      </c>
      <c r="AK44">
        <v>917</v>
      </c>
      <c r="AL44">
        <v>185</v>
      </c>
      <c r="AM44">
        <v>554</v>
      </c>
      <c r="AN44">
        <v>253</v>
      </c>
      <c r="AO44">
        <v>228</v>
      </c>
      <c r="AP44">
        <v>190</v>
      </c>
      <c r="AQ44">
        <v>193</v>
      </c>
      <c r="AR44">
        <v>107</v>
      </c>
      <c r="AS44">
        <v>201</v>
      </c>
      <c r="AT44">
        <v>3</v>
      </c>
      <c r="AV44" t="s">
        <v>395</v>
      </c>
      <c r="AW44">
        <v>641</v>
      </c>
      <c r="AX44">
        <v>67.313572542900005</v>
      </c>
      <c r="AY44">
        <v>826</v>
      </c>
      <c r="AZ44">
        <v>91</v>
      </c>
      <c r="BA44">
        <v>764</v>
      </c>
      <c r="BB44">
        <v>51</v>
      </c>
      <c r="BC44">
        <v>1</v>
      </c>
      <c r="BE44">
        <v>55</v>
      </c>
      <c r="BF44">
        <v>11</v>
      </c>
      <c r="BG44">
        <v>108</v>
      </c>
      <c r="BH44">
        <v>128</v>
      </c>
      <c r="BJ44" t="s">
        <v>544</v>
      </c>
      <c r="BK44" t="s">
        <v>370</v>
      </c>
      <c r="BL44">
        <v>17247</v>
      </c>
      <c r="BM44">
        <v>4493</v>
      </c>
      <c r="BN44">
        <v>95.585898996899999</v>
      </c>
      <c r="BO44">
        <v>27825</v>
      </c>
      <c r="BP44">
        <v>2591</v>
      </c>
      <c r="BQ44">
        <v>146.2352201258</v>
      </c>
      <c r="BR44">
        <v>134.54689309150001</v>
      </c>
      <c r="BS44">
        <v>4537</v>
      </c>
      <c r="BT44">
        <v>1448</v>
      </c>
      <c r="BU44">
        <v>92.123649989</v>
      </c>
      <c r="BV44">
        <v>18091</v>
      </c>
      <c r="BW44">
        <v>1632</v>
      </c>
      <c r="BX44">
        <v>135.25537560110001</v>
      </c>
      <c r="BY44">
        <v>122.0723039216</v>
      </c>
      <c r="CA44" t="s">
        <v>380</v>
      </c>
      <c r="CB44" t="s">
        <v>857</v>
      </c>
      <c r="CC44" t="s">
        <v>993</v>
      </c>
      <c r="CD44">
        <v>2866</v>
      </c>
      <c r="CE44">
        <v>552</v>
      </c>
      <c r="CF44">
        <v>79.429867411000004</v>
      </c>
      <c r="CG44">
        <v>4934</v>
      </c>
      <c r="CH44">
        <v>565</v>
      </c>
      <c r="CI44">
        <v>120.9130522902</v>
      </c>
      <c r="CJ44">
        <v>106.6566371681</v>
      </c>
      <c r="CL44" t="s">
        <v>380</v>
      </c>
      <c r="CM44" t="s">
        <v>826</v>
      </c>
      <c r="CN44" t="s">
        <v>840</v>
      </c>
      <c r="CO44">
        <v>279</v>
      </c>
      <c r="CP44">
        <v>38</v>
      </c>
      <c r="CQ44">
        <v>66.573476702500002</v>
      </c>
      <c r="CR44">
        <v>602</v>
      </c>
      <c r="CS44">
        <v>65</v>
      </c>
      <c r="CT44">
        <v>96.031561461799996</v>
      </c>
      <c r="CU44">
        <v>106.4923076923</v>
      </c>
      <c r="CW44" t="s">
        <v>380</v>
      </c>
      <c r="CX44" t="s">
        <v>842</v>
      </c>
      <c r="CY44" t="s">
        <v>856</v>
      </c>
      <c r="CZ44">
        <v>19</v>
      </c>
      <c r="DA44">
        <v>3</v>
      </c>
      <c r="DB44">
        <v>72.052631578900005</v>
      </c>
      <c r="DC44">
        <v>29</v>
      </c>
      <c r="DD44">
        <v>3</v>
      </c>
      <c r="DE44">
        <v>150.06896551720001</v>
      </c>
      <c r="DF44">
        <v>185.3333333333</v>
      </c>
      <c r="DH44" t="s">
        <v>380</v>
      </c>
      <c r="DI44" t="s">
        <v>810</v>
      </c>
      <c r="DJ44" t="s">
        <v>824</v>
      </c>
      <c r="DK44">
        <v>26</v>
      </c>
      <c r="DL44">
        <v>6</v>
      </c>
      <c r="DM44">
        <v>86.423076923099998</v>
      </c>
      <c r="DN44">
        <v>46</v>
      </c>
      <c r="DO44">
        <v>2</v>
      </c>
      <c r="DP44">
        <v>150.15217391300001</v>
      </c>
      <c r="DQ44">
        <v>186.5</v>
      </c>
    </row>
    <row r="45" spans="2:121" x14ac:dyDescent="0.2">
      <c r="B45" t="s">
        <v>127</v>
      </c>
      <c r="C45">
        <v>62844</v>
      </c>
      <c r="D45">
        <v>54152</v>
      </c>
      <c r="F45" t="s">
        <v>81</v>
      </c>
      <c r="G45">
        <v>1540</v>
      </c>
      <c r="H45">
        <v>190.3032467532</v>
      </c>
      <c r="I45">
        <v>2158</v>
      </c>
      <c r="J45">
        <v>390</v>
      </c>
      <c r="K45">
        <v>2186</v>
      </c>
      <c r="L45">
        <v>1095</v>
      </c>
      <c r="M45">
        <v>967</v>
      </c>
      <c r="N45">
        <v>505</v>
      </c>
      <c r="O45">
        <v>237</v>
      </c>
      <c r="P45">
        <v>108</v>
      </c>
      <c r="Q45">
        <v>0</v>
      </c>
      <c r="R45">
        <v>6</v>
      </c>
      <c r="AH45" t="s">
        <v>384</v>
      </c>
      <c r="AI45">
        <v>7963</v>
      </c>
      <c r="AJ45">
        <v>332.52429988699998</v>
      </c>
      <c r="AK45">
        <v>9151</v>
      </c>
      <c r="AL45">
        <v>2527</v>
      </c>
      <c r="AM45">
        <v>11335</v>
      </c>
      <c r="AN45">
        <v>7920</v>
      </c>
      <c r="AO45">
        <v>2903</v>
      </c>
      <c r="AP45">
        <v>2227</v>
      </c>
      <c r="AQ45">
        <v>3607</v>
      </c>
      <c r="AR45">
        <v>2190</v>
      </c>
      <c r="AS45">
        <v>712</v>
      </c>
      <c r="AT45">
        <v>62</v>
      </c>
      <c r="AV45" t="s">
        <v>422</v>
      </c>
      <c r="AW45">
        <v>29</v>
      </c>
      <c r="AX45">
        <v>55.379310344799997</v>
      </c>
      <c r="AY45">
        <v>27</v>
      </c>
      <c r="AZ45">
        <v>1</v>
      </c>
      <c r="BA45">
        <v>43</v>
      </c>
      <c r="BB45">
        <v>4</v>
      </c>
      <c r="BC45">
        <v>0</v>
      </c>
      <c r="BE45">
        <v>1</v>
      </c>
      <c r="BG45">
        <v>66</v>
      </c>
      <c r="BH45">
        <v>5</v>
      </c>
      <c r="BJ45" t="s">
        <v>8</v>
      </c>
      <c r="BK45" t="s">
        <v>8</v>
      </c>
      <c r="BL45">
        <v>416</v>
      </c>
      <c r="BM45">
        <v>63</v>
      </c>
      <c r="BN45">
        <v>78.348557692300005</v>
      </c>
      <c r="BO45">
        <v>503</v>
      </c>
      <c r="BP45">
        <v>18</v>
      </c>
      <c r="BQ45">
        <v>221.3856858847</v>
      </c>
      <c r="BR45">
        <v>273.8333333333</v>
      </c>
      <c r="BS45">
        <v>105167</v>
      </c>
      <c r="BT45">
        <v>24394</v>
      </c>
      <c r="BU45">
        <v>94.996215542900003</v>
      </c>
      <c r="BV45">
        <v>9</v>
      </c>
      <c r="BX45">
        <v>115</v>
      </c>
      <c r="CA45" t="s">
        <v>370</v>
      </c>
      <c r="CB45" t="s">
        <v>857</v>
      </c>
      <c r="CD45">
        <v>67364</v>
      </c>
      <c r="CE45">
        <v>16619</v>
      </c>
      <c r="CF45">
        <v>92.566519209099994</v>
      </c>
      <c r="CG45">
        <v>124787</v>
      </c>
      <c r="CH45">
        <v>14063</v>
      </c>
      <c r="CI45">
        <v>134.14420572660001</v>
      </c>
      <c r="CJ45">
        <v>122.2564175496</v>
      </c>
      <c r="CL45" t="s">
        <v>370</v>
      </c>
      <c r="CM45" t="s">
        <v>826</v>
      </c>
      <c r="CO45">
        <v>7835</v>
      </c>
      <c r="CP45">
        <v>1044</v>
      </c>
      <c r="CQ45">
        <v>70.5167836631</v>
      </c>
      <c r="CR45">
        <v>16263</v>
      </c>
      <c r="CS45">
        <v>1703</v>
      </c>
      <c r="CT45">
        <v>94.815163253999998</v>
      </c>
      <c r="CU45">
        <v>107.77686435699999</v>
      </c>
      <c r="CW45" t="s">
        <v>370</v>
      </c>
      <c r="CX45" t="s">
        <v>842</v>
      </c>
      <c r="CZ45">
        <v>1981</v>
      </c>
      <c r="DA45">
        <v>538</v>
      </c>
      <c r="DB45">
        <v>90.867743563900007</v>
      </c>
      <c r="DC45">
        <v>2947</v>
      </c>
      <c r="DD45">
        <v>324</v>
      </c>
      <c r="DE45">
        <v>153.09569053269999</v>
      </c>
      <c r="DF45">
        <v>152.9537037037</v>
      </c>
      <c r="DH45" t="s">
        <v>370</v>
      </c>
      <c r="DI45" t="s">
        <v>810</v>
      </c>
      <c r="DK45">
        <v>2532</v>
      </c>
      <c r="DL45">
        <v>589</v>
      </c>
      <c r="DM45">
        <v>92.465244865700001</v>
      </c>
      <c r="DN45">
        <v>4018</v>
      </c>
      <c r="DO45">
        <v>386</v>
      </c>
      <c r="DP45">
        <v>148.97486311599999</v>
      </c>
      <c r="DQ45">
        <v>147.26424870470001</v>
      </c>
    </row>
    <row r="46" spans="2:121" x14ac:dyDescent="0.2">
      <c r="B46" t="s">
        <v>126</v>
      </c>
      <c r="C46">
        <v>10626</v>
      </c>
      <c r="D46">
        <v>7243</v>
      </c>
      <c r="F46" t="s">
        <v>63</v>
      </c>
      <c r="G46">
        <v>5238</v>
      </c>
      <c r="H46">
        <v>425.43088965250001</v>
      </c>
      <c r="I46">
        <v>12923</v>
      </c>
      <c r="J46">
        <v>3182</v>
      </c>
      <c r="K46">
        <v>8553</v>
      </c>
      <c r="L46">
        <v>6371</v>
      </c>
      <c r="M46">
        <v>2476</v>
      </c>
      <c r="N46">
        <v>1496</v>
      </c>
      <c r="O46">
        <v>7210</v>
      </c>
      <c r="P46">
        <v>6370</v>
      </c>
      <c r="Q46">
        <v>13638</v>
      </c>
      <c r="R46">
        <v>0</v>
      </c>
      <c r="AH46" t="s">
        <v>421</v>
      </c>
      <c r="AI46">
        <v>296</v>
      </c>
      <c r="AJ46">
        <v>202.30743243239999</v>
      </c>
      <c r="AK46">
        <v>1009</v>
      </c>
      <c r="AL46">
        <v>213</v>
      </c>
      <c r="AM46">
        <v>535</v>
      </c>
      <c r="AN46">
        <v>206</v>
      </c>
      <c r="AO46">
        <v>318</v>
      </c>
      <c r="AP46">
        <v>145</v>
      </c>
      <c r="AQ46">
        <v>142</v>
      </c>
      <c r="AR46">
        <v>80</v>
      </c>
      <c r="AS46">
        <v>1</v>
      </c>
      <c r="AT46">
        <v>1</v>
      </c>
      <c r="AV46" t="s">
        <v>390</v>
      </c>
      <c r="AW46">
        <v>398</v>
      </c>
      <c r="AX46">
        <v>60.153266331700003</v>
      </c>
      <c r="AY46">
        <v>320</v>
      </c>
      <c r="AZ46">
        <v>17</v>
      </c>
      <c r="BA46">
        <v>451</v>
      </c>
      <c r="BB46">
        <v>31</v>
      </c>
      <c r="BC46">
        <v>3</v>
      </c>
      <c r="BD46">
        <v>3</v>
      </c>
      <c r="BE46">
        <v>36</v>
      </c>
      <c r="BF46">
        <v>7</v>
      </c>
      <c r="BG46">
        <v>64</v>
      </c>
      <c r="BH46">
        <v>28</v>
      </c>
      <c r="BJ46" t="s">
        <v>687</v>
      </c>
      <c r="BK46" t="s">
        <v>8</v>
      </c>
      <c r="BL46">
        <v>416</v>
      </c>
      <c r="BM46">
        <v>63</v>
      </c>
      <c r="BN46">
        <v>78.348557692300005</v>
      </c>
      <c r="BO46">
        <v>503</v>
      </c>
      <c r="BP46">
        <v>18</v>
      </c>
      <c r="BQ46">
        <v>221.3856858847</v>
      </c>
      <c r="BR46">
        <v>273.8333333333</v>
      </c>
      <c r="BS46">
        <v>105167</v>
      </c>
      <c r="BT46">
        <v>24394</v>
      </c>
      <c r="BU46">
        <v>94.996215542900003</v>
      </c>
      <c r="BV46">
        <v>9</v>
      </c>
      <c r="BX46">
        <v>115</v>
      </c>
      <c r="CA46" t="s">
        <v>8</v>
      </c>
      <c r="CB46" t="s">
        <v>687</v>
      </c>
      <c r="CC46" t="s">
        <v>687</v>
      </c>
      <c r="CD46">
        <v>3583</v>
      </c>
      <c r="CE46">
        <v>1414</v>
      </c>
      <c r="CF46">
        <v>124.4632989115</v>
      </c>
      <c r="CG46">
        <v>5220</v>
      </c>
      <c r="CH46">
        <v>593</v>
      </c>
      <c r="CI46">
        <v>171.96053639850001</v>
      </c>
      <c r="CJ46">
        <v>162.88364249579999</v>
      </c>
      <c r="CL46" t="s">
        <v>8</v>
      </c>
      <c r="CM46" t="s">
        <v>859</v>
      </c>
      <c r="CN46" t="s">
        <v>859</v>
      </c>
      <c r="CO46">
        <v>210</v>
      </c>
      <c r="CP46">
        <v>33</v>
      </c>
      <c r="CQ46">
        <v>74.071428571400006</v>
      </c>
      <c r="CR46">
        <v>505</v>
      </c>
      <c r="CS46">
        <v>63</v>
      </c>
      <c r="CT46">
        <v>95.4495049505</v>
      </c>
      <c r="CU46">
        <v>82.444444444400006</v>
      </c>
      <c r="CW46" t="s">
        <v>8</v>
      </c>
      <c r="CX46" t="s">
        <v>860</v>
      </c>
      <c r="CY46" t="s">
        <v>860</v>
      </c>
      <c r="CZ46">
        <v>20</v>
      </c>
      <c r="DA46">
        <v>3</v>
      </c>
      <c r="DB46">
        <v>85.75</v>
      </c>
      <c r="DC46">
        <v>32</v>
      </c>
      <c r="DD46">
        <v>4</v>
      </c>
      <c r="DE46">
        <v>135.78125</v>
      </c>
      <c r="DF46">
        <v>95.75</v>
      </c>
      <c r="DH46" t="s">
        <v>8</v>
      </c>
      <c r="DI46" t="s">
        <v>858</v>
      </c>
      <c r="DJ46" t="s">
        <v>858</v>
      </c>
      <c r="DK46">
        <v>67</v>
      </c>
      <c r="DL46">
        <v>16</v>
      </c>
      <c r="DM46">
        <v>78.537313432800005</v>
      </c>
      <c r="DN46">
        <v>90</v>
      </c>
      <c r="DO46">
        <v>6</v>
      </c>
      <c r="DP46">
        <v>121.4111111111</v>
      </c>
      <c r="DQ46">
        <v>91.333333333300004</v>
      </c>
    </row>
    <row r="47" spans="2:121" x14ac:dyDescent="0.2">
      <c r="B47" t="s">
        <v>108</v>
      </c>
      <c r="C47">
        <v>523</v>
      </c>
      <c r="D47">
        <v>447</v>
      </c>
      <c r="F47" t="s">
        <v>78</v>
      </c>
      <c r="G47">
        <v>1157</v>
      </c>
      <c r="H47">
        <v>272.76145203110002</v>
      </c>
      <c r="I47">
        <v>1182</v>
      </c>
      <c r="J47">
        <v>192</v>
      </c>
      <c r="K47">
        <v>1894</v>
      </c>
      <c r="L47">
        <v>1043</v>
      </c>
      <c r="M47">
        <v>975</v>
      </c>
      <c r="N47">
        <v>780</v>
      </c>
      <c r="O47">
        <v>328</v>
      </c>
      <c r="P47">
        <v>161</v>
      </c>
      <c r="Q47">
        <v>1</v>
      </c>
      <c r="R47">
        <v>0</v>
      </c>
      <c r="AH47" t="s">
        <v>385</v>
      </c>
      <c r="AI47">
        <v>4122</v>
      </c>
      <c r="AJ47">
        <v>285.71906841340001</v>
      </c>
      <c r="AK47">
        <v>8516</v>
      </c>
      <c r="AL47">
        <v>1816</v>
      </c>
      <c r="AM47">
        <v>7342</v>
      </c>
      <c r="AN47">
        <v>4187</v>
      </c>
      <c r="AO47">
        <v>3065</v>
      </c>
      <c r="AP47">
        <v>2565</v>
      </c>
      <c r="AQ47">
        <v>2905</v>
      </c>
      <c r="AR47">
        <v>1835</v>
      </c>
      <c r="AS47">
        <v>742</v>
      </c>
      <c r="AT47">
        <v>274</v>
      </c>
      <c r="AV47" t="s">
        <v>424</v>
      </c>
      <c r="AW47">
        <v>52</v>
      </c>
      <c r="AX47">
        <v>131.88461538460001</v>
      </c>
      <c r="AY47">
        <v>97</v>
      </c>
      <c r="AZ47">
        <v>28</v>
      </c>
      <c r="BA47">
        <v>65</v>
      </c>
      <c r="BB47">
        <v>32</v>
      </c>
      <c r="BC47">
        <v>2</v>
      </c>
      <c r="BD47">
        <v>2</v>
      </c>
      <c r="BE47">
        <v>9</v>
      </c>
      <c r="BF47">
        <v>1</v>
      </c>
      <c r="BG47">
        <v>16</v>
      </c>
      <c r="BH47">
        <v>25</v>
      </c>
      <c r="BJ47" t="s">
        <v>587</v>
      </c>
      <c r="BK47" t="s">
        <v>405</v>
      </c>
      <c r="BL47">
        <v>2741</v>
      </c>
      <c r="BM47">
        <v>654</v>
      </c>
      <c r="BN47">
        <v>87.094491061699998</v>
      </c>
      <c r="BO47">
        <v>5307</v>
      </c>
      <c r="BP47">
        <v>606</v>
      </c>
      <c r="BQ47">
        <v>137.7870736763</v>
      </c>
      <c r="BR47">
        <v>118.68151815180001</v>
      </c>
      <c r="BS47">
        <v>808</v>
      </c>
      <c r="BT47">
        <v>248</v>
      </c>
      <c r="BU47">
        <v>98.922029703000007</v>
      </c>
      <c r="BV47">
        <v>4767</v>
      </c>
      <c r="BW47">
        <v>653</v>
      </c>
      <c r="BX47">
        <v>138.85588420389999</v>
      </c>
      <c r="BY47">
        <v>126.6125574273</v>
      </c>
      <c r="CA47" t="s">
        <v>8</v>
      </c>
      <c r="CB47" t="s">
        <v>687</v>
      </c>
      <c r="CC47" t="s">
        <v>687</v>
      </c>
      <c r="CD47">
        <v>3583</v>
      </c>
      <c r="CE47">
        <v>1414</v>
      </c>
      <c r="CF47">
        <v>124.4632989115</v>
      </c>
      <c r="CG47">
        <v>5220</v>
      </c>
      <c r="CH47">
        <v>593</v>
      </c>
      <c r="CI47">
        <v>171.96053639850001</v>
      </c>
      <c r="CJ47">
        <v>162.88364249579999</v>
      </c>
      <c r="CL47" t="s">
        <v>8</v>
      </c>
      <c r="CM47" t="s">
        <v>859</v>
      </c>
      <c r="CN47" t="s">
        <v>859</v>
      </c>
      <c r="CO47">
        <v>210</v>
      </c>
      <c r="CP47">
        <v>33</v>
      </c>
      <c r="CQ47">
        <v>74.071428571400006</v>
      </c>
      <c r="CR47">
        <v>505</v>
      </c>
      <c r="CS47">
        <v>63</v>
      </c>
      <c r="CT47">
        <v>95.4495049505</v>
      </c>
      <c r="CU47">
        <v>82.444444444400006</v>
      </c>
      <c r="CW47" t="s">
        <v>8</v>
      </c>
      <c r="CX47" t="s">
        <v>860</v>
      </c>
      <c r="CY47" t="s">
        <v>860</v>
      </c>
      <c r="CZ47">
        <v>20</v>
      </c>
      <c r="DA47">
        <v>3</v>
      </c>
      <c r="DB47">
        <v>85.75</v>
      </c>
      <c r="DC47">
        <v>32</v>
      </c>
      <c r="DD47">
        <v>4</v>
      </c>
      <c r="DE47">
        <v>135.78125</v>
      </c>
      <c r="DF47">
        <v>95.75</v>
      </c>
      <c r="DH47" t="s">
        <v>8</v>
      </c>
      <c r="DI47" t="s">
        <v>858</v>
      </c>
      <c r="DJ47" t="s">
        <v>858</v>
      </c>
      <c r="DK47">
        <v>67</v>
      </c>
      <c r="DL47">
        <v>16</v>
      </c>
      <c r="DM47">
        <v>78.537313432800005</v>
      </c>
      <c r="DN47">
        <v>90</v>
      </c>
      <c r="DO47">
        <v>6</v>
      </c>
      <c r="DP47">
        <v>121.4111111111</v>
      </c>
      <c r="DQ47">
        <v>91.333333333300004</v>
      </c>
    </row>
    <row r="48" spans="2:121" x14ac:dyDescent="0.2">
      <c r="B48" t="s">
        <v>21</v>
      </c>
      <c r="C48">
        <v>35661</v>
      </c>
      <c r="D48">
        <v>11933</v>
      </c>
      <c r="F48" t="s">
        <v>53</v>
      </c>
      <c r="G48">
        <v>7682</v>
      </c>
      <c r="H48">
        <v>488.09229367350002</v>
      </c>
      <c r="I48">
        <v>3765</v>
      </c>
      <c r="J48">
        <v>948</v>
      </c>
      <c r="K48">
        <v>10768</v>
      </c>
      <c r="L48">
        <v>7877</v>
      </c>
      <c r="M48">
        <v>3198</v>
      </c>
      <c r="N48">
        <v>3004</v>
      </c>
      <c r="O48">
        <v>1763</v>
      </c>
      <c r="P48">
        <v>900</v>
      </c>
      <c r="Q48">
        <v>84</v>
      </c>
      <c r="R48">
        <v>292</v>
      </c>
      <c r="AH48" t="s">
        <v>411</v>
      </c>
      <c r="AI48">
        <v>24836</v>
      </c>
      <c r="AJ48">
        <v>352.22717023680002</v>
      </c>
      <c r="AK48">
        <v>35724</v>
      </c>
      <c r="AL48">
        <v>7898</v>
      </c>
      <c r="AM48">
        <v>34991</v>
      </c>
      <c r="AN48">
        <v>22729</v>
      </c>
      <c r="AO48">
        <v>8580</v>
      </c>
      <c r="AP48">
        <v>6109</v>
      </c>
      <c r="AQ48">
        <v>16281</v>
      </c>
      <c r="AR48">
        <v>8955</v>
      </c>
      <c r="AS48">
        <v>21</v>
      </c>
      <c r="AT48">
        <v>422</v>
      </c>
      <c r="AV48" t="s">
        <v>420</v>
      </c>
      <c r="AW48">
        <v>45</v>
      </c>
      <c r="AX48">
        <v>63.311111111099997</v>
      </c>
      <c r="AY48">
        <v>41</v>
      </c>
      <c r="BA48">
        <v>59</v>
      </c>
      <c r="BB48">
        <v>1</v>
      </c>
      <c r="BC48">
        <v>0</v>
      </c>
      <c r="BE48">
        <v>0</v>
      </c>
      <c r="BG48">
        <v>68</v>
      </c>
      <c r="BH48">
        <v>6</v>
      </c>
      <c r="BJ48" t="s">
        <v>646</v>
      </c>
      <c r="BK48" t="s">
        <v>405</v>
      </c>
      <c r="BL48">
        <v>1189</v>
      </c>
      <c r="BM48">
        <v>310</v>
      </c>
      <c r="BN48">
        <v>92.669470142999998</v>
      </c>
      <c r="BO48">
        <v>1758</v>
      </c>
      <c r="BP48">
        <v>294</v>
      </c>
      <c r="BQ48">
        <v>142.41069397039999</v>
      </c>
      <c r="BR48">
        <v>136.68367346939999</v>
      </c>
      <c r="BS48">
        <v>1008</v>
      </c>
      <c r="BT48">
        <v>243</v>
      </c>
      <c r="BU48">
        <v>87.524801587300004</v>
      </c>
      <c r="BV48">
        <v>1545</v>
      </c>
      <c r="BW48">
        <v>215</v>
      </c>
      <c r="BX48">
        <v>151.19805825239999</v>
      </c>
      <c r="BY48">
        <v>146.12093023259999</v>
      </c>
      <c r="CA48" t="s">
        <v>8</v>
      </c>
      <c r="CB48" t="s">
        <v>687</v>
      </c>
      <c r="CC48" t="s">
        <v>687</v>
      </c>
      <c r="CD48">
        <v>3583</v>
      </c>
      <c r="CE48">
        <v>1414</v>
      </c>
      <c r="CF48">
        <v>124.4632989115</v>
      </c>
      <c r="CG48">
        <v>5220</v>
      </c>
      <c r="CH48">
        <v>593</v>
      </c>
      <c r="CI48">
        <v>171.96053639850001</v>
      </c>
      <c r="CJ48">
        <v>162.88364249579999</v>
      </c>
      <c r="CL48" t="s">
        <v>8</v>
      </c>
      <c r="CM48" t="s">
        <v>859</v>
      </c>
      <c r="CN48" t="s">
        <v>859</v>
      </c>
      <c r="CO48">
        <v>210</v>
      </c>
      <c r="CP48">
        <v>33</v>
      </c>
      <c r="CQ48">
        <v>74.071428571400006</v>
      </c>
      <c r="CR48">
        <v>505</v>
      </c>
      <c r="CS48">
        <v>63</v>
      </c>
      <c r="CT48">
        <v>95.4495049505</v>
      </c>
      <c r="CU48">
        <v>82.444444444400006</v>
      </c>
      <c r="CW48" t="s">
        <v>8</v>
      </c>
      <c r="CX48" t="s">
        <v>860</v>
      </c>
      <c r="CY48" t="s">
        <v>860</v>
      </c>
      <c r="CZ48">
        <v>20</v>
      </c>
      <c r="DA48">
        <v>3</v>
      </c>
      <c r="DB48">
        <v>85.75</v>
      </c>
      <c r="DC48">
        <v>32</v>
      </c>
      <c r="DD48">
        <v>4</v>
      </c>
      <c r="DE48">
        <v>135.78125</v>
      </c>
      <c r="DF48">
        <v>95.75</v>
      </c>
      <c r="DH48" t="s">
        <v>8</v>
      </c>
      <c r="DI48" t="s">
        <v>858</v>
      </c>
      <c r="DJ48" t="s">
        <v>858</v>
      </c>
      <c r="DK48">
        <v>67</v>
      </c>
      <c r="DL48">
        <v>16</v>
      </c>
      <c r="DM48">
        <v>78.537313432800005</v>
      </c>
      <c r="DN48">
        <v>90</v>
      </c>
      <c r="DO48">
        <v>6</v>
      </c>
      <c r="DP48">
        <v>121.4111111111</v>
      </c>
      <c r="DQ48">
        <v>91.333333333300004</v>
      </c>
    </row>
    <row r="49" spans="2:121" x14ac:dyDescent="0.2">
      <c r="B49" t="s">
        <v>102</v>
      </c>
      <c r="C49">
        <v>21275</v>
      </c>
      <c r="D49">
        <v>15107</v>
      </c>
      <c r="F49" t="s">
        <v>48</v>
      </c>
      <c r="G49">
        <v>6400</v>
      </c>
      <c r="H49">
        <v>563.58609375000003</v>
      </c>
      <c r="I49">
        <v>4430</v>
      </c>
      <c r="J49">
        <v>955</v>
      </c>
      <c r="K49">
        <v>9193</v>
      </c>
      <c r="L49">
        <v>6952</v>
      </c>
      <c r="M49">
        <v>2096</v>
      </c>
      <c r="N49">
        <v>1571</v>
      </c>
      <c r="O49">
        <v>2235</v>
      </c>
      <c r="P49">
        <v>1558</v>
      </c>
      <c r="Q49">
        <v>1</v>
      </c>
      <c r="R49">
        <v>225</v>
      </c>
      <c r="AH49" t="s">
        <v>407</v>
      </c>
      <c r="AI49">
        <v>1087</v>
      </c>
      <c r="AJ49">
        <v>256.18307267709997</v>
      </c>
      <c r="AK49">
        <v>2170</v>
      </c>
      <c r="AL49">
        <v>641</v>
      </c>
      <c r="AM49">
        <v>1529</v>
      </c>
      <c r="AN49">
        <v>828</v>
      </c>
      <c r="AO49">
        <v>425</v>
      </c>
      <c r="AP49">
        <v>279</v>
      </c>
      <c r="AQ49">
        <v>500</v>
      </c>
      <c r="AR49">
        <v>273</v>
      </c>
      <c r="AS49">
        <v>1</v>
      </c>
      <c r="AT49">
        <v>2</v>
      </c>
      <c r="AV49" t="s">
        <v>379</v>
      </c>
      <c r="AW49">
        <v>812</v>
      </c>
      <c r="AX49">
        <v>103.315270936</v>
      </c>
      <c r="AY49">
        <v>885</v>
      </c>
      <c r="AZ49">
        <v>186</v>
      </c>
      <c r="BA49">
        <v>1014</v>
      </c>
      <c r="BB49">
        <v>299</v>
      </c>
      <c r="BC49">
        <v>137</v>
      </c>
      <c r="BD49">
        <v>136</v>
      </c>
      <c r="BE49">
        <v>74</v>
      </c>
      <c r="BF49">
        <v>26</v>
      </c>
      <c r="BG49">
        <v>175</v>
      </c>
      <c r="BH49">
        <v>310</v>
      </c>
      <c r="BJ49" t="s">
        <v>602</v>
      </c>
      <c r="BK49" t="s">
        <v>405</v>
      </c>
      <c r="BL49">
        <v>1398</v>
      </c>
      <c r="BM49">
        <v>308</v>
      </c>
      <c r="BN49">
        <v>88.495708154499994</v>
      </c>
      <c r="BO49">
        <v>2849</v>
      </c>
      <c r="BP49">
        <v>296</v>
      </c>
      <c r="BQ49">
        <v>112.74973674970001</v>
      </c>
      <c r="BR49">
        <v>99.273648648600002</v>
      </c>
      <c r="BS49">
        <v>1648</v>
      </c>
      <c r="BT49">
        <v>472</v>
      </c>
      <c r="BU49">
        <v>98.631067961200003</v>
      </c>
      <c r="BV49">
        <v>3395</v>
      </c>
      <c r="BW49">
        <v>356</v>
      </c>
      <c r="BX49">
        <v>120.9982326951</v>
      </c>
      <c r="BY49">
        <v>103.6769662921</v>
      </c>
      <c r="CA49" t="s">
        <v>8</v>
      </c>
      <c r="CB49" t="s">
        <v>687</v>
      </c>
      <c r="CD49">
        <v>3583</v>
      </c>
      <c r="CE49">
        <v>1414</v>
      </c>
      <c r="CF49">
        <v>124.4632989115</v>
      </c>
      <c r="CG49">
        <v>5220</v>
      </c>
      <c r="CH49">
        <v>593</v>
      </c>
      <c r="CI49">
        <v>171.96053639850001</v>
      </c>
      <c r="CJ49">
        <v>162.88364249579999</v>
      </c>
      <c r="CL49" t="s">
        <v>8</v>
      </c>
      <c r="CM49" t="s">
        <v>859</v>
      </c>
      <c r="CO49">
        <v>210</v>
      </c>
      <c r="CP49">
        <v>33</v>
      </c>
      <c r="CQ49">
        <v>74.071428571400006</v>
      </c>
      <c r="CR49">
        <v>505</v>
      </c>
      <c r="CS49">
        <v>63</v>
      </c>
      <c r="CT49">
        <v>95.4495049505</v>
      </c>
      <c r="CU49">
        <v>82.444444444400006</v>
      </c>
      <c r="CW49" t="s">
        <v>8</v>
      </c>
      <c r="CX49" t="s">
        <v>860</v>
      </c>
      <c r="CZ49">
        <v>20</v>
      </c>
      <c r="DA49">
        <v>3</v>
      </c>
      <c r="DB49">
        <v>85.75</v>
      </c>
      <c r="DC49">
        <v>32</v>
      </c>
      <c r="DD49">
        <v>4</v>
      </c>
      <c r="DE49">
        <v>135.78125</v>
      </c>
      <c r="DF49">
        <v>95.75</v>
      </c>
      <c r="DH49" t="s">
        <v>8</v>
      </c>
      <c r="DI49" t="s">
        <v>858</v>
      </c>
      <c r="DK49">
        <v>67</v>
      </c>
      <c r="DL49">
        <v>16</v>
      </c>
      <c r="DM49">
        <v>78.537313432800005</v>
      </c>
      <c r="DN49">
        <v>90</v>
      </c>
      <c r="DO49">
        <v>6</v>
      </c>
      <c r="DP49">
        <v>121.4111111111</v>
      </c>
      <c r="DQ49">
        <v>91.333333333300004</v>
      </c>
    </row>
    <row r="50" spans="2:121" x14ac:dyDescent="0.2">
      <c r="B50" t="s">
        <v>117</v>
      </c>
      <c r="C50">
        <v>5854</v>
      </c>
      <c r="D50">
        <v>876</v>
      </c>
      <c r="F50" t="s">
        <v>40</v>
      </c>
      <c r="G50">
        <v>6563</v>
      </c>
      <c r="H50">
        <v>464.48240134090003</v>
      </c>
      <c r="I50">
        <v>7892</v>
      </c>
      <c r="J50">
        <v>2814</v>
      </c>
      <c r="K50">
        <v>8937</v>
      </c>
      <c r="L50">
        <v>6205</v>
      </c>
      <c r="M50">
        <v>3424</v>
      </c>
      <c r="N50">
        <v>2781</v>
      </c>
      <c r="O50">
        <v>820</v>
      </c>
      <c r="P50">
        <v>491</v>
      </c>
      <c r="Q50">
        <v>0</v>
      </c>
      <c r="R50">
        <v>55</v>
      </c>
      <c r="AH50" t="s">
        <v>418</v>
      </c>
      <c r="AI50">
        <v>485</v>
      </c>
      <c r="AJ50">
        <v>380.12164948449998</v>
      </c>
      <c r="AK50">
        <v>484</v>
      </c>
      <c r="AL50">
        <v>155</v>
      </c>
      <c r="AM50">
        <v>848</v>
      </c>
      <c r="AN50">
        <v>549</v>
      </c>
      <c r="AO50">
        <v>236</v>
      </c>
      <c r="AP50">
        <v>155</v>
      </c>
      <c r="AQ50">
        <v>164</v>
      </c>
      <c r="AR50">
        <v>78</v>
      </c>
      <c r="AS50">
        <v>67</v>
      </c>
      <c r="AT50">
        <v>1</v>
      </c>
      <c r="AV50" t="s">
        <v>374</v>
      </c>
      <c r="AW50">
        <v>208</v>
      </c>
      <c r="AX50">
        <v>100.7355769231</v>
      </c>
      <c r="AY50">
        <v>352</v>
      </c>
      <c r="AZ50">
        <v>75</v>
      </c>
      <c r="BA50">
        <v>272</v>
      </c>
      <c r="BB50">
        <v>84</v>
      </c>
      <c r="BC50">
        <v>1</v>
      </c>
      <c r="BE50">
        <v>21</v>
      </c>
      <c r="BF50">
        <v>6</v>
      </c>
      <c r="BG50">
        <v>22</v>
      </c>
      <c r="BH50">
        <v>66</v>
      </c>
      <c r="BJ50" t="s">
        <v>642</v>
      </c>
      <c r="BK50" t="s">
        <v>405</v>
      </c>
      <c r="BL50">
        <v>1908</v>
      </c>
      <c r="BM50">
        <v>312</v>
      </c>
      <c r="BN50">
        <v>78.566037735799995</v>
      </c>
      <c r="BO50">
        <v>4218</v>
      </c>
      <c r="BP50">
        <v>350</v>
      </c>
      <c r="BQ50">
        <v>128.86249407299999</v>
      </c>
      <c r="BR50">
        <v>120.9885714286</v>
      </c>
      <c r="BS50">
        <v>1832</v>
      </c>
      <c r="BT50">
        <v>263</v>
      </c>
      <c r="BU50">
        <v>72.525109170299999</v>
      </c>
      <c r="BV50">
        <v>3774</v>
      </c>
      <c r="BW50">
        <v>343</v>
      </c>
      <c r="BX50">
        <v>118.8489666137</v>
      </c>
      <c r="BY50">
        <v>119.5801749271</v>
      </c>
      <c r="CA50" t="s">
        <v>425</v>
      </c>
      <c r="CB50" t="s">
        <v>891</v>
      </c>
      <c r="CC50" t="s">
        <v>1015</v>
      </c>
      <c r="CD50">
        <v>1166</v>
      </c>
      <c r="CE50">
        <v>294</v>
      </c>
      <c r="CF50">
        <v>90.313893653500003</v>
      </c>
      <c r="CG50">
        <v>2229</v>
      </c>
      <c r="CH50">
        <v>308</v>
      </c>
      <c r="CI50">
        <v>114.5154777927</v>
      </c>
      <c r="CJ50">
        <v>123.17857142859999</v>
      </c>
      <c r="CL50" t="s">
        <v>425</v>
      </c>
      <c r="CM50" t="s">
        <v>872</v>
      </c>
      <c r="CN50" t="s">
        <v>871</v>
      </c>
      <c r="CO50">
        <v>39</v>
      </c>
      <c r="CP50">
        <v>2</v>
      </c>
      <c r="CQ50">
        <v>66.384615384599996</v>
      </c>
      <c r="CR50">
        <v>115</v>
      </c>
      <c r="CS50">
        <v>15</v>
      </c>
      <c r="CT50">
        <v>74.226086956499998</v>
      </c>
      <c r="CU50">
        <v>71.8</v>
      </c>
      <c r="CW50" t="s">
        <v>425</v>
      </c>
      <c r="CX50" t="s">
        <v>882</v>
      </c>
      <c r="CY50" t="s">
        <v>881</v>
      </c>
      <c r="CZ50">
        <v>21</v>
      </c>
      <c r="DA50">
        <v>4</v>
      </c>
      <c r="DB50">
        <v>79.142857142899999</v>
      </c>
      <c r="DC50">
        <v>31</v>
      </c>
      <c r="DD50">
        <v>5</v>
      </c>
      <c r="DE50">
        <v>124.22580645159999</v>
      </c>
      <c r="DF50">
        <v>97</v>
      </c>
      <c r="DH50" t="s">
        <v>425</v>
      </c>
      <c r="DI50" t="s">
        <v>862</v>
      </c>
      <c r="DJ50" t="s">
        <v>861</v>
      </c>
      <c r="DK50">
        <v>28</v>
      </c>
      <c r="DL50">
        <v>3</v>
      </c>
      <c r="DM50">
        <v>70.285714285699996</v>
      </c>
      <c r="DN50">
        <v>65</v>
      </c>
      <c r="DO50">
        <v>9</v>
      </c>
      <c r="DP50">
        <v>130.1692307692</v>
      </c>
      <c r="DQ50">
        <v>135.3333333333</v>
      </c>
    </row>
    <row r="51" spans="2:121" x14ac:dyDescent="0.2">
      <c r="B51" t="s">
        <v>101</v>
      </c>
      <c r="C51">
        <v>164377</v>
      </c>
      <c r="D51">
        <v>111972</v>
      </c>
      <c r="F51" t="s">
        <v>50</v>
      </c>
      <c r="G51">
        <v>1588</v>
      </c>
      <c r="H51">
        <v>131.50251889169999</v>
      </c>
      <c r="I51">
        <v>2040</v>
      </c>
      <c r="J51">
        <v>289</v>
      </c>
      <c r="K51">
        <v>2707</v>
      </c>
      <c r="L51">
        <v>992</v>
      </c>
      <c r="M51">
        <v>854</v>
      </c>
      <c r="N51">
        <v>625</v>
      </c>
      <c r="O51">
        <v>692</v>
      </c>
      <c r="P51">
        <v>275</v>
      </c>
      <c r="Q51">
        <v>1</v>
      </c>
      <c r="R51">
        <v>16</v>
      </c>
      <c r="AH51" t="s">
        <v>379</v>
      </c>
      <c r="AI51">
        <v>16814</v>
      </c>
      <c r="AJ51">
        <v>402.9885214702</v>
      </c>
      <c r="AK51">
        <v>11368</v>
      </c>
      <c r="AL51">
        <v>2547</v>
      </c>
      <c r="AM51">
        <v>21606</v>
      </c>
      <c r="AN51">
        <v>14874</v>
      </c>
      <c r="AO51">
        <v>9185</v>
      </c>
      <c r="AP51">
        <v>7976</v>
      </c>
      <c r="AQ51">
        <v>7536</v>
      </c>
      <c r="AR51">
        <v>5580</v>
      </c>
      <c r="AS51">
        <v>1010</v>
      </c>
      <c r="AT51">
        <v>18</v>
      </c>
      <c r="AV51" t="s">
        <v>407</v>
      </c>
      <c r="AW51">
        <v>99</v>
      </c>
      <c r="AX51">
        <v>59.818181818200003</v>
      </c>
      <c r="AY51">
        <v>145</v>
      </c>
      <c r="AZ51">
        <v>4</v>
      </c>
      <c r="BA51">
        <v>126</v>
      </c>
      <c r="BB51">
        <v>5</v>
      </c>
      <c r="BC51">
        <v>0</v>
      </c>
      <c r="BE51">
        <v>6</v>
      </c>
      <c r="BF51">
        <v>1</v>
      </c>
      <c r="BG51">
        <v>147</v>
      </c>
      <c r="BH51">
        <v>24</v>
      </c>
      <c r="BJ51" t="s">
        <v>594</v>
      </c>
      <c r="BK51" t="s">
        <v>405</v>
      </c>
      <c r="BL51">
        <v>9403</v>
      </c>
      <c r="BM51">
        <v>1972</v>
      </c>
      <c r="BN51">
        <v>82.990960331799997</v>
      </c>
      <c r="BO51">
        <v>16040</v>
      </c>
      <c r="BP51">
        <v>1741</v>
      </c>
      <c r="BQ51">
        <v>135.81471321699999</v>
      </c>
      <c r="BR51">
        <v>124.54279149910001</v>
      </c>
      <c r="BS51">
        <v>6724</v>
      </c>
      <c r="BT51">
        <v>1556</v>
      </c>
      <c r="BU51">
        <v>79.567519333700005</v>
      </c>
      <c r="BV51">
        <v>13048</v>
      </c>
      <c r="BW51">
        <v>1272</v>
      </c>
      <c r="BX51">
        <v>120.0134120172</v>
      </c>
      <c r="BY51">
        <v>121.1257861635</v>
      </c>
      <c r="CA51" t="s">
        <v>427</v>
      </c>
      <c r="CB51" t="s">
        <v>891</v>
      </c>
      <c r="CC51" t="s">
        <v>1016</v>
      </c>
      <c r="CD51">
        <v>5126</v>
      </c>
      <c r="CE51">
        <v>1091</v>
      </c>
      <c r="CF51">
        <v>87.5392118611</v>
      </c>
      <c r="CG51">
        <v>12432</v>
      </c>
      <c r="CH51">
        <v>1172</v>
      </c>
      <c r="CI51">
        <v>124.7374517375</v>
      </c>
      <c r="CJ51">
        <v>121.00170648460001</v>
      </c>
      <c r="CL51" t="s">
        <v>427</v>
      </c>
      <c r="CM51" t="s">
        <v>872</v>
      </c>
      <c r="CN51" t="s">
        <v>873</v>
      </c>
      <c r="CO51">
        <v>494</v>
      </c>
      <c r="CP51">
        <v>43</v>
      </c>
      <c r="CQ51">
        <v>60.200404858299997</v>
      </c>
      <c r="CR51">
        <v>1948</v>
      </c>
      <c r="CS51">
        <v>239</v>
      </c>
      <c r="CT51">
        <v>67.930184804899994</v>
      </c>
      <c r="CU51">
        <v>63.506276150600002</v>
      </c>
      <c r="CW51" t="s">
        <v>427</v>
      </c>
      <c r="CX51" t="s">
        <v>882</v>
      </c>
      <c r="CY51" t="s">
        <v>883</v>
      </c>
      <c r="CZ51">
        <v>142</v>
      </c>
      <c r="DA51">
        <v>30</v>
      </c>
      <c r="DB51">
        <v>77.514084507000007</v>
      </c>
      <c r="DC51">
        <v>316</v>
      </c>
      <c r="DD51">
        <v>52</v>
      </c>
      <c r="DE51">
        <v>137.00316455699999</v>
      </c>
      <c r="DF51">
        <v>118.5769230769</v>
      </c>
      <c r="DH51" t="s">
        <v>427</v>
      </c>
      <c r="DI51" t="s">
        <v>862</v>
      </c>
      <c r="DJ51" t="s">
        <v>863</v>
      </c>
      <c r="DK51">
        <v>99</v>
      </c>
      <c r="DL51">
        <v>18</v>
      </c>
      <c r="DM51">
        <v>78.444444444400006</v>
      </c>
      <c r="DN51">
        <v>231</v>
      </c>
      <c r="DO51">
        <v>26</v>
      </c>
      <c r="DP51">
        <v>133.09523809519999</v>
      </c>
      <c r="DQ51">
        <v>121</v>
      </c>
    </row>
    <row r="52" spans="2:121" x14ac:dyDescent="0.2">
      <c r="B52" t="s">
        <v>125</v>
      </c>
      <c r="C52">
        <v>34578</v>
      </c>
      <c r="D52">
        <v>6149</v>
      </c>
      <c r="F52" t="s">
        <v>431</v>
      </c>
      <c r="G52">
        <v>7074</v>
      </c>
      <c r="H52">
        <v>545.25544246540005</v>
      </c>
      <c r="I52">
        <v>909</v>
      </c>
      <c r="J52">
        <v>342</v>
      </c>
      <c r="K52">
        <v>7446</v>
      </c>
      <c r="L52">
        <v>6630</v>
      </c>
      <c r="M52">
        <v>1113</v>
      </c>
      <c r="N52">
        <v>757</v>
      </c>
      <c r="O52">
        <v>1295</v>
      </c>
      <c r="P52">
        <v>1250</v>
      </c>
      <c r="Q52">
        <v>0</v>
      </c>
      <c r="R52">
        <v>0</v>
      </c>
      <c r="AH52" t="s">
        <v>80</v>
      </c>
      <c r="AI52">
        <v>9716</v>
      </c>
      <c r="AJ52">
        <v>401.1873198847</v>
      </c>
      <c r="AK52">
        <v>6498</v>
      </c>
      <c r="AL52">
        <v>1096</v>
      </c>
      <c r="AM52">
        <v>14217</v>
      </c>
      <c r="AN52">
        <v>10446</v>
      </c>
      <c r="AO52">
        <v>4130</v>
      </c>
      <c r="AP52">
        <v>3041</v>
      </c>
      <c r="AQ52">
        <v>6198</v>
      </c>
      <c r="AR52">
        <v>4344</v>
      </c>
      <c r="AS52">
        <v>10</v>
      </c>
      <c r="AT52">
        <v>142</v>
      </c>
      <c r="AV52" t="s">
        <v>402</v>
      </c>
      <c r="AW52">
        <v>340</v>
      </c>
      <c r="AX52">
        <v>53.352941176500003</v>
      </c>
      <c r="AY52">
        <v>306</v>
      </c>
      <c r="AZ52">
        <v>11</v>
      </c>
      <c r="BA52">
        <v>387</v>
      </c>
      <c r="BB52">
        <v>10</v>
      </c>
      <c r="BC52">
        <v>1</v>
      </c>
      <c r="BD52">
        <v>1</v>
      </c>
      <c r="BE52">
        <v>13</v>
      </c>
      <c r="BF52">
        <v>1</v>
      </c>
      <c r="BG52">
        <v>810</v>
      </c>
      <c r="BH52">
        <v>49</v>
      </c>
      <c r="BJ52" t="s">
        <v>616</v>
      </c>
      <c r="BK52" t="s">
        <v>405</v>
      </c>
      <c r="BL52">
        <v>768</v>
      </c>
      <c r="BM52">
        <v>203</v>
      </c>
      <c r="BN52">
        <v>100.7096354167</v>
      </c>
      <c r="BO52">
        <v>1593</v>
      </c>
      <c r="BP52">
        <v>212</v>
      </c>
      <c r="BQ52">
        <v>129.0075329567</v>
      </c>
      <c r="BR52">
        <v>118.108490566</v>
      </c>
      <c r="BS52">
        <v>315</v>
      </c>
      <c r="BT52">
        <v>83</v>
      </c>
      <c r="BU52">
        <v>101.4380952381</v>
      </c>
      <c r="BV52">
        <v>3130</v>
      </c>
      <c r="BW52">
        <v>362</v>
      </c>
      <c r="BX52">
        <v>171.91150159739999</v>
      </c>
      <c r="BY52">
        <v>154.0359116022</v>
      </c>
      <c r="CA52" t="s">
        <v>408</v>
      </c>
      <c r="CB52" t="s">
        <v>891</v>
      </c>
      <c r="CC52" t="s">
        <v>1017</v>
      </c>
      <c r="CD52">
        <v>29167</v>
      </c>
      <c r="CE52">
        <v>6510</v>
      </c>
      <c r="CF52">
        <v>86.232111633000002</v>
      </c>
      <c r="CG52">
        <v>52486</v>
      </c>
      <c r="CH52">
        <v>6208</v>
      </c>
      <c r="CI52">
        <v>133.227374919</v>
      </c>
      <c r="CJ52">
        <v>124.5269007732</v>
      </c>
      <c r="CL52" t="s">
        <v>408</v>
      </c>
      <c r="CM52" t="s">
        <v>872</v>
      </c>
      <c r="CN52" t="s">
        <v>874</v>
      </c>
      <c r="CO52">
        <v>2050</v>
      </c>
      <c r="CP52">
        <v>129</v>
      </c>
      <c r="CQ52">
        <v>54.535121951199997</v>
      </c>
      <c r="CR52">
        <v>7893</v>
      </c>
      <c r="CS52">
        <v>780</v>
      </c>
      <c r="CT52">
        <v>66.627771443100002</v>
      </c>
      <c r="CU52">
        <v>66.607692307700006</v>
      </c>
      <c r="CW52" t="s">
        <v>408</v>
      </c>
      <c r="CX52" t="s">
        <v>882</v>
      </c>
      <c r="CY52" t="s">
        <v>884</v>
      </c>
      <c r="CZ52">
        <v>1120</v>
      </c>
      <c r="DA52">
        <v>218</v>
      </c>
      <c r="DB52">
        <v>79.0464285714</v>
      </c>
      <c r="DC52">
        <v>2034</v>
      </c>
      <c r="DD52">
        <v>285</v>
      </c>
      <c r="DE52">
        <v>135.53294001969999</v>
      </c>
      <c r="DF52">
        <v>127.8947368421</v>
      </c>
      <c r="DH52" t="s">
        <v>408</v>
      </c>
      <c r="DI52" t="s">
        <v>862</v>
      </c>
      <c r="DJ52" t="s">
        <v>864</v>
      </c>
      <c r="DK52">
        <v>572</v>
      </c>
      <c r="DL52">
        <v>101</v>
      </c>
      <c r="DM52">
        <v>79.583916083899993</v>
      </c>
      <c r="DN52">
        <v>1261</v>
      </c>
      <c r="DO52">
        <v>131</v>
      </c>
      <c r="DP52">
        <v>123.28072957969999</v>
      </c>
      <c r="DQ52">
        <v>108.1679389313</v>
      </c>
    </row>
    <row r="53" spans="2:121" x14ac:dyDescent="0.2">
      <c r="B53" t="s">
        <v>120</v>
      </c>
      <c r="C53">
        <v>217</v>
      </c>
      <c r="D53">
        <v>216</v>
      </c>
      <c r="F53" t="s">
        <v>76</v>
      </c>
      <c r="G53">
        <v>3054</v>
      </c>
      <c r="H53">
        <v>161.819908317</v>
      </c>
      <c r="I53">
        <v>10052</v>
      </c>
      <c r="J53">
        <v>1538</v>
      </c>
      <c r="K53">
        <v>9389</v>
      </c>
      <c r="L53">
        <v>4200</v>
      </c>
      <c r="M53">
        <v>1857</v>
      </c>
      <c r="N53">
        <v>758</v>
      </c>
      <c r="O53">
        <v>1025</v>
      </c>
      <c r="P53">
        <v>624</v>
      </c>
      <c r="Q53">
        <v>41</v>
      </c>
      <c r="R53">
        <v>0</v>
      </c>
      <c r="AH53" t="s">
        <v>380</v>
      </c>
      <c r="AI53">
        <v>1974</v>
      </c>
      <c r="AJ53">
        <v>266.22543059780003</v>
      </c>
      <c r="AK53">
        <v>2903</v>
      </c>
      <c r="AL53">
        <v>587</v>
      </c>
      <c r="AM53">
        <v>3187</v>
      </c>
      <c r="AN53">
        <v>2148</v>
      </c>
      <c r="AO53">
        <v>442</v>
      </c>
      <c r="AP53">
        <v>318</v>
      </c>
      <c r="AQ53">
        <v>1368</v>
      </c>
      <c r="AR53">
        <v>976</v>
      </c>
      <c r="AS53">
        <v>348</v>
      </c>
      <c r="AT53">
        <v>14</v>
      </c>
      <c r="AV53" t="s">
        <v>393</v>
      </c>
      <c r="AW53">
        <v>446</v>
      </c>
      <c r="AX53">
        <v>63.923766816099999</v>
      </c>
      <c r="AY53">
        <v>606</v>
      </c>
      <c r="AZ53">
        <v>68</v>
      </c>
      <c r="BA53">
        <v>563</v>
      </c>
      <c r="BB53">
        <v>51</v>
      </c>
      <c r="BC53">
        <v>2</v>
      </c>
      <c r="BD53">
        <v>2</v>
      </c>
      <c r="BE53">
        <v>39</v>
      </c>
      <c r="BF53">
        <v>17</v>
      </c>
      <c r="BG53">
        <v>60</v>
      </c>
      <c r="BH53">
        <v>73</v>
      </c>
      <c r="BJ53" t="s">
        <v>592</v>
      </c>
      <c r="BK53" t="s">
        <v>405</v>
      </c>
      <c r="BL53">
        <v>10988</v>
      </c>
      <c r="BM53">
        <v>2898</v>
      </c>
      <c r="BN53">
        <v>96.549690571499994</v>
      </c>
      <c r="BO53">
        <v>17006</v>
      </c>
      <c r="BP53">
        <v>2147</v>
      </c>
      <c r="BQ53">
        <v>149.3048335881</v>
      </c>
      <c r="BR53">
        <v>146.58826269209999</v>
      </c>
      <c r="BS53">
        <v>1897</v>
      </c>
      <c r="BT53">
        <v>751</v>
      </c>
      <c r="BU53">
        <v>115.2055877702</v>
      </c>
      <c r="BV53">
        <v>10053</v>
      </c>
      <c r="BW53">
        <v>1093</v>
      </c>
      <c r="BX53">
        <v>145.92101860139999</v>
      </c>
      <c r="BY53">
        <v>168.6450137237</v>
      </c>
      <c r="CA53" t="s">
        <v>429</v>
      </c>
      <c r="CB53" t="s">
        <v>891</v>
      </c>
      <c r="CC53" t="s">
        <v>1018</v>
      </c>
      <c r="CD53">
        <v>1590</v>
      </c>
      <c r="CE53">
        <v>260</v>
      </c>
      <c r="CF53">
        <v>77.032075471699997</v>
      </c>
      <c r="CG53">
        <v>4331</v>
      </c>
      <c r="CH53">
        <v>424</v>
      </c>
      <c r="CI53">
        <v>110.1348418379</v>
      </c>
      <c r="CJ53">
        <v>107.67216981129999</v>
      </c>
      <c r="CL53" t="s">
        <v>429</v>
      </c>
      <c r="CM53" t="s">
        <v>872</v>
      </c>
      <c r="CN53" t="s">
        <v>875</v>
      </c>
      <c r="CO53">
        <v>61</v>
      </c>
      <c r="CP53">
        <v>11</v>
      </c>
      <c r="CQ53">
        <v>79.967213114800003</v>
      </c>
      <c r="CR53">
        <v>251</v>
      </c>
      <c r="CS53">
        <v>34</v>
      </c>
      <c r="CT53">
        <v>70.167330677300001</v>
      </c>
      <c r="CU53">
        <v>75.882352941199997</v>
      </c>
      <c r="CW53" t="s">
        <v>429</v>
      </c>
      <c r="CX53" t="s">
        <v>882</v>
      </c>
      <c r="CY53" t="s">
        <v>885</v>
      </c>
      <c r="CZ53">
        <v>30</v>
      </c>
      <c r="DA53">
        <v>9</v>
      </c>
      <c r="DB53">
        <v>86.066666666700002</v>
      </c>
      <c r="DC53">
        <v>63</v>
      </c>
      <c r="DD53">
        <v>10</v>
      </c>
      <c r="DE53">
        <v>130.30158730159999</v>
      </c>
      <c r="DF53">
        <v>102.1</v>
      </c>
      <c r="DH53" t="s">
        <v>429</v>
      </c>
      <c r="DI53" t="s">
        <v>862</v>
      </c>
      <c r="DJ53" t="s">
        <v>865</v>
      </c>
      <c r="DK53">
        <v>68</v>
      </c>
      <c r="DL53">
        <v>14</v>
      </c>
      <c r="DM53">
        <v>75.014705882399994</v>
      </c>
      <c r="DN53">
        <v>126</v>
      </c>
      <c r="DO53">
        <v>16</v>
      </c>
      <c r="DP53">
        <v>120.0396825397</v>
      </c>
      <c r="DQ53">
        <v>120.8125</v>
      </c>
    </row>
    <row r="54" spans="2:121" x14ac:dyDescent="0.2">
      <c r="F54" t="s">
        <v>42</v>
      </c>
      <c r="G54">
        <v>2804</v>
      </c>
      <c r="H54">
        <v>325.2960057061</v>
      </c>
      <c r="I54">
        <v>7294</v>
      </c>
      <c r="J54">
        <v>2013</v>
      </c>
      <c r="K54">
        <v>8750</v>
      </c>
      <c r="L54">
        <v>3974</v>
      </c>
      <c r="M54">
        <v>2343</v>
      </c>
      <c r="N54">
        <v>1930</v>
      </c>
      <c r="O54">
        <v>1188</v>
      </c>
      <c r="P54">
        <v>478</v>
      </c>
      <c r="Q54">
        <v>2</v>
      </c>
      <c r="R54">
        <v>211</v>
      </c>
      <c r="AH54" t="s">
        <v>397</v>
      </c>
      <c r="AI54">
        <v>3405</v>
      </c>
      <c r="AJ54">
        <v>246.3389133627</v>
      </c>
      <c r="AK54">
        <v>3542</v>
      </c>
      <c r="AL54">
        <v>604</v>
      </c>
      <c r="AM54">
        <v>4750</v>
      </c>
      <c r="AN54">
        <v>2707</v>
      </c>
      <c r="AO54">
        <v>719</v>
      </c>
      <c r="AP54">
        <v>556</v>
      </c>
      <c r="AQ54">
        <v>1058</v>
      </c>
      <c r="AR54">
        <v>577</v>
      </c>
      <c r="AS54">
        <v>539</v>
      </c>
      <c r="AT54">
        <v>6</v>
      </c>
      <c r="AV54" t="s">
        <v>425</v>
      </c>
      <c r="AW54">
        <v>17</v>
      </c>
      <c r="AX54">
        <v>70.705882352900005</v>
      </c>
      <c r="AY54">
        <v>20</v>
      </c>
      <c r="BA54">
        <v>26</v>
      </c>
      <c r="BB54">
        <v>2</v>
      </c>
      <c r="BC54">
        <v>0</v>
      </c>
      <c r="BE54">
        <v>1</v>
      </c>
      <c r="BF54">
        <v>1</v>
      </c>
      <c r="BG54">
        <v>43</v>
      </c>
      <c r="BH54">
        <v>6</v>
      </c>
      <c r="BJ54" t="s">
        <v>405</v>
      </c>
      <c r="BK54" t="s">
        <v>405</v>
      </c>
      <c r="BL54">
        <v>57841</v>
      </c>
      <c r="BM54">
        <v>12283</v>
      </c>
      <c r="BN54">
        <v>85.047163776600001</v>
      </c>
      <c r="BO54">
        <v>124559</v>
      </c>
      <c r="BP54">
        <v>13839</v>
      </c>
      <c r="BQ54">
        <v>117.3674082162</v>
      </c>
      <c r="BR54">
        <v>110.8852518246</v>
      </c>
      <c r="BS54">
        <v>42492</v>
      </c>
      <c r="BT54">
        <v>8942</v>
      </c>
      <c r="BU54">
        <v>82.988515485299999</v>
      </c>
      <c r="BV54">
        <v>120665</v>
      </c>
      <c r="BW54">
        <v>13204</v>
      </c>
      <c r="BX54">
        <v>115.0847553143</v>
      </c>
      <c r="BY54">
        <v>111.8470917904</v>
      </c>
      <c r="CA54" t="s">
        <v>409</v>
      </c>
      <c r="CB54" t="s">
        <v>891</v>
      </c>
      <c r="CC54" t="s">
        <v>1019</v>
      </c>
      <c r="CD54">
        <v>1463</v>
      </c>
      <c r="CE54">
        <v>329</v>
      </c>
      <c r="CF54">
        <v>88.533834586500006</v>
      </c>
      <c r="CG54">
        <v>3077</v>
      </c>
      <c r="CH54">
        <v>319</v>
      </c>
      <c r="CI54">
        <v>111.4488137797</v>
      </c>
      <c r="CJ54">
        <v>103.75548589340001</v>
      </c>
      <c r="CL54" t="s">
        <v>409</v>
      </c>
      <c r="CM54" t="s">
        <v>872</v>
      </c>
      <c r="CN54" t="s">
        <v>876</v>
      </c>
      <c r="CO54">
        <v>125</v>
      </c>
      <c r="CP54">
        <v>11</v>
      </c>
      <c r="CQ54">
        <v>62.351999999999997</v>
      </c>
      <c r="CR54">
        <v>452</v>
      </c>
      <c r="CS54">
        <v>54</v>
      </c>
      <c r="CT54">
        <v>62.5442477876</v>
      </c>
      <c r="CU54">
        <v>65.648148148100006</v>
      </c>
      <c r="CW54" t="s">
        <v>409</v>
      </c>
      <c r="CX54" t="s">
        <v>882</v>
      </c>
      <c r="CY54" t="s">
        <v>886</v>
      </c>
      <c r="CZ54">
        <v>40</v>
      </c>
      <c r="DA54">
        <v>12</v>
      </c>
      <c r="DB54">
        <v>87.3</v>
      </c>
      <c r="DC54">
        <v>53</v>
      </c>
      <c r="DD54">
        <v>7</v>
      </c>
      <c r="DE54">
        <v>136.05660377359999</v>
      </c>
      <c r="DF54">
        <v>101.1428571429</v>
      </c>
      <c r="DH54" t="s">
        <v>409</v>
      </c>
      <c r="DI54" t="s">
        <v>862</v>
      </c>
      <c r="DJ54" t="s">
        <v>866</v>
      </c>
      <c r="DK54">
        <v>39</v>
      </c>
      <c r="DL54">
        <v>8</v>
      </c>
      <c r="DM54">
        <v>84.923076923099998</v>
      </c>
      <c r="DN54">
        <v>84</v>
      </c>
      <c r="DO54">
        <v>12</v>
      </c>
      <c r="DP54">
        <v>116.880952381</v>
      </c>
      <c r="DQ54">
        <v>87.333333333300004</v>
      </c>
    </row>
    <row r="55" spans="2:121" x14ac:dyDescent="0.2">
      <c r="F55" t="s">
        <v>72</v>
      </c>
      <c r="G55">
        <v>1106</v>
      </c>
      <c r="H55">
        <v>320.88698010849998</v>
      </c>
      <c r="I55">
        <v>2310</v>
      </c>
      <c r="J55">
        <v>728</v>
      </c>
      <c r="K55">
        <v>2143</v>
      </c>
      <c r="L55">
        <v>1458</v>
      </c>
      <c r="M55">
        <v>861</v>
      </c>
      <c r="N55">
        <v>788</v>
      </c>
      <c r="O55">
        <v>1174</v>
      </c>
      <c r="P55">
        <v>893</v>
      </c>
      <c r="Q55">
        <v>0</v>
      </c>
      <c r="R55">
        <v>1</v>
      </c>
      <c r="AH55" t="s">
        <v>422</v>
      </c>
      <c r="AI55">
        <v>347</v>
      </c>
      <c r="AJ55">
        <v>305.01152737749999</v>
      </c>
      <c r="AK55">
        <v>741</v>
      </c>
      <c r="AL55">
        <v>120</v>
      </c>
      <c r="AM55">
        <v>665</v>
      </c>
      <c r="AN55">
        <v>390</v>
      </c>
      <c r="AO55">
        <v>202</v>
      </c>
      <c r="AP55">
        <v>126</v>
      </c>
      <c r="AQ55">
        <v>197</v>
      </c>
      <c r="AR55">
        <v>117</v>
      </c>
      <c r="AS55">
        <v>2</v>
      </c>
      <c r="AT55">
        <v>1</v>
      </c>
      <c r="AV55" t="s">
        <v>380</v>
      </c>
      <c r="AW55">
        <v>295</v>
      </c>
      <c r="AX55">
        <v>89.023728813600002</v>
      </c>
      <c r="AY55">
        <v>301</v>
      </c>
      <c r="AZ55">
        <v>76</v>
      </c>
      <c r="BA55">
        <v>366</v>
      </c>
      <c r="BB55">
        <v>84</v>
      </c>
      <c r="BC55">
        <v>0</v>
      </c>
      <c r="BE55">
        <v>24</v>
      </c>
      <c r="BF55">
        <v>4</v>
      </c>
      <c r="BG55">
        <v>61</v>
      </c>
      <c r="BH55">
        <v>85</v>
      </c>
      <c r="BJ55" t="s">
        <v>596</v>
      </c>
      <c r="BK55" t="s">
        <v>405</v>
      </c>
      <c r="BL55">
        <v>3954</v>
      </c>
      <c r="BM55">
        <v>786</v>
      </c>
      <c r="BN55">
        <v>85.862670713200004</v>
      </c>
      <c r="BO55">
        <v>9513</v>
      </c>
      <c r="BP55">
        <v>843</v>
      </c>
      <c r="BQ55">
        <v>127.5471460107</v>
      </c>
      <c r="BR55">
        <v>121.76749703439999</v>
      </c>
      <c r="BS55">
        <v>6472</v>
      </c>
      <c r="BT55">
        <v>1211</v>
      </c>
      <c r="BU55">
        <v>86.825710753999999</v>
      </c>
      <c r="BV55">
        <v>13752</v>
      </c>
      <c r="BW55">
        <v>1343</v>
      </c>
      <c r="BX55">
        <v>133.68259162300001</v>
      </c>
      <c r="BY55">
        <v>124.4102755026</v>
      </c>
      <c r="CA55" t="s">
        <v>414</v>
      </c>
      <c r="CB55" t="s">
        <v>891</v>
      </c>
      <c r="CC55" t="s">
        <v>1020</v>
      </c>
      <c r="CD55">
        <v>3991</v>
      </c>
      <c r="CE55">
        <v>968</v>
      </c>
      <c r="CF55">
        <v>93.355299423700004</v>
      </c>
      <c r="CG55">
        <v>6393</v>
      </c>
      <c r="CH55">
        <v>599</v>
      </c>
      <c r="CI55">
        <v>140.19286719850001</v>
      </c>
      <c r="CJ55">
        <v>131.18530884809999</v>
      </c>
      <c r="CL55" t="s">
        <v>414</v>
      </c>
      <c r="CM55" t="s">
        <v>872</v>
      </c>
      <c r="CN55" t="s">
        <v>877</v>
      </c>
      <c r="CO55">
        <v>268</v>
      </c>
      <c r="CP55">
        <v>24</v>
      </c>
      <c r="CQ55">
        <v>67.365671641800006</v>
      </c>
      <c r="CR55">
        <v>854</v>
      </c>
      <c r="CS55">
        <v>81</v>
      </c>
      <c r="CT55">
        <v>65.903981264600006</v>
      </c>
      <c r="CU55">
        <v>68.8395061728</v>
      </c>
      <c r="CW55" t="s">
        <v>414</v>
      </c>
      <c r="CX55" t="s">
        <v>882</v>
      </c>
      <c r="CY55" t="s">
        <v>887</v>
      </c>
      <c r="CZ55">
        <v>71</v>
      </c>
      <c r="DA55">
        <v>19</v>
      </c>
      <c r="DB55">
        <v>86.028169014100001</v>
      </c>
      <c r="DC55">
        <v>162</v>
      </c>
      <c r="DD55">
        <v>25</v>
      </c>
      <c r="DE55">
        <v>137.39506172840001</v>
      </c>
      <c r="DF55">
        <v>112.16</v>
      </c>
      <c r="DH55" t="s">
        <v>414</v>
      </c>
      <c r="DI55" t="s">
        <v>862</v>
      </c>
      <c r="DJ55" t="s">
        <v>867</v>
      </c>
      <c r="DK55">
        <v>93</v>
      </c>
      <c r="DL55">
        <v>16</v>
      </c>
      <c r="DM55">
        <v>69.569892473099998</v>
      </c>
      <c r="DN55">
        <v>173</v>
      </c>
      <c r="DO55">
        <v>23</v>
      </c>
      <c r="DP55">
        <v>128.22543352599999</v>
      </c>
      <c r="DQ55">
        <v>114.17391304349999</v>
      </c>
    </row>
    <row r="56" spans="2:121" x14ac:dyDescent="0.2">
      <c r="F56" t="s">
        <v>62</v>
      </c>
      <c r="G56">
        <v>10059</v>
      </c>
      <c r="H56">
        <v>442.9595387215</v>
      </c>
      <c r="I56">
        <v>10966</v>
      </c>
      <c r="J56">
        <v>2845</v>
      </c>
      <c r="K56">
        <v>13415</v>
      </c>
      <c r="L56">
        <v>10404</v>
      </c>
      <c r="M56">
        <v>4000</v>
      </c>
      <c r="N56">
        <v>3571</v>
      </c>
      <c r="O56">
        <v>2509</v>
      </c>
      <c r="P56">
        <v>1944</v>
      </c>
      <c r="Q56">
        <v>0</v>
      </c>
      <c r="R56">
        <v>42</v>
      </c>
      <c r="BJ56" t="s">
        <v>604</v>
      </c>
      <c r="BK56" t="s">
        <v>405</v>
      </c>
      <c r="BL56">
        <v>4897</v>
      </c>
      <c r="BM56">
        <v>989</v>
      </c>
      <c r="BN56">
        <v>85.186440677999997</v>
      </c>
      <c r="BO56">
        <v>8666</v>
      </c>
      <c r="BP56">
        <v>1009</v>
      </c>
      <c r="BQ56">
        <v>140.09773828760001</v>
      </c>
      <c r="BR56">
        <v>134.72249752229999</v>
      </c>
      <c r="BS56">
        <v>4550</v>
      </c>
      <c r="BT56">
        <v>951</v>
      </c>
      <c r="BU56">
        <v>83.510549450499994</v>
      </c>
      <c r="BV56">
        <v>8828</v>
      </c>
      <c r="BW56">
        <v>1001</v>
      </c>
      <c r="BX56">
        <v>137.23221567740001</v>
      </c>
      <c r="BY56">
        <v>135.11488511490001</v>
      </c>
      <c r="CA56" t="s">
        <v>406</v>
      </c>
      <c r="CB56" t="s">
        <v>891</v>
      </c>
      <c r="CC56" t="s">
        <v>1021</v>
      </c>
      <c r="CD56">
        <v>2564</v>
      </c>
      <c r="CE56">
        <v>591</v>
      </c>
      <c r="CF56">
        <v>86.262090483600005</v>
      </c>
      <c r="CG56">
        <v>4956</v>
      </c>
      <c r="CH56">
        <v>587</v>
      </c>
      <c r="CI56">
        <v>138.25807102499999</v>
      </c>
      <c r="CJ56">
        <v>115.4923339012</v>
      </c>
      <c r="CL56" t="s">
        <v>406</v>
      </c>
      <c r="CM56" t="s">
        <v>872</v>
      </c>
      <c r="CN56" t="s">
        <v>878</v>
      </c>
      <c r="CO56">
        <v>209</v>
      </c>
      <c r="CP56">
        <v>17</v>
      </c>
      <c r="CQ56">
        <v>60.751196172199997</v>
      </c>
      <c r="CR56">
        <v>680</v>
      </c>
      <c r="CS56">
        <v>77</v>
      </c>
      <c r="CT56">
        <v>58.636764705899999</v>
      </c>
      <c r="CU56">
        <v>54.311688311700003</v>
      </c>
      <c r="CW56" t="s">
        <v>406</v>
      </c>
      <c r="CX56" t="s">
        <v>882</v>
      </c>
      <c r="CY56" t="s">
        <v>888</v>
      </c>
      <c r="CZ56">
        <v>57</v>
      </c>
      <c r="DA56">
        <v>13</v>
      </c>
      <c r="DB56">
        <v>93.122807017499994</v>
      </c>
      <c r="DC56">
        <v>84</v>
      </c>
      <c r="DD56">
        <v>17</v>
      </c>
      <c r="DE56">
        <v>156.20238095240001</v>
      </c>
      <c r="DF56">
        <v>144.1764705882</v>
      </c>
      <c r="DH56" t="s">
        <v>406</v>
      </c>
      <c r="DI56" t="s">
        <v>862</v>
      </c>
      <c r="DJ56" t="s">
        <v>868</v>
      </c>
      <c r="DK56">
        <v>52</v>
      </c>
      <c r="DL56">
        <v>10</v>
      </c>
      <c r="DM56">
        <v>80.288461538500002</v>
      </c>
      <c r="DN56">
        <v>115</v>
      </c>
      <c r="DO56">
        <v>14</v>
      </c>
      <c r="DP56">
        <v>135.13913043479999</v>
      </c>
      <c r="DQ56">
        <v>94.214285714300004</v>
      </c>
    </row>
    <row r="57" spans="2:121" x14ac:dyDescent="0.2">
      <c r="F57" t="s">
        <v>64</v>
      </c>
      <c r="G57">
        <v>3326</v>
      </c>
      <c r="H57">
        <v>228.6262778112</v>
      </c>
      <c r="I57">
        <v>3791</v>
      </c>
      <c r="J57">
        <v>777</v>
      </c>
      <c r="K57">
        <v>4168</v>
      </c>
      <c r="L57">
        <v>2250</v>
      </c>
      <c r="M57">
        <v>752</v>
      </c>
      <c r="N57">
        <v>572</v>
      </c>
      <c r="O57">
        <v>1244</v>
      </c>
      <c r="P57">
        <v>682</v>
      </c>
      <c r="Q57">
        <v>0</v>
      </c>
      <c r="R57">
        <v>68</v>
      </c>
      <c r="BJ57" t="s">
        <v>612</v>
      </c>
      <c r="BK57" t="s">
        <v>405</v>
      </c>
      <c r="BL57">
        <v>3913</v>
      </c>
      <c r="BM57">
        <v>959</v>
      </c>
      <c r="BN57">
        <v>94.311781241999995</v>
      </c>
      <c r="BO57">
        <v>5826</v>
      </c>
      <c r="BP57">
        <v>533</v>
      </c>
      <c r="BQ57">
        <v>144.74184689320001</v>
      </c>
      <c r="BR57">
        <v>140.23076923080001</v>
      </c>
      <c r="BS57">
        <v>593</v>
      </c>
      <c r="BT57">
        <v>191</v>
      </c>
      <c r="BU57">
        <v>107.80269814499999</v>
      </c>
      <c r="BV57">
        <v>4996</v>
      </c>
      <c r="BW57">
        <v>644</v>
      </c>
      <c r="BX57">
        <v>128.81705364289999</v>
      </c>
      <c r="BY57">
        <v>138.87267080749999</v>
      </c>
      <c r="CA57" t="s">
        <v>410</v>
      </c>
      <c r="CB57" t="s">
        <v>891</v>
      </c>
      <c r="CC57" t="s">
        <v>1022</v>
      </c>
      <c r="CD57">
        <v>4717</v>
      </c>
      <c r="CE57">
        <v>1001</v>
      </c>
      <c r="CF57">
        <v>86.225355098600005</v>
      </c>
      <c r="CG57">
        <v>8801</v>
      </c>
      <c r="CH57">
        <v>1019</v>
      </c>
      <c r="CI57">
        <v>139.63413248489999</v>
      </c>
      <c r="CJ57">
        <v>133.8204121688</v>
      </c>
      <c r="CL57" t="s">
        <v>410</v>
      </c>
      <c r="CM57" t="s">
        <v>872</v>
      </c>
      <c r="CN57" t="s">
        <v>879</v>
      </c>
      <c r="CO57">
        <v>334</v>
      </c>
      <c r="CP57">
        <v>31</v>
      </c>
      <c r="CQ57">
        <v>60.008982035899997</v>
      </c>
      <c r="CR57">
        <v>1267</v>
      </c>
      <c r="CS57">
        <v>143</v>
      </c>
      <c r="CT57">
        <v>68.745856353600004</v>
      </c>
      <c r="CU57">
        <v>62.9160839161</v>
      </c>
      <c r="CW57" t="s">
        <v>410</v>
      </c>
      <c r="CX57" t="s">
        <v>882</v>
      </c>
      <c r="CY57" t="s">
        <v>889</v>
      </c>
      <c r="CZ57">
        <v>76</v>
      </c>
      <c r="DA57">
        <v>19</v>
      </c>
      <c r="DB57">
        <v>79.013157894700001</v>
      </c>
      <c r="DC57">
        <v>151</v>
      </c>
      <c r="DD57">
        <v>19</v>
      </c>
      <c r="DE57">
        <v>146.0198675497</v>
      </c>
      <c r="DF57">
        <v>134.15789473679999</v>
      </c>
      <c r="DH57" t="s">
        <v>410</v>
      </c>
      <c r="DI57" t="s">
        <v>862</v>
      </c>
      <c r="DJ57" t="s">
        <v>869</v>
      </c>
      <c r="DK57">
        <v>35</v>
      </c>
      <c r="DL57">
        <v>7</v>
      </c>
      <c r="DM57">
        <v>78.571428571400006</v>
      </c>
      <c r="DN57">
        <v>88</v>
      </c>
      <c r="DO57">
        <v>18</v>
      </c>
      <c r="DP57">
        <v>124.6818181818</v>
      </c>
      <c r="DQ57">
        <v>133.94444444440001</v>
      </c>
    </row>
    <row r="58" spans="2:121" x14ac:dyDescent="0.2">
      <c r="F58" t="s">
        <v>54</v>
      </c>
      <c r="G58">
        <v>1097</v>
      </c>
      <c r="H58">
        <v>303.18049225160001</v>
      </c>
      <c r="I58">
        <v>1046</v>
      </c>
      <c r="J58">
        <v>170</v>
      </c>
      <c r="K58">
        <v>1567</v>
      </c>
      <c r="L58">
        <v>995</v>
      </c>
      <c r="M58">
        <v>266</v>
      </c>
      <c r="N58">
        <v>227</v>
      </c>
      <c r="O58">
        <v>102</v>
      </c>
      <c r="P58">
        <v>38</v>
      </c>
      <c r="Q58">
        <v>0</v>
      </c>
      <c r="R58">
        <v>1</v>
      </c>
      <c r="BJ58" t="s">
        <v>625</v>
      </c>
      <c r="BK58" t="s">
        <v>405</v>
      </c>
      <c r="BL58">
        <v>9211</v>
      </c>
      <c r="BM58">
        <v>1860</v>
      </c>
      <c r="BN58">
        <v>79.595917924199995</v>
      </c>
      <c r="BO58">
        <v>19431</v>
      </c>
      <c r="BP58">
        <v>2392</v>
      </c>
      <c r="BQ58">
        <v>124.89460141009999</v>
      </c>
      <c r="BR58">
        <v>110.6488294314</v>
      </c>
      <c r="BS58">
        <v>8646</v>
      </c>
      <c r="BT58">
        <v>1718</v>
      </c>
      <c r="BU58">
        <v>78.659611381000005</v>
      </c>
      <c r="BV58">
        <v>19520</v>
      </c>
      <c r="BW58">
        <v>2237</v>
      </c>
      <c r="BX58">
        <v>131.4649590164</v>
      </c>
      <c r="BY58">
        <v>111.633884667</v>
      </c>
      <c r="CA58" t="s">
        <v>80</v>
      </c>
      <c r="CB58" t="s">
        <v>891</v>
      </c>
      <c r="CC58" t="s">
        <v>1023</v>
      </c>
      <c r="CD58">
        <v>5931</v>
      </c>
      <c r="CE58">
        <v>956</v>
      </c>
      <c r="CF58">
        <v>77.831394368600002</v>
      </c>
      <c r="CG58">
        <v>14393</v>
      </c>
      <c r="CH58">
        <v>1595</v>
      </c>
      <c r="CI58">
        <v>109.98916139790001</v>
      </c>
      <c r="CJ58">
        <v>99.587460815</v>
      </c>
      <c r="CL58" t="s">
        <v>80</v>
      </c>
      <c r="CM58" t="s">
        <v>872</v>
      </c>
      <c r="CN58" t="s">
        <v>880</v>
      </c>
      <c r="CO58">
        <v>540</v>
      </c>
      <c r="CP58">
        <v>51</v>
      </c>
      <c r="CQ58">
        <v>59.548148148099997</v>
      </c>
      <c r="CR58">
        <v>1923</v>
      </c>
      <c r="CS58">
        <v>203</v>
      </c>
      <c r="CT58">
        <v>70.693187727500003</v>
      </c>
      <c r="CU58">
        <v>84.926108374400002</v>
      </c>
      <c r="CW58" t="s">
        <v>80</v>
      </c>
      <c r="CX58" t="s">
        <v>882</v>
      </c>
      <c r="CY58" t="s">
        <v>890</v>
      </c>
      <c r="CZ58">
        <v>282</v>
      </c>
      <c r="DA58">
        <v>56</v>
      </c>
      <c r="DB58">
        <v>76.035460992899999</v>
      </c>
      <c r="DC58">
        <v>464</v>
      </c>
      <c r="DD58">
        <v>86</v>
      </c>
      <c r="DE58">
        <v>131.84482758620001</v>
      </c>
      <c r="DF58">
        <v>120.8720930233</v>
      </c>
      <c r="DH58" t="s">
        <v>80</v>
      </c>
      <c r="DI58" t="s">
        <v>862</v>
      </c>
      <c r="DJ58" t="s">
        <v>870</v>
      </c>
      <c r="DK58">
        <v>298</v>
      </c>
      <c r="DL58">
        <v>49</v>
      </c>
      <c r="DM58">
        <v>71.993288590600002</v>
      </c>
      <c r="DN58">
        <v>833</v>
      </c>
      <c r="DO58">
        <v>101</v>
      </c>
      <c r="DP58">
        <v>122.6350540216</v>
      </c>
      <c r="DQ58">
        <v>98.772277227700002</v>
      </c>
    </row>
    <row r="59" spans="2:121" x14ac:dyDescent="0.2">
      <c r="F59" t="s">
        <v>46</v>
      </c>
      <c r="G59">
        <v>12241</v>
      </c>
      <c r="H59">
        <v>365.62184462049999</v>
      </c>
      <c r="I59">
        <v>16571</v>
      </c>
      <c r="J59">
        <v>4265</v>
      </c>
      <c r="K59">
        <v>16493</v>
      </c>
      <c r="L59">
        <v>11733</v>
      </c>
      <c r="M59">
        <v>3129</v>
      </c>
      <c r="N59">
        <v>2494</v>
      </c>
      <c r="O59">
        <v>3513</v>
      </c>
      <c r="P59">
        <v>2680</v>
      </c>
      <c r="Q59">
        <v>1</v>
      </c>
      <c r="R59">
        <v>236</v>
      </c>
      <c r="BJ59" t="s">
        <v>598</v>
      </c>
      <c r="BK59" t="s">
        <v>405</v>
      </c>
      <c r="BL59">
        <v>7471</v>
      </c>
      <c r="BM59">
        <v>1032</v>
      </c>
      <c r="BN59">
        <v>69.4988622674</v>
      </c>
      <c r="BO59">
        <v>32352</v>
      </c>
      <c r="BP59">
        <v>3416</v>
      </c>
      <c r="BQ59">
        <v>66.524975272000006</v>
      </c>
      <c r="BR59">
        <v>63.2643442623</v>
      </c>
      <c r="BS59">
        <v>7999</v>
      </c>
      <c r="BT59">
        <v>1255</v>
      </c>
      <c r="BU59">
        <v>73.927615951999996</v>
      </c>
      <c r="BV59">
        <v>33857</v>
      </c>
      <c r="BW59">
        <v>3685</v>
      </c>
      <c r="BX59">
        <v>67.969193962800006</v>
      </c>
      <c r="BY59">
        <v>67.613568521000005</v>
      </c>
      <c r="CA59" t="s">
        <v>405</v>
      </c>
      <c r="CB59" t="s">
        <v>891</v>
      </c>
      <c r="CD59">
        <v>55715</v>
      </c>
      <c r="CE59">
        <v>12000</v>
      </c>
      <c r="CF59">
        <v>85.85246343</v>
      </c>
      <c r="CG59">
        <v>109098</v>
      </c>
      <c r="CH59">
        <v>12231</v>
      </c>
      <c r="CI59">
        <v>128.43442592900001</v>
      </c>
      <c r="CJ59">
        <v>120.4436268498</v>
      </c>
      <c r="CL59" t="s">
        <v>405</v>
      </c>
      <c r="CM59" t="s">
        <v>872</v>
      </c>
      <c r="CO59">
        <v>4120</v>
      </c>
      <c r="CP59">
        <v>319</v>
      </c>
      <c r="CQ59">
        <v>58.191019417500002</v>
      </c>
      <c r="CR59">
        <v>15383</v>
      </c>
      <c r="CS59">
        <v>1626</v>
      </c>
      <c r="CT59">
        <v>67.0765130339</v>
      </c>
      <c r="CU59">
        <v>67.8530135301</v>
      </c>
      <c r="CW59" t="s">
        <v>405</v>
      </c>
      <c r="CX59" t="s">
        <v>882</v>
      </c>
      <c r="CZ59">
        <v>1839</v>
      </c>
      <c r="DA59">
        <v>380</v>
      </c>
      <c r="DB59">
        <v>79.466014138099993</v>
      </c>
      <c r="DC59">
        <v>3358</v>
      </c>
      <c r="DD59">
        <v>506</v>
      </c>
      <c r="DE59">
        <v>136.0458606313</v>
      </c>
      <c r="DF59">
        <v>124.5632411067</v>
      </c>
      <c r="DH59" t="s">
        <v>405</v>
      </c>
      <c r="DI59" t="s">
        <v>862</v>
      </c>
      <c r="DK59">
        <v>1284</v>
      </c>
      <c r="DL59">
        <v>226</v>
      </c>
      <c r="DM59">
        <v>76.727414330200006</v>
      </c>
      <c r="DN59">
        <v>2976</v>
      </c>
      <c r="DO59">
        <v>350</v>
      </c>
      <c r="DP59">
        <v>124.4815188172</v>
      </c>
      <c r="DQ59">
        <v>108.13428571430001</v>
      </c>
    </row>
    <row r="60" spans="2:121" x14ac:dyDescent="0.2">
      <c r="F60" t="s">
        <v>135</v>
      </c>
      <c r="G60">
        <v>588</v>
      </c>
      <c r="H60">
        <v>378.89795918369998</v>
      </c>
      <c r="I60">
        <v>475</v>
      </c>
      <c r="J60">
        <v>161</v>
      </c>
      <c r="K60">
        <v>808</v>
      </c>
      <c r="L60">
        <v>537</v>
      </c>
      <c r="M60">
        <v>166</v>
      </c>
      <c r="N60">
        <v>93</v>
      </c>
      <c r="O60">
        <v>167</v>
      </c>
      <c r="P60">
        <v>63</v>
      </c>
      <c r="Q60">
        <v>0</v>
      </c>
      <c r="R60">
        <v>2</v>
      </c>
      <c r="BJ60" t="s">
        <v>540</v>
      </c>
      <c r="BK60" t="s">
        <v>381</v>
      </c>
      <c r="BL60">
        <v>15673</v>
      </c>
      <c r="BM60">
        <v>4466</v>
      </c>
      <c r="BN60">
        <v>98.099725642799996</v>
      </c>
      <c r="BO60">
        <v>27174</v>
      </c>
      <c r="BP60">
        <v>2882</v>
      </c>
      <c r="BQ60">
        <v>146.5118495621</v>
      </c>
      <c r="BR60">
        <v>132.1564885496</v>
      </c>
      <c r="BS60">
        <v>4553</v>
      </c>
      <c r="BT60">
        <v>1464</v>
      </c>
      <c r="BU60">
        <v>91.942016253000006</v>
      </c>
      <c r="BV60">
        <v>22449</v>
      </c>
      <c r="BW60">
        <v>2757</v>
      </c>
      <c r="BX60">
        <v>136.45895140100001</v>
      </c>
      <c r="BY60">
        <v>115.0721799057</v>
      </c>
      <c r="CA60" t="s">
        <v>389</v>
      </c>
      <c r="CB60" t="s">
        <v>916</v>
      </c>
      <c r="CC60" t="s">
        <v>1024</v>
      </c>
      <c r="CD60">
        <v>7356</v>
      </c>
      <c r="CE60">
        <v>1965</v>
      </c>
      <c r="CF60">
        <v>107.7688961392</v>
      </c>
      <c r="CG60">
        <v>13598</v>
      </c>
      <c r="CH60">
        <v>1421</v>
      </c>
      <c r="CI60">
        <v>140.06692160610001</v>
      </c>
      <c r="CJ60">
        <v>152.9035890218</v>
      </c>
      <c r="CL60" t="s">
        <v>389</v>
      </c>
      <c r="CM60" t="s">
        <v>901</v>
      </c>
      <c r="CN60" t="s">
        <v>900</v>
      </c>
      <c r="CO60">
        <v>658</v>
      </c>
      <c r="CP60">
        <v>99</v>
      </c>
      <c r="CQ60">
        <v>72.838905775100002</v>
      </c>
      <c r="CR60">
        <v>2638</v>
      </c>
      <c r="CS60">
        <v>258</v>
      </c>
      <c r="CT60">
        <v>66.678923426799997</v>
      </c>
      <c r="CU60">
        <v>72.616279069800001</v>
      </c>
      <c r="CW60" t="s">
        <v>389</v>
      </c>
      <c r="CX60" t="s">
        <v>909</v>
      </c>
      <c r="CY60" t="s">
        <v>908</v>
      </c>
      <c r="CZ60">
        <v>166</v>
      </c>
      <c r="DA60">
        <v>47</v>
      </c>
      <c r="DB60">
        <v>98.722891566300007</v>
      </c>
      <c r="DC60">
        <v>228</v>
      </c>
      <c r="DD60">
        <v>30</v>
      </c>
      <c r="DE60">
        <v>157.11842105260001</v>
      </c>
      <c r="DF60">
        <v>159.6</v>
      </c>
      <c r="DH60" t="s">
        <v>389</v>
      </c>
      <c r="DI60" t="s">
        <v>893</v>
      </c>
      <c r="DJ60" t="s">
        <v>892</v>
      </c>
      <c r="DK60">
        <v>142</v>
      </c>
      <c r="DL60">
        <v>38</v>
      </c>
      <c r="DM60">
        <v>96.760563380299999</v>
      </c>
      <c r="DN60">
        <v>276</v>
      </c>
      <c r="DO60">
        <v>33</v>
      </c>
      <c r="DP60">
        <v>152.8152173913</v>
      </c>
      <c r="DQ60">
        <v>155.63636363640001</v>
      </c>
    </row>
    <row r="61" spans="2:121" x14ac:dyDescent="0.2">
      <c r="F61" t="s">
        <v>56</v>
      </c>
      <c r="G61">
        <v>4409</v>
      </c>
      <c r="H61">
        <v>193.44046269</v>
      </c>
      <c r="I61">
        <v>6233</v>
      </c>
      <c r="J61">
        <v>994</v>
      </c>
      <c r="K61">
        <v>5988</v>
      </c>
      <c r="L61">
        <v>2732</v>
      </c>
      <c r="M61">
        <v>592</v>
      </c>
      <c r="N61">
        <v>443</v>
      </c>
      <c r="O61">
        <v>656</v>
      </c>
      <c r="P61">
        <v>341</v>
      </c>
      <c r="Q61">
        <v>8373</v>
      </c>
      <c r="R61">
        <v>0</v>
      </c>
      <c r="BJ61" t="s">
        <v>548</v>
      </c>
      <c r="BK61" t="s">
        <v>381</v>
      </c>
      <c r="BL61">
        <v>8567</v>
      </c>
      <c r="BM61">
        <v>2259</v>
      </c>
      <c r="BN61">
        <v>96.255398622599998</v>
      </c>
      <c r="BO61">
        <v>14999</v>
      </c>
      <c r="BP61">
        <v>1693</v>
      </c>
      <c r="BQ61">
        <v>134.72071471429999</v>
      </c>
      <c r="BR61">
        <v>124.8157117543</v>
      </c>
      <c r="BS61">
        <v>3949</v>
      </c>
      <c r="BT61">
        <v>1034</v>
      </c>
      <c r="BU61">
        <v>90.233730058199995</v>
      </c>
      <c r="BV61">
        <v>15364</v>
      </c>
      <c r="BW61">
        <v>1844</v>
      </c>
      <c r="BX61">
        <v>133.23040874770001</v>
      </c>
      <c r="BY61">
        <v>112.6252711497</v>
      </c>
      <c r="CA61" t="s">
        <v>426</v>
      </c>
      <c r="CB61" t="s">
        <v>916</v>
      </c>
      <c r="CC61" t="s">
        <v>1025</v>
      </c>
      <c r="CD61">
        <v>22119</v>
      </c>
      <c r="CE61">
        <v>5015</v>
      </c>
      <c r="CF61">
        <v>90.966408969699998</v>
      </c>
      <c r="CG61">
        <v>42714</v>
      </c>
      <c r="CH61">
        <v>4649</v>
      </c>
      <c r="CI61">
        <v>140.30423280420001</v>
      </c>
      <c r="CJ61">
        <v>130.3030759303</v>
      </c>
      <c r="CL61" t="s">
        <v>426</v>
      </c>
      <c r="CM61" t="s">
        <v>901</v>
      </c>
      <c r="CN61" t="s">
        <v>902</v>
      </c>
      <c r="CO61">
        <v>2852</v>
      </c>
      <c r="CP61">
        <v>296</v>
      </c>
      <c r="CQ61">
        <v>66.052244039300007</v>
      </c>
      <c r="CR61">
        <v>5799</v>
      </c>
      <c r="CS61">
        <v>635</v>
      </c>
      <c r="CT61">
        <v>92.858596309700005</v>
      </c>
      <c r="CU61">
        <v>105.13858267720001</v>
      </c>
      <c r="CW61" t="s">
        <v>426</v>
      </c>
      <c r="CX61" t="s">
        <v>909</v>
      </c>
      <c r="CY61" t="s">
        <v>910</v>
      </c>
      <c r="CZ61">
        <v>674</v>
      </c>
      <c r="DA61">
        <v>184</v>
      </c>
      <c r="DB61">
        <v>95.615727003000003</v>
      </c>
      <c r="DC61">
        <v>1010</v>
      </c>
      <c r="DD61">
        <v>112</v>
      </c>
      <c r="DE61">
        <v>156.2524752475</v>
      </c>
      <c r="DF61">
        <v>155.49107142860001</v>
      </c>
      <c r="DH61" t="s">
        <v>426</v>
      </c>
      <c r="DI61" t="s">
        <v>893</v>
      </c>
      <c r="DJ61" t="s">
        <v>894</v>
      </c>
      <c r="DK61">
        <v>854</v>
      </c>
      <c r="DL61">
        <v>209</v>
      </c>
      <c r="DM61">
        <v>94.811475409799996</v>
      </c>
      <c r="DN61">
        <v>1387</v>
      </c>
      <c r="DO61">
        <v>158</v>
      </c>
      <c r="DP61">
        <v>147.9531362653</v>
      </c>
      <c r="DQ61">
        <v>145.3797468354</v>
      </c>
    </row>
    <row r="62" spans="2:121" x14ac:dyDescent="0.2">
      <c r="BJ62" t="s">
        <v>564</v>
      </c>
      <c r="BK62" t="s">
        <v>381</v>
      </c>
      <c r="BL62">
        <v>3656</v>
      </c>
      <c r="BM62">
        <v>772</v>
      </c>
      <c r="BN62">
        <v>92.366794310700001</v>
      </c>
      <c r="BO62">
        <v>9407</v>
      </c>
      <c r="BP62">
        <v>865</v>
      </c>
      <c r="BQ62">
        <v>135.03391091739999</v>
      </c>
      <c r="BR62">
        <v>110.74104046239999</v>
      </c>
      <c r="BS62">
        <v>1831</v>
      </c>
      <c r="BT62">
        <v>753</v>
      </c>
      <c r="BU62">
        <v>140.25778263239999</v>
      </c>
      <c r="BV62">
        <v>12439</v>
      </c>
      <c r="BW62">
        <v>1417</v>
      </c>
      <c r="BX62">
        <v>158.3710105314</v>
      </c>
      <c r="BY62">
        <v>131.91249117850001</v>
      </c>
      <c r="CA62" t="s">
        <v>382</v>
      </c>
      <c r="CB62" t="s">
        <v>916</v>
      </c>
      <c r="CC62" t="s">
        <v>1026</v>
      </c>
      <c r="CD62">
        <v>16450</v>
      </c>
      <c r="CE62">
        <v>4626</v>
      </c>
      <c r="CF62">
        <v>97.538844984799994</v>
      </c>
      <c r="CG62">
        <v>30311</v>
      </c>
      <c r="CH62">
        <v>3280</v>
      </c>
      <c r="CI62">
        <v>138.21926033450001</v>
      </c>
      <c r="CJ62">
        <v>125.8280487805</v>
      </c>
      <c r="CL62" t="s">
        <v>382</v>
      </c>
      <c r="CM62" t="s">
        <v>901</v>
      </c>
      <c r="CN62" t="s">
        <v>903</v>
      </c>
      <c r="CO62">
        <v>1325</v>
      </c>
      <c r="CP62">
        <v>184</v>
      </c>
      <c r="CQ62">
        <v>75.346415094299999</v>
      </c>
      <c r="CR62">
        <v>2924</v>
      </c>
      <c r="CS62">
        <v>298</v>
      </c>
      <c r="CT62">
        <v>94.569083447300002</v>
      </c>
      <c r="CU62">
        <v>95.214765100700006</v>
      </c>
      <c r="CW62" t="s">
        <v>382</v>
      </c>
      <c r="CX62" t="s">
        <v>909</v>
      </c>
      <c r="CY62" t="s">
        <v>911</v>
      </c>
      <c r="CZ62">
        <v>445</v>
      </c>
      <c r="DA62">
        <v>118</v>
      </c>
      <c r="DB62">
        <v>92.413483146100006</v>
      </c>
      <c r="DC62">
        <v>564</v>
      </c>
      <c r="DD62">
        <v>52</v>
      </c>
      <c r="DE62">
        <v>160.3971631206</v>
      </c>
      <c r="DF62">
        <v>163.75</v>
      </c>
      <c r="DH62" t="s">
        <v>382</v>
      </c>
      <c r="DI62" t="s">
        <v>893</v>
      </c>
      <c r="DJ62" t="s">
        <v>895</v>
      </c>
      <c r="DK62">
        <v>432</v>
      </c>
      <c r="DL62">
        <v>93</v>
      </c>
      <c r="DM62">
        <v>90.143518518500002</v>
      </c>
      <c r="DN62">
        <v>695</v>
      </c>
      <c r="DO62">
        <v>70</v>
      </c>
      <c r="DP62">
        <v>149.17697841730001</v>
      </c>
      <c r="DQ62">
        <v>145.4857142857</v>
      </c>
    </row>
    <row r="63" spans="2:121" x14ac:dyDescent="0.2">
      <c r="BJ63" t="s">
        <v>554</v>
      </c>
      <c r="BK63" t="s">
        <v>381</v>
      </c>
      <c r="BL63">
        <v>7295</v>
      </c>
      <c r="BM63">
        <v>2008</v>
      </c>
      <c r="BN63">
        <v>112.0900616861</v>
      </c>
      <c r="BO63">
        <v>13038</v>
      </c>
      <c r="BP63">
        <v>1405</v>
      </c>
      <c r="BQ63">
        <v>144.138901672</v>
      </c>
      <c r="BR63">
        <v>162.21708185049999</v>
      </c>
      <c r="BS63">
        <v>2447</v>
      </c>
      <c r="BT63">
        <v>849</v>
      </c>
      <c r="BU63">
        <v>105.5504699632</v>
      </c>
      <c r="BV63">
        <v>12137</v>
      </c>
      <c r="BW63">
        <v>1286</v>
      </c>
      <c r="BX63">
        <v>142.2080415259</v>
      </c>
      <c r="BY63">
        <v>161.42146189740001</v>
      </c>
      <c r="CA63" t="s">
        <v>394</v>
      </c>
      <c r="CB63" t="s">
        <v>916</v>
      </c>
      <c r="CC63" t="s">
        <v>1027</v>
      </c>
      <c r="CD63">
        <v>3235</v>
      </c>
      <c r="CE63">
        <v>541</v>
      </c>
      <c r="CF63">
        <v>79.4401854714</v>
      </c>
      <c r="CG63">
        <v>9519</v>
      </c>
      <c r="CH63">
        <v>936</v>
      </c>
      <c r="CI63">
        <v>119.6787477676</v>
      </c>
      <c r="CJ63">
        <v>103.08974358970001</v>
      </c>
      <c r="CL63" t="s">
        <v>394</v>
      </c>
      <c r="CM63" t="s">
        <v>901</v>
      </c>
      <c r="CN63" t="s">
        <v>904</v>
      </c>
      <c r="CO63">
        <v>347</v>
      </c>
      <c r="CP63">
        <v>31</v>
      </c>
      <c r="CQ63">
        <v>65.017291066300004</v>
      </c>
      <c r="CR63">
        <v>1431</v>
      </c>
      <c r="CS63">
        <v>128</v>
      </c>
      <c r="CT63">
        <v>71.265548567400003</v>
      </c>
      <c r="CU63">
        <v>73.890625</v>
      </c>
      <c r="CW63" t="s">
        <v>394</v>
      </c>
      <c r="CX63" t="s">
        <v>909</v>
      </c>
      <c r="CY63" t="s">
        <v>912</v>
      </c>
      <c r="CZ63">
        <v>93</v>
      </c>
      <c r="DA63">
        <v>23</v>
      </c>
      <c r="DB63">
        <v>89.161290322599996</v>
      </c>
      <c r="DC63">
        <v>145</v>
      </c>
      <c r="DD63">
        <v>19</v>
      </c>
      <c r="DE63">
        <v>150.37931034479999</v>
      </c>
      <c r="DF63">
        <v>149.05263157889999</v>
      </c>
      <c r="DH63" t="s">
        <v>394</v>
      </c>
      <c r="DI63" t="s">
        <v>893</v>
      </c>
      <c r="DJ63" t="s">
        <v>896</v>
      </c>
      <c r="DK63">
        <v>143</v>
      </c>
      <c r="DL63">
        <v>29</v>
      </c>
      <c r="DM63">
        <v>85.846153846199996</v>
      </c>
      <c r="DN63">
        <v>211</v>
      </c>
      <c r="DO63">
        <v>24</v>
      </c>
      <c r="DP63">
        <v>149.4028436019</v>
      </c>
      <c r="DQ63">
        <v>147.625</v>
      </c>
    </row>
    <row r="64" spans="2:121" x14ac:dyDescent="0.2">
      <c r="BJ64" t="s">
        <v>550</v>
      </c>
      <c r="BK64" t="s">
        <v>381</v>
      </c>
      <c r="BL64">
        <v>7929</v>
      </c>
      <c r="BM64">
        <v>1558</v>
      </c>
      <c r="BN64">
        <v>79.564131668599998</v>
      </c>
      <c r="BO64">
        <v>18342</v>
      </c>
      <c r="BP64">
        <v>2290</v>
      </c>
      <c r="BQ64">
        <v>123.7027041762</v>
      </c>
      <c r="BR64">
        <v>100.8781659389</v>
      </c>
      <c r="BS64">
        <v>7813</v>
      </c>
      <c r="BT64">
        <v>1506</v>
      </c>
      <c r="BU64">
        <v>78.568027646199994</v>
      </c>
      <c r="BV64">
        <v>19080</v>
      </c>
      <c r="BW64">
        <v>2286</v>
      </c>
      <c r="BX64">
        <v>128.7289832285</v>
      </c>
      <c r="BY64">
        <v>101.77821522310001</v>
      </c>
      <c r="CA64" t="s">
        <v>428</v>
      </c>
      <c r="CB64" t="s">
        <v>916</v>
      </c>
      <c r="CC64" t="s">
        <v>1028</v>
      </c>
      <c r="CD64">
        <v>2366</v>
      </c>
      <c r="CE64">
        <v>761</v>
      </c>
      <c r="CF64">
        <v>109.7506339814</v>
      </c>
      <c r="CG64">
        <v>5432</v>
      </c>
      <c r="CH64">
        <v>758</v>
      </c>
      <c r="CI64">
        <v>151.5138070692</v>
      </c>
      <c r="CJ64">
        <v>133.9868073879</v>
      </c>
      <c r="CL64" t="s">
        <v>428</v>
      </c>
      <c r="CM64" t="s">
        <v>901</v>
      </c>
      <c r="CN64" t="s">
        <v>905</v>
      </c>
      <c r="CO64">
        <v>457</v>
      </c>
      <c r="CP64">
        <v>59</v>
      </c>
      <c r="CQ64">
        <v>75.770240700200006</v>
      </c>
      <c r="CR64">
        <v>1065</v>
      </c>
      <c r="CS64">
        <v>113</v>
      </c>
      <c r="CT64">
        <v>103.6234741784</v>
      </c>
      <c r="CU64">
        <v>117.2389380531</v>
      </c>
      <c r="CW64" t="s">
        <v>428</v>
      </c>
      <c r="CX64" t="s">
        <v>909</v>
      </c>
      <c r="CY64" t="s">
        <v>913</v>
      </c>
      <c r="CZ64">
        <v>18</v>
      </c>
      <c r="DA64">
        <v>7</v>
      </c>
      <c r="DB64">
        <v>104.5</v>
      </c>
      <c r="DC64">
        <v>8</v>
      </c>
      <c r="DD64">
        <v>1</v>
      </c>
      <c r="DE64">
        <v>149.375</v>
      </c>
      <c r="DF64">
        <v>191</v>
      </c>
      <c r="DH64" t="s">
        <v>428</v>
      </c>
      <c r="DI64" t="s">
        <v>893</v>
      </c>
      <c r="DJ64" t="s">
        <v>897</v>
      </c>
      <c r="DK64">
        <v>16</v>
      </c>
      <c r="DL64">
        <v>3</v>
      </c>
      <c r="DM64">
        <v>75.25</v>
      </c>
      <c r="DN64">
        <v>25</v>
      </c>
      <c r="DO64">
        <v>2</v>
      </c>
      <c r="DP64">
        <v>116.72</v>
      </c>
      <c r="DQ64">
        <v>49.5</v>
      </c>
    </row>
    <row r="65" spans="62:121" x14ac:dyDescent="0.2">
      <c r="BJ65" t="s">
        <v>614</v>
      </c>
      <c r="BK65" t="s">
        <v>381</v>
      </c>
      <c r="BL65">
        <v>2360</v>
      </c>
      <c r="BM65">
        <v>775</v>
      </c>
      <c r="BN65">
        <v>110.2177966102</v>
      </c>
      <c r="BO65">
        <v>5387</v>
      </c>
      <c r="BP65">
        <v>770</v>
      </c>
      <c r="BQ65">
        <v>154.2424354929</v>
      </c>
      <c r="BR65">
        <v>135.11038961040001</v>
      </c>
      <c r="BS65">
        <v>2362</v>
      </c>
      <c r="BT65">
        <v>768</v>
      </c>
      <c r="BU65">
        <v>110.5647756139</v>
      </c>
      <c r="BV65">
        <v>5373</v>
      </c>
      <c r="BW65">
        <v>771</v>
      </c>
      <c r="BX65">
        <v>162.97301321419999</v>
      </c>
      <c r="BY65">
        <v>134.27107652399999</v>
      </c>
      <c r="CA65" t="s">
        <v>384</v>
      </c>
      <c r="CB65" t="s">
        <v>916</v>
      </c>
      <c r="CC65" t="s">
        <v>1029</v>
      </c>
      <c r="CD65">
        <v>8691</v>
      </c>
      <c r="CE65">
        <v>2374</v>
      </c>
      <c r="CF65">
        <v>97.7369692786</v>
      </c>
      <c r="CG65">
        <v>16062</v>
      </c>
      <c r="CH65">
        <v>1766</v>
      </c>
      <c r="CI65">
        <v>132.300896526</v>
      </c>
      <c r="CJ65">
        <v>122.80520951299999</v>
      </c>
      <c r="CL65" t="s">
        <v>384</v>
      </c>
      <c r="CM65" t="s">
        <v>901</v>
      </c>
      <c r="CN65" t="s">
        <v>906</v>
      </c>
      <c r="CO65">
        <v>914</v>
      </c>
      <c r="CP65">
        <v>95</v>
      </c>
      <c r="CQ65">
        <v>64.601750546999995</v>
      </c>
      <c r="CR65">
        <v>1724</v>
      </c>
      <c r="CS65">
        <v>189</v>
      </c>
      <c r="CT65">
        <v>92.097447795799994</v>
      </c>
      <c r="CU65">
        <v>101.7037037037</v>
      </c>
      <c r="CW65" t="s">
        <v>384</v>
      </c>
      <c r="CX65" t="s">
        <v>909</v>
      </c>
      <c r="CY65" t="s">
        <v>914</v>
      </c>
      <c r="CZ65">
        <v>220</v>
      </c>
      <c r="DA65">
        <v>71</v>
      </c>
      <c r="DB65">
        <v>105.7272727273</v>
      </c>
      <c r="DC65">
        <v>307</v>
      </c>
      <c r="DD65">
        <v>29</v>
      </c>
      <c r="DE65">
        <v>162.2084690554</v>
      </c>
      <c r="DF65">
        <v>174.82758620690001</v>
      </c>
      <c r="DH65" t="s">
        <v>384</v>
      </c>
      <c r="DI65" t="s">
        <v>893</v>
      </c>
      <c r="DJ65" t="s">
        <v>898</v>
      </c>
      <c r="DK65">
        <v>230</v>
      </c>
      <c r="DL65">
        <v>43</v>
      </c>
      <c r="DM65">
        <v>86.165217391300004</v>
      </c>
      <c r="DN65">
        <v>359</v>
      </c>
      <c r="DO65">
        <v>40</v>
      </c>
      <c r="DP65">
        <v>147.60167130919999</v>
      </c>
      <c r="DQ65">
        <v>154.42500000000001</v>
      </c>
    </row>
    <row r="66" spans="62:121" x14ac:dyDescent="0.2">
      <c r="BJ66" t="s">
        <v>381</v>
      </c>
      <c r="BK66" t="s">
        <v>381</v>
      </c>
      <c r="BL66">
        <v>65738</v>
      </c>
      <c r="BM66">
        <v>16638</v>
      </c>
      <c r="BN66">
        <v>95.655709026699995</v>
      </c>
      <c r="BO66">
        <v>127396</v>
      </c>
      <c r="BP66">
        <v>14145</v>
      </c>
      <c r="BQ66">
        <v>140.38611102390001</v>
      </c>
      <c r="BR66">
        <v>128.95489572290001</v>
      </c>
      <c r="BS66">
        <v>42500</v>
      </c>
      <c r="BT66">
        <v>10614</v>
      </c>
      <c r="BU66">
        <v>90.0569647059</v>
      </c>
      <c r="BV66">
        <v>122733</v>
      </c>
      <c r="BW66">
        <v>14434</v>
      </c>
      <c r="BX66">
        <v>138.04451125610001</v>
      </c>
      <c r="BY66">
        <v>122.3994041846</v>
      </c>
      <c r="CA66" t="s">
        <v>385</v>
      </c>
      <c r="CB66" t="s">
        <v>916</v>
      </c>
      <c r="CC66" t="s">
        <v>1030</v>
      </c>
      <c r="CD66">
        <v>8174</v>
      </c>
      <c r="CE66">
        <v>1622</v>
      </c>
      <c r="CF66">
        <v>80.537558111099997</v>
      </c>
      <c r="CG66">
        <v>18584</v>
      </c>
      <c r="CH66">
        <v>2287</v>
      </c>
      <c r="CI66">
        <v>120.9372040465</v>
      </c>
      <c r="CJ66">
        <v>98.753825972900003</v>
      </c>
      <c r="CL66" t="s">
        <v>385</v>
      </c>
      <c r="CM66" t="s">
        <v>901</v>
      </c>
      <c r="CN66" t="s">
        <v>907</v>
      </c>
      <c r="CO66">
        <v>691</v>
      </c>
      <c r="CP66">
        <v>91</v>
      </c>
      <c r="CQ66">
        <v>68.299565846600004</v>
      </c>
      <c r="CR66">
        <v>2377</v>
      </c>
      <c r="CS66">
        <v>254</v>
      </c>
      <c r="CT66">
        <v>67.987799747599993</v>
      </c>
      <c r="CU66">
        <v>67.192913385799997</v>
      </c>
      <c r="CW66" t="s">
        <v>385</v>
      </c>
      <c r="CX66" t="s">
        <v>909</v>
      </c>
      <c r="CY66" t="s">
        <v>915</v>
      </c>
      <c r="CZ66">
        <v>214</v>
      </c>
      <c r="DA66">
        <v>72</v>
      </c>
      <c r="DB66">
        <v>102.05140186920001</v>
      </c>
      <c r="DC66">
        <v>296</v>
      </c>
      <c r="DD66">
        <v>54</v>
      </c>
      <c r="DE66">
        <v>157.91554054049999</v>
      </c>
      <c r="DF66">
        <v>164.3888888889</v>
      </c>
      <c r="DH66" t="s">
        <v>385</v>
      </c>
      <c r="DI66" t="s">
        <v>893</v>
      </c>
      <c r="DJ66" t="s">
        <v>899</v>
      </c>
      <c r="DK66">
        <v>346</v>
      </c>
      <c r="DL66">
        <v>87</v>
      </c>
      <c r="DM66">
        <v>95.335260115599993</v>
      </c>
      <c r="DN66">
        <v>562</v>
      </c>
      <c r="DO66">
        <v>60</v>
      </c>
      <c r="DP66">
        <v>147.40213523130001</v>
      </c>
      <c r="DQ66">
        <v>146.53333333329999</v>
      </c>
    </row>
    <row r="67" spans="62:121" x14ac:dyDescent="0.2">
      <c r="BJ67" t="s">
        <v>542</v>
      </c>
      <c r="BK67" t="s">
        <v>381</v>
      </c>
      <c r="BL67">
        <v>20258</v>
      </c>
      <c r="BM67">
        <v>4800</v>
      </c>
      <c r="BN67">
        <v>92.7885279889</v>
      </c>
      <c r="BO67">
        <v>39049</v>
      </c>
      <c r="BP67">
        <v>4240</v>
      </c>
      <c r="BQ67">
        <v>144.26064687959999</v>
      </c>
      <c r="BR67">
        <v>135.17146226419999</v>
      </c>
      <c r="BS67">
        <v>19545</v>
      </c>
      <c r="BT67">
        <v>4240</v>
      </c>
      <c r="BU67">
        <v>85.0537733436</v>
      </c>
      <c r="BV67">
        <v>35891</v>
      </c>
      <c r="BW67">
        <v>4073</v>
      </c>
      <c r="BX67">
        <v>133.86472931930001</v>
      </c>
      <c r="BY67">
        <v>125.4804812178</v>
      </c>
      <c r="CA67" t="s">
        <v>381</v>
      </c>
      <c r="CB67" t="s">
        <v>916</v>
      </c>
      <c r="CD67">
        <v>68391</v>
      </c>
      <c r="CE67">
        <v>16904</v>
      </c>
      <c r="CF67">
        <v>94.073094413000007</v>
      </c>
      <c r="CG67">
        <v>136220</v>
      </c>
      <c r="CH67">
        <v>15097</v>
      </c>
      <c r="CI67">
        <v>135.23644105119999</v>
      </c>
      <c r="CJ67">
        <v>124.2994634696</v>
      </c>
      <c r="CL67" t="s">
        <v>381</v>
      </c>
      <c r="CM67" t="s">
        <v>901</v>
      </c>
      <c r="CO67">
        <v>7244</v>
      </c>
      <c r="CP67">
        <v>855</v>
      </c>
      <c r="CQ67">
        <v>68.963556046400001</v>
      </c>
      <c r="CR67">
        <v>17958</v>
      </c>
      <c r="CS67">
        <v>1875</v>
      </c>
      <c r="CT67">
        <v>84.844024947099996</v>
      </c>
      <c r="CU67">
        <v>92.195733333299998</v>
      </c>
      <c r="CW67" t="s">
        <v>381</v>
      </c>
      <c r="CX67" t="s">
        <v>909</v>
      </c>
      <c r="CZ67">
        <v>1830</v>
      </c>
      <c r="DA67">
        <v>522</v>
      </c>
      <c r="DB67">
        <v>96.846448087400006</v>
      </c>
      <c r="DC67">
        <v>2558</v>
      </c>
      <c r="DD67">
        <v>297</v>
      </c>
      <c r="DE67">
        <v>157.7963252541</v>
      </c>
      <c r="DF67">
        <v>160.56565656570001</v>
      </c>
      <c r="DH67" t="s">
        <v>381</v>
      </c>
      <c r="DI67" t="s">
        <v>893</v>
      </c>
      <c r="DK67">
        <v>2163</v>
      </c>
      <c r="DL67">
        <v>502</v>
      </c>
      <c r="DM67">
        <v>92.434119278799997</v>
      </c>
      <c r="DN67">
        <v>3515</v>
      </c>
      <c r="DO67">
        <v>387</v>
      </c>
      <c r="DP67">
        <v>148.31778093880001</v>
      </c>
      <c r="DQ67">
        <v>147.03100775190001</v>
      </c>
    </row>
    <row r="68" spans="62:121" x14ac:dyDescent="0.2">
      <c r="BJ68" t="s">
        <v>308</v>
      </c>
      <c r="BK68" t="s">
        <v>696</v>
      </c>
      <c r="BL68">
        <v>7130</v>
      </c>
      <c r="BM68">
        <v>1533</v>
      </c>
      <c r="BN68">
        <v>86.186816269299996</v>
      </c>
      <c r="BO68">
        <v>13049</v>
      </c>
      <c r="BP68">
        <v>1519</v>
      </c>
      <c r="BQ68">
        <v>135.12184841749999</v>
      </c>
      <c r="BR68">
        <v>124.17972350230001</v>
      </c>
      <c r="BS68">
        <v>2072</v>
      </c>
      <c r="BT68">
        <v>848</v>
      </c>
      <c r="BU68">
        <v>110.6500965251</v>
      </c>
      <c r="BV68">
        <v>2793</v>
      </c>
      <c r="BW68">
        <v>221</v>
      </c>
      <c r="BX68">
        <v>139.4002864304</v>
      </c>
      <c r="BY68">
        <v>153.95927601810001</v>
      </c>
      <c r="CA68" t="s">
        <v>699</v>
      </c>
      <c r="CD68">
        <v>350594</v>
      </c>
      <c r="CE68">
        <v>78533</v>
      </c>
      <c r="CF68">
        <v>88.504529455699995</v>
      </c>
      <c r="CG68">
        <v>713456</v>
      </c>
      <c r="CH68">
        <v>80743</v>
      </c>
      <c r="CI68">
        <v>124.9372687314</v>
      </c>
      <c r="CJ68">
        <v>116.1460436199</v>
      </c>
      <c r="CL68" t="s">
        <v>699</v>
      </c>
      <c r="CO68">
        <v>350594</v>
      </c>
      <c r="CP68">
        <v>78533</v>
      </c>
      <c r="CQ68">
        <v>88.504529455699995</v>
      </c>
      <c r="CR68">
        <v>713456</v>
      </c>
      <c r="CS68">
        <v>80743</v>
      </c>
      <c r="CT68">
        <v>124.9372687314</v>
      </c>
      <c r="CU68">
        <v>116.1460436199</v>
      </c>
      <c r="CW68" t="s">
        <v>699</v>
      </c>
      <c r="CZ68">
        <v>350594</v>
      </c>
      <c r="DA68">
        <v>78533</v>
      </c>
      <c r="DB68">
        <v>88.504529455699995</v>
      </c>
      <c r="DC68">
        <v>713456</v>
      </c>
      <c r="DD68">
        <v>80743</v>
      </c>
      <c r="DE68">
        <v>124.9372687314</v>
      </c>
      <c r="DF68">
        <v>116.1460436199</v>
      </c>
      <c r="DH68" t="s">
        <v>699</v>
      </c>
      <c r="DK68">
        <v>350594</v>
      </c>
      <c r="DL68">
        <v>78533</v>
      </c>
      <c r="DM68">
        <v>88.504529455699995</v>
      </c>
      <c r="DN68">
        <v>713456</v>
      </c>
      <c r="DO68">
        <v>80743</v>
      </c>
      <c r="DP68">
        <v>124.9372687314</v>
      </c>
      <c r="DQ68">
        <v>116.1460436199</v>
      </c>
    </row>
    <row r="69" spans="62:121" x14ac:dyDescent="0.2">
      <c r="BJ69" t="s">
        <v>211</v>
      </c>
      <c r="BK69" t="s">
        <v>696</v>
      </c>
      <c r="BL69">
        <v>51</v>
      </c>
      <c r="BM69">
        <v>11</v>
      </c>
      <c r="BN69">
        <v>81.333333333300004</v>
      </c>
      <c r="BO69">
        <v>119</v>
      </c>
      <c r="BP69">
        <v>12</v>
      </c>
      <c r="BQ69">
        <v>134.57142857139999</v>
      </c>
      <c r="BR69">
        <v>150.0833333333</v>
      </c>
      <c r="BS69">
        <v>2571</v>
      </c>
      <c r="BT69">
        <v>228</v>
      </c>
      <c r="BU69">
        <v>64.160248930400002</v>
      </c>
      <c r="BV69">
        <v>6563</v>
      </c>
      <c r="BW69">
        <v>887</v>
      </c>
      <c r="BX69">
        <v>122.0848697242</v>
      </c>
      <c r="BY69">
        <v>102.62570462230001</v>
      </c>
    </row>
    <row r="70" spans="62:121" x14ac:dyDescent="0.2">
      <c r="BJ70" t="s">
        <v>696</v>
      </c>
      <c r="BK70" t="s">
        <v>696</v>
      </c>
      <c r="BL70">
        <v>8543</v>
      </c>
      <c r="BM70">
        <v>1901</v>
      </c>
      <c r="BN70">
        <v>87.815638534499996</v>
      </c>
      <c r="BO70">
        <v>15655</v>
      </c>
      <c r="BP70">
        <v>1704</v>
      </c>
      <c r="BQ70">
        <v>137.35292238900001</v>
      </c>
      <c r="BR70">
        <v>127.3462441315</v>
      </c>
      <c r="BS70">
        <v>8543</v>
      </c>
      <c r="BT70">
        <v>1901</v>
      </c>
      <c r="BU70">
        <v>87.815638534499996</v>
      </c>
      <c r="BV70">
        <v>15655</v>
      </c>
      <c r="BW70">
        <v>1704</v>
      </c>
      <c r="BX70">
        <v>137.35292238900001</v>
      </c>
      <c r="BY70">
        <v>127.3462441315</v>
      </c>
    </row>
    <row r="71" spans="62:121" x14ac:dyDescent="0.2">
      <c r="BJ71" t="s">
        <v>213</v>
      </c>
      <c r="BK71" t="s">
        <v>696</v>
      </c>
      <c r="BL71">
        <v>1362</v>
      </c>
      <c r="BM71">
        <v>357</v>
      </c>
      <c r="BN71">
        <v>96.585168869300006</v>
      </c>
      <c r="BO71">
        <v>2487</v>
      </c>
      <c r="BP71">
        <v>173</v>
      </c>
      <c r="BQ71">
        <v>149.19219943709999</v>
      </c>
      <c r="BR71">
        <v>153.57225433529999</v>
      </c>
      <c r="BS71">
        <v>3900</v>
      </c>
      <c r="BT71">
        <v>825</v>
      </c>
      <c r="BU71">
        <v>91.278461538499997</v>
      </c>
      <c r="BV71">
        <v>6299</v>
      </c>
      <c r="BW71">
        <v>596</v>
      </c>
      <c r="BX71">
        <v>152.35307191620001</v>
      </c>
      <c r="BY71">
        <v>154.26845637580001</v>
      </c>
    </row>
    <row r="72" spans="62:121" x14ac:dyDescent="0.2">
      <c r="BJ72" t="s">
        <v>209</v>
      </c>
      <c r="BK72" t="s">
        <v>697</v>
      </c>
      <c r="BL72">
        <v>6337</v>
      </c>
      <c r="BM72">
        <v>719</v>
      </c>
      <c r="BN72">
        <v>62.763294934500003</v>
      </c>
      <c r="BO72">
        <v>23415</v>
      </c>
      <c r="BP72">
        <v>2408</v>
      </c>
      <c r="BQ72">
        <v>71.016399743799994</v>
      </c>
      <c r="BR72">
        <v>70.881644518300007</v>
      </c>
      <c r="BS72">
        <v>6347</v>
      </c>
      <c r="BT72">
        <v>715</v>
      </c>
      <c r="BU72">
        <v>62.4849535213</v>
      </c>
      <c r="BV72">
        <v>23540</v>
      </c>
      <c r="BW72">
        <v>2421</v>
      </c>
      <c r="BX72">
        <v>71.213254035700004</v>
      </c>
      <c r="BY72">
        <v>70.952498967400004</v>
      </c>
    </row>
    <row r="73" spans="62:121" x14ac:dyDescent="0.2">
      <c r="BJ73" t="s">
        <v>224</v>
      </c>
      <c r="BK73" t="s">
        <v>697</v>
      </c>
      <c r="BL73">
        <v>832</v>
      </c>
      <c r="BM73">
        <v>413</v>
      </c>
      <c r="BN73">
        <v>177.7584134615</v>
      </c>
      <c r="BO73">
        <v>2998</v>
      </c>
      <c r="BP73">
        <v>354</v>
      </c>
      <c r="BQ73">
        <v>56.147098065400002</v>
      </c>
      <c r="BR73">
        <v>62.350282485900003</v>
      </c>
      <c r="BS73">
        <v>732</v>
      </c>
      <c r="BT73">
        <v>405</v>
      </c>
      <c r="BU73">
        <v>195.95355191260001</v>
      </c>
      <c r="BV73">
        <v>2495</v>
      </c>
      <c r="BW73">
        <v>291</v>
      </c>
      <c r="BX73">
        <v>43.088977955899999</v>
      </c>
      <c r="BY73">
        <v>49.508591065300003</v>
      </c>
    </row>
    <row r="74" spans="62:121" x14ac:dyDescent="0.2">
      <c r="BJ74" t="s">
        <v>210</v>
      </c>
      <c r="BK74" t="s">
        <v>697</v>
      </c>
      <c r="BL74">
        <v>13084</v>
      </c>
      <c r="BM74">
        <v>1505</v>
      </c>
      <c r="BN74">
        <v>66.849128706800002</v>
      </c>
      <c r="BO74">
        <v>26374</v>
      </c>
      <c r="BP74">
        <v>2814</v>
      </c>
      <c r="BQ74">
        <v>95.773375293900003</v>
      </c>
      <c r="BR74">
        <v>107.7643923241</v>
      </c>
      <c r="BS74">
        <v>13147</v>
      </c>
      <c r="BT74">
        <v>1521</v>
      </c>
      <c r="BU74">
        <v>66.955046778699995</v>
      </c>
      <c r="BV74">
        <v>26539</v>
      </c>
      <c r="BW74">
        <v>2829</v>
      </c>
      <c r="BX74">
        <v>96.191981612000006</v>
      </c>
      <c r="BY74">
        <v>108.212796041</v>
      </c>
    </row>
    <row r="75" spans="62:121" x14ac:dyDescent="0.2">
      <c r="BJ75" t="s">
        <v>212</v>
      </c>
      <c r="BK75" t="s">
        <v>697</v>
      </c>
      <c r="BL75">
        <v>8116</v>
      </c>
      <c r="BM75">
        <v>509</v>
      </c>
      <c r="BN75">
        <v>53.747166091700002</v>
      </c>
      <c r="BO75">
        <v>29274</v>
      </c>
      <c r="BP75">
        <v>3115</v>
      </c>
      <c r="BQ75">
        <v>67.858611737399997</v>
      </c>
      <c r="BR75">
        <v>67.511396468699999</v>
      </c>
      <c r="BS75">
        <v>8142</v>
      </c>
      <c r="BT75">
        <v>504</v>
      </c>
      <c r="BU75">
        <v>53.521616310500001</v>
      </c>
      <c r="BV75">
        <v>29487</v>
      </c>
      <c r="BW75">
        <v>3150</v>
      </c>
      <c r="BX75">
        <v>68.060229931799995</v>
      </c>
      <c r="BY75">
        <v>67.931746031700001</v>
      </c>
    </row>
    <row r="76" spans="62:121" x14ac:dyDescent="0.2">
      <c r="BJ76" t="s">
        <v>697</v>
      </c>
      <c r="BK76" t="s">
        <v>697</v>
      </c>
      <c r="BL76">
        <v>28369</v>
      </c>
      <c r="BM76">
        <v>3146</v>
      </c>
      <c r="BN76">
        <v>65.4408685537</v>
      </c>
      <c r="BO76">
        <v>82061</v>
      </c>
      <c r="BP76">
        <v>8691</v>
      </c>
      <c r="BQ76">
        <v>77.303444998200007</v>
      </c>
      <c r="BR76">
        <v>81.268208491500005</v>
      </c>
      <c r="BS76">
        <v>28368</v>
      </c>
      <c r="BT76">
        <v>3145</v>
      </c>
      <c r="BU76">
        <v>65.427982233500003</v>
      </c>
      <c r="BV76">
        <v>82061</v>
      </c>
      <c r="BW76">
        <v>8691</v>
      </c>
      <c r="BX76">
        <v>77.303444998200007</v>
      </c>
      <c r="BY76">
        <v>81.268208491500005</v>
      </c>
    </row>
    <row r="77" spans="62:121" x14ac:dyDescent="0.2">
      <c r="BJ77" t="s">
        <v>307</v>
      </c>
      <c r="BK77" t="s">
        <v>698</v>
      </c>
      <c r="BL77">
        <v>5864</v>
      </c>
      <c r="BM77">
        <v>1520</v>
      </c>
      <c r="BN77">
        <v>89.750852660299998</v>
      </c>
      <c r="BO77">
        <v>8543</v>
      </c>
      <c r="BP77">
        <v>1316</v>
      </c>
      <c r="BQ77">
        <v>146.57801709</v>
      </c>
      <c r="BR77">
        <v>135.62006079029999</v>
      </c>
      <c r="BS77">
        <v>2293</v>
      </c>
      <c r="BT77">
        <v>903</v>
      </c>
      <c r="BU77">
        <v>105.778456171</v>
      </c>
      <c r="BV77">
        <v>2079</v>
      </c>
      <c r="BW77">
        <v>751</v>
      </c>
      <c r="BX77">
        <v>141.10726310730001</v>
      </c>
      <c r="BY77">
        <v>141.74434087879999</v>
      </c>
    </row>
    <row r="78" spans="62:121" x14ac:dyDescent="0.2">
      <c r="BJ78" t="s">
        <v>957</v>
      </c>
      <c r="BK78" t="s">
        <v>698</v>
      </c>
      <c r="BL78">
        <v>1224</v>
      </c>
      <c r="BM78">
        <v>200</v>
      </c>
      <c r="BN78">
        <v>73.338235294100002</v>
      </c>
      <c r="BO78">
        <v>2751</v>
      </c>
      <c r="BP78">
        <v>323</v>
      </c>
      <c r="BQ78">
        <v>130.41875681569999</v>
      </c>
      <c r="BR78">
        <v>124.9566563467</v>
      </c>
      <c r="BS78">
        <v>3248</v>
      </c>
      <c r="BT78">
        <v>485</v>
      </c>
      <c r="BU78">
        <v>70.445812807899998</v>
      </c>
      <c r="BV78">
        <v>5916</v>
      </c>
      <c r="BW78">
        <v>702</v>
      </c>
      <c r="BX78">
        <v>130.33485463150001</v>
      </c>
      <c r="BY78">
        <v>114.3732193732</v>
      </c>
    </row>
    <row r="79" spans="62:121" x14ac:dyDescent="0.2">
      <c r="BJ79" t="s">
        <v>698</v>
      </c>
      <c r="BK79" t="s">
        <v>698</v>
      </c>
      <c r="BL79">
        <v>8329</v>
      </c>
      <c r="BM79">
        <v>2124</v>
      </c>
      <c r="BN79">
        <v>88.480970104500003</v>
      </c>
      <c r="BO79">
        <v>13499</v>
      </c>
      <c r="BP79">
        <v>1926</v>
      </c>
      <c r="BQ79">
        <v>144.879398474</v>
      </c>
      <c r="BR79">
        <v>135.97300103840001</v>
      </c>
      <c r="BS79">
        <v>8329</v>
      </c>
      <c r="BT79">
        <v>2124</v>
      </c>
      <c r="BU79">
        <v>88.480970104500003</v>
      </c>
      <c r="BV79">
        <v>13499</v>
      </c>
      <c r="BW79">
        <v>1926</v>
      </c>
      <c r="BX79">
        <v>144.879398474</v>
      </c>
      <c r="BY79">
        <v>135.97300103840001</v>
      </c>
    </row>
    <row r="80" spans="62:121" x14ac:dyDescent="0.2">
      <c r="BJ80" t="s">
        <v>958</v>
      </c>
      <c r="BK80" t="s">
        <v>698</v>
      </c>
      <c r="BL80">
        <v>1241</v>
      </c>
      <c r="BM80">
        <v>404</v>
      </c>
      <c r="BN80">
        <v>97.415793714700001</v>
      </c>
      <c r="BO80">
        <v>2205</v>
      </c>
      <c r="BP80">
        <v>287</v>
      </c>
      <c r="BQ80">
        <v>156.33968253969999</v>
      </c>
      <c r="BR80">
        <v>149.9895470383</v>
      </c>
      <c r="BS80">
        <v>2788</v>
      </c>
      <c r="BT80">
        <v>736</v>
      </c>
      <c r="BU80">
        <v>95.265423242500006</v>
      </c>
      <c r="BV80">
        <v>5504</v>
      </c>
      <c r="BW80">
        <v>473</v>
      </c>
      <c r="BX80">
        <v>161.9375</v>
      </c>
      <c r="BY80">
        <v>158.86680761100001</v>
      </c>
    </row>
    <row r="81" spans="62:77" x14ac:dyDescent="0.2">
      <c r="BJ81" t="s">
        <v>699</v>
      </c>
      <c r="BL81">
        <v>350594</v>
      </c>
      <c r="BM81">
        <v>78533</v>
      </c>
      <c r="BN81" s="153">
        <v>88.504529455699995</v>
      </c>
      <c r="BO81">
        <v>713456</v>
      </c>
      <c r="BP81">
        <v>80743</v>
      </c>
      <c r="BQ81">
        <v>124.9372687314</v>
      </c>
      <c r="BR81">
        <v>116.1460436199</v>
      </c>
      <c r="BS81">
        <v>350594</v>
      </c>
      <c r="BT81">
        <v>78533</v>
      </c>
      <c r="BU81">
        <v>88.504529455699995</v>
      </c>
      <c r="BV81">
        <v>713456</v>
      </c>
      <c r="BW81">
        <v>80743</v>
      </c>
      <c r="BX81">
        <v>124.9372687314</v>
      </c>
      <c r="BY81">
        <v>116.1460436199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1049</v>
      </c>
      <c r="C2" t="s">
        <v>503</v>
      </c>
      <c r="D2" t="s">
        <v>919</v>
      </c>
      <c r="E2" t="s">
        <v>920</v>
      </c>
      <c r="F2" t="s">
        <v>921</v>
      </c>
      <c r="G2" t="s">
        <v>922</v>
      </c>
      <c r="H2" t="s">
        <v>924</v>
      </c>
      <c r="I2" t="s">
        <v>1043</v>
      </c>
      <c r="J2" t="s">
        <v>925</v>
      </c>
      <c r="K2" t="s">
        <v>926</v>
      </c>
      <c r="L2" t="s">
        <v>923</v>
      </c>
      <c r="M2" t="s">
        <v>928</v>
      </c>
      <c r="N2" t="s">
        <v>929</v>
      </c>
      <c r="O2" t="s">
        <v>930</v>
      </c>
      <c r="P2" t="s">
        <v>931</v>
      </c>
    </row>
    <row r="3" spans="2:16" x14ac:dyDescent="0.2">
      <c r="B3" t="s">
        <v>587</v>
      </c>
      <c r="C3" t="s">
        <v>405</v>
      </c>
      <c r="D3" s="18">
        <v>42465.393587962964</v>
      </c>
      <c r="E3" t="s">
        <v>163</v>
      </c>
      <c r="F3" s="19">
        <v>0.9821492250578705</v>
      </c>
      <c r="G3" s="19">
        <v>0.93554147465437798</v>
      </c>
      <c r="H3" s="19">
        <v>0.92690396110706397</v>
      </c>
      <c r="I3" s="19">
        <v>4.3338388606763589E-2</v>
      </c>
      <c r="J3" s="19">
        <v>0.91975619019743116</v>
      </c>
      <c r="K3" s="19">
        <v>4.709244664559456E-2</v>
      </c>
      <c r="L3" s="19"/>
      <c r="M3" s="19"/>
      <c r="N3" s="19"/>
      <c r="O3" s="19"/>
      <c r="P3" s="19"/>
    </row>
    <row r="4" spans="2:16" x14ac:dyDescent="0.2">
      <c r="B4" t="s">
        <v>646</v>
      </c>
      <c r="C4" t="s">
        <v>405</v>
      </c>
      <c r="D4" s="18">
        <v>42465.393587962964</v>
      </c>
      <c r="E4" t="s">
        <v>188</v>
      </c>
      <c r="F4" s="19">
        <v>0.96304518596946631</v>
      </c>
      <c r="G4" s="19">
        <v>0.89452526799387444</v>
      </c>
      <c r="H4" s="19">
        <v>0.8991880085367483</v>
      </c>
      <c r="I4" s="19">
        <v>4.3810360961336198E-2</v>
      </c>
      <c r="J4" s="19">
        <v>0.94512629125724379</v>
      </c>
      <c r="K4" s="19">
        <v>4.2396531547230436E-2</v>
      </c>
      <c r="L4" s="19"/>
      <c r="M4" s="19"/>
      <c r="N4" s="19"/>
      <c r="O4" s="19"/>
      <c r="P4" s="19"/>
    </row>
    <row r="5" spans="2:16" x14ac:dyDescent="0.2">
      <c r="B5" t="s">
        <v>540</v>
      </c>
      <c r="C5" t="s">
        <v>381</v>
      </c>
      <c r="D5" s="18">
        <v>42465.393587962964</v>
      </c>
      <c r="E5" t="s">
        <v>145</v>
      </c>
      <c r="F5" s="19">
        <v>0.90201252024358591</v>
      </c>
      <c r="G5" s="19">
        <v>0.80097115274106434</v>
      </c>
      <c r="H5" s="19">
        <v>0.87510942066730324</v>
      </c>
      <c r="I5" s="19">
        <v>4.8782316120826293E-2</v>
      </c>
      <c r="J5" s="19">
        <v>0.88445022705026555</v>
      </c>
      <c r="K5" s="19">
        <v>4.5326849183566151E-2</v>
      </c>
      <c r="L5" s="19"/>
      <c r="M5" s="19"/>
      <c r="N5" s="19"/>
      <c r="O5" s="19"/>
      <c r="P5" s="19"/>
    </row>
    <row r="6" spans="2:16" x14ac:dyDescent="0.2">
      <c r="B6" t="s">
        <v>534</v>
      </c>
      <c r="C6" t="s">
        <v>370</v>
      </c>
      <c r="D6" s="18">
        <v>42465.393587962964</v>
      </c>
      <c r="E6" t="s">
        <v>143</v>
      </c>
      <c r="F6" s="19">
        <v>0.96304973953837458</v>
      </c>
      <c r="G6" s="19">
        <v>0.89198779362713798</v>
      </c>
      <c r="H6" s="19">
        <v>0.84150727700989836</v>
      </c>
      <c r="I6" s="19">
        <v>4.4094882152782448E-2</v>
      </c>
      <c r="J6" s="19">
        <v>0.88609343090492554</v>
      </c>
      <c r="K6" s="19">
        <v>4.714693561546774E-2</v>
      </c>
      <c r="L6" s="19"/>
      <c r="M6" s="19"/>
      <c r="N6" s="19"/>
      <c r="O6" s="19"/>
      <c r="P6" s="19"/>
    </row>
    <row r="7" spans="2:16" x14ac:dyDescent="0.2">
      <c r="B7" t="s">
        <v>602</v>
      </c>
      <c r="C7" t="s">
        <v>405</v>
      </c>
      <c r="D7" s="18">
        <v>42465.393587962964</v>
      </c>
      <c r="E7" t="s">
        <v>169</v>
      </c>
      <c r="F7" s="19">
        <v>0.87999153631227944</v>
      </c>
      <c r="G7" s="19">
        <v>0.83984598512302111</v>
      </c>
      <c r="H7" s="19">
        <v>0.90844886549803416</v>
      </c>
      <c r="I7" s="19">
        <v>5.2108757166932661E-2</v>
      </c>
      <c r="J7" s="19">
        <v>0.97622642672254401</v>
      </c>
      <c r="K7" s="19">
        <v>2.3915472850618399E-2</v>
      </c>
      <c r="L7" s="19"/>
      <c r="M7" s="19"/>
      <c r="N7" s="19"/>
      <c r="O7" s="19"/>
      <c r="P7" s="19"/>
    </row>
    <row r="8" spans="2:16" x14ac:dyDescent="0.2">
      <c r="B8" t="s">
        <v>513</v>
      </c>
      <c r="C8" t="s">
        <v>370</v>
      </c>
      <c r="D8" s="18">
        <v>42465.393587962964</v>
      </c>
      <c r="E8" t="s">
        <v>136</v>
      </c>
      <c r="F8" s="19">
        <v>0.92987504496191897</v>
      </c>
      <c r="G8" s="19">
        <v>0.84648164335664333</v>
      </c>
      <c r="H8" s="19">
        <v>0.82152086363127874</v>
      </c>
      <c r="I8" s="19">
        <v>5.8899427134727275E-2</v>
      </c>
      <c r="J8" s="19">
        <v>0.91097535664394835</v>
      </c>
      <c r="K8" s="19">
        <v>5.5082632535489819E-2</v>
      </c>
      <c r="L8" s="19"/>
      <c r="M8" s="19"/>
      <c r="N8" s="19"/>
      <c r="O8" s="19"/>
      <c r="P8" s="19"/>
    </row>
    <row r="9" spans="2:16" x14ac:dyDescent="0.2">
      <c r="B9" t="s">
        <v>521</v>
      </c>
      <c r="C9" t="s">
        <v>370</v>
      </c>
      <c r="D9" s="18">
        <v>42465.393587962964</v>
      </c>
      <c r="E9" t="s">
        <v>139</v>
      </c>
      <c r="F9" s="19">
        <v>0.93185426337895139</v>
      </c>
      <c r="G9" s="19">
        <v>0.91988884097551638</v>
      </c>
      <c r="H9" s="19">
        <v>0.87937548337927396</v>
      </c>
      <c r="I9" s="19">
        <v>5.1955065432304506E-2</v>
      </c>
      <c r="J9" s="19">
        <v>0.86221121986981519</v>
      </c>
      <c r="K9" s="19">
        <v>5.041628237204996E-2</v>
      </c>
      <c r="L9" s="19"/>
      <c r="M9" s="19"/>
      <c r="N9" s="19"/>
      <c r="O9" s="19"/>
      <c r="P9" s="19"/>
    </row>
    <row r="10" spans="2:16" x14ac:dyDescent="0.2">
      <c r="B10" t="s">
        <v>638</v>
      </c>
      <c r="C10" t="s">
        <v>386</v>
      </c>
      <c r="D10" s="18">
        <v>42465.393587962964</v>
      </c>
      <c r="E10" t="s">
        <v>674</v>
      </c>
      <c r="F10" s="19">
        <v>0.91355699772895393</v>
      </c>
      <c r="G10" s="19">
        <v>0.8190759232841972</v>
      </c>
      <c r="H10" s="19">
        <v>0.87013688157888769</v>
      </c>
      <c r="I10" s="19">
        <v>5.3004990466056584E-2</v>
      </c>
      <c r="J10" s="19">
        <v>0.87319885510964812</v>
      </c>
      <c r="K10" s="19">
        <v>5.9145185919201919E-2</v>
      </c>
      <c r="L10" s="19"/>
      <c r="M10" s="19"/>
      <c r="N10" s="19"/>
      <c r="O10" s="19"/>
      <c r="P10" s="19"/>
    </row>
    <row r="11" spans="2:16" x14ac:dyDescent="0.2">
      <c r="B11" t="s">
        <v>568</v>
      </c>
      <c r="C11" t="s">
        <v>391</v>
      </c>
      <c r="D11" s="18">
        <v>42465.393587962964</v>
      </c>
      <c r="E11" t="s">
        <v>155</v>
      </c>
      <c r="F11" s="19">
        <v>0.96750292596368026</v>
      </c>
      <c r="G11" s="19">
        <v>0.88631829343155322</v>
      </c>
      <c r="H11" s="19">
        <v>0.878591362867987</v>
      </c>
      <c r="I11" s="19">
        <v>4.942650229946409E-2</v>
      </c>
      <c r="J11" s="19">
        <v>0.85989565353259623</v>
      </c>
      <c r="K11" s="19">
        <v>4.9206506053255342E-2</v>
      </c>
      <c r="L11" s="252"/>
      <c r="M11" s="252"/>
      <c r="N11" s="252"/>
      <c r="O11" s="252"/>
      <c r="P11" s="252"/>
    </row>
    <row r="12" spans="2:16" x14ac:dyDescent="0.2">
      <c r="B12" t="s">
        <v>560</v>
      </c>
      <c r="C12" t="s">
        <v>391</v>
      </c>
      <c r="D12" s="18">
        <v>42465.393587962964</v>
      </c>
      <c r="E12" t="s">
        <v>152</v>
      </c>
      <c r="F12" s="19">
        <v>0.96661690378977294</v>
      </c>
      <c r="G12" s="19">
        <v>0.87932564330079854</v>
      </c>
      <c r="H12" s="19">
        <v>0.91638384752791557</v>
      </c>
      <c r="I12" s="19">
        <v>4.2979226905206003E-2</v>
      </c>
      <c r="J12" s="19">
        <v>0.85402619404870095</v>
      </c>
      <c r="K12" s="19">
        <v>5.8134905258298918E-2</v>
      </c>
      <c r="L12" s="19"/>
      <c r="M12" s="19"/>
      <c r="N12" s="19"/>
      <c r="O12" s="19"/>
      <c r="P12" s="19"/>
    </row>
    <row r="13" spans="2:16" x14ac:dyDescent="0.2">
      <c r="B13" t="s">
        <v>548</v>
      </c>
      <c r="C13" t="s">
        <v>381</v>
      </c>
      <c r="D13" s="18">
        <v>42465.393587962964</v>
      </c>
      <c r="E13" t="s">
        <v>148</v>
      </c>
      <c r="F13" s="19">
        <v>0.94781095688012751</v>
      </c>
      <c r="G13" s="19">
        <v>0.85967149673475662</v>
      </c>
      <c r="H13" s="19">
        <v>0.91925734978754259</v>
      </c>
      <c r="I13" s="19">
        <v>5.1732604152325549E-2</v>
      </c>
      <c r="J13" s="19">
        <v>0.89797817653691081</v>
      </c>
      <c r="K13" s="19">
        <v>5.6828774317983603E-2</v>
      </c>
      <c r="L13" s="19"/>
      <c r="M13" s="19"/>
      <c r="N13" s="19"/>
      <c r="O13" s="19"/>
      <c r="P13" s="19"/>
    </row>
    <row r="14" spans="2:16" x14ac:dyDescent="0.2">
      <c r="B14" t="s">
        <v>386</v>
      </c>
      <c r="C14" t="s">
        <v>386</v>
      </c>
      <c r="D14" s="18">
        <v>42465.393587962964</v>
      </c>
      <c r="E14" t="s">
        <v>665</v>
      </c>
      <c r="F14" s="19">
        <v>0.95822760102583282</v>
      </c>
      <c r="G14" s="19">
        <v>0.87363626480824341</v>
      </c>
      <c r="H14" s="19">
        <v>0.90098348447734267</v>
      </c>
      <c r="I14" s="19">
        <v>1.7159755225412354E-2</v>
      </c>
      <c r="J14" s="19">
        <v>0.92598241009123738</v>
      </c>
      <c r="K14" s="19">
        <v>1.6515039732678361E-2</v>
      </c>
      <c r="L14" s="19"/>
      <c r="M14" s="19"/>
      <c r="N14" s="19"/>
      <c r="O14" s="19"/>
      <c r="P14" s="19"/>
    </row>
    <row r="15" spans="2:16" x14ac:dyDescent="0.2">
      <c r="B15" t="s">
        <v>585</v>
      </c>
      <c r="C15" t="s">
        <v>386</v>
      </c>
      <c r="D15" s="18">
        <v>42465.393587962964</v>
      </c>
      <c r="E15" t="s">
        <v>162</v>
      </c>
      <c r="F15" s="19">
        <v>0.99053346960113409</v>
      </c>
      <c r="G15" s="19">
        <v>0.96359649122807023</v>
      </c>
      <c r="H15" s="19">
        <v>0.93107233178245419</v>
      </c>
      <c r="I15" s="19">
        <v>4.0790357536019999E-2</v>
      </c>
      <c r="J15" s="19">
        <v>0.88692862066092548</v>
      </c>
      <c r="K15" s="19">
        <v>4.7562620701880436E-2</v>
      </c>
      <c r="L15" s="19"/>
      <c r="M15" s="19"/>
      <c r="N15" s="19"/>
      <c r="O15" s="19"/>
      <c r="P15" s="19"/>
    </row>
    <row r="16" spans="2:16" x14ac:dyDescent="0.2">
      <c r="B16" t="s">
        <v>577</v>
      </c>
      <c r="C16" t="s">
        <v>391</v>
      </c>
      <c r="D16" s="18">
        <v>42465.393587962964</v>
      </c>
      <c r="E16" t="s">
        <v>159</v>
      </c>
      <c r="F16" s="19">
        <v>0.91820168244772227</v>
      </c>
      <c r="G16" s="19">
        <v>0.90158961291105455</v>
      </c>
      <c r="H16" s="19">
        <v>0.96665199315235995</v>
      </c>
      <c r="I16" s="19">
        <v>3.3894401829551127E-2</v>
      </c>
      <c r="J16" s="19">
        <v>0.98203621286469645</v>
      </c>
      <c r="K16" s="19">
        <v>1.9174840240090561E-2</v>
      </c>
      <c r="L16" s="252"/>
      <c r="M16" s="252"/>
      <c r="N16" s="252"/>
      <c r="O16" s="252"/>
      <c r="P16" s="252"/>
    </row>
    <row r="17" spans="2:16" x14ac:dyDescent="0.2">
      <c r="B17" t="s">
        <v>570</v>
      </c>
      <c r="C17" t="s">
        <v>391</v>
      </c>
      <c r="D17" s="18">
        <v>42465.393587962964</v>
      </c>
      <c r="E17" t="s">
        <v>156</v>
      </c>
      <c r="F17" s="19">
        <v>0.94739451871216906</v>
      </c>
      <c r="G17" s="19">
        <v>0.90371914410375953</v>
      </c>
      <c r="H17" s="19">
        <v>0.89296423563946803</v>
      </c>
      <c r="I17" s="19">
        <v>4.6170824425259695E-2</v>
      </c>
      <c r="J17" s="19">
        <v>0.90231120553245314</v>
      </c>
      <c r="K17" s="19">
        <v>4.7542249823298237E-2</v>
      </c>
      <c r="L17" s="19"/>
      <c r="M17" s="19"/>
      <c r="N17" s="19"/>
      <c r="O17" s="19"/>
      <c r="P17" s="19"/>
    </row>
    <row r="18" spans="2:16" x14ac:dyDescent="0.2">
      <c r="B18" t="s">
        <v>634</v>
      </c>
      <c r="C18" t="s">
        <v>391</v>
      </c>
      <c r="D18" s="18">
        <v>42465.393587962964</v>
      </c>
      <c r="E18" t="s">
        <v>183</v>
      </c>
      <c r="F18" s="19">
        <v>0.97111548116625679</v>
      </c>
      <c r="G18" s="19">
        <v>0.92783134568214498</v>
      </c>
      <c r="H18" s="19">
        <v>0.91713020725029482</v>
      </c>
      <c r="I18" s="19">
        <v>4.4863349534090775E-2</v>
      </c>
      <c r="J18" s="19">
        <v>0.97045381911153727</v>
      </c>
      <c r="K18" s="19">
        <v>2.9876660301030783E-2</v>
      </c>
      <c r="L18" s="19"/>
      <c r="M18" s="19"/>
      <c r="N18" s="19"/>
      <c r="O18" s="19"/>
      <c r="P18" s="19"/>
    </row>
    <row r="19" spans="2:16" x14ac:dyDescent="0.2">
      <c r="B19" t="s">
        <v>632</v>
      </c>
      <c r="C19" t="s">
        <v>386</v>
      </c>
      <c r="D19" s="18">
        <v>42465.393587962964</v>
      </c>
      <c r="E19" t="s">
        <v>182</v>
      </c>
      <c r="F19" s="19">
        <v>0.96606390377613227</v>
      </c>
      <c r="G19" s="19">
        <v>0.97467948717948716</v>
      </c>
      <c r="H19" s="19">
        <v>0.96797494780793314</v>
      </c>
      <c r="I19" s="19">
        <v>3.2423224618441042E-2</v>
      </c>
      <c r="J19" s="19">
        <v>0.97053525513877259</v>
      </c>
      <c r="K19" s="19">
        <v>2.6823720744410622E-2</v>
      </c>
      <c r="L19" s="19"/>
      <c r="M19" s="19"/>
      <c r="N19" s="19"/>
      <c r="O19" s="19"/>
      <c r="P19" s="19"/>
    </row>
    <row r="20" spans="2:16" x14ac:dyDescent="0.2">
      <c r="B20" t="s">
        <v>523</v>
      </c>
      <c r="C20" t="s">
        <v>370</v>
      </c>
      <c r="D20" s="18">
        <v>42465.393587962964</v>
      </c>
      <c r="E20" t="s">
        <v>140</v>
      </c>
      <c r="F20" s="19">
        <v>0.97529224025224948</v>
      </c>
      <c r="G20" s="19">
        <v>0.96077391995759354</v>
      </c>
      <c r="H20" s="19">
        <v>0.92530207386351515</v>
      </c>
      <c r="I20" s="19">
        <v>4.2764014250218946E-2</v>
      </c>
      <c r="J20" s="19">
        <v>0.9650988664176221</v>
      </c>
      <c r="K20" s="19">
        <v>3.2057579343067528E-2</v>
      </c>
      <c r="L20" s="19"/>
      <c r="M20" s="19"/>
      <c r="N20" s="19"/>
      <c r="O20" s="19"/>
      <c r="P20" s="19"/>
    </row>
    <row r="21" spans="2:16" x14ac:dyDescent="0.2">
      <c r="B21" t="s">
        <v>642</v>
      </c>
      <c r="C21" t="s">
        <v>405</v>
      </c>
      <c r="D21" s="18">
        <v>42465.393587962964</v>
      </c>
      <c r="E21" t="s">
        <v>186</v>
      </c>
      <c r="F21" s="19">
        <v>0.95286521653413947</v>
      </c>
      <c r="G21" s="19">
        <v>0.9024594745667972</v>
      </c>
      <c r="H21" s="19">
        <v>0.88113784949227958</v>
      </c>
      <c r="I21" s="19">
        <v>4.7321630783911883E-2</v>
      </c>
      <c r="J21" s="19">
        <v>0.96414295559712515</v>
      </c>
      <c r="K21" s="19">
        <v>2.9358305133298755E-2</v>
      </c>
      <c r="L21" s="19"/>
      <c r="M21" s="19"/>
      <c r="N21" s="19"/>
      <c r="O21" s="19"/>
      <c r="P21" s="19"/>
    </row>
    <row r="22" spans="2:16" x14ac:dyDescent="0.2">
      <c r="B22" t="s">
        <v>620</v>
      </c>
      <c r="C22" t="s">
        <v>386</v>
      </c>
      <c r="D22" s="18">
        <v>42465.393587962964</v>
      </c>
      <c r="E22" t="s">
        <v>177</v>
      </c>
      <c r="F22" s="19">
        <v>0.93715810384546361</v>
      </c>
      <c r="G22" s="19">
        <v>0.7822104018912529</v>
      </c>
      <c r="H22" s="19">
        <v>0.83856942333117823</v>
      </c>
      <c r="I22" s="19">
        <v>5.0025388050285856E-2</v>
      </c>
      <c r="J22" s="19">
        <v>0.91232033051500194</v>
      </c>
      <c r="K22" s="19">
        <v>4.24573421793265E-2</v>
      </c>
      <c r="L22" s="19"/>
      <c r="M22" s="19"/>
      <c r="N22" s="19"/>
      <c r="O22" s="19"/>
      <c r="P22" s="19"/>
    </row>
    <row r="23" spans="2:16" x14ac:dyDescent="0.2">
      <c r="B23" t="s">
        <v>538</v>
      </c>
      <c r="C23" t="s">
        <v>370</v>
      </c>
      <c r="D23" s="18">
        <v>42465.393587962964</v>
      </c>
      <c r="E23" t="s">
        <v>144</v>
      </c>
      <c r="F23" s="19">
        <v>0.95996237012336816</v>
      </c>
      <c r="G23" s="19">
        <v>0.85340986977381772</v>
      </c>
      <c r="H23" s="19">
        <v>0.87769333998060461</v>
      </c>
      <c r="I23" s="19">
        <v>4.9031466775316092E-2</v>
      </c>
      <c r="J23" s="19">
        <v>0.88392905595286531</v>
      </c>
      <c r="K23" s="19">
        <v>5.4149566598509086E-2</v>
      </c>
      <c r="L23" s="19"/>
      <c r="M23" s="19"/>
      <c r="N23" s="19"/>
      <c r="O23" s="19"/>
      <c r="P23" s="19"/>
    </row>
    <row r="24" spans="2:16" x14ac:dyDescent="0.2">
      <c r="B24" t="s">
        <v>562</v>
      </c>
      <c r="C24" t="s">
        <v>391</v>
      </c>
      <c r="D24" s="18">
        <v>42465.393587962964</v>
      </c>
      <c r="E24" t="s">
        <v>153</v>
      </c>
      <c r="F24" s="19">
        <v>0.93072154650227401</v>
      </c>
      <c r="G24" s="19">
        <v>0.89712178093920836</v>
      </c>
      <c r="H24" s="19">
        <v>0.89629143791802302</v>
      </c>
      <c r="I24" s="19">
        <v>4.9018007372421124E-2</v>
      </c>
      <c r="J24" s="19">
        <v>0.95262110142312151</v>
      </c>
      <c r="K24" s="19">
        <v>3.0003194873847859E-2</v>
      </c>
      <c r="L24" s="19"/>
      <c r="M24" s="19"/>
      <c r="N24" s="19"/>
      <c r="O24" s="19"/>
      <c r="P24" s="19"/>
    </row>
    <row r="25" spans="2:16" x14ac:dyDescent="0.2">
      <c r="B25" t="s">
        <v>556</v>
      </c>
      <c r="C25" t="s">
        <v>386</v>
      </c>
      <c r="D25" s="18">
        <v>42465.393587962964</v>
      </c>
      <c r="E25" t="s">
        <v>151</v>
      </c>
      <c r="F25" s="19">
        <v>0.93006745070909713</v>
      </c>
      <c r="G25" s="19">
        <v>0.87325958420751459</v>
      </c>
      <c r="H25" s="19">
        <v>0.88243820896693048</v>
      </c>
      <c r="I25" s="19">
        <v>4.651157454744357E-2</v>
      </c>
      <c r="J25" s="19">
        <v>0.8926901838236101</v>
      </c>
      <c r="K25" s="19">
        <v>5.1909099167080086E-2</v>
      </c>
      <c r="L25" s="19"/>
      <c r="M25" s="19"/>
      <c r="N25" s="19"/>
      <c r="O25" s="19"/>
      <c r="P25" s="19"/>
    </row>
    <row r="26" spans="2:16" x14ac:dyDescent="0.2">
      <c r="B26" t="s">
        <v>579</v>
      </c>
      <c r="C26" t="s">
        <v>391</v>
      </c>
      <c r="D26" s="18">
        <v>42465.393587962964</v>
      </c>
      <c r="E26" t="s">
        <v>160</v>
      </c>
      <c r="F26" s="19">
        <v>0.96082095305915893</v>
      </c>
      <c r="G26" s="19">
        <v>0.9174432769910158</v>
      </c>
      <c r="H26" s="19">
        <v>0.93734669881526467</v>
      </c>
      <c r="I26" s="19">
        <v>4.283685299682425E-2</v>
      </c>
      <c r="J26" s="19">
        <v>0.98233837330552665</v>
      </c>
      <c r="K26" s="19">
        <v>2.1610637725139128E-2</v>
      </c>
      <c r="L26" s="19"/>
      <c r="M26" s="19"/>
      <c r="N26" s="19"/>
      <c r="O26" s="19"/>
      <c r="P26" s="19"/>
    </row>
    <row r="27" spans="2:16" x14ac:dyDescent="0.2">
      <c r="B27" t="s">
        <v>608</v>
      </c>
      <c r="C27" t="s">
        <v>386</v>
      </c>
      <c r="D27" s="18">
        <v>42465.393587962964</v>
      </c>
      <c r="E27" t="s">
        <v>172</v>
      </c>
      <c r="F27" s="19">
        <v>0.94573059114891778</v>
      </c>
      <c r="G27" s="19">
        <v>0.92327889849503686</v>
      </c>
      <c r="H27" s="19">
        <v>0.88732626978682305</v>
      </c>
      <c r="I27" s="19">
        <v>5.2543204612511121E-2</v>
      </c>
      <c r="J27" s="19">
        <v>0.93049915312673614</v>
      </c>
      <c r="K27" s="19">
        <v>4.4409372336469272E-2</v>
      </c>
      <c r="L27" s="19"/>
      <c r="M27" s="19"/>
      <c r="N27" s="19"/>
      <c r="O27" s="19"/>
      <c r="P27" s="19"/>
    </row>
    <row r="28" spans="2:16" x14ac:dyDescent="0.2">
      <c r="B28" t="s">
        <v>594</v>
      </c>
      <c r="C28" t="s">
        <v>405</v>
      </c>
      <c r="D28" s="18">
        <v>42465.393587962964</v>
      </c>
      <c r="E28" t="s">
        <v>166</v>
      </c>
      <c r="F28" s="19">
        <v>0.9102298560002885</v>
      </c>
      <c r="G28" s="19">
        <v>0.7560595152387809</v>
      </c>
      <c r="H28" s="19">
        <v>0.86098396732008409</v>
      </c>
      <c r="I28" s="19">
        <v>4.6991974730073306E-2</v>
      </c>
      <c r="J28" s="19">
        <v>0.84292380877126649</v>
      </c>
      <c r="K28" s="19">
        <v>5.5485645779058214E-2</v>
      </c>
      <c r="L28" s="19"/>
      <c r="M28" s="19"/>
      <c r="N28" s="19"/>
      <c r="O28" s="19"/>
      <c r="P28" s="19"/>
    </row>
    <row r="29" spans="2:16" x14ac:dyDescent="0.2">
      <c r="B29" t="s">
        <v>564</v>
      </c>
      <c r="C29" t="s">
        <v>381</v>
      </c>
      <c r="D29" s="18">
        <v>42465.393587962964</v>
      </c>
      <c r="E29" t="s">
        <v>154</v>
      </c>
      <c r="F29" s="19">
        <v>0.96936055088470185</v>
      </c>
      <c r="G29" s="19">
        <v>0.87068518172571985</v>
      </c>
      <c r="H29" s="19">
        <v>0.91538503714669517</v>
      </c>
      <c r="I29" s="19">
        <v>4.321456482712719E-2</v>
      </c>
      <c r="J29" s="19">
        <v>0.92450402028981882</v>
      </c>
      <c r="K29" s="19">
        <v>4.2398688942526304E-2</v>
      </c>
      <c r="L29" s="19"/>
      <c r="M29" s="19"/>
      <c r="N29" s="19"/>
      <c r="O29" s="19"/>
      <c r="P29" s="19"/>
    </row>
    <row r="30" spans="2:16" x14ac:dyDescent="0.2">
      <c r="B30" t="s">
        <v>623</v>
      </c>
      <c r="C30" t="s">
        <v>370</v>
      </c>
      <c r="D30" s="18">
        <v>42465.393587962964</v>
      </c>
      <c r="E30" t="s">
        <v>178</v>
      </c>
      <c r="F30" s="19">
        <v>0.87891096019245418</v>
      </c>
      <c r="G30" s="19">
        <v>0.74363448056086678</v>
      </c>
      <c r="H30" s="19">
        <v>0.89561166707568707</v>
      </c>
      <c r="I30" s="19">
        <v>4.5059126947930322E-2</v>
      </c>
      <c r="J30" s="19">
        <v>0.9066813013621523</v>
      </c>
      <c r="K30" s="19">
        <v>4.8863202178047585E-2</v>
      </c>
      <c r="L30" s="19"/>
      <c r="M30" s="19"/>
      <c r="N30" s="19"/>
      <c r="O30" s="19"/>
      <c r="P30" s="19"/>
    </row>
    <row r="31" spans="2:16" x14ac:dyDescent="0.2">
      <c r="B31" t="s">
        <v>616</v>
      </c>
      <c r="C31" t="s">
        <v>405</v>
      </c>
      <c r="D31" s="18">
        <v>42465.393587962964</v>
      </c>
      <c r="E31" t="s">
        <v>176</v>
      </c>
      <c r="F31" s="19">
        <v>0.96211724969415424</v>
      </c>
      <c r="G31" s="19">
        <v>0.90714023879346461</v>
      </c>
      <c r="H31" s="19">
        <v>0.91801803815006167</v>
      </c>
      <c r="I31" s="19">
        <v>4.8118248491438038E-2</v>
      </c>
      <c r="J31" s="19">
        <v>0.97551973485989751</v>
      </c>
      <c r="K31" s="19">
        <v>2.6054027415962723E-2</v>
      </c>
      <c r="L31" s="19"/>
      <c r="M31" s="19"/>
      <c r="N31" s="19"/>
      <c r="O31" s="19"/>
      <c r="P31" s="19"/>
    </row>
    <row r="32" spans="2:16" x14ac:dyDescent="0.2">
      <c r="B32" t="s">
        <v>391</v>
      </c>
      <c r="C32" t="s">
        <v>391</v>
      </c>
      <c r="D32" s="18">
        <v>42465.393587962964</v>
      </c>
      <c r="E32" t="s">
        <v>664</v>
      </c>
      <c r="F32" s="19">
        <v>0.95936905866120303</v>
      </c>
      <c r="G32" s="19">
        <v>0.91846046317245755</v>
      </c>
      <c r="H32" s="19">
        <v>0.92668834760201324</v>
      </c>
      <c r="I32" s="19">
        <v>1.3214702098592782E-2</v>
      </c>
      <c r="J32" s="19">
        <v>0.9044335510825694</v>
      </c>
      <c r="K32" s="19">
        <v>1.9327862314028863E-2</v>
      </c>
      <c r="L32" s="19"/>
      <c r="M32" s="19"/>
      <c r="N32" s="19"/>
      <c r="O32" s="19"/>
      <c r="P32" s="19"/>
    </row>
    <row r="33" spans="2:16" x14ac:dyDescent="0.2">
      <c r="B33" t="s">
        <v>209</v>
      </c>
      <c r="C33" t="s">
        <v>391</v>
      </c>
      <c r="D33" s="18">
        <v>42465.393587962964</v>
      </c>
      <c r="E33" t="s">
        <v>157</v>
      </c>
      <c r="F33" s="19">
        <v>0.99265787307254716</v>
      </c>
      <c r="G33" s="19">
        <v>0.97332829301075263</v>
      </c>
      <c r="H33" s="19">
        <v>0.97041851869553453</v>
      </c>
      <c r="I33" s="19">
        <v>3.2792604680425018E-2</v>
      </c>
      <c r="J33" s="19">
        <v>0.89430667995394897</v>
      </c>
      <c r="K33" s="19">
        <v>5.0966004176797954E-2</v>
      </c>
      <c r="L33" s="19">
        <v>0.92610022189349128</v>
      </c>
      <c r="M33" s="19">
        <v>0.93828620864700951</v>
      </c>
      <c r="N33" s="19">
        <v>4.2764100494312632E-2</v>
      </c>
      <c r="O33" s="19">
        <v>0.98641239113108437</v>
      </c>
      <c r="P33" s="19">
        <v>1.5313519166583588E-2</v>
      </c>
    </row>
    <row r="34" spans="2:16" x14ac:dyDescent="0.2">
      <c r="B34" t="s">
        <v>572</v>
      </c>
      <c r="C34" t="s">
        <v>391</v>
      </c>
      <c r="D34" s="18">
        <v>42465.393587962964</v>
      </c>
      <c r="E34" t="s">
        <v>157</v>
      </c>
      <c r="F34" s="19">
        <v>0.99265787307254716</v>
      </c>
      <c r="G34" s="19">
        <v>0.97332829301075263</v>
      </c>
      <c r="H34" s="19">
        <v>0.97041851869553453</v>
      </c>
      <c r="I34" s="19">
        <v>3.2792604680425018E-2</v>
      </c>
      <c r="J34" s="19">
        <v>0.89430667995394897</v>
      </c>
      <c r="K34" s="19">
        <v>5.0966004176797954E-2</v>
      </c>
      <c r="L34" s="19">
        <v>0.92610022189349128</v>
      </c>
      <c r="M34" s="19">
        <v>0.93828620864700951</v>
      </c>
      <c r="N34" s="19">
        <v>4.2764100494312632E-2</v>
      </c>
      <c r="O34" s="19">
        <v>0.98641239113108437</v>
      </c>
      <c r="P34" s="19">
        <v>1.5313519166583588E-2</v>
      </c>
    </row>
    <row r="35" spans="2:16" x14ac:dyDescent="0.2">
      <c r="B35" t="s">
        <v>554</v>
      </c>
      <c r="C35" t="s">
        <v>381</v>
      </c>
      <c r="D35" s="18">
        <v>42465.393587962964</v>
      </c>
      <c r="E35" t="s">
        <v>150</v>
      </c>
      <c r="F35" s="19">
        <v>0.91257437172542399</v>
      </c>
      <c r="G35" s="19">
        <v>0.74139185257031992</v>
      </c>
      <c r="H35" s="19">
        <v>0.87781603553531373</v>
      </c>
      <c r="I35" s="19">
        <v>4.7301448977460511E-2</v>
      </c>
      <c r="J35" s="19">
        <v>0.92293925524054909</v>
      </c>
      <c r="K35" s="19">
        <v>4.5870526822447882E-2</v>
      </c>
      <c r="L35" s="19"/>
      <c r="M35" s="19"/>
      <c r="N35" s="19"/>
      <c r="O35" s="19"/>
      <c r="P35" s="19"/>
    </row>
    <row r="36" spans="2:16" x14ac:dyDescent="0.2">
      <c r="B36" t="s">
        <v>610</v>
      </c>
      <c r="C36" t="s">
        <v>386</v>
      </c>
      <c r="D36" s="18">
        <v>42465.393587962964</v>
      </c>
      <c r="E36" t="s">
        <v>173</v>
      </c>
      <c r="F36" s="19">
        <v>0.95092433367359919</v>
      </c>
      <c r="G36" s="19">
        <v>0.89143016949976894</v>
      </c>
      <c r="H36" s="19">
        <v>0.90621081657255909</v>
      </c>
      <c r="I36" s="19">
        <v>4.8727360963441553E-2</v>
      </c>
      <c r="J36" s="19">
        <v>0.93850327559771396</v>
      </c>
      <c r="K36" s="19">
        <v>4.8122737873747282E-2</v>
      </c>
      <c r="L36" s="19"/>
      <c r="M36" s="19"/>
      <c r="N36" s="19"/>
      <c r="O36" s="19"/>
      <c r="P36" s="19"/>
    </row>
    <row r="37" spans="2:16" x14ac:dyDescent="0.2">
      <c r="B37" t="s">
        <v>550</v>
      </c>
      <c r="C37" t="s">
        <v>381</v>
      </c>
      <c r="D37" s="18">
        <v>42465.393587962964</v>
      </c>
      <c r="E37" t="s">
        <v>91</v>
      </c>
      <c r="F37" s="19">
        <v>0.9473736521919297</v>
      </c>
      <c r="G37" s="19">
        <v>0.84382646924640203</v>
      </c>
      <c r="H37" s="19">
        <v>0.93875917221066341</v>
      </c>
      <c r="I37" s="19">
        <v>3.8558624831124814E-2</v>
      </c>
      <c r="J37" s="19">
        <v>0.92718672215075093</v>
      </c>
      <c r="K37" s="19">
        <v>4.2938750550520058E-2</v>
      </c>
      <c r="L37" s="19"/>
      <c r="M37" s="19"/>
      <c r="N37" s="19"/>
      <c r="O37" s="19"/>
      <c r="P37" s="19"/>
    </row>
    <row r="38" spans="2:16" x14ac:dyDescent="0.2">
      <c r="B38" t="s">
        <v>552</v>
      </c>
      <c r="C38" t="s">
        <v>386</v>
      </c>
      <c r="D38" s="18">
        <v>42465.393587962964</v>
      </c>
      <c r="E38" t="s">
        <v>149</v>
      </c>
      <c r="F38" s="19">
        <v>0.93434354779204054</v>
      </c>
      <c r="G38" s="19">
        <v>0.89670707732634336</v>
      </c>
      <c r="H38" s="19">
        <v>0.91793119830091674</v>
      </c>
      <c r="I38" s="19">
        <v>4.3958173186165156E-2</v>
      </c>
      <c r="J38" s="19">
        <v>0.94198332578274446</v>
      </c>
      <c r="K38" s="19">
        <v>3.8559391093976957E-2</v>
      </c>
      <c r="L38" s="19"/>
      <c r="M38" s="19"/>
      <c r="N38" s="19"/>
      <c r="O38" s="19"/>
      <c r="P38" s="19"/>
    </row>
    <row r="39" spans="2:16" x14ac:dyDescent="0.2">
      <c r="B39" t="s">
        <v>519</v>
      </c>
      <c r="C39" t="s">
        <v>370</v>
      </c>
      <c r="D39" s="18">
        <v>42465.393587962964</v>
      </c>
      <c r="E39" t="s">
        <v>138</v>
      </c>
      <c r="F39" s="19">
        <v>0.88591225946487462</v>
      </c>
      <c r="G39" s="19">
        <v>0.83475631447883314</v>
      </c>
      <c r="H39" s="19">
        <v>0.87790840695252481</v>
      </c>
      <c r="I39" s="19">
        <v>5.2653911906180399E-2</v>
      </c>
      <c r="J39" s="19">
        <v>0.93692243526878816</v>
      </c>
      <c r="K39" s="19">
        <v>3.6913534326271744E-2</v>
      </c>
      <c r="L39" s="19"/>
      <c r="M39" s="19"/>
      <c r="N39" s="19"/>
      <c r="O39" s="19"/>
      <c r="P39" s="19"/>
    </row>
    <row r="40" spans="2:16" x14ac:dyDescent="0.2">
      <c r="B40" t="s">
        <v>525</v>
      </c>
      <c r="C40" t="s">
        <v>370</v>
      </c>
      <c r="D40" s="18">
        <v>42465.393587962964</v>
      </c>
      <c r="E40" t="s">
        <v>141</v>
      </c>
      <c r="F40" s="19">
        <v>0.95332045535530086</v>
      </c>
      <c r="G40" s="19">
        <v>0.9127802690582959</v>
      </c>
      <c r="H40" s="19">
        <v>0.89890092363014196</v>
      </c>
      <c r="I40" s="19">
        <v>4.135702055496971E-2</v>
      </c>
      <c r="J40" s="19">
        <v>0.86021837800720002</v>
      </c>
      <c r="K40" s="19">
        <v>4.8688719761789158E-2</v>
      </c>
      <c r="L40" s="19"/>
      <c r="M40" s="19"/>
      <c r="N40" s="19"/>
      <c r="O40" s="19"/>
      <c r="P40" s="19"/>
    </row>
    <row r="41" spans="2:16" x14ac:dyDescent="0.2">
      <c r="B41" t="s">
        <v>370</v>
      </c>
      <c r="C41" t="s">
        <v>370</v>
      </c>
      <c r="D41" s="18">
        <v>42465.393587962964</v>
      </c>
      <c r="E41" t="s">
        <v>663</v>
      </c>
      <c r="F41" s="19">
        <v>0.95339336489511839</v>
      </c>
      <c r="G41" s="19">
        <v>0.87849104249273668</v>
      </c>
      <c r="H41" s="19">
        <v>0.86969653578961459</v>
      </c>
      <c r="I41" s="19">
        <v>1.6725536915465113E-2</v>
      </c>
      <c r="J41" s="19">
        <v>0.88520621936350508</v>
      </c>
      <c r="K41" s="19">
        <v>2.4693787292680298E-2</v>
      </c>
      <c r="L41" s="19"/>
      <c r="M41" s="19"/>
      <c r="N41" s="19"/>
      <c r="O41" s="19"/>
      <c r="P41" s="19"/>
    </row>
    <row r="42" spans="2:16" x14ac:dyDescent="0.2">
      <c r="B42" t="s">
        <v>592</v>
      </c>
      <c r="C42" t="s">
        <v>405</v>
      </c>
      <c r="D42" s="18">
        <v>42465.393587962964</v>
      </c>
      <c r="E42" t="s">
        <v>165</v>
      </c>
      <c r="F42" s="19">
        <v>0.96536207722693645</v>
      </c>
      <c r="G42" s="19">
        <v>0.86137632798899899</v>
      </c>
      <c r="H42" s="19">
        <v>0.91836560189078198</v>
      </c>
      <c r="I42" s="19">
        <v>4.1477017980719781E-2</v>
      </c>
      <c r="J42" s="19">
        <v>0.91633386295873553</v>
      </c>
      <c r="K42" s="19">
        <v>4.2932839359652843E-2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405</v>
      </c>
      <c r="C44" t="s">
        <v>405</v>
      </c>
      <c r="D44" s="18">
        <v>42465.393587962964</v>
      </c>
      <c r="E44" t="s">
        <v>666</v>
      </c>
      <c r="F44" s="19">
        <v>0.9670465847733315</v>
      </c>
      <c r="G44" s="19">
        <v>0.86405010937320692</v>
      </c>
      <c r="H44" s="19">
        <v>0.89362024519362815</v>
      </c>
      <c r="I44" s="19">
        <v>1.7347972941642382E-2</v>
      </c>
      <c r="J44" s="19">
        <v>0.92629984028591805</v>
      </c>
      <c r="K44" s="19">
        <v>1.6081467650945883E-2</v>
      </c>
      <c r="L44" s="19"/>
      <c r="M44" s="19"/>
      <c r="N44" s="19"/>
      <c r="O44" s="19"/>
      <c r="P44" s="19"/>
    </row>
    <row r="45" spans="2:16" x14ac:dyDescent="0.2">
      <c r="B45" t="s">
        <v>210</v>
      </c>
      <c r="C45" t="s">
        <v>370</v>
      </c>
      <c r="D45" s="18">
        <v>42465.393587962964</v>
      </c>
      <c r="E45" t="s">
        <v>99</v>
      </c>
      <c r="F45" s="19">
        <v>0.96752378228962588</v>
      </c>
      <c r="G45" s="19">
        <v>0.91635216944065012</v>
      </c>
      <c r="H45" s="19">
        <v>0.87120074664151514</v>
      </c>
      <c r="I45" s="19">
        <v>4.9579085889787253E-2</v>
      </c>
      <c r="J45" s="19">
        <v>0.88116636107362767</v>
      </c>
      <c r="K45" s="19">
        <v>5.4047278114233134E-2</v>
      </c>
      <c r="L45" s="19">
        <v>0.93655091230135368</v>
      </c>
      <c r="M45" s="19">
        <v>0.92692323297898227</v>
      </c>
      <c r="N45" s="19">
        <v>4.4856457134427929E-2</v>
      </c>
      <c r="O45" s="19">
        <v>0.93074736510482292</v>
      </c>
      <c r="P45" s="19">
        <v>4.7946610651523475E-2</v>
      </c>
    </row>
    <row r="46" spans="2:16" x14ac:dyDescent="0.2">
      <c r="B46" t="s">
        <v>527</v>
      </c>
      <c r="C46" t="s">
        <v>370</v>
      </c>
      <c r="D46" s="18">
        <v>42465.393587962964</v>
      </c>
      <c r="E46" t="s">
        <v>99</v>
      </c>
      <c r="F46" s="19">
        <v>0.96752378228962588</v>
      </c>
      <c r="G46" s="19">
        <v>0.91635216944065012</v>
      </c>
      <c r="H46" s="19">
        <v>0.87120074664151514</v>
      </c>
      <c r="I46" s="19">
        <v>4.9579085889787253E-2</v>
      </c>
      <c r="J46" s="19">
        <v>0.88116636107362767</v>
      </c>
      <c r="K46" s="19">
        <v>5.4047278114233134E-2</v>
      </c>
      <c r="L46" s="19">
        <v>0.93655091230135368</v>
      </c>
      <c r="M46" s="19">
        <v>0.92692323297898227</v>
      </c>
      <c r="N46" s="19">
        <v>4.4856457134427929E-2</v>
      </c>
      <c r="O46" s="19">
        <v>0.93074736510482292</v>
      </c>
      <c r="P46" s="19">
        <v>4.7946610651523475E-2</v>
      </c>
    </row>
    <row r="47" spans="2:16" x14ac:dyDescent="0.2">
      <c r="B47" t="s">
        <v>596</v>
      </c>
      <c r="C47" t="s">
        <v>405</v>
      </c>
      <c r="D47" s="18">
        <v>42465.393587962964</v>
      </c>
      <c r="E47" t="s">
        <v>167</v>
      </c>
      <c r="F47" s="19">
        <v>0.9862051051972891</v>
      </c>
      <c r="G47" s="19">
        <v>0.94702863464084275</v>
      </c>
      <c r="H47" s="19">
        <v>0.88794439683899806</v>
      </c>
      <c r="I47" s="19">
        <v>5.2574691013061496E-2</v>
      </c>
      <c r="J47" s="19">
        <v>0.92447128032366255</v>
      </c>
      <c r="K47" s="19">
        <v>4.7676499963134729E-2</v>
      </c>
      <c r="L47" s="19"/>
      <c r="M47" s="19"/>
      <c r="N47" s="19"/>
      <c r="O47" s="19"/>
      <c r="P47" s="19"/>
    </row>
    <row r="48" spans="2:16" x14ac:dyDescent="0.2">
      <c r="B48" t="s">
        <v>530</v>
      </c>
      <c r="C48" t="s">
        <v>370</v>
      </c>
      <c r="D48" s="18">
        <v>42465.393587962964</v>
      </c>
      <c r="E48" t="s">
        <v>142</v>
      </c>
      <c r="F48" s="19">
        <v>0.90146464638382928</v>
      </c>
      <c r="G48" s="19">
        <v>0.81889894322508883</v>
      </c>
      <c r="H48" s="19">
        <v>0.87903560925712843</v>
      </c>
      <c r="I48" s="19">
        <v>4.8549449885668637E-2</v>
      </c>
      <c r="J48" s="19">
        <v>0.87339857337076443</v>
      </c>
      <c r="K48" s="19">
        <v>6.1622262298756073E-2</v>
      </c>
      <c r="L48" s="19"/>
      <c r="M48" s="19"/>
      <c r="N48" s="19"/>
      <c r="O48" s="19"/>
      <c r="P48" s="19"/>
    </row>
    <row r="49" spans="2:16" x14ac:dyDescent="0.2">
      <c r="B49" t="s">
        <v>604</v>
      </c>
      <c r="C49" t="s">
        <v>405</v>
      </c>
      <c r="D49" s="18">
        <v>42465.393587962964</v>
      </c>
      <c r="E49" t="s">
        <v>170</v>
      </c>
      <c r="F49" s="19">
        <v>0.98417923727099921</v>
      </c>
      <c r="G49" s="19">
        <v>0.92801151815709493</v>
      </c>
      <c r="H49" s="19">
        <v>0.89493964681934612</v>
      </c>
      <c r="I49" s="19">
        <v>5.2489679579474709E-2</v>
      </c>
      <c r="J49" s="19">
        <v>0.94183679680557075</v>
      </c>
      <c r="K49" s="19">
        <v>3.7617447929241619E-2</v>
      </c>
      <c r="L49" s="19"/>
      <c r="M49" s="19"/>
      <c r="N49" s="19"/>
      <c r="O49" s="19"/>
      <c r="P49" s="19"/>
    </row>
    <row r="50" spans="2:16" x14ac:dyDescent="0.2">
      <c r="B50" t="s">
        <v>515</v>
      </c>
      <c r="C50" t="s">
        <v>370</v>
      </c>
      <c r="D50" s="18">
        <v>42465.393587962964</v>
      </c>
      <c r="E50" t="s">
        <v>137</v>
      </c>
      <c r="F50" s="19">
        <v>0.94165163634328763</v>
      </c>
      <c r="G50" s="19">
        <v>0.84048773636511509</v>
      </c>
      <c r="H50" s="19">
        <v>0.84751851029699798</v>
      </c>
      <c r="I50" s="19">
        <v>6.5507002426279187E-2</v>
      </c>
      <c r="J50" s="19">
        <v>0.94275534614517664</v>
      </c>
      <c r="K50" s="19">
        <v>3.9828604634275851E-2</v>
      </c>
      <c r="L50" s="19"/>
      <c r="M50" s="19"/>
      <c r="N50" s="19"/>
      <c r="O50" s="19"/>
      <c r="P50" s="19"/>
    </row>
    <row r="51" spans="2:16" x14ac:dyDescent="0.2">
      <c r="B51" t="s">
        <v>612</v>
      </c>
      <c r="C51" t="s">
        <v>405</v>
      </c>
      <c r="D51" s="18">
        <v>42465.393587962964</v>
      </c>
      <c r="E51" t="s">
        <v>174</v>
      </c>
      <c r="F51" s="19">
        <v>0.94254842635218994</v>
      </c>
      <c r="G51" s="19">
        <v>0.90516227657572912</v>
      </c>
      <c r="H51" s="19">
        <v>0.88906816463156946</v>
      </c>
      <c r="I51" s="19">
        <v>5.0313872194321048E-2</v>
      </c>
      <c r="J51" s="19">
        <v>0.93425456991839895</v>
      </c>
      <c r="K51" s="19">
        <v>4.666436837737379E-2</v>
      </c>
      <c r="L51" s="19"/>
      <c r="M51" s="19"/>
      <c r="N51" s="19"/>
      <c r="O51" s="19"/>
      <c r="P51" s="19"/>
    </row>
    <row r="52" spans="2:16" x14ac:dyDescent="0.2">
      <c r="B52" t="s">
        <v>536</v>
      </c>
      <c r="C52" t="s">
        <v>370</v>
      </c>
      <c r="D52" s="18">
        <v>42465.393587962964</v>
      </c>
      <c r="E52" t="s">
        <v>103</v>
      </c>
      <c r="F52" s="19">
        <v>0.94303945218270968</v>
      </c>
      <c r="G52" s="19">
        <v>0.89208755248209437</v>
      </c>
      <c r="H52" s="19">
        <v>0.89767472120545055</v>
      </c>
      <c r="I52" s="19">
        <v>5.0151540616386471E-2</v>
      </c>
      <c r="J52" s="19">
        <v>0.90107554427584446</v>
      </c>
      <c r="K52" s="19">
        <v>4.6500047247762098E-2</v>
      </c>
      <c r="L52" s="19"/>
      <c r="M52" s="19"/>
      <c r="N52" s="19"/>
      <c r="O52" s="19"/>
      <c r="P52" s="19"/>
    </row>
    <row r="53" spans="2:16" x14ac:dyDescent="0.2">
      <c r="B53" t="s">
        <v>589</v>
      </c>
      <c r="C53" t="s">
        <v>386</v>
      </c>
      <c r="D53" s="18">
        <v>42465.393587962964</v>
      </c>
      <c r="E53" t="s">
        <v>164</v>
      </c>
      <c r="F53" s="19">
        <v>0.98996312725138547</v>
      </c>
      <c r="G53" s="19">
        <v>0.93396911898274293</v>
      </c>
      <c r="H53" s="19">
        <v>0.94147571732738511</v>
      </c>
      <c r="I53" s="19">
        <v>3.6613783479633281E-2</v>
      </c>
      <c r="J53" s="19">
        <v>0.95963409537775979</v>
      </c>
      <c r="K53" s="19">
        <v>3.3859224308189655E-2</v>
      </c>
      <c r="L53" s="252"/>
      <c r="M53" s="252"/>
      <c r="N53" s="252"/>
      <c r="O53" s="252"/>
      <c r="P53" s="252"/>
    </row>
    <row r="54" spans="2:16" x14ac:dyDescent="0.2">
      <c r="B54" t="s">
        <v>625</v>
      </c>
      <c r="C54" t="s">
        <v>405</v>
      </c>
      <c r="D54" s="18">
        <v>42465.393587962964</v>
      </c>
      <c r="E54" t="s">
        <v>179</v>
      </c>
      <c r="F54" s="19">
        <v>0.96821153229363643</v>
      </c>
      <c r="G54" s="19">
        <v>0.85808533971387257</v>
      </c>
      <c r="H54" s="19">
        <v>0.88826989132920819</v>
      </c>
      <c r="I54" s="19">
        <v>4.3272479740570517E-2</v>
      </c>
      <c r="J54" s="19">
        <v>0.92570598301657481</v>
      </c>
      <c r="K54" s="19">
        <v>4.2922233728369008E-2</v>
      </c>
      <c r="L54" s="19"/>
      <c r="M54" s="19"/>
      <c r="N54" s="19"/>
      <c r="O54" s="19"/>
      <c r="P54" s="19"/>
    </row>
    <row r="55" spans="2:16" x14ac:dyDescent="0.2">
      <c r="B55" t="s">
        <v>614</v>
      </c>
      <c r="C55" t="s">
        <v>381</v>
      </c>
      <c r="D55" s="18">
        <v>42465.393587962964</v>
      </c>
      <c r="E55" t="s">
        <v>175</v>
      </c>
      <c r="F55" s="19">
        <v>0.92038355229483015</v>
      </c>
      <c r="G55" s="19">
        <v>0.76720747729477123</v>
      </c>
      <c r="H55" s="19">
        <v>0.8544363873107913</v>
      </c>
      <c r="I55" s="19">
        <v>5.1859679304298467E-2</v>
      </c>
      <c r="J55" s="19">
        <v>0.82233832397587847</v>
      </c>
      <c r="K55" s="19">
        <v>6.0446452515730865E-2</v>
      </c>
      <c r="L55" s="19"/>
      <c r="M55" s="19"/>
      <c r="N55" s="19"/>
      <c r="O55" s="19"/>
      <c r="P55" s="19"/>
    </row>
    <row r="56" spans="2:16" x14ac:dyDescent="0.2">
      <c r="B56" t="s">
        <v>598</v>
      </c>
      <c r="C56" t="s">
        <v>405</v>
      </c>
      <c r="D56" s="18">
        <v>42465.393587962964</v>
      </c>
      <c r="E56" t="s">
        <v>168</v>
      </c>
      <c r="F56" s="19">
        <v>0.97718866953160433</v>
      </c>
      <c r="G56" s="19">
        <v>0.83575563186923707</v>
      </c>
      <c r="H56" s="19">
        <v>0.89705047991212739</v>
      </c>
      <c r="I56" s="19">
        <v>4.5594460942494523E-2</v>
      </c>
      <c r="J56" s="19">
        <v>0.94306234174596837</v>
      </c>
      <c r="K56" s="19">
        <v>3.7388208118946553E-2</v>
      </c>
      <c r="L56" s="19"/>
      <c r="M56" s="19"/>
      <c r="N56" s="19"/>
      <c r="O56" s="19"/>
      <c r="P56" s="19"/>
    </row>
    <row r="57" spans="2:16" x14ac:dyDescent="0.2">
      <c r="B57" t="s">
        <v>636</v>
      </c>
      <c r="C57" t="s">
        <v>391</v>
      </c>
      <c r="D57" s="18">
        <v>42465.393587962964</v>
      </c>
      <c r="E57" t="s">
        <v>184</v>
      </c>
      <c r="F57" s="19">
        <v>0.97577579347537813</v>
      </c>
      <c r="G57" s="19">
        <v>0.90822122571001496</v>
      </c>
      <c r="H57" s="19">
        <v>0.92401821286283425</v>
      </c>
      <c r="I57" s="19">
        <v>4.335676054321233E-2</v>
      </c>
      <c r="J57" s="19">
        <v>0.94134990414490649</v>
      </c>
      <c r="K57" s="19">
        <v>3.8181321333545168E-2</v>
      </c>
      <c r="L57" s="19"/>
      <c r="M57" s="19"/>
      <c r="N57" s="19"/>
      <c r="O57" s="19"/>
      <c r="P57" s="19"/>
    </row>
    <row r="58" spans="2:16" x14ac:dyDescent="0.2">
      <c r="B58" t="s">
        <v>381</v>
      </c>
      <c r="C58" t="s">
        <v>381</v>
      </c>
      <c r="D58" s="18">
        <v>42465.393587962964</v>
      </c>
      <c r="E58" t="s">
        <v>662</v>
      </c>
      <c r="F58" s="19">
        <v>0.93117506011407158</v>
      </c>
      <c r="G58" s="19">
        <v>0.83369806648194777</v>
      </c>
      <c r="H58" s="19">
        <v>0.88987772809958376</v>
      </c>
      <c r="I58" s="19">
        <v>2.1555936040383371E-2</v>
      </c>
      <c r="J58" s="19">
        <v>0.88903220940778604</v>
      </c>
      <c r="K58" s="19">
        <v>2.6744422120957338E-2</v>
      </c>
      <c r="L58" s="19"/>
      <c r="M58" s="19"/>
      <c r="N58" s="19"/>
      <c r="O58" s="19"/>
      <c r="P58" s="19"/>
    </row>
    <row r="59" spans="2:16" x14ac:dyDescent="0.2">
      <c r="B59" t="s">
        <v>575</v>
      </c>
      <c r="C59" t="s">
        <v>391</v>
      </c>
      <c r="D59" s="18">
        <v>42465.393587962964</v>
      </c>
      <c r="E59" t="s">
        <v>158</v>
      </c>
      <c r="F59" s="19">
        <v>0.89716281722269742</v>
      </c>
      <c r="G59" s="19">
        <v>0.89394631117604095</v>
      </c>
      <c r="H59" s="19">
        <v>0.91262865907770319</v>
      </c>
      <c r="I59" s="19">
        <v>4.3061065179202697E-2</v>
      </c>
      <c r="J59" s="19">
        <v>0.86203262146658377</v>
      </c>
      <c r="K59" s="19">
        <v>5.3335338694861532E-2</v>
      </c>
      <c r="L59" s="19"/>
      <c r="M59" s="19"/>
      <c r="N59" s="19"/>
      <c r="O59" s="19"/>
      <c r="P59" s="19"/>
    </row>
    <row r="60" spans="2:16" x14ac:dyDescent="0.2">
      <c r="B60" t="s">
        <v>212</v>
      </c>
      <c r="C60" t="s">
        <v>391</v>
      </c>
      <c r="D60" s="18">
        <v>42465.393587962964</v>
      </c>
      <c r="E60" t="s">
        <v>161</v>
      </c>
      <c r="F60" s="19">
        <v>1</v>
      </c>
      <c r="G60" s="19">
        <v>1</v>
      </c>
      <c r="H60" s="19">
        <v>0.96985480785950284</v>
      </c>
      <c r="I60" s="19">
        <v>2.9989799950725881E-2</v>
      </c>
      <c r="J60" s="19">
        <v>0.88883409336842012</v>
      </c>
      <c r="K60" s="19">
        <v>4.9971817013417026E-2</v>
      </c>
      <c r="L60" s="19">
        <v>0.96259235203377447</v>
      </c>
      <c r="M60" s="19">
        <v>0.99165156731291904</v>
      </c>
      <c r="N60" s="19">
        <v>1.2449885009320311E-2</v>
      </c>
      <c r="O60" s="19">
        <v>0.98308594598508436</v>
      </c>
      <c r="P60" s="19">
        <v>2.0504052722243458E-2</v>
      </c>
    </row>
    <row r="61" spans="2:16" x14ac:dyDescent="0.2">
      <c r="B61" t="s">
        <v>581</v>
      </c>
      <c r="C61" t="s">
        <v>391</v>
      </c>
      <c r="D61" s="18">
        <v>42465.393587962964</v>
      </c>
      <c r="E61" t="s">
        <v>161</v>
      </c>
      <c r="F61" s="19">
        <v>1</v>
      </c>
      <c r="G61" s="19">
        <v>1</v>
      </c>
      <c r="H61" s="19">
        <v>0.96985480785950284</v>
      </c>
      <c r="I61" s="19">
        <v>2.9989799950725881E-2</v>
      </c>
      <c r="J61" s="19">
        <v>0.88883409336842012</v>
      </c>
      <c r="K61" s="19">
        <v>4.9971817013417026E-2</v>
      </c>
      <c r="L61" s="19">
        <v>0.96259235203377447</v>
      </c>
      <c r="M61" s="19">
        <v>0.99165156731291904</v>
      </c>
      <c r="N61" s="19">
        <v>1.2449885009320311E-2</v>
      </c>
      <c r="O61" s="19">
        <v>0.98308594598508436</v>
      </c>
      <c r="P61" s="19">
        <v>2.0504052722243458E-2</v>
      </c>
    </row>
    <row r="62" spans="2:16" x14ac:dyDescent="0.2">
      <c r="B62" t="s">
        <v>542</v>
      </c>
      <c r="C62" t="s">
        <v>381</v>
      </c>
      <c r="D62" s="18">
        <v>42465.393587962964</v>
      </c>
      <c r="E62" t="s">
        <v>146</v>
      </c>
      <c r="F62" s="19">
        <v>0.93342479355274033</v>
      </c>
      <c r="G62" s="19">
        <v>0.86378676595947823</v>
      </c>
      <c r="H62" s="19">
        <v>0.86298907971134176</v>
      </c>
      <c r="I62" s="19">
        <v>5.5605095794104144E-2</v>
      </c>
      <c r="J62" s="19">
        <v>0.86438751373049716</v>
      </c>
      <c r="K62" s="19">
        <v>6.1463679474836469E-2</v>
      </c>
      <c r="L62" s="19"/>
      <c r="M62" s="19"/>
      <c r="N62" s="19"/>
      <c r="O62" s="19"/>
      <c r="P62" s="19"/>
    </row>
    <row r="63" spans="2:16" x14ac:dyDescent="0.2">
      <c r="B63" t="s">
        <v>628</v>
      </c>
      <c r="C63" t="s">
        <v>370</v>
      </c>
      <c r="D63" s="18">
        <v>42465.393587962964</v>
      </c>
      <c r="E63" t="s">
        <v>180</v>
      </c>
      <c r="F63" s="19">
        <v>0.98920559574613742</v>
      </c>
      <c r="G63" s="19">
        <v>0.93597502401536981</v>
      </c>
      <c r="H63" s="19">
        <v>0.89244897959183656</v>
      </c>
      <c r="I63" s="19">
        <v>5.2823918376779348E-2</v>
      </c>
      <c r="J63" s="19">
        <v>0.9514675187743421</v>
      </c>
      <c r="K63" s="19">
        <v>3.2353071975654332E-2</v>
      </c>
      <c r="L63" s="19"/>
      <c r="M63" s="19"/>
      <c r="N63" s="19"/>
      <c r="O63" s="19"/>
      <c r="P63" s="19"/>
    </row>
    <row r="64" spans="2:16" x14ac:dyDescent="0.2">
      <c r="B64" t="s">
        <v>697</v>
      </c>
      <c r="C64" t="s">
        <v>6</v>
      </c>
      <c r="D64" s="18">
        <v>42465.393587962964</v>
      </c>
      <c r="E64" t="s">
        <v>438</v>
      </c>
      <c r="F64" s="19"/>
      <c r="G64" s="19"/>
      <c r="H64" s="19"/>
      <c r="I64" s="19"/>
      <c r="J64" s="19"/>
      <c r="K64" s="19"/>
      <c r="L64" s="19">
        <v>0.94248129960600691</v>
      </c>
      <c r="M64" s="19">
        <v>0.95445230946200188</v>
      </c>
      <c r="N64" s="19">
        <v>2.0306229423582067E-2</v>
      </c>
      <c r="O64" s="19">
        <v>0.96538192843619375</v>
      </c>
      <c r="P64" s="19">
        <v>1.9487394664579584E-2</v>
      </c>
    </row>
    <row r="65" spans="2:16" x14ac:dyDescent="0.2">
      <c r="B65" t="s">
        <v>699</v>
      </c>
      <c r="C65" t="s">
        <v>6</v>
      </c>
      <c r="D65" s="18">
        <v>42465.393587962964</v>
      </c>
      <c r="E65" t="s">
        <v>438</v>
      </c>
      <c r="F65" s="19">
        <v>0.95489808073279026</v>
      </c>
      <c r="G65" s="19">
        <v>0.87314968113639391</v>
      </c>
      <c r="H65" s="19">
        <v>0.89512237726921706</v>
      </c>
      <c r="I65" s="19">
        <v>7.799357624561196E-3</v>
      </c>
      <c r="J65" s="19">
        <v>0.90373182332012225</v>
      </c>
      <c r="K65" s="19">
        <v>9.9877758926800904E-3</v>
      </c>
      <c r="L65" s="19">
        <v>0.94248129960600691</v>
      </c>
      <c r="M65" s="19">
        <v>0.95445230946200188</v>
      </c>
      <c r="N65" s="19">
        <v>2.0306229423582067E-2</v>
      </c>
      <c r="O65" s="19">
        <v>0.96538192843619375</v>
      </c>
      <c r="P65" s="19">
        <v>1.9487394664579584E-2</v>
      </c>
    </row>
    <row r="66" spans="2:16" x14ac:dyDescent="0.2">
      <c r="B66" t="s">
        <v>606</v>
      </c>
      <c r="C66" t="s">
        <v>386</v>
      </c>
      <c r="D66" s="18">
        <v>42465.393587962964</v>
      </c>
      <c r="E66" t="s">
        <v>171</v>
      </c>
      <c r="F66" s="19">
        <v>0.950563802135998</v>
      </c>
      <c r="G66" s="19">
        <v>0.83307345807345812</v>
      </c>
      <c r="H66" s="19">
        <v>0.90531638449337903</v>
      </c>
      <c r="I66" s="19">
        <v>4.3071233767713719E-2</v>
      </c>
      <c r="J66" s="19">
        <v>0.89378340811385426</v>
      </c>
      <c r="K66" s="19">
        <v>4.8824336386175275E-2</v>
      </c>
      <c r="L66" s="19"/>
      <c r="M66" s="19"/>
      <c r="N66" s="19"/>
      <c r="O66" s="19"/>
      <c r="P66" s="19"/>
    </row>
    <row r="67" spans="2:16" x14ac:dyDescent="0.2">
      <c r="B67" t="s">
        <v>671</v>
      </c>
      <c r="C67" t="s">
        <v>370</v>
      </c>
      <c r="D67" s="18">
        <v>42465.393587962964</v>
      </c>
      <c r="E67" t="s">
        <v>670</v>
      </c>
      <c r="F67" s="152">
        <v>0.78293515358361776</v>
      </c>
      <c r="G67" s="152">
        <v>0.8127208480565371</v>
      </c>
      <c r="H67" s="152">
        <v>0.90146484051538556</v>
      </c>
      <c r="I67" s="152">
        <v>0.10254957345666249</v>
      </c>
      <c r="J67" s="152">
        <v>0.82222894043155481</v>
      </c>
      <c r="K67" s="152">
        <v>6.9333679647502602E-2</v>
      </c>
      <c r="L67" s="152"/>
      <c r="M67" s="152"/>
      <c r="N67" s="152"/>
      <c r="O67" s="152"/>
      <c r="P67" s="152"/>
    </row>
    <row r="68" spans="2:16" x14ac:dyDescent="0.2">
      <c r="B68" t="s">
        <v>630</v>
      </c>
      <c r="C68" t="s">
        <v>370</v>
      </c>
      <c r="D68" s="18">
        <v>42465.393587962964</v>
      </c>
      <c r="E68" t="s">
        <v>89</v>
      </c>
      <c r="F68" s="152">
        <v>0.9277195705600827</v>
      </c>
      <c r="G68" s="152">
        <v>0.84851796655075329</v>
      </c>
      <c r="H68" s="152">
        <v>0.83915214371888847</v>
      </c>
      <c r="I68" s="152">
        <v>5.1698352474919031E-2</v>
      </c>
      <c r="J68" s="152">
        <v>0.89282245033742025</v>
      </c>
      <c r="K68" s="152">
        <v>4.4050172620826444E-2</v>
      </c>
      <c r="L68" s="152"/>
      <c r="M68" s="152"/>
      <c r="N68" s="152"/>
      <c r="O68" s="152"/>
      <c r="P68" s="152"/>
    </row>
    <row r="69" spans="2:16" x14ac:dyDescent="0.2">
      <c r="B69" t="s">
        <v>640</v>
      </c>
      <c r="C69" t="s">
        <v>391</v>
      </c>
      <c r="D69" s="18">
        <v>42465.393587962964</v>
      </c>
      <c r="E69" t="s">
        <v>185</v>
      </c>
      <c r="F69" s="152">
        <v>0.9496165396034264</v>
      </c>
      <c r="G69" s="152">
        <v>0.88087266156462574</v>
      </c>
      <c r="H69" s="152">
        <v>0.90497056159420286</v>
      </c>
      <c r="I69" s="152">
        <v>4.6580078425717417E-2</v>
      </c>
      <c r="J69" s="152">
        <v>0.90326152004787541</v>
      </c>
      <c r="K69" s="152">
        <v>6.1630259807717566E-2</v>
      </c>
      <c r="L69" s="152"/>
      <c r="M69" s="152"/>
      <c r="N69" s="152"/>
      <c r="O69" s="152"/>
      <c r="P69" s="152"/>
    </row>
    <row r="70" spans="2:16" x14ac:dyDescent="0.2">
      <c r="B70" t="s">
        <v>644</v>
      </c>
      <c r="C70" t="s">
        <v>370</v>
      </c>
      <c r="D70" s="18">
        <v>42465.393587962964</v>
      </c>
      <c r="E70" t="s">
        <v>187</v>
      </c>
      <c r="F70" s="152">
        <v>0.94343222947187011</v>
      </c>
      <c r="G70" s="152">
        <v>0.92777777777777781</v>
      </c>
      <c r="H70" s="152">
        <v>0.85867744644340371</v>
      </c>
      <c r="I70" s="152">
        <v>5.1040043344436369E-2</v>
      </c>
      <c r="J70" s="152">
        <v>0.8719542057454146</v>
      </c>
      <c r="K70" s="152">
        <v>5.5733233864257416E-2</v>
      </c>
      <c r="L70" s="152"/>
      <c r="M70" s="152"/>
      <c r="N70" s="152"/>
      <c r="O70" s="152"/>
      <c r="P70" s="152"/>
    </row>
    <row r="71" spans="2:16" x14ac:dyDescent="0.2">
      <c r="B71" t="s">
        <v>544</v>
      </c>
      <c r="C71" t="s">
        <v>370</v>
      </c>
      <c r="D71" s="18">
        <v>42465.393587962964</v>
      </c>
      <c r="E71" t="s">
        <v>147</v>
      </c>
      <c r="F71" s="152">
        <v>0.96845417061606776</v>
      </c>
      <c r="G71" s="152">
        <v>0.87017212554402634</v>
      </c>
      <c r="H71" s="152">
        <v>0.84312663035498336</v>
      </c>
      <c r="I71" s="152">
        <v>5.1682697758815906E-2</v>
      </c>
      <c r="J71" s="152">
        <v>0.93812250569203515</v>
      </c>
      <c r="K71" s="152">
        <v>3.9642459938580572E-2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951</v>
      </c>
      <c r="C2" t="s">
        <v>952</v>
      </c>
      <c r="D2" t="s">
        <v>133</v>
      </c>
      <c r="F2" t="s">
        <v>946</v>
      </c>
      <c r="G2" t="s">
        <v>933</v>
      </c>
      <c r="H2" t="s">
        <v>934</v>
      </c>
      <c r="I2" t="s">
        <v>935</v>
      </c>
      <c r="J2" t="s">
        <v>936</v>
      </c>
      <c r="K2" t="s">
        <v>937</v>
      </c>
      <c r="L2" t="s">
        <v>938</v>
      </c>
      <c r="M2" t="s">
        <v>939</v>
      </c>
      <c r="N2" t="s">
        <v>940</v>
      </c>
      <c r="O2" t="s">
        <v>941</v>
      </c>
      <c r="P2" t="s">
        <v>942</v>
      </c>
      <c r="Q2" t="s">
        <v>943</v>
      </c>
      <c r="R2" t="s">
        <v>944</v>
      </c>
      <c r="S2" t="s">
        <v>945</v>
      </c>
      <c r="V2" t="s">
        <v>947</v>
      </c>
      <c r="W2" t="s">
        <v>933</v>
      </c>
      <c r="X2" t="s">
        <v>934</v>
      </c>
      <c r="Y2" t="s">
        <v>935</v>
      </c>
      <c r="Z2" t="s">
        <v>936</v>
      </c>
      <c r="AA2" t="s">
        <v>937</v>
      </c>
      <c r="AB2" t="s">
        <v>938</v>
      </c>
      <c r="AC2" t="s">
        <v>939</v>
      </c>
      <c r="AD2" t="s">
        <v>940</v>
      </c>
      <c r="AE2" t="s">
        <v>941</v>
      </c>
      <c r="AF2" t="s">
        <v>942</v>
      </c>
      <c r="AG2" t="s">
        <v>943</v>
      </c>
      <c r="AH2" t="s">
        <v>944</v>
      </c>
      <c r="AI2" t="s">
        <v>945</v>
      </c>
      <c r="AL2" t="s">
        <v>948</v>
      </c>
      <c r="AM2" t="s">
        <v>933</v>
      </c>
      <c r="AN2" t="s">
        <v>934</v>
      </c>
      <c r="AO2" t="s">
        <v>935</v>
      </c>
      <c r="AP2" t="s">
        <v>936</v>
      </c>
      <c r="AQ2" t="s">
        <v>937</v>
      </c>
      <c r="AR2" t="s">
        <v>938</v>
      </c>
      <c r="AS2" t="s">
        <v>939</v>
      </c>
      <c r="AT2" t="s">
        <v>940</v>
      </c>
      <c r="AU2" t="s">
        <v>941</v>
      </c>
      <c r="AV2" t="s">
        <v>942</v>
      </c>
      <c r="AW2" t="s">
        <v>943</v>
      </c>
      <c r="AX2" t="s">
        <v>944</v>
      </c>
      <c r="AY2" t="s">
        <v>945</v>
      </c>
    </row>
    <row r="3" spans="2:51" x14ac:dyDescent="0.2">
      <c r="B3" t="s">
        <v>954</v>
      </c>
      <c r="C3">
        <v>408255</v>
      </c>
      <c r="D3">
        <v>415.26489952970002</v>
      </c>
      <c r="F3" t="s">
        <v>8</v>
      </c>
      <c r="G3">
        <v>10339</v>
      </c>
      <c r="P3">
        <v>10339</v>
      </c>
      <c r="Q3">
        <v>177.2032504595</v>
      </c>
      <c r="V3" t="s">
        <v>309</v>
      </c>
      <c r="W3">
        <v>424</v>
      </c>
      <c r="X3">
        <v>294</v>
      </c>
      <c r="Y3">
        <v>333.03741496599997</v>
      </c>
      <c r="Z3">
        <v>40</v>
      </c>
      <c r="AA3">
        <v>593.85</v>
      </c>
      <c r="AB3">
        <v>84</v>
      </c>
      <c r="AC3">
        <v>534.94047619050002</v>
      </c>
      <c r="AD3">
        <v>32</v>
      </c>
      <c r="AE3">
        <v>678.1875</v>
      </c>
      <c r="AF3">
        <v>13</v>
      </c>
      <c r="AG3">
        <v>193.76923076919999</v>
      </c>
      <c r="AH3">
        <v>1</v>
      </c>
      <c r="AI3">
        <v>285</v>
      </c>
      <c r="AL3" t="s">
        <v>309</v>
      </c>
      <c r="AM3">
        <v>1</v>
      </c>
      <c r="AN3">
        <v>1</v>
      </c>
      <c r="AO3">
        <v>246</v>
      </c>
      <c r="AP3">
        <v>4</v>
      </c>
      <c r="AQ3">
        <v>643.75</v>
      </c>
    </row>
    <row r="4" spans="2:51" x14ac:dyDescent="0.2">
      <c r="B4" t="s">
        <v>953</v>
      </c>
      <c r="C4">
        <v>35093</v>
      </c>
      <c r="D4">
        <v>415.26489952970002</v>
      </c>
      <c r="F4" t="s">
        <v>8</v>
      </c>
      <c r="G4">
        <v>10339</v>
      </c>
      <c r="P4">
        <v>10339</v>
      </c>
      <c r="Q4">
        <v>177.2032504595</v>
      </c>
      <c r="V4" t="s">
        <v>8</v>
      </c>
      <c r="W4">
        <v>4524</v>
      </c>
      <c r="X4">
        <v>3360</v>
      </c>
      <c r="Y4">
        <v>474.27537957729999</v>
      </c>
      <c r="Z4">
        <v>561</v>
      </c>
      <c r="AA4">
        <v>439.36363636359999</v>
      </c>
      <c r="AB4">
        <v>463</v>
      </c>
      <c r="AC4">
        <v>465.33261339090001</v>
      </c>
      <c r="AD4">
        <v>668</v>
      </c>
      <c r="AE4">
        <v>861.95958083829998</v>
      </c>
      <c r="AF4">
        <v>30</v>
      </c>
      <c r="AG4">
        <v>414.4</v>
      </c>
      <c r="AH4">
        <v>3</v>
      </c>
      <c r="AI4">
        <v>717.66666666670005</v>
      </c>
      <c r="AL4" t="s">
        <v>8</v>
      </c>
      <c r="AM4">
        <v>42</v>
      </c>
      <c r="AN4">
        <v>36</v>
      </c>
      <c r="AO4">
        <v>232.5277777778</v>
      </c>
      <c r="AP4">
        <v>8</v>
      </c>
      <c r="AQ4">
        <v>300.875</v>
      </c>
      <c r="AR4">
        <v>6</v>
      </c>
      <c r="AS4">
        <v>230.6666666667</v>
      </c>
    </row>
    <row r="5" spans="2:51" x14ac:dyDescent="0.2">
      <c r="B5" t="s">
        <v>965</v>
      </c>
      <c r="C5">
        <v>28601</v>
      </c>
      <c r="D5">
        <v>565.19366455720001</v>
      </c>
      <c r="F5" t="s">
        <v>43</v>
      </c>
      <c r="G5">
        <v>602</v>
      </c>
      <c r="H5">
        <v>507</v>
      </c>
      <c r="I5">
        <v>257.83826429980002</v>
      </c>
      <c r="J5">
        <v>53</v>
      </c>
      <c r="K5">
        <v>536.88679245280002</v>
      </c>
      <c r="L5">
        <v>73</v>
      </c>
      <c r="M5">
        <v>240.43835616440001</v>
      </c>
      <c r="N5">
        <v>20</v>
      </c>
      <c r="O5">
        <v>267.14999999999998</v>
      </c>
      <c r="R5">
        <v>2</v>
      </c>
      <c r="S5">
        <v>303.5</v>
      </c>
      <c r="V5" t="s">
        <v>8</v>
      </c>
      <c r="W5">
        <v>4948</v>
      </c>
      <c r="X5">
        <v>3654</v>
      </c>
      <c r="Y5">
        <v>462.90829455239998</v>
      </c>
      <c r="Z5">
        <v>601</v>
      </c>
      <c r="AA5">
        <v>449.64559068220001</v>
      </c>
      <c r="AB5">
        <v>547</v>
      </c>
      <c r="AC5">
        <v>476.02193784280001</v>
      </c>
      <c r="AD5">
        <v>700</v>
      </c>
      <c r="AE5">
        <v>853.55857142859998</v>
      </c>
      <c r="AF5">
        <v>43</v>
      </c>
      <c r="AG5">
        <v>347.6976744186</v>
      </c>
      <c r="AH5">
        <v>4</v>
      </c>
      <c r="AI5">
        <v>609.5</v>
      </c>
      <c r="AL5" t="s">
        <v>8</v>
      </c>
      <c r="AM5">
        <v>43</v>
      </c>
      <c r="AN5">
        <v>37</v>
      </c>
      <c r="AO5">
        <v>232.8918918919</v>
      </c>
      <c r="AP5">
        <v>12</v>
      </c>
      <c r="AQ5">
        <v>415.1666666667</v>
      </c>
      <c r="AR5">
        <v>6</v>
      </c>
      <c r="AS5">
        <v>230.6666666667</v>
      </c>
    </row>
    <row r="6" spans="2:51" x14ac:dyDescent="0.2">
      <c r="B6" t="s">
        <v>241</v>
      </c>
      <c r="C6">
        <v>53721</v>
      </c>
      <c r="D6">
        <v>571.37672418609998</v>
      </c>
      <c r="F6" t="s">
        <v>37</v>
      </c>
      <c r="G6">
        <v>8372</v>
      </c>
      <c r="H6">
        <v>6700</v>
      </c>
      <c r="I6">
        <v>443.03029850749999</v>
      </c>
      <c r="J6">
        <v>348</v>
      </c>
      <c r="K6">
        <v>917.81896551720001</v>
      </c>
      <c r="L6">
        <v>1157</v>
      </c>
      <c r="M6">
        <v>620.80639585129995</v>
      </c>
      <c r="N6">
        <v>496</v>
      </c>
      <c r="O6">
        <v>591.46774193550004</v>
      </c>
      <c r="R6">
        <v>19</v>
      </c>
      <c r="S6">
        <v>494.7894736842</v>
      </c>
      <c r="V6" t="s">
        <v>400</v>
      </c>
      <c r="W6">
        <v>1431</v>
      </c>
      <c r="X6">
        <v>775</v>
      </c>
      <c r="Y6">
        <v>184.6051612903</v>
      </c>
      <c r="Z6">
        <v>214</v>
      </c>
      <c r="AA6">
        <v>272.69626168219997</v>
      </c>
      <c r="AB6">
        <v>463</v>
      </c>
      <c r="AC6">
        <v>301.0993520518</v>
      </c>
      <c r="AD6">
        <v>123</v>
      </c>
      <c r="AE6">
        <v>308.29268292680001</v>
      </c>
      <c r="AF6">
        <v>68</v>
      </c>
      <c r="AG6">
        <v>181.54411764709999</v>
      </c>
      <c r="AH6">
        <v>2</v>
      </c>
      <c r="AI6">
        <v>75</v>
      </c>
      <c r="AL6" t="s">
        <v>400</v>
      </c>
      <c r="AM6">
        <v>36</v>
      </c>
      <c r="AN6">
        <v>28</v>
      </c>
      <c r="AO6">
        <v>95.142857142899999</v>
      </c>
      <c r="AP6">
        <v>17</v>
      </c>
      <c r="AQ6">
        <v>245.1176470588</v>
      </c>
      <c r="AR6">
        <v>8</v>
      </c>
      <c r="AS6">
        <v>190.75</v>
      </c>
    </row>
    <row r="7" spans="2:51" x14ac:dyDescent="0.2">
      <c r="B7" t="s">
        <v>240</v>
      </c>
      <c r="C7">
        <v>239133</v>
      </c>
      <c r="D7">
        <v>403.5522132776</v>
      </c>
      <c r="F7" t="s">
        <v>42</v>
      </c>
      <c r="G7">
        <v>5335</v>
      </c>
      <c r="H7">
        <v>3688</v>
      </c>
      <c r="I7">
        <v>379.96176789589998</v>
      </c>
      <c r="J7">
        <v>936</v>
      </c>
      <c r="K7">
        <v>509.18269230769999</v>
      </c>
      <c r="L7">
        <v>1061</v>
      </c>
      <c r="M7">
        <v>499.9971724788</v>
      </c>
      <c r="N7">
        <v>548</v>
      </c>
      <c r="O7">
        <v>425.12408759120001</v>
      </c>
      <c r="R7">
        <v>38</v>
      </c>
      <c r="S7">
        <v>339.7894736842</v>
      </c>
      <c r="V7" t="s">
        <v>392</v>
      </c>
      <c r="W7">
        <v>13347</v>
      </c>
      <c r="X7">
        <v>9947</v>
      </c>
      <c r="Y7">
        <v>641.68503066250003</v>
      </c>
      <c r="Z7">
        <v>530</v>
      </c>
      <c r="AA7">
        <v>1140.3547169811</v>
      </c>
      <c r="AB7">
        <v>2398</v>
      </c>
      <c r="AC7">
        <v>1247.3231859883001</v>
      </c>
      <c r="AD7">
        <v>817</v>
      </c>
      <c r="AE7">
        <v>907.26438188489999</v>
      </c>
      <c r="AF7">
        <v>166</v>
      </c>
      <c r="AG7">
        <v>211.54819277109999</v>
      </c>
      <c r="AH7">
        <v>19</v>
      </c>
      <c r="AI7">
        <v>741.84210526319998</v>
      </c>
      <c r="AL7" t="s">
        <v>392</v>
      </c>
      <c r="AM7">
        <v>318</v>
      </c>
      <c r="AN7">
        <v>231</v>
      </c>
      <c r="AO7">
        <v>465.77922077919999</v>
      </c>
      <c r="AP7">
        <v>43</v>
      </c>
      <c r="AQ7">
        <v>928.46511627910002</v>
      </c>
      <c r="AR7">
        <v>83</v>
      </c>
      <c r="AS7">
        <v>455.21686746990002</v>
      </c>
      <c r="AT7">
        <v>4</v>
      </c>
      <c r="AU7">
        <v>428.75</v>
      </c>
    </row>
    <row r="8" spans="2:51" x14ac:dyDescent="0.2">
      <c r="B8" t="s">
        <v>242</v>
      </c>
      <c r="C8">
        <v>24145</v>
      </c>
      <c r="D8">
        <v>516.58830108949996</v>
      </c>
      <c r="F8" t="s">
        <v>50</v>
      </c>
      <c r="G8">
        <v>971</v>
      </c>
      <c r="H8">
        <v>300</v>
      </c>
      <c r="I8">
        <v>235.85666666669999</v>
      </c>
      <c r="J8">
        <v>375</v>
      </c>
      <c r="K8">
        <v>206.73066666669999</v>
      </c>
      <c r="L8">
        <v>491</v>
      </c>
      <c r="M8">
        <v>188.1710794297</v>
      </c>
      <c r="N8">
        <v>175</v>
      </c>
      <c r="O8">
        <v>207.78285714290001</v>
      </c>
      <c r="R8">
        <v>5</v>
      </c>
      <c r="S8">
        <v>276.60000000000002</v>
      </c>
      <c r="V8" t="s">
        <v>423</v>
      </c>
      <c r="W8">
        <v>1384</v>
      </c>
      <c r="X8">
        <v>914</v>
      </c>
      <c r="Y8">
        <v>197.9814004376</v>
      </c>
      <c r="Z8">
        <v>224</v>
      </c>
      <c r="AA8">
        <v>373.86160714290003</v>
      </c>
      <c r="AB8">
        <v>183</v>
      </c>
      <c r="AC8">
        <v>147.31693989070001</v>
      </c>
      <c r="AD8">
        <v>204</v>
      </c>
      <c r="AE8">
        <v>393.04411764709999</v>
      </c>
      <c r="AF8">
        <v>79</v>
      </c>
      <c r="AG8">
        <v>160.11392405059999</v>
      </c>
      <c r="AH8">
        <v>4</v>
      </c>
      <c r="AI8">
        <v>405.25</v>
      </c>
      <c r="AL8" t="s">
        <v>423</v>
      </c>
      <c r="AM8">
        <v>36</v>
      </c>
      <c r="AN8">
        <v>31</v>
      </c>
      <c r="AO8">
        <v>128.5806451613</v>
      </c>
      <c r="AP8">
        <v>8</v>
      </c>
      <c r="AQ8">
        <v>267.5</v>
      </c>
      <c r="AR8">
        <v>5</v>
      </c>
      <c r="AS8">
        <v>262.8</v>
      </c>
    </row>
    <row r="9" spans="2:51" x14ac:dyDescent="0.2">
      <c r="B9" t="s">
        <v>243</v>
      </c>
      <c r="C9">
        <v>10339</v>
      </c>
      <c r="D9">
        <v>177.2032504595</v>
      </c>
      <c r="F9" t="s">
        <v>81</v>
      </c>
      <c r="G9">
        <v>1246</v>
      </c>
      <c r="H9">
        <v>861</v>
      </c>
      <c r="I9">
        <v>183.29732868759999</v>
      </c>
      <c r="J9">
        <v>218</v>
      </c>
      <c r="K9">
        <v>366.66055045870002</v>
      </c>
      <c r="L9">
        <v>166</v>
      </c>
      <c r="M9">
        <v>114.33734939759999</v>
      </c>
      <c r="N9">
        <v>215</v>
      </c>
      <c r="O9">
        <v>391.44651162790001</v>
      </c>
      <c r="R9">
        <v>4</v>
      </c>
      <c r="S9">
        <v>405.25</v>
      </c>
      <c r="V9" t="s">
        <v>393</v>
      </c>
      <c r="W9">
        <v>8242</v>
      </c>
      <c r="X9">
        <v>6427</v>
      </c>
      <c r="Y9">
        <v>505.04621129610001</v>
      </c>
      <c r="Z9">
        <v>352</v>
      </c>
      <c r="AA9">
        <v>861.88068181819995</v>
      </c>
      <c r="AB9">
        <v>1287</v>
      </c>
      <c r="AC9">
        <v>964.87024087019995</v>
      </c>
      <c r="AD9">
        <v>415</v>
      </c>
      <c r="AE9">
        <v>708.52048192769996</v>
      </c>
      <c r="AF9">
        <v>108</v>
      </c>
      <c r="AG9">
        <v>169.4351851852</v>
      </c>
      <c r="AH9">
        <v>5</v>
      </c>
      <c r="AI9">
        <v>436.6</v>
      </c>
      <c r="AL9" t="s">
        <v>393</v>
      </c>
      <c r="AM9">
        <v>147</v>
      </c>
      <c r="AN9">
        <v>122</v>
      </c>
      <c r="AO9">
        <v>415.45081967210001</v>
      </c>
      <c r="AP9">
        <v>26</v>
      </c>
      <c r="AQ9">
        <v>826.76923076920002</v>
      </c>
      <c r="AR9">
        <v>23</v>
      </c>
      <c r="AS9">
        <v>245.47826086960001</v>
      </c>
      <c r="AT9">
        <v>2</v>
      </c>
      <c r="AU9">
        <v>271</v>
      </c>
    </row>
    <row r="10" spans="2:51" x14ac:dyDescent="0.2">
      <c r="B10" t="s">
        <v>949</v>
      </c>
      <c r="C10">
        <v>609</v>
      </c>
      <c r="D10">
        <v>439.89162561580002</v>
      </c>
      <c r="F10" t="s">
        <v>76</v>
      </c>
      <c r="G10">
        <v>3727</v>
      </c>
      <c r="H10">
        <v>1707</v>
      </c>
      <c r="I10">
        <v>184.52079671940001</v>
      </c>
      <c r="J10">
        <v>876</v>
      </c>
      <c r="K10">
        <v>268.0251141553</v>
      </c>
      <c r="L10">
        <v>1922</v>
      </c>
      <c r="M10">
        <v>368.11966701350002</v>
      </c>
      <c r="N10">
        <v>91</v>
      </c>
      <c r="O10">
        <v>241.64835164839999</v>
      </c>
      <c r="R10">
        <v>7</v>
      </c>
      <c r="S10">
        <v>173</v>
      </c>
      <c r="V10" t="s">
        <v>395</v>
      </c>
      <c r="W10">
        <v>8568</v>
      </c>
      <c r="X10">
        <v>6642</v>
      </c>
      <c r="Y10">
        <v>439.68759409820001</v>
      </c>
      <c r="Z10">
        <v>347</v>
      </c>
      <c r="AA10">
        <v>900.59942363109997</v>
      </c>
      <c r="AB10">
        <v>1167</v>
      </c>
      <c r="AC10">
        <v>620.38217652100002</v>
      </c>
      <c r="AD10">
        <v>495</v>
      </c>
      <c r="AE10">
        <v>588.55959595959996</v>
      </c>
      <c r="AF10">
        <v>245</v>
      </c>
      <c r="AG10">
        <v>163.92244897960001</v>
      </c>
      <c r="AH10">
        <v>19</v>
      </c>
      <c r="AI10">
        <v>494.7894736842</v>
      </c>
      <c r="AL10" t="s">
        <v>395</v>
      </c>
      <c r="AM10">
        <v>342</v>
      </c>
      <c r="AN10">
        <v>237</v>
      </c>
      <c r="AO10">
        <v>375.8776371308</v>
      </c>
      <c r="AP10">
        <v>29</v>
      </c>
      <c r="AQ10">
        <v>657.82758620690004</v>
      </c>
      <c r="AR10">
        <v>94</v>
      </c>
      <c r="AS10">
        <v>404.05319148939998</v>
      </c>
      <c r="AT10">
        <v>11</v>
      </c>
      <c r="AU10">
        <v>230.63636363640001</v>
      </c>
    </row>
    <row r="11" spans="2:51" x14ac:dyDescent="0.2">
      <c r="F11" t="s">
        <v>38</v>
      </c>
      <c r="G11">
        <v>13205</v>
      </c>
      <c r="H11">
        <v>9943</v>
      </c>
      <c r="I11">
        <v>650.39907472590005</v>
      </c>
      <c r="J11">
        <v>505</v>
      </c>
      <c r="K11">
        <v>1198.9643564355999</v>
      </c>
      <c r="L11">
        <v>2442</v>
      </c>
      <c r="M11">
        <v>1269.1515151515</v>
      </c>
      <c r="N11">
        <v>802</v>
      </c>
      <c r="O11">
        <v>927.43640897759997</v>
      </c>
      <c r="R11">
        <v>18</v>
      </c>
      <c r="S11">
        <v>778.2777777778</v>
      </c>
      <c r="V11" t="s">
        <v>396</v>
      </c>
      <c r="W11">
        <v>5473</v>
      </c>
      <c r="X11">
        <v>3550</v>
      </c>
      <c r="Y11">
        <v>371.62394366199999</v>
      </c>
      <c r="Z11">
        <v>927</v>
      </c>
      <c r="AA11">
        <v>512.33980582519996</v>
      </c>
      <c r="AB11">
        <v>1072</v>
      </c>
      <c r="AC11">
        <v>506.7779850746</v>
      </c>
      <c r="AD11">
        <v>559</v>
      </c>
      <c r="AE11">
        <v>433.55277280860003</v>
      </c>
      <c r="AF11">
        <v>253</v>
      </c>
      <c r="AG11">
        <v>176.8853754941</v>
      </c>
      <c r="AH11">
        <v>39</v>
      </c>
      <c r="AI11">
        <v>336.358974359</v>
      </c>
      <c r="AL11" t="s">
        <v>396</v>
      </c>
      <c r="AM11">
        <v>252</v>
      </c>
      <c r="AN11">
        <v>202</v>
      </c>
      <c r="AO11">
        <v>361.3415841584</v>
      </c>
      <c r="AP11">
        <v>19</v>
      </c>
      <c r="AQ11">
        <v>484.10526315790003</v>
      </c>
      <c r="AR11">
        <v>44</v>
      </c>
      <c r="AS11">
        <v>395.5681818182</v>
      </c>
      <c r="AT11">
        <v>5</v>
      </c>
      <c r="AU11">
        <v>542.6</v>
      </c>
      <c r="AV11">
        <v>1</v>
      </c>
      <c r="AW11">
        <v>38</v>
      </c>
    </row>
    <row r="12" spans="2:51" x14ac:dyDescent="0.2">
      <c r="F12" t="s">
        <v>56</v>
      </c>
      <c r="G12">
        <v>3232</v>
      </c>
      <c r="H12">
        <v>2757</v>
      </c>
      <c r="I12">
        <v>308.52085600290002</v>
      </c>
      <c r="J12">
        <v>375</v>
      </c>
      <c r="K12">
        <v>358.26666666670002</v>
      </c>
      <c r="L12">
        <v>435</v>
      </c>
      <c r="M12">
        <v>319.5770114943</v>
      </c>
      <c r="N12">
        <v>40</v>
      </c>
      <c r="O12">
        <v>96.974999999999994</v>
      </c>
      <c r="V12" t="s">
        <v>398</v>
      </c>
      <c r="W12">
        <v>6630</v>
      </c>
      <c r="X12">
        <v>5581</v>
      </c>
      <c r="Y12">
        <v>291.67604371980002</v>
      </c>
      <c r="Z12">
        <v>650</v>
      </c>
      <c r="AA12">
        <v>569.36307692310004</v>
      </c>
      <c r="AB12">
        <v>353</v>
      </c>
      <c r="AC12">
        <v>228.61473087819999</v>
      </c>
      <c r="AD12">
        <v>436</v>
      </c>
      <c r="AE12">
        <v>378.88073394499997</v>
      </c>
      <c r="AF12">
        <v>244</v>
      </c>
      <c r="AG12">
        <v>175.9139344262</v>
      </c>
      <c r="AH12">
        <v>16</v>
      </c>
      <c r="AI12">
        <v>363.5625</v>
      </c>
      <c r="AL12" t="s">
        <v>398</v>
      </c>
      <c r="AM12">
        <v>217</v>
      </c>
      <c r="AN12">
        <v>174</v>
      </c>
      <c r="AO12">
        <v>360.3850574713</v>
      </c>
      <c r="AP12">
        <v>15</v>
      </c>
      <c r="AQ12">
        <v>581.46666666670001</v>
      </c>
      <c r="AR12">
        <v>39</v>
      </c>
      <c r="AS12">
        <v>258.76923076920002</v>
      </c>
      <c r="AT12">
        <v>4</v>
      </c>
      <c r="AU12">
        <v>437</v>
      </c>
    </row>
    <row r="13" spans="2:51" x14ac:dyDescent="0.2">
      <c r="F13" t="s">
        <v>75</v>
      </c>
      <c r="G13">
        <v>6259</v>
      </c>
      <c r="H13">
        <v>5529</v>
      </c>
      <c r="I13">
        <v>286.09368782780001</v>
      </c>
      <c r="J13">
        <v>654</v>
      </c>
      <c r="K13">
        <v>567.94342507650003</v>
      </c>
      <c r="L13">
        <v>281</v>
      </c>
      <c r="M13">
        <v>140.50177935939999</v>
      </c>
      <c r="N13">
        <v>433</v>
      </c>
      <c r="O13">
        <v>374.12933025400002</v>
      </c>
      <c r="R13">
        <v>16</v>
      </c>
      <c r="S13">
        <v>363.5625</v>
      </c>
      <c r="V13" t="s">
        <v>401</v>
      </c>
      <c r="W13">
        <v>1039</v>
      </c>
      <c r="X13">
        <v>228</v>
      </c>
      <c r="Y13">
        <v>182.899122807</v>
      </c>
      <c r="Z13">
        <v>378</v>
      </c>
      <c r="AA13">
        <v>207.39417989419999</v>
      </c>
      <c r="AB13">
        <v>532</v>
      </c>
      <c r="AC13">
        <v>232.16165413530001</v>
      </c>
      <c r="AD13">
        <v>177</v>
      </c>
      <c r="AE13">
        <v>211.1355932203</v>
      </c>
      <c r="AF13">
        <v>97</v>
      </c>
      <c r="AG13">
        <v>215.89690721650001</v>
      </c>
      <c r="AH13">
        <v>5</v>
      </c>
      <c r="AI13">
        <v>276.60000000000002</v>
      </c>
      <c r="AL13" t="s">
        <v>401</v>
      </c>
      <c r="AM13">
        <v>23</v>
      </c>
      <c r="AN13">
        <v>11</v>
      </c>
      <c r="AO13">
        <v>180</v>
      </c>
      <c r="AP13">
        <v>7</v>
      </c>
      <c r="AQ13">
        <v>325.28571428570001</v>
      </c>
      <c r="AR13">
        <v>8</v>
      </c>
      <c r="AS13">
        <v>150.375</v>
      </c>
      <c r="AT13">
        <v>4</v>
      </c>
      <c r="AU13">
        <v>141.75</v>
      </c>
    </row>
    <row r="14" spans="2:51" x14ac:dyDescent="0.2">
      <c r="F14" t="s">
        <v>41</v>
      </c>
      <c r="G14">
        <v>1323</v>
      </c>
      <c r="H14">
        <v>735</v>
      </c>
      <c r="I14">
        <v>153.12244897959999</v>
      </c>
      <c r="J14">
        <v>212</v>
      </c>
      <c r="K14">
        <v>273.3018867925</v>
      </c>
      <c r="L14">
        <v>462</v>
      </c>
      <c r="M14">
        <v>300.02380952380003</v>
      </c>
      <c r="N14">
        <v>124</v>
      </c>
      <c r="O14">
        <v>306.05645161289999</v>
      </c>
      <c r="R14">
        <v>2</v>
      </c>
      <c r="S14">
        <v>75</v>
      </c>
      <c r="V14" t="s">
        <v>402</v>
      </c>
      <c r="W14">
        <v>2212</v>
      </c>
      <c r="X14">
        <v>1002</v>
      </c>
      <c r="Y14">
        <v>166.27944111779999</v>
      </c>
      <c r="Z14">
        <v>613</v>
      </c>
      <c r="AA14">
        <v>213.383360522</v>
      </c>
      <c r="AB14">
        <v>993</v>
      </c>
      <c r="AC14">
        <v>292.0624370594</v>
      </c>
      <c r="AD14">
        <v>79</v>
      </c>
      <c r="AE14">
        <v>281.06329113919998</v>
      </c>
      <c r="AF14">
        <v>130</v>
      </c>
      <c r="AG14">
        <v>174.60769230770001</v>
      </c>
      <c r="AH14">
        <v>8</v>
      </c>
      <c r="AI14">
        <v>192.125</v>
      </c>
      <c r="AL14" t="s">
        <v>402</v>
      </c>
      <c r="AM14">
        <v>38</v>
      </c>
      <c r="AN14">
        <v>25</v>
      </c>
      <c r="AO14">
        <v>113.96</v>
      </c>
      <c r="AP14">
        <v>14</v>
      </c>
      <c r="AQ14">
        <v>196.57142857139999</v>
      </c>
      <c r="AR14">
        <v>5</v>
      </c>
      <c r="AS14">
        <v>85.4</v>
      </c>
      <c r="AT14">
        <v>8</v>
      </c>
      <c r="AU14">
        <v>105.5</v>
      </c>
    </row>
    <row r="15" spans="2:51" x14ac:dyDescent="0.2">
      <c r="F15" t="s">
        <v>74</v>
      </c>
      <c r="G15">
        <v>192</v>
      </c>
      <c r="H15">
        <v>69</v>
      </c>
      <c r="I15">
        <v>121.8115942029</v>
      </c>
      <c r="J15">
        <v>113</v>
      </c>
      <c r="K15">
        <v>194.67256637169999</v>
      </c>
      <c r="L15">
        <v>82</v>
      </c>
      <c r="M15">
        <v>213.23170731709999</v>
      </c>
      <c r="N15">
        <v>32</v>
      </c>
      <c r="O15">
        <v>270.25</v>
      </c>
      <c r="R15">
        <v>9</v>
      </c>
      <c r="S15">
        <v>307.7777777778</v>
      </c>
      <c r="V15" t="s">
        <v>397</v>
      </c>
      <c r="W15">
        <v>3344</v>
      </c>
      <c r="X15">
        <v>2735</v>
      </c>
      <c r="Y15">
        <v>315.07422303470003</v>
      </c>
      <c r="Z15">
        <v>380</v>
      </c>
      <c r="AA15">
        <v>370.42368421050003</v>
      </c>
      <c r="AB15">
        <v>439</v>
      </c>
      <c r="AC15">
        <v>321.7471526196</v>
      </c>
      <c r="AD15">
        <v>59</v>
      </c>
      <c r="AE15">
        <v>235.32203389829999</v>
      </c>
      <c r="AF15">
        <v>110</v>
      </c>
      <c r="AG15">
        <v>133.66363636360001</v>
      </c>
      <c r="AH15">
        <v>1</v>
      </c>
      <c r="AI15">
        <v>165</v>
      </c>
      <c r="AL15" t="s">
        <v>397</v>
      </c>
      <c r="AM15">
        <v>101</v>
      </c>
      <c r="AN15">
        <v>76</v>
      </c>
      <c r="AO15">
        <v>329.86842105260001</v>
      </c>
      <c r="AR15">
        <v>22</v>
      </c>
      <c r="AS15">
        <v>441.86363636359999</v>
      </c>
      <c r="AT15">
        <v>3</v>
      </c>
      <c r="AU15">
        <v>270</v>
      </c>
    </row>
    <row r="16" spans="2:51" x14ac:dyDescent="0.2">
      <c r="F16" t="s">
        <v>48</v>
      </c>
      <c r="G16">
        <v>8346</v>
      </c>
      <c r="H16">
        <v>6628</v>
      </c>
      <c r="I16">
        <v>510.51508750750003</v>
      </c>
      <c r="J16">
        <v>347</v>
      </c>
      <c r="K16">
        <v>874.87896253600002</v>
      </c>
      <c r="L16">
        <v>1299</v>
      </c>
      <c r="M16">
        <v>969.28175519629997</v>
      </c>
      <c r="N16">
        <v>413</v>
      </c>
      <c r="O16">
        <v>705.13559322030005</v>
      </c>
      <c r="R16">
        <v>6</v>
      </c>
      <c r="S16">
        <v>472</v>
      </c>
      <c r="V16" t="s">
        <v>420</v>
      </c>
      <c r="W16">
        <v>489</v>
      </c>
      <c r="X16">
        <v>383</v>
      </c>
      <c r="Y16">
        <v>262.1488250653</v>
      </c>
      <c r="Z16">
        <v>43</v>
      </c>
      <c r="AA16">
        <v>579.88372093019996</v>
      </c>
      <c r="AB16">
        <v>68</v>
      </c>
      <c r="AC16">
        <v>360.0735294118</v>
      </c>
      <c r="AD16">
        <v>14</v>
      </c>
      <c r="AE16">
        <v>274.71428571429999</v>
      </c>
      <c r="AF16">
        <v>23</v>
      </c>
      <c r="AG16">
        <v>150.52173913039999</v>
      </c>
      <c r="AH16">
        <v>1</v>
      </c>
      <c r="AI16">
        <v>281</v>
      </c>
      <c r="AL16" t="s">
        <v>420</v>
      </c>
      <c r="AM16">
        <v>4</v>
      </c>
      <c r="AN16">
        <v>3</v>
      </c>
      <c r="AO16">
        <v>109</v>
      </c>
      <c r="AP16">
        <v>2</v>
      </c>
      <c r="AQ16">
        <v>272.5</v>
      </c>
      <c r="AR16">
        <v>1</v>
      </c>
      <c r="AS16">
        <v>40</v>
      </c>
    </row>
    <row r="17" spans="6:49" x14ac:dyDescent="0.2">
      <c r="F17" t="s">
        <v>391</v>
      </c>
      <c r="G17">
        <v>52810</v>
      </c>
      <c r="H17">
        <v>39424</v>
      </c>
      <c r="I17">
        <v>442.56912033280003</v>
      </c>
      <c r="J17">
        <v>5012</v>
      </c>
      <c r="K17">
        <v>540.99760574619995</v>
      </c>
      <c r="L17">
        <v>9871</v>
      </c>
      <c r="M17">
        <v>686.67591935969995</v>
      </c>
      <c r="N17">
        <v>3389</v>
      </c>
      <c r="O17">
        <v>567.03835939810006</v>
      </c>
      <c r="R17">
        <v>126</v>
      </c>
      <c r="S17">
        <v>418.35714285709997</v>
      </c>
      <c r="V17" t="s">
        <v>421</v>
      </c>
      <c r="W17">
        <v>192</v>
      </c>
      <c r="X17">
        <v>67</v>
      </c>
      <c r="Y17">
        <v>215.41791044780001</v>
      </c>
      <c r="Z17">
        <v>37</v>
      </c>
      <c r="AA17">
        <v>306.40540540540002</v>
      </c>
      <c r="AB17">
        <v>44</v>
      </c>
      <c r="AC17">
        <v>369.22727272729998</v>
      </c>
      <c r="AD17">
        <v>33</v>
      </c>
      <c r="AE17">
        <v>319.03030303029999</v>
      </c>
      <c r="AF17">
        <v>39</v>
      </c>
      <c r="AG17">
        <v>242.05128205130001</v>
      </c>
      <c r="AH17">
        <v>9</v>
      </c>
      <c r="AI17">
        <v>307.7777777778</v>
      </c>
      <c r="AL17" t="s">
        <v>421</v>
      </c>
      <c r="AM17">
        <v>8</v>
      </c>
      <c r="AN17">
        <v>5</v>
      </c>
      <c r="AO17">
        <v>203.4</v>
      </c>
      <c r="AP17">
        <v>4</v>
      </c>
      <c r="AQ17">
        <v>221.5</v>
      </c>
      <c r="AR17">
        <v>3</v>
      </c>
      <c r="AS17">
        <v>161.3333333333</v>
      </c>
    </row>
    <row r="18" spans="6:49" x14ac:dyDescent="0.2">
      <c r="F18" t="s">
        <v>68</v>
      </c>
      <c r="G18">
        <v>3110</v>
      </c>
      <c r="H18">
        <v>2537</v>
      </c>
      <c r="I18">
        <v>293.56759952700003</v>
      </c>
      <c r="J18">
        <v>251</v>
      </c>
      <c r="K18">
        <v>429.41434262950003</v>
      </c>
      <c r="L18">
        <v>380</v>
      </c>
      <c r="M18">
        <v>307.48684210530001</v>
      </c>
      <c r="N18">
        <v>187</v>
      </c>
      <c r="O18">
        <v>500.32085561500003</v>
      </c>
      <c r="R18">
        <v>6</v>
      </c>
      <c r="S18">
        <v>596.83333333329995</v>
      </c>
      <c r="V18" t="s">
        <v>391</v>
      </c>
      <c r="W18">
        <v>52351</v>
      </c>
      <c r="X18">
        <v>38251</v>
      </c>
      <c r="Y18">
        <v>444.56845572660001</v>
      </c>
      <c r="Z18">
        <v>4695</v>
      </c>
      <c r="AA18">
        <v>552.4253461129</v>
      </c>
      <c r="AB18">
        <v>8999</v>
      </c>
      <c r="AC18">
        <v>704.82231359039997</v>
      </c>
      <c r="AD18">
        <v>3411</v>
      </c>
      <c r="AE18">
        <v>568.77455291700005</v>
      </c>
      <c r="AF18">
        <v>1562</v>
      </c>
      <c r="AG18">
        <v>177.65172855310001</v>
      </c>
      <c r="AH18">
        <v>128</v>
      </c>
      <c r="AI18">
        <v>410.3203125</v>
      </c>
      <c r="AL18" t="s">
        <v>391</v>
      </c>
      <c r="AM18">
        <v>1522</v>
      </c>
      <c r="AN18">
        <v>1145</v>
      </c>
      <c r="AO18">
        <v>367.64541484720002</v>
      </c>
      <c r="AP18">
        <v>184</v>
      </c>
      <c r="AQ18">
        <v>604.26086956519998</v>
      </c>
      <c r="AR18">
        <v>335</v>
      </c>
      <c r="AS18">
        <v>369.0208955224</v>
      </c>
      <c r="AT18">
        <v>41</v>
      </c>
      <c r="AU18">
        <v>279.9024390244</v>
      </c>
      <c r="AV18">
        <v>1</v>
      </c>
      <c r="AW18">
        <v>38</v>
      </c>
    </row>
    <row r="19" spans="6:49" x14ac:dyDescent="0.2">
      <c r="F19" t="s">
        <v>34</v>
      </c>
      <c r="G19">
        <v>897</v>
      </c>
      <c r="H19">
        <v>593</v>
      </c>
      <c r="I19">
        <v>235.86340640809999</v>
      </c>
      <c r="J19">
        <v>112</v>
      </c>
      <c r="K19">
        <v>493.54464285709997</v>
      </c>
      <c r="L19">
        <v>143</v>
      </c>
      <c r="M19">
        <v>235.20979020979999</v>
      </c>
      <c r="N19">
        <v>154</v>
      </c>
      <c r="O19">
        <v>558.05844155839998</v>
      </c>
      <c r="R19">
        <v>7</v>
      </c>
      <c r="S19">
        <v>298.28571428570001</v>
      </c>
      <c r="V19" t="s">
        <v>409</v>
      </c>
      <c r="W19">
        <v>978</v>
      </c>
      <c r="X19">
        <v>605</v>
      </c>
      <c r="Y19">
        <v>249.1752066116</v>
      </c>
      <c r="Z19">
        <v>121</v>
      </c>
      <c r="AA19">
        <v>489.76033057849997</v>
      </c>
      <c r="AB19">
        <v>150</v>
      </c>
      <c r="AC19">
        <v>267.64666666670001</v>
      </c>
      <c r="AD19">
        <v>150</v>
      </c>
      <c r="AE19">
        <v>558.35333333330004</v>
      </c>
      <c r="AF19">
        <v>67</v>
      </c>
      <c r="AG19">
        <v>162.2388059701</v>
      </c>
      <c r="AH19">
        <v>6</v>
      </c>
      <c r="AI19">
        <v>336.1666666667</v>
      </c>
      <c r="AL19" t="s">
        <v>409</v>
      </c>
      <c r="AM19">
        <v>8</v>
      </c>
      <c r="AN19">
        <v>7</v>
      </c>
      <c r="AO19">
        <v>125.42857142859999</v>
      </c>
      <c r="AP19">
        <v>7</v>
      </c>
      <c r="AQ19">
        <v>267.85714285709997</v>
      </c>
      <c r="AR19">
        <v>1</v>
      </c>
      <c r="AS19">
        <v>54</v>
      </c>
    </row>
    <row r="20" spans="6:49" x14ac:dyDescent="0.2">
      <c r="F20" t="s">
        <v>55</v>
      </c>
      <c r="G20">
        <v>999</v>
      </c>
      <c r="H20">
        <v>522</v>
      </c>
      <c r="I20">
        <v>271.00191570880003</v>
      </c>
      <c r="J20">
        <v>280</v>
      </c>
      <c r="K20">
        <v>313.08928571429999</v>
      </c>
      <c r="L20">
        <v>164</v>
      </c>
      <c r="M20">
        <v>273.7987804878</v>
      </c>
      <c r="N20">
        <v>310</v>
      </c>
      <c r="O20">
        <v>605.17741935480001</v>
      </c>
      <c r="R20">
        <v>3</v>
      </c>
      <c r="S20">
        <v>717.66666666670005</v>
      </c>
      <c r="V20" t="s">
        <v>425</v>
      </c>
      <c r="W20">
        <v>277</v>
      </c>
      <c r="X20">
        <v>121</v>
      </c>
      <c r="Y20">
        <v>201.90082644629999</v>
      </c>
      <c r="Z20">
        <v>97</v>
      </c>
      <c r="AA20">
        <v>262.0824742268</v>
      </c>
      <c r="AB20">
        <v>66</v>
      </c>
      <c r="AC20">
        <v>239</v>
      </c>
      <c r="AD20">
        <v>58</v>
      </c>
      <c r="AE20">
        <v>449.68965517240002</v>
      </c>
      <c r="AF20">
        <v>31</v>
      </c>
      <c r="AG20">
        <v>144.935483871</v>
      </c>
      <c r="AH20">
        <v>1</v>
      </c>
      <c r="AI20">
        <v>610</v>
      </c>
      <c r="AL20" t="s">
        <v>425</v>
      </c>
      <c r="AM20">
        <v>5</v>
      </c>
      <c r="AN20">
        <v>3</v>
      </c>
      <c r="AO20">
        <v>107.3333333333</v>
      </c>
      <c r="AP20">
        <v>1</v>
      </c>
      <c r="AQ20">
        <v>170</v>
      </c>
      <c r="AR20">
        <v>2</v>
      </c>
      <c r="AS20">
        <v>73.5</v>
      </c>
    </row>
    <row r="21" spans="6:49" x14ac:dyDescent="0.2">
      <c r="F21" t="s">
        <v>62</v>
      </c>
      <c r="G21">
        <v>8547</v>
      </c>
      <c r="H21">
        <v>7065</v>
      </c>
      <c r="I21">
        <v>386.37876857750001</v>
      </c>
      <c r="J21">
        <v>787</v>
      </c>
      <c r="K21">
        <v>679.78271918680002</v>
      </c>
      <c r="L21">
        <v>1095</v>
      </c>
      <c r="M21">
        <v>558.01004566209997</v>
      </c>
      <c r="N21">
        <v>376</v>
      </c>
      <c r="O21">
        <v>532.26329787229997</v>
      </c>
      <c r="R21">
        <v>11</v>
      </c>
      <c r="S21">
        <v>424.09090909090003</v>
      </c>
      <c r="V21" t="s">
        <v>429</v>
      </c>
      <c r="W21">
        <v>1257</v>
      </c>
      <c r="X21">
        <v>959</v>
      </c>
      <c r="Y21">
        <v>300.63503649640001</v>
      </c>
      <c r="Z21">
        <v>97</v>
      </c>
      <c r="AA21">
        <v>467.56701030929997</v>
      </c>
      <c r="AB21">
        <v>198</v>
      </c>
      <c r="AC21">
        <v>375.94949494949998</v>
      </c>
      <c r="AD21">
        <v>54</v>
      </c>
      <c r="AE21">
        <v>461.25925925929999</v>
      </c>
      <c r="AF21">
        <v>44</v>
      </c>
      <c r="AG21">
        <v>177.6818181818</v>
      </c>
      <c r="AH21">
        <v>2</v>
      </c>
      <c r="AI21">
        <v>311.5</v>
      </c>
      <c r="AL21" t="s">
        <v>429</v>
      </c>
      <c r="AM21">
        <v>12</v>
      </c>
      <c r="AN21">
        <v>11</v>
      </c>
      <c r="AO21">
        <v>152.9090909091</v>
      </c>
      <c r="AP21">
        <v>8</v>
      </c>
      <c r="AQ21">
        <v>314.375</v>
      </c>
      <c r="AR21">
        <v>1</v>
      </c>
      <c r="AS21">
        <v>200</v>
      </c>
    </row>
    <row r="22" spans="6:49" x14ac:dyDescent="0.2">
      <c r="F22" t="s">
        <v>64</v>
      </c>
      <c r="G22">
        <v>7156</v>
      </c>
      <c r="H22">
        <v>5428</v>
      </c>
      <c r="I22">
        <v>408.46094325719997</v>
      </c>
      <c r="J22">
        <v>498</v>
      </c>
      <c r="K22">
        <v>521.46385542170003</v>
      </c>
      <c r="L22">
        <v>1306</v>
      </c>
      <c r="M22">
        <v>707.72128637059996</v>
      </c>
      <c r="N22">
        <v>413</v>
      </c>
      <c r="O22">
        <v>551.37530266340002</v>
      </c>
      <c r="R22">
        <v>9</v>
      </c>
      <c r="S22">
        <v>511.8888888889</v>
      </c>
      <c r="V22" t="s">
        <v>414</v>
      </c>
      <c r="W22">
        <v>3206</v>
      </c>
      <c r="X22">
        <v>2528</v>
      </c>
      <c r="Y22">
        <v>301.17405063289999</v>
      </c>
      <c r="Z22">
        <v>257</v>
      </c>
      <c r="AA22">
        <v>432.44357976650002</v>
      </c>
      <c r="AB22">
        <v>399</v>
      </c>
      <c r="AC22">
        <v>336.4987468672</v>
      </c>
      <c r="AD22">
        <v>196</v>
      </c>
      <c r="AE22">
        <v>490.40306122449999</v>
      </c>
      <c r="AF22">
        <v>78</v>
      </c>
      <c r="AG22">
        <v>248.71794871789999</v>
      </c>
      <c r="AH22">
        <v>5</v>
      </c>
      <c r="AI22">
        <v>675</v>
      </c>
      <c r="AL22" t="s">
        <v>414</v>
      </c>
      <c r="AM22">
        <v>34</v>
      </c>
      <c r="AN22">
        <v>21</v>
      </c>
      <c r="AO22">
        <v>91.571428571400006</v>
      </c>
      <c r="AP22">
        <v>24</v>
      </c>
      <c r="AQ22">
        <v>264.3333333333</v>
      </c>
      <c r="AR22">
        <v>8</v>
      </c>
      <c r="AS22">
        <v>145.75</v>
      </c>
      <c r="AT22">
        <v>5</v>
      </c>
      <c r="AU22">
        <v>402</v>
      </c>
    </row>
    <row r="23" spans="6:49" x14ac:dyDescent="0.2">
      <c r="F23" t="s">
        <v>73</v>
      </c>
      <c r="G23">
        <v>4855</v>
      </c>
      <c r="H23">
        <v>3795</v>
      </c>
      <c r="I23">
        <v>273.40474308300003</v>
      </c>
      <c r="J23">
        <v>950</v>
      </c>
      <c r="K23">
        <v>377.86421052629998</v>
      </c>
      <c r="L23">
        <v>772</v>
      </c>
      <c r="M23">
        <v>348.24740932639997</v>
      </c>
      <c r="N23">
        <v>271</v>
      </c>
      <c r="O23">
        <v>440.47232472320002</v>
      </c>
      <c r="R23">
        <v>17</v>
      </c>
      <c r="S23">
        <v>271.29411764709999</v>
      </c>
      <c r="V23" t="s">
        <v>410</v>
      </c>
      <c r="W23">
        <v>5242</v>
      </c>
      <c r="X23">
        <v>3566</v>
      </c>
      <c r="Y23">
        <v>379.04627033089997</v>
      </c>
      <c r="Z23">
        <v>476</v>
      </c>
      <c r="AA23">
        <v>538.61344537820003</v>
      </c>
      <c r="AB23">
        <v>1290</v>
      </c>
      <c r="AC23">
        <v>570.17596899219996</v>
      </c>
      <c r="AD23">
        <v>248</v>
      </c>
      <c r="AE23">
        <v>502.50806451609998</v>
      </c>
      <c r="AF23">
        <v>125</v>
      </c>
      <c r="AG23">
        <v>162.136</v>
      </c>
      <c r="AH23">
        <v>13</v>
      </c>
      <c r="AI23">
        <v>234.69230769230001</v>
      </c>
      <c r="AL23" t="s">
        <v>410</v>
      </c>
      <c r="AM23">
        <v>37</v>
      </c>
      <c r="AN23">
        <v>33</v>
      </c>
      <c r="AO23">
        <v>225.30303030300001</v>
      </c>
      <c r="AP23">
        <v>20</v>
      </c>
      <c r="AQ23">
        <v>298.2</v>
      </c>
      <c r="AR23">
        <v>4</v>
      </c>
      <c r="AS23">
        <v>126</v>
      </c>
    </row>
    <row r="24" spans="6:49" x14ac:dyDescent="0.2">
      <c r="F24" t="s">
        <v>45</v>
      </c>
      <c r="G24">
        <v>1516</v>
      </c>
      <c r="H24">
        <v>1183</v>
      </c>
      <c r="I24">
        <v>295.8934911243</v>
      </c>
      <c r="J24">
        <v>128</v>
      </c>
      <c r="K24">
        <v>487.078125</v>
      </c>
      <c r="L24">
        <v>268</v>
      </c>
      <c r="M24">
        <v>425.69776119400001</v>
      </c>
      <c r="N24">
        <v>62</v>
      </c>
      <c r="O24">
        <v>555.19354838710001</v>
      </c>
      <c r="R24">
        <v>3</v>
      </c>
      <c r="S24">
        <v>302.6666666667</v>
      </c>
      <c r="V24" t="s">
        <v>427</v>
      </c>
      <c r="W24">
        <v>7345</v>
      </c>
      <c r="X24">
        <v>5447</v>
      </c>
      <c r="Y24">
        <v>407.71415458050001</v>
      </c>
      <c r="Z24">
        <v>517</v>
      </c>
      <c r="AA24">
        <v>515.25918762089998</v>
      </c>
      <c r="AB24">
        <v>1312</v>
      </c>
      <c r="AC24">
        <v>691.07012195120001</v>
      </c>
      <c r="AD24">
        <v>421</v>
      </c>
      <c r="AE24">
        <v>569.77909738719995</v>
      </c>
      <c r="AF24">
        <v>155</v>
      </c>
      <c r="AG24">
        <v>189.38064516130001</v>
      </c>
      <c r="AH24">
        <v>10</v>
      </c>
      <c r="AI24">
        <v>546.29999999999995</v>
      </c>
      <c r="AL24" t="s">
        <v>427</v>
      </c>
      <c r="AM24">
        <v>94</v>
      </c>
      <c r="AN24">
        <v>66</v>
      </c>
      <c r="AO24">
        <v>199.4242424242</v>
      </c>
      <c r="AP24">
        <v>42</v>
      </c>
      <c r="AQ24">
        <v>302.73809523810002</v>
      </c>
      <c r="AR24">
        <v>26</v>
      </c>
      <c r="AS24">
        <v>253.23076923080001</v>
      </c>
      <c r="AT24">
        <v>2</v>
      </c>
      <c r="AU24">
        <v>161</v>
      </c>
    </row>
    <row r="25" spans="6:49" x14ac:dyDescent="0.2">
      <c r="F25" t="s">
        <v>66</v>
      </c>
      <c r="G25">
        <v>5171</v>
      </c>
      <c r="H25">
        <v>3605</v>
      </c>
      <c r="I25">
        <v>381.79417475730003</v>
      </c>
      <c r="J25">
        <v>466</v>
      </c>
      <c r="K25">
        <v>538.84334763950005</v>
      </c>
      <c r="L25">
        <v>1308</v>
      </c>
      <c r="M25">
        <v>573.43807339449995</v>
      </c>
      <c r="N25">
        <v>245</v>
      </c>
      <c r="O25">
        <v>512.47346938780004</v>
      </c>
      <c r="R25">
        <v>13</v>
      </c>
      <c r="S25">
        <v>274.84615384620002</v>
      </c>
      <c r="V25" t="s">
        <v>408</v>
      </c>
      <c r="W25">
        <v>18488</v>
      </c>
      <c r="X25">
        <v>14772</v>
      </c>
      <c r="Y25">
        <v>328.6174519361</v>
      </c>
      <c r="Z25">
        <v>2355</v>
      </c>
      <c r="AA25">
        <v>498.80212314229999</v>
      </c>
      <c r="AB25">
        <v>2094</v>
      </c>
      <c r="AC25">
        <v>412.5563514804</v>
      </c>
      <c r="AD25">
        <v>893</v>
      </c>
      <c r="AE25">
        <v>426.63941769320002</v>
      </c>
      <c r="AF25">
        <v>707</v>
      </c>
      <c r="AG25">
        <v>163.4384724187</v>
      </c>
      <c r="AH25">
        <v>22</v>
      </c>
      <c r="AI25">
        <v>428.72727272729998</v>
      </c>
      <c r="AL25" t="s">
        <v>408</v>
      </c>
      <c r="AM25">
        <v>353</v>
      </c>
      <c r="AN25">
        <v>256</v>
      </c>
      <c r="AO25">
        <v>192.5625</v>
      </c>
      <c r="AP25">
        <v>159</v>
      </c>
      <c r="AQ25">
        <v>385.96855345910001</v>
      </c>
      <c r="AR25">
        <v>83</v>
      </c>
      <c r="AS25">
        <v>166.32530120480001</v>
      </c>
      <c r="AT25">
        <v>14</v>
      </c>
      <c r="AU25">
        <v>193.42857142860001</v>
      </c>
    </row>
    <row r="26" spans="6:49" x14ac:dyDescent="0.2">
      <c r="F26" t="s">
        <v>32</v>
      </c>
      <c r="G26">
        <v>201</v>
      </c>
      <c r="H26">
        <v>91</v>
      </c>
      <c r="I26">
        <v>162.7032967033</v>
      </c>
      <c r="J26">
        <v>93</v>
      </c>
      <c r="K26">
        <v>241.3548387097</v>
      </c>
      <c r="L26">
        <v>52</v>
      </c>
      <c r="M26">
        <v>133.25</v>
      </c>
      <c r="N26">
        <v>57</v>
      </c>
      <c r="O26">
        <v>442.17543859649999</v>
      </c>
      <c r="R26">
        <v>1</v>
      </c>
      <c r="S26">
        <v>610</v>
      </c>
      <c r="V26" t="s">
        <v>406</v>
      </c>
      <c r="W26">
        <v>1872</v>
      </c>
      <c r="X26">
        <v>1385</v>
      </c>
      <c r="Y26">
        <v>286.63826714800001</v>
      </c>
      <c r="Z26">
        <v>273</v>
      </c>
      <c r="AA26">
        <v>450.61172161169998</v>
      </c>
      <c r="AB26">
        <v>337</v>
      </c>
      <c r="AC26">
        <v>283.69139465879999</v>
      </c>
      <c r="AD26">
        <v>84</v>
      </c>
      <c r="AE26">
        <v>330.76190476189998</v>
      </c>
      <c r="AF26">
        <v>66</v>
      </c>
      <c r="AG26">
        <v>205.4090909091</v>
      </c>
      <c r="AL26" t="s">
        <v>406</v>
      </c>
      <c r="AM26">
        <v>26</v>
      </c>
      <c r="AN26">
        <v>17</v>
      </c>
      <c r="AO26">
        <v>167.3529411765</v>
      </c>
      <c r="AP26">
        <v>12</v>
      </c>
      <c r="AQ26">
        <v>353.8333333333</v>
      </c>
      <c r="AR26">
        <v>9</v>
      </c>
      <c r="AS26">
        <v>114.55555555559999</v>
      </c>
    </row>
    <row r="27" spans="6:49" x14ac:dyDescent="0.2">
      <c r="F27" t="s">
        <v>71</v>
      </c>
      <c r="G27">
        <v>4003</v>
      </c>
      <c r="H27">
        <v>3746</v>
      </c>
      <c r="I27">
        <v>240.4340630005</v>
      </c>
      <c r="J27">
        <v>788</v>
      </c>
      <c r="K27">
        <v>357.5304568528</v>
      </c>
      <c r="L27">
        <v>80</v>
      </c>
      <c r="M27">
        <v>175</v>
      </c>
      <c r="N27">
        <v>170</v>
      </c>
      <c r="O27">
        <v>248.53529411759999</v>
      </c>
      <c r="R27">
        <v>7</v>
      </c>
      <c r="S27">
        <v>266.42857142859998</v>
      </c>
      <c r="V27" t="s">
        <v>80</v>
      </c>
      <c r="W27">
        <v>5114</v>
      </c>
      <c r="X27">
        <v>3855</v>
      </c>
      <c r="Y27">
        <v>282.042542153</v>
      </c>
      <c r="Z27">
        <v>952</v>
      </c>
      <c r="AA27">
        <v>386.72584033610002</v>
      </c>
      <c r="AB27">
        <v>813</v>
      </c>
      <c r="AC27">
        <v>360.89052890530002</v>
      </c>
      <c r="AD27">
        <v>280</v>
      </c>
      <c r="AE27">
        <v>458.21785714290002</v>
      </c>
      <c r="AF27">
        <v>151</v>
      </c>
      <c r="AG27">
        <v>159.119205298</v>
      </c>
      <c r="AH27">
        <v>15</v>
      </c>
      <c r="AI27">
        <v>232.6</v>
      </c>
      <c r="AL27" t="s">
        <v>80</v>
      </c>
      <c r="AM27">
        <v>82</v>
      </c>
      <c r="AN27">
        <v>62</v>
      </c>
      <c r="AO27">
        <v>162.6612903226</v>
      </c>
      <c r="AP27">
        <v>31</v>
      </c>
      <c r="AQ27">
        <v>315.61290322579998</v>
      </c>
      <c r="AR27">
        <v>17</v>
      </c>
      <c r="AS27">
        <v>121.5294117647</v>
      </c>
      <c r="AT27">
        <v>3</v>
      </c>
      <c r="AU27">
        <v>187</v>
      </c>
    </row>
    <row r="28" spans="6:49" x14ac:dyDescent="0.2">
      <c r="F28" t="s">
        <v>31</v>
      </c>
      <c r="G28">
        <v>1653</v>
      </c>
      <c r="H28">
        <v>1270</v>
      </c>
      <c r="I28">
        <v>272.96929133859999</v>
      </c>
      <c r="J28">
        <v>262</v>
      </c>
      <c r="K28">
        <v>458.39312977100002</v>
      </c>
      <c r="L28">
        <v>314</v>
      </c>
      <c r="M28">
        <v>261.64012738849999</v>
      </c>
      <c r="N28">
        <v>69</v>
      </c>
      <c r="O28">
        <v>273.60869565220003</v>
      </c>
      <c r="V28" t="s">
        <v>405</v>
      </c>
      <c r="W28">
        <v>43779</v>
      </c>
      <c r="X28">
        <v>33238</v>
      </c>
      <c r="Y28">
        <v>335.0370359227</v>
      </c>
      <c r="Z28">
        <v>5145</v>
      </c>
      <c r="AA28">
        <v>472.26491739549999</v>
      </c>
      <c r="AB28">
        <v>6659</v>
      </c>
      <c r="AC28">
        <v>474.50578164889998</v>
      </c>
      <c r="AD28">
        <v>2384</v>
      </c>
      <c r="AE28">
        <v>475.0146812081</v>
      </c>
      <c r="AF28">
        <v>1424</v>
      </c>
      <c r="AG28">
        <v>172.28721910109999</v>
      </c>
      <c r="AH28">
        <v>74</v>
      </c>
      <c r="AI28">
        <v>379.18918918920002</v>
      </c>
      <c r="AL28" t="s">
        <v>405</v>
      </c>
      <c r="AM28">
        <v>651</v>
      </c>
      <c r="AN28">
        <v>476</v>
      </c>
      <c r="AO28">
        <v>184.09243697479999</v>
      </c>
      <c r="AP28">
        <v>304</v>
      </c>
      <c r="AQ28">
        <v>345.3355263158</v>
      </c>
      <c r="AR28">
        <v>151</v>
      </c>
      <c r="AS28">
        <v>169.25165562909999</v>
      </c>
      <c r="AT28">
        <v>24</v>
      </c>
      <c r="AU28">
        <v>233.375</v>
      </c>
    </row>
    <row r="29" spans="6:49" x14ac:dyDescent="0.2">
      <c r="F29" t="s">
        <v>52</v>
      </c>
      <c r="G29">
        <v>4940</v>
      </c>
      <c r="H29">
        <v>3804</v>
      </c>
      <c r="I29">
        <v>306.50920084120003</v>
      </c>
      <c r="J29">
        <v>776</v>
      </c>
      <c r="K29">
        <v>450.92783505149998</v>
      </c>
      <c r="L29">
        <v>835</v>
      </c>
      <c r="M29">
        <v>241.54371257490001</v>
      </c>
      <c r="N29">
        <v>300</v>
      </c>
      <c r="O29">
        <v>369.0966666667</v>
      </c>
      <c r="R29">
        <v>1</v>
      </c>
      <c r="S29">
        <v>71</v>
      </c>
      <c r="V29" t="s">
        <v>389</v>
      </c>
      <c r="W29">
        <v>10390</v>
      </c>
      <c r="X29">
        <v>4909</v>
      </c>
      <c r="Y29">
        <v>267.3610431948</v>
      </c>
      <c r="Z29">
        <v>899</v>
      </c>
      <c r="AA29">
        <v>597.63292547269998</v>
      </c>
      <c r="AB29">
        <v>3745</v>
      </c>
      <c r="AC29">
        <v>681.89158878499995</v>
      </c>
      <c r="AD29">
        <v>1223</v>
      </c>
      <c r="AE29">
        <v>478.112111293</v>
      </c>
      <c r="AF29">
        <v>498</v>
      </c>
      <c r="AG29">
        <v>174.4738955823</v>
      </c>
      <c r="AH29">
        <v>15</v>
      </c>
      <c r="AI29">
        <v>707.2</v>
      </c>
      <c r="AL29" t="s">
        <v>389</v>
      </c>
      <c r="AM29">
        <v>270</v>
      </c>
      <c r="AN29">
        <v>192</v>
      </c>
      <c r="AO29">
        <v>374.5260416667</v>
      </c>
      <c r="AP29">
        <v>28</v>
      </c>
      <c r="AQ29">
        <v>498.25</v>
      </c>
      <c r="AR29">
        <v>71</v>
      </c>
      <c r="AS29">
        <v>411.81690140849997</v>
      </c>
      <c r="AT29">
        <v>6</v>
      </c>
      <c r="AU29">
        <v>171.8333333333</v>
      </c>
      <c r="AV29">
        <v>1</v>
      </c>
      <c r="AW29">
        <v>1</v>
      </c>
    </row>
    <row r="30" spans="6:49" x14ac:dyDescent="0.2">
      <c r="F30" t="s">
        <v>405</v>
      </c>
      <c r="G30">
        <v>43048</v>
      </c>
      <c r="H30">
        <v>33639</v>
      </c>
      <c r="I30">
        <v>331.90903415679998</v>
      </c>
      <c r="J30">
        <v>5391</v>
      </c>
      <c r="K30">
        <v>462.2556112039</v>
      </c>
      <c r="L30">
        <v>6717</v>
      </c>
      <c r="M30">
        <v>471.70641655499998</v>
      </c>
      <c r="N30">
        <v>2614</v>
      </c>
      <c r="O30">
        <v>486.36725325169999</v>
      </c>
      <c r="R30">
        <v>78</v>
      </c>
      <c r="S30">
        <v>368.37179487179998</v>
      </c>
      <c r="V30" t="s">
        <v>426</v>
      </c>
      <c r="W30">
        <v>32261</v>
      </c>
      <c r="X30">
        <v>27877</v>
      </c>
      <c r="Y30">
        <v>455.44570403590001</v>
      </c>
      <c r="Z30">
        <v>1912</v>
      </c>
      <c r="AA30">
        <v>731.07688284519998</v>
      </c>
      <c r="AB30">
        <v>1067</v>
      </c>
      <c r="AC30">
        <v>334.45829428299999</v>
      </c>
      <c r="AD30">
        <v>2299</v>
      </c>
      <c r="AE30">
        <v>333.73684210530001</v>
      </c>
      <c r="AF30">
        <v>975</v>
      </c>
      <c r="AG30">
        <v>170.6071794872</v>
      </c>
      <c r="AH30">
        <v>43</v>
      </c>
      <c r="AI30">
        <v>245.3488372093</v>
      </c>
      <c r="AL30" t="s">
        <v>426</v>
      </c>
      <c r="AM30">
        <v>507</v>
      </c>
      <c r="AN30">
        <v>402</v>
      </c>
      <c r="AO30">
        <v>275.91791044780001</v>
      </c>
      <c r="AP30">
        <v>137</v>
      </c>
      <c r="AQ30">
        <v>464.62773722629998</v>
      </c>
      <c r="AR30">
        <v>96</v>
      </c>
      <c r="AS30">
        <v>146.875</v>
      </c>
      <c r="AT30">
        <v>9</v>
      </c>
      <c r="AU30">
        <v>303.1111111111</v>
      </c>
    </row>
    <row r="31" spans="6:49" x14ac:dyDescent="0.2">
      <c r="F31" t="s">
        <v>25</v>
      </c>
      <c r="G31">
        <v>18902</v>
      </c>
      <c r="H31">
        <v>16611</v>
      </c>
      <c r="I31">
        <v>533.66829209560001</v>
      </c>
      <c r="J31">
        <v>1276</v>
      </c>
      <c r="K31">
        <v>854.11050156739998</v>
      </c>
      <c r="L31">
        <v>1292</v>
      </c>
      <c r="M31">
        <v>416.23297213619998</v>
      </c>
      <c r="N31">
        <v>973</v>
      </c>
      <c r="O31">
        <v>359.8618556701</v>
      </c>
      <c r="R31">
        <v>26</v>
      </c>
      <c r="S31">
        <v>334.80769230769999</v>
      </c>
      <c r="V31" t="s">
        <v>382</v>
      </c>
      <c r="W31">
        <v>19495</v>
      </c>
      <c r="X31">
        <v>16525</v>
      </c>
      <c r="Y31">
        <v>530.29567322239996</v>
      </c>
      <c r="Z31">
        <v>1335</v>
      </c>
      <c r="AA31">
        <v>847.10936329590004</v>
      </c>
      <c r="AB31">
        <v>1417</v>
      </c>
      <c r="AC31">
        <v>443.19760056460001</v>
      </c>
      <c r="AD31">
        <v>1037</v>
      </c>
      <c r="AE31">
        <v>364.68375241780001</v>
      </c>
      <c r="AF31">
        <v>490</v>
      </c>
      <c r="AG31">
        <v>166.38036809819999</v>
      </c>
      <c r="AH31">
        <v>26</v>
      </c>
      <c r="AI31">
        <v>334.80769230769999</v>
      </c>
      <c r="AL31" t="s">
        <v>382</v>
      </c>
      <c r="AM31">
        <v>319</v>
      </c>
      <c r="AN31">
        <v>226</v>
      </c>
      <c r="AO31">
        <v>300.0442477876</v>
      </c>
      <c r="AP31">
        <v>67</v>
      </c>
      <c r="AQ31">
        <v>522.55223880599999</v>
      </c>
      <c r="AR31">
        <v>73</v>
      </c>
      <c r="AS31">
        <v>185.3287671233</v>
      </c>
      <c r="AT31">
        <v>20</v>
      </c>
      <c r="AU31">
        <v>309.85000000000002</v>
      </c>
    </row>
    <row r="32" spans="6:49" x14ac:dyDescent="0.2">
      <c r="F32" t="s">
        <v>39</v>
      </c>
      <c r="G32">
        <v>13138</v>
      </c>
      <c r="H32">
        <v>10520</v>
      </c>
      <c r="I32">
        <v>387.32113318760003</v>
      </c>
      <c r="J32">
        <v>547</v>
      </c>
      <c r="K32">
        <v>728.57404021939999</v>
      </c>
      <c r="L32">
        <v>1687</v>
      </c>
      <c r="M32">
        <v>498.33372851220003</v>
      </c>
      <c r="N32">
        <v>905</v>
      </c>
      <c r="O32">
        <v>576.68729281770004</v>
      </c>
      <c r="R32">
        <v>26</v>
      </c>
      <c r="S32">
        <v>523.23076923079998</v>
      </c>
      <c r="V32" t="s">
        <v>394</v>
      </c>
      <c r="W32">
        <v>3395</v>
      </c>
      <c r="X32">
        <v>2147</v>
      </c>
      <c r="Y32">
        <v>431.46483465300003</v>
      </c>
      <c r="Z32">
        <v>425</v>
      </c>
      <c r="AA32">
        <v>509.92235294120002</v>
      </c>
      <c r="AB32">
        <v>623</v>
      </c>
      <c r="AC32">
        <v>491.42857142859998</v>
      </c>
      <c r="AD32">
        <v>502</v>
      </c>
      <c r="AE32">
        <v>626.1454183267</v>
      </c>
      <c r="AF32">
        <v>119</v>
      </c>
      <c r="AG32">
        <v>159.01680672270001</v>
      </c>
      <c r="AH32">
        <v>4</v>
      </c>
      <c r="AI32">
        <v>648</v>
      </c>
      <c r="AL32" t="s">
        <v>394</v>
      </c>
      <c r="AM32">
        <v>114</v>
      </c>
      <c r="AN32">
        <v>85</v>
      </c>
      <c r="AO32">
        <v>451.30588235290003</v>
      </c>
      <c r="AP32">
        <v>11</v>
      </c>
      <c r="AQ32">
        <v>740.81818181819995</v>
      </c>
      <c r="AR32">
        <v>28</v>
      </c>
      <c r="AS32">
        <v>260.71428571429999</v>
      </c>
      <c r="AT32">
        <v>1</v>
      </c>
      <c r="AU32">
        <v>787</v>
      </c>
    </row>
    <row r="33" spans="6:49" x14ac:dyDescent="0.2">
      <c r="F33" t="s">
        <v>72</v>
      </c>
      <c r="G33">
        <v>5234</v>
      </c>
      <c r="H33">
        <v>2486</v>
      </c>
      <c r="I33">
        <v>368.26237424549998</v>
      </c>
      <c r="J33">
        <v>652</v>
      </c>
      <c r="K33">
        <v>591.34202453989997</v>
      </c>
      <c r="L33">
        <v>1811</v>
      </c>
      <c r="M33">
        <v>693.99834345670001</v>
      </c>
      <c r="N33">
        <v>932</v>
      </c>
      <c r="O33">
        <v>889.58583690989997</v>
      </c>
      <c r="R33">
        <v>5</v>
      </c>
      <c r="S33">
        <v>357.4</v>
      </c>
      <c r="V33" t="s">
        <v>385</v>
      </c>
      <c r="W33">
        <v>7319</v>
      </c>
      <c r="X33">
        <v>4649</v>
      </c>
      <c r="Y33">
        <v>281.39965583999998</v>
      </c>
      <c r="Z33">
        <v>581</v>
      </c>
      <c r="AA33">
        <v>577.6437177281</v>
      </c>
      <c r="AB33">
        <v>1542</v>
      </c>
      <c r="AC33">
        <v>349.64591439690003</v>
      </c>
      <c r="AD33">
        <v>756</v>
      </c>
      <c r="AE33">
        <v>447.73412698409999</v>
      </c>
      <c r="AF33">
        <v>362</v>
      </c>
      <c r="AG33">
        <v>176.81491712709999</v>
      </c>
      <c r="AH33">
        <v>10</v>
      </c>
      <c r="AI33">
        <v>601.4</v>
      </c>
      <c r="AL33" t="s">
        <v>385</v>
      </c>
      <c r="AM33">
        <v>255</v>
      </c>
      <c r="AN33">
        <v>193</v>
      </c>
      <c r="AO33">
        <v>321.47668393779998</v>
      </c>
      <c r="AP33">
        <v>14</v>
      </c>
      <c r="AQ33">
        <v>457</v>
      </c>
      <c r="AR33">
        <v>54</v>
      </c>
      <c r="AS33">
        <v>301.2037037037</v>
      </c>
      <c r="AT33">
        <v>8</v>
      </c>
      <c r="AU33">
        <v>503.75</v>
      </c>
    </row>
    <row r="34" spans="6:49" x14ac:dyDescent="0.2">
      <c r="F34" t="s">
        <v>58</v>
      </c>
      <c r="G34">
        <v>6692</v>
      </c>
      <c r="H34">
        <v>4473</v>
      </c>
      <c r="I34">
        <v>265.85043594899997</v>
      </c>
      <c r="J34">
        <v>557</v>
      </c>
      <c r="K34">
        <v>548.22800718129997</v>
      </c>
      <c r="L34">
        <v>1456</v>
      </c>
      <c r="M34">
        <v>312.90728021979999</v>
      </c>
      <c r="N34">
        <v>753</v>
      </c>
      <c r="O34">
        <v>438.78353253649999</v>
      </c>
      <c r="R34">
        <v>10</v>
      </c>
      <c r="S34">
        <v>601.4</v>
      </c>
      <c r="V34" t="s">
        <v>428</v>
      </c>
      <c r="W34">
        <v>5385</v>
      </c>
      <c r="X34">
        <v>2438</v>
      </c>
      <c r="Y34">
        <v>365.62125564220003</v>
      </c>
      <c r="Z34">
        <v>631</v>
      </c>
      <c r="AA34">
        <v>580.04120443739998</v>
      </c>
      <c r="AB34">
        <v>1784</v>
      </c>
      <c r="AC34">
        <v>689.80044843049996</v>
      </c>
      <c r="AD34">
        <v>903</v>
      </c>
      <c r="AE34">
        <v>883.18383167219997</v>
      </c>
      <c r="AF34">
        <v>255</v>
      </c>
      <c r="AG34">
        <v>184.3725490196</v>
      </c>
      <c r="AH34">
        <v>5</v>
      </c>
      <c r="AI34">
        <v>357.4</v>
      </c>
      <c r="AL34" t="s">
        <v>428</v>
      </c>
      <c r="AM34">
        <v>91</v>
      </c>
      <c r="AN34">
        <v>57</v>
      </c>
      <c r="AO34">
        <v>249.05263157889999</v>
      </c>
      <c r="AP34">
        <v>24</v>
      </c>
      <c r="AQ34">
        <v>466.125</v>
      </c>
      <c r="AR34">
        <v>26</v>
      </c>
      <c r="AS34">
        <v>163.30769230769999</v>
      </c>
      <c r="AT34">
        <v>8</v>
      </c>
      <c r="AU34">
        <v>210.5</v>
      </c>
    </row>
    <row r="35" spans="6:49" x14ac:dyDescent="0.2">
      <c r="F35" t="s">
        <v>53</v>
      </c>
      <c r="G35">
        <v>4870</v>
      </c>
      <c r="H35">
        <v>3205</v>
      </c>
      <c r="I35">
        <v>474.47269890799998</v>
      </c>
      <c r="J35">
        <v>629</v>
      </c>
      <c r="K35">
        <v>573.24801271859997</v>
      </c>
      <c r="L35">
        <v>944</v>
      </c>
      <c r="M35">
        <v>499.67266949150002</v>
      </c>
      <c r="N35">
        <v>717</v>
      </c>
      <c r="O35">
        <v>614.34170153419996</v>
      </c>
      <c r="R35">
        <v>4</v>
      </c>
      <c r="S35">
        <v>648</v>
      </c>
      <c r="V35" t="s">
        <v>384</v>
      </c>
      <c r="W35">
        <v>13451</v>
      </c>
      <c r="X35">
        <v>10454</v>
      </c>
      <c r="Y35">
        <v>389.39835453939997</v>
      </c>
      <c r="Z35">
        <v>571</v>
      </c>
      <c r="AA35">
        <v>723.18388791589996</v>
      </c>
      <c r="AB35">
        <v>1734</v>
      </c>
      <c r="AC35">
        <v>497.8961937716</v>
      </c>
      <c r="AD35">
        <v>906</v>
      </c>
      <c r="AE35">
        <v>571.96799117</v>
      </c>
      <c r="AF35">
        <v>330</v>
      </c>
      <c r="AG35">
        <v>173.51367781159999</v>
      </c>
      <c r="AH35">
        <v>27</v>
      </c>
      <c r="AI35">
        <v>509.4074074074</v>
      </c>
      <c r="AL35" t="s">
        <v>384</v>
      </c>
      <c r="AM35">
        <v>155</v>
      </c>
      <c r="AN35">
        <v>117</v>
      </c>
      <c r="AO35">
        <v>265.05982905979999</v>
      </c>
      <c r="AP35">
        <v>35</v>
      </c>
      <c r="AQ35">
        <v>512.6</v>
      </c>
      <c r="AR35">
        <v>31</v>
      </c>
      <c r="AS35">
        <v>160.03225806450001</v>
      </c>
      <c r="AT35">
        <v>7</v>
      </c>
      <c r="AU35">
        <v>165.57142857139999</v>
      </c>
    </row>
    <row r="36" spans="6:49" x14ac:dyDescent="0.2">
      <c r="F36" t="s">
        <v>57</v>
      </c>
      <c r="G36">
        <v>9871</v>
      </c>
      <c r="H36">
        <v>4813</v>
      </c>
      <c r="I36">
        <v>256.79322527020003</v>
      </c>
      <c r="J36">
        <v>900</v>
      </c>
      <c r="K36">
        <v>595.68666666670003</v>
      </c>
      <c r="L36">
        <v>3803</v>
      </c>
      <c r="M36">
        <v>683.05521956350003</v>
      </c>
      <c r="N36">
        <v>1240</v>
      </c>
      <c r="O36">
        <v>472.588377724</v>
      </c>
      <c r="R36">
        <v>15</v>
      </c>
      <c r="S36">
        <v>707.2</v>
      </c>
      <c r="V36" t="s">
        <v>381</v>
      </c>
      <c r="W36">
        <v>91696</v>
      </c>
      <c r="X36">
        <v>68999</v>
      </c>
      <c r="Y36">
        <v>434.34030495410002</v>
      </c>
      <c r="Z36">
        <v>6354</v>
      </c>
      <c r="AA36">
        <v>692.04501101669996</v>
      </c>
      <c r="AB36">
        <v>11912</v>
      </c>
      <c r="AC36">
        <v>543.80725319010003</v>
      </c>
      <c r="AD36">
        <v>7626</v>
      </c>
      <c r="AE36">
        <v>485.05995801630002</v>
      </c>
      <c r="AF36">
        <v>3029</v>
      </c>
      <c r="AG36">
        <v>172.32276181040001</v>
      </c>
      <c r="AH36">
        <v>130</v>
      </c>
      <c r="AI36">
        <v>415.46153846150003</v>
      </c>
      <c r="AL36" t="s">
        <v>381</v>
      </c>
      <c r="AM36">
        <v>1711</v>
      </c>
      <c r="AN36">
        <v>1272</v>
      </c>
      <c r="AO36">
        <v>311.5188679245</v>
      </c>
      <c r="AP36">
        <v>316</v>
      </c>
      <c r="AQ36">
        <v>494.59177215189999</v>
      </c>
      <c r="AR36">
        <v>379</v>
      </c>
      <c r="AS36">
        <v>236.5171503958</v>
      </c>
      <c r="AT36">
        <v>59</v>
      </c>
      <c r="AU36">
        <v>298.57627118639999</v>
      </c>
      <c r="AV36">
        <v>1</v>
      </c>
      <c r="AW36">
        <v>1</v>
      </c>
    </row>
    <row r="37" spans="6:49" x14ac:dyDescent="0.2">
      <c r="F37" t="s">
        <v>77</v>
      </c>
      <c r="G37">
        <v>31265</v>
      </c>
      <c r="H37">
        <v>28197</v>
      </c>
      <c r="I37">
        <v>454.73541408049999</v>
      </c>
      <c r="J37">
        <v>1863</v>
      </c>
      <c r="K37">
        <v>742.26033279659998</v>
      </c>
      <c r="L37">
        <v>798</v>
      </c>
      <c r="M37">
        <v>226.0852130326</v>
      </c>
      <c r="N37">
        <v>2229</v>
      </c>
      <c r="O37">
        <v>316.31538806639998</v>
      </c>
      <c r="R37">
        <v>41</v>
      </c>
      <c r="S37">
        <v>229.75609756099999</v>
      </c>
      <c r="V37" t="s">
        <v>407</v>
      </c>
      <c r="W37">
        <v>579</v>
      </c>
      <c r="X37">
        <v>282</v>
      </c>
      <c r="Y37">
        <v>152.95035460989999</v>
      </c>
      <c r="Z37">
        <v>259</v>
      </c>
      <c r="AA37">
        <v>204.6602316602</v>
      </c>
      <c r="AB37">
        <v>126</v>
      </c>
      <c r="AC37">
        <v>171.6349206349</v>
      </c>
      <c r="AD37">
        <v>115</v>
      </c>
      <c r="AE37">
        <v>225.44347826090001</v>
      </c>
      <c r="AF37">
        <v>51</v>
      </c>
      <c r="AG37">
        <v>192</v>
      </c>
      <c r="AH37">
        <v>5</v>
      </c>
      <c r="AI37">
        <v>357</v>
      </c>
      <c r="AL37" t="s">
        <v>407</v>
      </c>
      <c r="AM37">
        <v>19</v>
      </c>
      <c r="AN37">
        <v>13</v>
      </c>
      <c r="AO37">
        <v>78.615384615400004</v>
      </c>
      <c r="AP37">
        <v>10</v>
      </c>
      <c r="AQ37">
        <v>204.1</v>
      </c>
      <c r="AR37">
        <v>5</v>
      </c>
      <c r="AS37">
        <v>102</v>
      </c>
      <c r="AT37">
        <v>1</v>
      </c>
      <c r="AU37">
        <v>131</v>
      </c>
    </row>
    <row r="38" spans="6:49" x14ac:dyDescent="0.2">
      <c r="F38" t="s">
        <v>381</v>
      </c>
      <c r="G38">
        <v>89972</v>
      </c>
      <c r="H38">
        <v>70305</v>
      </c>
      <c r="I38">
        <v>435.57489331440001</v>
      </c>
      <c r="J38">
        <v>6424</v>
      </c>
      <c r="K38">
        <v>694.08701743460006</v>
      </c>
      <c r="L38">
        <v>11791</v>
      </c>
      <c r="M38">
        <v>537.75354083620005</v>
      </c>
      <c r="N38">
        <v>7749</v>
      </c>
      <c r="O38">
        <v>485.67501613939999</v>
      </c>
      <c r="R38">
        <v>127</v>
      </c>
      <c r="S38">
        <v>415.1968503937</v>
      </c>
      <c r="V38" t="s">
        <v>411</v>
      </c>
      <c r="W38">
        <v>42405</v>
      </c>
      <c r="X38">
        <v>30331</v>
      </c>
      <c r="Y38">
        <v>457.67894233620001</v>
      </c>
      <c r="Z38">
        <v>2585</v>
      </c>
      <c r="AA38">
        <v>694.68007736940001</v>
      </c>
      <c r="AB38">
        <v>8623</v>
      </c>
      <c r="AC38">
        <v>704.25513162469997</v>
      </c>
      <c r="AD38">
        <v>2189</v>
      </c>
      <c r="AE38">
        <v>537.54641060810002</v>
      </c>
      <c r="AF38">
        <v>1166</v>
      </c>
      <c r="AG38">
        <v>180.48627787309999</v>
      </c>
      <c r="AH38">
        <v>96</v>
      </c>
      <c r="AI38">
        <v>527.63541666670005</v>
      </c>
      <c r="AL38" t="s">
        <v>411</v>
      </c>
      <c r="AM38">
        <v>422</v>
      </c>
      <c r="AN38">
        <v>283</v>
      </c>
      <c r="AO38">
        <v>272.92226148409998</v>
      </c>
      <c r="AP38">
        <v>218</v>
      </c>
      <c r="AQ38">
        <v>468.63302752290002</v>
      </c>
      <c r="AR38">
        <v>129</v>
      </c>
      <c r="AS38">
        <v>262.7596899225</v>
      </c>
      <c r="AT38">
        <v>10</v>
      </c>
      <c r="AU38">
        <v>337.6</v>
      </c>
    </row>
    <row r="39" spans="6:49" x14ac:dyDescent="0.2">
      <c r="F39" t="s">
        <v>79</v>
      </c>
      <c r="G39">
        <v>20060</v>
      </c>
      <c r="H39">
        <v>15385</v>
      </c>
      <c r="I39">
        <v>407.15651608709999</v>
      </c>
      <c r="J39">
        <v>1330</v>
      </c>
      <c r="K39">
        <v>699.884962406</v>
      </c>
      <c r="L39">
        <v>3699</v>
      </c>
      <c r="M39">
        <v>717.99567450660004</v>
      </c>
      <c r="N39">
        <v>913</v>
      </c>
      <c r="O39">
        <v>454.66593647320002</v>
      </c>
      <c r="R39">
        <v>63</v>
      </c>
      <c r="S39">
        <v>519.39682539679995</v>
      </c>
      <c r="V39" t="s">
        <v>419</v>
      </c>
      <c r="W39">
        <v>396</v>
      </c>
      <c r="X39">
        <v>208</v>
      </c>
      <c r="Y39">
        <v>184.33173076919999</v>
      </c>
      <c r="Z39">
        <v>122</v>
      </c>
      <c r="AA39">
        <v>238.57377049179999</v>
      </c>
      <c r="AB39">
        <v>104</v>
      </c>
      <c r="AC39">
        <v>273.79807692309998</v>
      </c>
      <c r="AD39">
        <v>56</v>
      </c>
      <c r="AE39">
        <v>464.80357142859998</v>
      </c>
      <c r="AF39">
        <v>26</v>
      </c>
      <c r="AG39">
        <v>273.65384615379998</v>
      </c>
      <c r="AH39">
        <v>2</v>
      </c>
      <c r="AI39">
        <v>618.5</v>
      </c>
      <c r="AL39" t="s">
        <v>419</v>
      </c>
      <c r="AM39">
        <v>2</v>
      </c>
      <c r="AN39">
        <v>2</v>
      </c>
      <c r="AO39">
        <v>108.5</v>
      </c>
      <c r="AP39">
        <v>4</v>
      </c>
      <c r="AQ39">
        <v>294.25</v>
      </c>
    </row>
    <row r="40" spans="6:49" x14ac:dyDescent="0.2">
      <c r="F40" t="s">
        <v>40</v>
      </c>
      <c r="G40">
        <v>6466</v>
      </c>
      <c r="H40">
        <v>3808</v>
      </c>
      <c r="I40">
        <v>276.66202731089999</v>
      </c>
      <c r="J40">
        <v>310</v>
      </c>
      <c r="K40">
        <v>553.91935483869997</v>
      </c>
      <c r="L40">
        <v>2280</v>
      </c>
      <c r="M40">
        <v>775.26359649120002</v>
      </c>
      <c r="N40">
        <v>361</v>
      </c>
      <c r="O40">
        <v>408.85872576179997</v>
      </c>
      <c r="R40">
        <v>17</v>
      </c>
      <c r="S40">
        <v>389.29411764709999</v>
      </c>
      <c r="V40" t="s">
        <v>422</v>
      </c>
      <c r="W40">
        <v>229</v>
      </c>
      <c r="X40">
        <v>131</v>
      </c>
      <c r="Y40">
        <v>244.44274809160001</v>
      </c>
      <c r="Z40">
        <v>92</v>
      </c>
      <c r="AA40">
        <v>340.77173913040002</v>
      </c>
      <c r="AB40">
        <v>50</v>
      </c>
      <c r="AC40">
        <v>434.34</v>
      </c>
      <c r="AD40">
        <v>26</v>
      </c>
      <c r="AE40">
        <v>367.80769230769999</v>
      </c>
      <c r="AF40">
        <v>21</v>
      </c>
      <c r="AG40">
        <v>214.28571428570001</v>
      </c>
      <c r="AH40">
        <v>1</v>
      </c>
      <c r="AI40">
        <v>418</v>
      </c>
      <c r="AL40" t="s">
        <v>422</v>
      </c>
      <c r="AM40">
        <v>4</v>
      </c>
      <c r="AN40">
        <v>2</v>
      </c>
      <c r="AO40">
        <v>348</v>
      </c>
      <c r="AP40">
        <v>1</v>
      </c>
      <c r="AQ40">
        <v>500</v>
      </c>
      <c r="AR40">
        <v>2</v>
      </c>
      <c r="AS40">
        <v>257</v>
      </c>
    </row>
    <row r="41" spans="6:49" x14ac:dyDescent="0.2">
      <c r="F41" t="s">
        <v>46</v>
      </c>
      <c r="G41">
        <v>20412</v>
      </c>
      <c r="H41">
        <v>14244</v>
      </c>
      <c r="I41">
        <v>520.56680474619998</v>
      </c>
      <c r="J41">
        <v>1229</v>
      </c>
      <c r="K41">
        <v>718.77054515869997</v>
      </c>
      <c r="L41">
        <v>4890</v>
      </c>
      <c r="M41">
        <v>705.57280163600001</v>
      </c>
      <c r="N41">
        <v>1247</v>
      </c>
      <c r="O41">
        <v>607.69799196789995</v>
      </c>
      <c r="R41">
        <v>31</v>
      </c>
      <c r="S41">
        <v>545.87096774190002</v>
      </c>
      <c r="V41" t="s">
        <v>412</v>
      </c>
      <c r="W41">
        <v>5304</v>
      </c>
      <c r="X41">
        <v>4078</v>
      </c>
      <c r="Y41">
        <v>460.99239823440001</v>
      </c>
      <c r="Z41">
        <v>342</v>
      </c>
      <c r="AA41">
        <v>926.04970760230003</v>
      </c>
      <c r="AB41">
        <v>577</v>
      </c>
      <c r="AC41">
        <v>277.3656845754</v>
      </c>
      <c r="AD41">
        <v>484</v>
      </c>
      <c r="AE41">
        <v>563.00826446279996</v>
      </c>
      <c r="AF41">
        <v>162</v>
      </c>
      <c r="AG41">
        <v>198.74074074070001</v>
      </c>
      <c r="AH41">
        <v>3</v>
      </c>
      <c r="AI41">
        <v>261</v>
      </c>
      <c r="AL41" t="s">
        <v>412</v>
      </c>
      <c r="AM41">
        <v>155</v>
      </c>
      <c r="AN41">
        <v>114</v>
      </c>
      <c r="AO41">
        <v>371.63157894739999</v>
      </c>
      <c r="AP41">
        <v>22</v>
      </c>
      <c r="AQ41">
        <v>741.09090909090003</v>
      </c>
      <c r="AR41">
        <v>39</v>
      </c>
      <c r="AS41">
        <v>302.10256410260001</v>
      </c>
      <c r="AT41">
        <v>2</v>
      </c>
      <c r="AU41">
        <v>983</v>
      </c>
    </row>
    <row r="42" spans="6:49" x14ac:dyDescent="0.2">
      <c r="F42" t="s">
        <v>49</v>
      </c>
      <c r="G42">
        <v>4708</v>
      </c>
      <c r="H42">
        <v>3115</v>
      </c>
      <c r="I42">
        <v>314.11364365970002</v>
      </c>
      <c r="J42">
        <v>341</v>
      </c>
      <c r="K42">
        <v>582.34017595310002</v>
      </c>
      <c r="L42">
        <v>1100</v>
      </c>
      <c r="M42">
        <v>370.84181818180002</v>
      </c>
      <c r="N42">
        <v>484</v>
      </c>
      <c r="O42">
        <v>572.88016528929995</v>
      </c>
      <c r="R42">
        <v>9</v>
      </c>
      <c r="S42">
        <v>808</v>
      </c>
      <c r="V42" t="s">
        <v>404</v>
      </c>
      <c r="W42">
        <v>6604</v>
      </c>
      <c r="X42">
        <v>3824</v>
      </c>
      <c r="Y42">
        <v>284.45502092049998</v>
      </c>
      <c r="Z42">
        <v>284</v>
      </c>
      <c r="AA42">
        <v>553.6936619718</v>
      </c>
      <c r="AB42">
        <v>2177</v>
      </c>
      <c r="AC42">
        <v>761.56361966010002</v>
      </c>
      <c r="AD42">
        <v>356</v>
      </c>
      <c r="AE42">
        <v>426.9157303371</v>
      </c>
      <c r="AF42">
        <v>232</v>
      </c>
      <c r="AG42">
        <v>181.46982758620001</v>
      </c>
      <c r="AH42">
        <v>15</v>
      </c>
      <c r="AI42">
        <v>407.93333333330003</v>
      </c>
      <c r="AL42" t="s">
        <v>404</v>
      </c>
      <c r="AM42">
        <v>72</v>
      </c>
      <c r="AN42">
        <v>50</v>
      </c>
      <c r="AO42">
        <v>234.62</v>
      </c>
      <c r="AP42">
        <v>28</v>
      </c>
      <c r="AQ42">
        <v>342.96428571429999</v>
      </c>
      <c r="AR42">
        <v>18</v>
      </c>
      <c r="AS42">
        <v>333.1111111111</v>
      </c>
      <c r="AT42">
        <v>4</v>
      </c>
      <c r="AU42">
        <v>316.25</v>
      </c>
    </row>
    <row r="43" spans="6:49" x14ac:dyDescent="0.2">
      <c r="F43" t="s">
        <v>36</v>
      </c>
      <c r="G43">
        <v>168</v>
      </c>
      <c r="H43">
        <v>105</v>
      </c>
      <c r="I43">
        <v>234.4857142857</v>
      </c>
      <c r="J43">
        <v>95</v>
      </c>
      <c r="K43">
        <v>358.18947368419998</v>
      </c>
      <c r="L43">
        <v>36</v>
      </c>
      <c r="M43">
        <v>314</v>
      </c>
      <c r="N43">
        <v>27</v>
      </c>
      <c r="O43">
        <v>346.4814814815</v>
      </c>
      <c r="V43" t="s">
        <v>413</v>
      </c>
      <c r="W43">
        <v>4588</v>
      </c>
      <c r="X43">
        <v>3025</v>
      </c>
      <c r="Y43">
        <v>207.1738842975</v>
      </c>
      <c r="Z43">
        <v>648</v>
      </c>
      <c r="AA43">
        <v>332.75154320989998</v>
      </c>
      <c r="AB43">
        <v>908</v>
      </c>
      <c r="AC43">
        <v>240.09251101320001</v>
      </c>
      <c r="AD43">
        <v>411</v>
      </c>
      <c r="AE43">
        <v>291.41362530409998</v>
      </c>
      <c r="AF43">
        <v>238</v>
      </c>
      <c r="AG43">
        <v>178.1428571429</v>
      </c>
      <c r="AH43">
        <v>6</v>
      </c>
      <c r="AI43">
        <v>398.3333333333</v>
      </c>
      <c r="AL43" t="s">
        <v>413</v>
      </c>
      <c r="AM43">
        <v>94</v>
      </c>
      <c r="AN43">
        <v>72</v>
      </c>
      <c r="AO43">
        <v>148</v>
      </c>
      <c r="AP43">
        <v>42</v>
      </c>
      <c r="AQ43">
        <v>252.6666666667</v>
      </c>
      <c r="AR43">
        <v>17</v>
      </c>
      <c r="AS43">
        <v>135.8235294118</v>
      </c>
      <c r="AT43">
        <v>5</v>
      </c>
      <c r="AU43">
        <v>337.2</v>
      </c>
    </row>
    <row r="44" spans="6:49" x14ac:dyDescent="0.2">
      <c r="F44" t="s">
        <v>27</v>
      </c>
      <c r="G44">
        <v>4229</v>
      </c>
      <c r="H44">
        <v>2934</v>
      </c>
      <c r="I44">
        <v>196.67655078390001</v>
      </c>
      <c r="J44">
        <v>640</v>
      </c>
      <c r="K44">
        <v>329.6</v>
      </c>
      <c r="L44">
        <v>868</v>
      </c>
      <c r="M44">
        <v>225.66244239630001</v>
      </c>
      <c r="N44">
        <v>421</v>
      </c>
      <c r="O44">
        <v>288.3657957245</v>
      </c>
      <c r="R44">
        <v>6</v>
      </c>
      <c r="S44">
        <v>398.3333333333</v>
      </c>
      <c r="V44" t="s">
        <v>388</v>
      </c>
      <c r="W44">
        <v>6069</v>
      </c>
      <c r="X44">
        <v>4952</v>
      </c>
      <c r="Y44">
        <v>447.0797657512</v>
      </c>
      <c r="Z44">
        <v>370</v>
      </c>
      <c r="AA44">
        <v>731.38648648649996</v>
      </c>
      <c r="AB44">
        <v>568</v>
      </c>
      <c r="AC44">
        <v>412.4718309859</v>
      </c>
      <c r="AD44">
        <v>352</v>
      </c>
      <c r="AE44">
        <v>422.72727272729998</v>
      </c>
      <c r="AF44">
        <v>177</v>
      </c>
      <c r="AG44">
        <v>175.95480225989999</v>
      </c>
      <c r="AH44">
        <v>20</v>
      </c>
      <c r="AI44">
        <v>393.9</v>
      </c>
      <c r="AL44" t="s">
        <v>388</v>
      </c>
      <c r="AM44">
        <v>187</v>
      </c>
      <c r="AN44">
        <v>139</v>
      </c>
      <c r="AO44">
        <v>384.71223021579999</v>
      </c>
      <c r="AP44">
        <v>16</v>
      </c>
      <c r="AQ44">
        <v>722.0625</v>
      </c>
      <c r="AR44">
        <v>46</v>
      </c>
      <c r="AS44">
        <v>311.13043478259999</v>
      </c>
      <c r="AT44">
        <v>2</v>
      </c>
      <c r="AU44">
        <v>132.5</v>
      </c>
    </row>
    <row r="45" spans="6:49" x14ac:dyDescent="0.2">
      <c r="F45" t="s">
        <v>51</v>
      </c>
      <c r="G45">
        <v>5273</v>
      </c>
      <c r="H45">
        <v>4205</v>
      </c>
      <c r="I45">
        <v>463.91177170039998</v>
      </c>
      <c r="J45">
        <v>347</v>
      </c>
      <c r="K45">
        <v>951.55331412099997</v>
      </c>
      <c r="L45">
        <v>571</v>
      </c>
      <c r="M45">
        <v>255.87215411560001</v>
      </c>
      <c r="N45">
        <v>493</v>
      </c>
      <c r="O45">
        <v>583.61866125760002</v>
      </c>
      <c r="R45">
        <v>4</v>
      </c>
      <c r="S45">
        <v>330</v>
      </c>
      <c r="V45" t="s">
        <v>390</v>
      </c>
      <c r="W45">
        <v>4973</v>
      </c>
      <c r="X45">
        <v>3177</v>
      </c>
      <c r="Y45">
        <v>323.45073969150002</v>
      </c>
      <c r="Z45">
        <v>351</v>
      </c>
      <c r="AA45">
        <v>581.13960113960002</v>
      </c>
      <c r="AB45">
        <v>1140</v>
      </c>
      <c r="AC45">
        <v>386.0877192982</v>
      </c>
      <c r="AD45">
        <v>492</v>
      </c>
      <c r="AE45">
        <v>577.88414634150001</v>
      </c>
      <c r="AF45">
        <v>155</v>
      </c>
      <c r="AG45">
        <v>227.82580645159999</v>
      </c>
      <c r="AH45">
        <v>9</v>
      </c>
      <c r="AI45">
        <v>808</v>
      </c>
      <c r="AL45" t="s">
        <v>390</v>
      </c>
      <c r="AM45">
        <v>170</v>
      </c>
      <c r="AN45">
        <v>121</v>
      </c>
      <c r="AO45">
        <v>324.32231404959998</v>
      </c>
      <c r="AP45">
        <v>12</v>
      </c>
      <c r="AQ45">
        <v>384.1666666667</v>
      </c>
      <c r="AR45">
        <v>46</v>
      </c>
      <c r="AS45">
        <v>429.71739130430001</v>
      </c>
      <c r="AT45">
        <v>3</v>
      </c>
      <c r="AU45">
        <v>466.6666666667</v>
      </c>
    </row>
    <row r="46" spans="6:49" x14ac:dyDescent="0.2">
      <c r="F46" t="s">
        <v>59</v>
      </c>
      <c r="G46">
        <v>5902</v>
      </c>
      <c r="H46">
        <v>4970</v>
      </c>
      <c r="I46">
        <v>451.19094567399998</v>
      </c>
      <c r="J46">
        <v>349</v>
      </c>
      <c r="K46">
        <v>735.88825214899998</v>
      </c>
      <c r="L46">
        <v>562</v>
      </c>
      <c r="M46">
        <v>389.6975088968</v>
      </c>
      <c r="N46">
        <v>351</v>
      </c>
      <c r="O46">
        <v>433.33618233620001</v>
      </c>
      <c r="R46">
        <v>19</v>
      </c>
      <c r="S46">
        <v>402.57894736840001</v>
      </c>
      <c r="V46" t="s">
        <v>386</v>
      </c>
      <c r="W46">
        <v>71147</v>
      </c>
      <c r="X46">
        <v>50008</v>
      </c>
      <c r="Y46">
        <v>416.55897056470002</v>
      </c>
      <c r="Z46">
        <v>5053</v>
      </c>
      <c r="AA46">
        <v>608.22996239860004</v>
      </c>
      <c r="AB46">
        <v>14273</v>
      </c>
      <c r="AC46">
        <v>620.40229804529997</v>
      </c>
      <c r="AD46">
        <v>4481</v>
      </c>
      <c r="AE46">
        <v>494.4183969636</v>
      </c>
      <c r="AF46">
        <v>2228</v>
      </c>
      <c r="AG46">
        <v>186.26840215440001</v>
      </c>
      <c r="AH46">
        <v>157</v>
      </c>
      <c r="AI46">
        <v>500.22292993629998</v>
      </c>
      <c r="AL46" t="s">
        <v>386</v>
      </c>
      <c r="AM46">
        <v>1125</v>
      </c>
      <c r="AN46">
        <v>796</v>
      </c>
      <c r="AO46">
        <v>297.29020100499997</v>
      </c>
      <c r="AP46">
        <v>353</v>
      </c>
      <c r="AQ46">
        <v>449.1841359773</v>
      </c>
      <c r="AR46">
        <v>302</v>
      </c>
      <c r="AS46">
        <v>294.98675496689998</v>
      </c>
      <c r="AT46">
        <v>27</v>
      </c>
      <c r="AU46">
        <v>373.6666666667</v>
      </c>
    </row>
    <row r="47" spans="6:49" x14ac:dyDescent="0.2">
      <c r="F47" t="s">
        <v>181</v>
      </c>
      <c r="G47">
        <v>316</v>
      </c>
      <c r="H47">
        <v>174</v>
      </c>
      <c r="I47">
        <v>145.64942528739999</v>
      </c>
      <c r="J47">
        <v>116</v>
      </c>
      <c r="K47">
        <v>215.15517241379999</v>
      </c>
      <c r="L47">
        <v>87</v>
      </c>
      <c r="M47">
        <v>245.47126436779999</v>
      </c>
      <c r="N47">
        <v>53</v>
      </c>
      <c r="O47">
        <v>460.320754717</v>
      </c>
      <c r="R47">
        <v>2</v>
      </c>
      <c r="S47">
        <v>618.5</v>
      </c>
      <c r="V47" t="s">
        <v>417</v>
      </c>
      <c r="W47">
        <v>456</v>
      </c>
      <c r="X47">
        <v>313</v>
      </c>
      <c r="Y47">
        <v>256.29392971250002</v>
      </c>
      <c r="Z47">
        <v>43</v>
      </c>
      <c r="AA47">
        <v>376.83720930229998</v>
      </c>
      <c r="AB47">
        <v>47</v>
      </c>
      <c r="AC47">
        <v>381.61702127659998</v>
      </c>
      <c r="AD47">
        <v>76</v>
      </c>
      <c r="AE47">
        <v>265.61842105260001</v>
      </c>
      <c r="AF47">
        <v>17</v>
      </c>
      <c r="AG47">
        <v>246.5294117647</v>
      </c>
      <c r="AH47">
        <v>3</v>
      </c>
      <c r="AI47">
        <v>250.6666666667</v>
      </c>
      <c r="AL47" t="s">
        <v>417</v>
      </c>
      <c r="AM47">
        <v>27</v>
      </c>
      <c r="AN47">
        <v>23</v>
      </c>
      <c r="AO47">
        <v>166.9565217391</v>
      </c>
      <c r="AP47">
        <v>3</v>
      </c>
      <c r="AQ47">
        <v>204.6666666667</v>
      </c>
      <c r="AR47">
        <v>4</v>
      </c>
      <c r="AS47">
        <v>28.5</v>
      </c>
    </row>
    <row r="48" spans="6:49" x14ac:dyDescent="0.2">
      <c r="F48" t="s">
        <v>70</v>
      </c>
      <c r="G48">
        <v>959</v>
      </c>
      <c r="H48">
        <v>728</v>
      </c>
      <c r="I48">
        <v>245.3351648352</v>
      </c>
      <c r="J48">
        <v>300</v>
      </c>
      <c r="K48">
        <v>224</v>
      </c>
      <c r="L48">
        <v>108</v>
      </c>
      <c r="M48">
        <v>116.8425925926</v>
      </c>
      <c r="N48">
        <v>119</v>
      </c>
      <c r="O48">
        <v>202.7899159664</v>
      </c>
      <c r="R48">
        <v>4</v>
      </c>
      <c r="S48">
        <v>231.5</v>
      </c>
      <c r="V48" t="s">
        <v>418</v>
      </c>
      <c r="W48">
        <v>101</v>
      </c>
      <c r="X48">
        <v>66</v>
      </c>
      <c r="Y48">
        <v>220.24242424240001</v>
      </c>
      <c r="Z48">
        <v>53</v>
      </c>
      <c r="AA48">
        <v>189.60377358490001</v>
      </c>
      <c r="AB48">
        <v>7</v>
      </c>
      <c r="AC48">
        <v>230.57142857139999</v>
      </c>
      <c r="AD48">
        <v>21</v>
      </c>
      <c r="AE48">
        <v>417.3333333333</v>
      </c>
      <c r="AF48">
        <v>6</v>
      </c>
      <c r="AG48">
        <v>164.3333333333</v>
      </c>
      <c r="AH48">
        <v>1</v>
      </c>
      <c r="AI48">
        <v>248</v>
      </c>
      <c r="AL48" t="s">
        <v>418</v>
      </c>
      <c r="AM48">
        <v>9</v>
      </c>
      <c r="AN48">
        <v>7</v>
      </c>
      <c r="AO48">
        <v>164.71428571429999</v>
      </c>
      <c r="AP48">
        <v>2</v>
      </c>
      <c r="AQ48">
        <v>210</v>
      </c>
      <c r="AR48">
        <v>1</v>
      </c>
      <c r="AS48">
        <v>18</v>
      </c>
      <c r="AT48">
        <v>1</v>
      </c>
      <c r="AU48">
        <v>688</v>
      </c>
    </row>
    <row r="49" spans="6:49" x14ac:dyDescent="0.2">
      <c r="F49" t="s">
        <v>386</v>
      </c>
      <c r="G49">
        <v>68493</v>
      </c>
      <c r="H49">
        <v>49668</v>
      </c>
      <c r="I49">
        <v>416.96325528019997</v>
      </c>
      <c r="J49">
        <v>5057</v>
      </c>
      <c r="K49">
        <v>614.72276052999996</v>
      </c>
      <c r="L49">
        <v>14201</v>
      </c>
      <c r="M49">
        <v>625.8651503415</v>
      </c>
      <c r="N49">
        <v>4469</v>
      </c>
      <c r="O49">
        <v>496.01007387509998</v>
      </c>
      <c r="R49">
        <v>155</v>
      </c>
      <c r="S49">
        <v>497.13548387100002</v>
      </c>
      <c r="V49" t="s">
        <v>424</v>
      </c>
      <c r="W49">
        <v>620</v>
      </c>
      <c r="X49">
        <v>370</v>
      </c>
      <c r="Y49">
        <v>366.09459459459998</v>
      </c>
      <c r="Z49">
        <v>63</v>
      </c>
      <c r="AA49">
        <v>611.26984126980005</v>
      </c>
      <c r="AB49">
        <v>138</v>
      </c>
      <c r="AC49">
        <v>464.5</v>
      </c>
      <c r="AD49">
        <v>79</v>
      </c>
      <c r="AE49">
        <v>622.78481012659995</v>
      </c>
      <c r="AF49">
        <v>29</v>
      </c>
      <c r="AG49">
        <v>166.37931034479999</v>
      </c>
      <c r="AH49">
        <v>4</v>
      </c>
      <c r="AI49">
        <v>378.75</v>
      </c>
      <c r="AL49" t="s">
        <v>424</v>
      </c>
      <c r="AM49">
        <v>15</v>
      </c>
      <c r="AN49">
        <v>15</v>
      </c>
      <c r="AO49">
        <v>248</v>
      </c>
      <c r="AP49">
        <v>4</v>
      </c>
      <c r="AQ49">
        <v>476</v>
      </c>
    </row>
    <row r="50" spans="6:49" x14ac:dyDescent="0.2">
      <c r="F50" t="s">
        <v>212</v>
      </c>
      <c r="G50">
        <v>1404</v>
      </c>
      <c r="H50">
        <v>1000</v>
      </c>
      <c r="I50">
        <v>202.83500000000001</v>
      </c>
      <c r="J50">
        <v>664</v>
      </c>
      <c r="K50">
        <v>371.06626506020001</v>
      </c>
      <c r="L50">
        <v>351</v>
      </c>
      <c r="M50">
        <v>209.92307692310001</v>
      </c>
      <c r="N50">
        <v>53</v>
      </c>
      <c r="O50">
        <v>239.47169811320001</v>
      </c>
      <c r="V50" t="s">
        <v>377</v>
      </c>
      <c r="W50">
        <v>5748</v>
      </c>
      <c r="X50">
        <v>4605</v>
      </c>
      <c r="Y50">
        <v>580.35461454940003</v>
      </c>
      <c r="Z50">
        <v>305</v>
      </c>
      <c r="AA50">
        <v>863.0885245902</v>
      </c>
      <c r="AB50">
        <v>741</v>
      </c>
      <c r="AC50">
        <v>782.02699055330004</v>
      </c>
      <c r="AD50">
        <v>297</v>
      </c>
      <c r="AE50">
        <v>623.02356902359998</v>
      </c>
      <c r="AF50">
        <v>98</v>
      </c>
      <c r="AG50">
        <v>120.9183673469</v>
      </c>
      <c r="AH50">
        <v>7</v>
      </c>
      <c r="AI50">
        <v>666.28571428570001</v>
      </c>
      <c r="AL50" t="s">
        <v>377</v>
      </c>
      <c r="AM50">
        <v>79</v>
      </c>
      <c r="AN50">
        <v>62</v>
      </c>
      <c r="AO50">
        <v>266.8548387097</v>
      </c>
      <c r="AP50">
        <v>12</v>
      </c>
      <c r="AQ50">
        <v>423.8333333333</v>
      </c>
      <c r="AR50">
        <v>13</v>
      </c>
      <c r="AS50">
        <v>167.23076923080001</v>
      </c>
      <c r="AT50">
        <v>4</v>
      </c>
      <c r="AU50">
        <v>313.5</v>
      </c>
    </row>
    <row r="51" spans="6:49" x14ac:dyDescent="0.2">
      <c r="F51" t="s">
        <v>209</v>
      </c>
      <c r="G51">
        <v>2537</v>
      </c>
      <c r="H51">
        <v>1893</v>
      </c>
      <c r="I51">
        <v>379.78763866880001</v>
      </c>
      <c r="J51">
        <v>235</v>
      </c>
      <c r="K51">
        <v>679.5574468085</v>
      </c>
      <c r="L51">
        <v>595</v>
      </c>
      <c r="M51">
        <v>367.6100840336</v>
      </c>
      <c r="N51">
        <v>49</v>
      </c>
      <c r="O51">
        <v>362.51020408160002</v>
      </c>
      <c r="V51" t="s">
        <v>60</v>
      </c>
      <c r="W51">
        <v>5261</v>
      </c>
      <c r="X51">
        <v>3479</v>
      </c>
      <c r="Y51">
        <v>239.74159241160001</v>
      </c>
      <c r="Z51">
        <v>874</v>
      </c>
      <c r="AA51">
        <v>411.66361556060002</v>
      </c>
      <c r="AB51">
        <v>957</v>
      </c>
      <c r="AC51">
        <v>286.50052246600001</v>
      </c>
      <c r="AD51">
        <v>583</v>
      </c>
      <c r="AE51">
        <v>597.48713550599996</v>
      </c>
      <c r="AF51">
        <v>231</v>
      </c>
      <c r="AG51">
        <v>181.4112554113</v>
      </c>
      <c r="AH51">
        <v>11</v>
      </c>
      <c r="AI51">
        <v>869.63636363640001</v>
      </c>
      <c r="AL51" t="s">
        <v>60</v>
      </c>
      <c r="AM51">
        <v>212</v>
      </c>
      <c r="AN51">
        <v>175</v>
      </c>
      <c r="AO51">
        <v>263.43428571430002</v>
      </c>
      <c r="AP51">
        <v>42</v>
      </c>
      <c r="AQ51">
        <v>384.59523809519999</v>
      </c>
      <c r="AR51">
        <v>30</v>
      </c>
      <c r="AS51">
        <v>229.23333333330001</v>
      </c>
      <c r="AT51">
        <v>7</v>
      </c>
      <c r="AU51">
        <v>246.1428571429</v>
      </c>
    </row>
    <row r="52" spans="6:49" x14ac:dyDescent="0.2">
      <c r="F52" t="s">
        <v>210</v>
      </c>
      <c r="G52">
        <v>2386</v>
      </c>
      <c r="H52">
        <v>1845</v>
      </c>
      <c r="I52">
        <v>259.04986449860002</v>
      </c>
      <c r="J52">
        <v>549</v>
      </c>
      <c r="K52">
        <v>428.59198542809997</v>
      </c>
      <c r="L52">
        <v>436</v>
      </c>
      <c r="M52">
        <v>180.62614678899999</v>
      </c>
      <c r="N52">
        <v>105</v>
      </c>
      <c r="O52">
        <v>296.4571428571</v>
      </c>
      <c r="V52" t="s">
        <v>379</v>
      </c>
      <c r="W52">
        <v>15296</v>
      </c>
      <c r="X52">
        <v>10746</v>
      </c>
      <c r="Y52">
        <v>373.4213122383</v>
      </c>
      <c r="Z52">
        <v>758</v>
      </c>
      <c r="AA52">
        <v>799.43139841690004</v>
      </c>
      <c r="AB52">
        <v>3538</v>
      </c>
      <c r="AC52">
        <v>769.07885811189999</v>
      </c>
      <c r="AD52">
        <v>672</v>
      </c>
      <c r="AE52">
        <v>506</v>
      </c>
      <c r="AF52">
        <v>338</v>
      </c>
      <c r="AG52">
        <v>149.57100591720001</v>
      </c>
      <c r="AH52">
        <v>2</v>
      </c>
      <c r="AI52">
        <v>460.5</v>
      </c>
      <c r="AL52" t="s">
        <v>379</v>
      </c>
      <c r="AM52">
        <v>148</v>
      </c>
      <c r="AN52">
        <v>120</v>
      </c>
      <c r="AO52">
        <v>257.26666666670002</v>
      </c>
      <c r="AP52">
        <v>32</v>
      </c>
      <c r="AQ52">
        <v>317.8125</v>
      </c>
      <c r="AR52">
        <v>16</v>
      </c>
      <c r="AS52">
        <v>202.6875</v>
      </c>
      <c r="AT52">
        <v>12</v>
      </c>
      <c r="AU52">
        <v>252.8333333333</v>
      </c>
    </row>
    <row r="53" spans="6:49" x14ac:dyDescent="0.2">
      <c r="F53" t="s">
        <v>463</v>
      </c>
      <c r="G53">
        <v>6327</v>
      </c>
      <c r="H53">
        <v>4738</v>
      </c>
      <c r="I53">
        <v>295.42422963280001</v>
      </c>
      <c r="J53">
        <v>1448</v>
      </c>
      <c r="K53">
        <v>442.94267955800001</v>
      </c>
      <c r="L53">
        <v>1382</v>
      </c>
      <c r="M53">
        <v>268.57018813309998</v>
      </c>
      <c r="N53">
        <v>207</v>
      </c>
      <c r="O53">
        <v>297.50241545889997</v>
      </c>
      <c r="V53" t="s">
        <v>375</v>
      </c>
      <c r="W53">
        <v>4022</v>
      </c>
      <c r="X53">
        <v>2725</v>
      </c>
      <c r="Y53">
        <v>317.336146789</v>
      </c>
      <c r="Z53">
        <v>530</v>
      </c>
      <c r="AA53">
        <v>478.0339622642</v>
      </c>
      <c r="AB53">
        <v>592</v>
      </c>
      <c r="AC53">
        <v>274.35472972970001</v>
      </c>
      <c r="AD53">
        <v>564</v>
      </c>
      <c r="AE53">
        <v>543.94503546099997</v>
      </c>
      <c r="AF53">
        <v>129</v>
      </c>
      <c r="AG53">
        <v>208.5891472868</v>
      </c>
      <c r="AH53">
        <v>12</v>
      </c>
      <c r="AI53">
        <v>655.83333333329995</v>
      </c>
      <c r="AL53" t="s">
        <v>375</v>
      </c>
      <c r="AM53">
        <v>166</v>
      </c>
      <c r="AN53">
        <v>119</v>
      </c>
      <c r="AO53">
        <v>214.9915966387</v>
      </c>
      <c r="AP53">
        <v>35</v>
      </c>
      <c r="AQ53">
        <v>356.6</v>
      </c>
      <c r="AR53">
        <v>40</v>
      </c>
      <c r="AS53">
        <v>245.22499999999999</v>
      </c>
      <c r="AT53">
        <v>7</v>
      </c>
      <c r="AU53">
        <v>298.85714285709997</v>
      </c>
    </row>
    <row r="54" spans="6:49" x14ac:dyDescent="0.2">
      <c r="F54" t="s">
        <v>78</v>
      </c>
      <c r="G54">
        <v>659</v>
      </c>
      <c r="H54">
        <v>548</v>
      </c>
      <c r="I54">
        <v>458.92518248179999</v>
      </c>
      <c r="J54">
        <v>51</v>
      </c>
      <c r="K54">
        <v>405.862745098</v>
      </c>
      <c r="L54">
        <v>33</v>
      </c>
      <c r="M54">
        <v>263.60606060610002</v>
      </c>
      <c r="N54">
        <v>74</v>
      </c>
      <c r="O54">
        <v>211.17567567570001</v>
      </c>
      <c r="R54">
        <v>4</v>
      </c>
      <c r="S54">
        <v>736.75</v>
      </c>
      <c r="V54" t="s">
        <v>374</v>
      </c>
      <c r="W54">
        <v>1282</v>
      </c>
      <c r="X54">
        <v>823</v>
      </c>
      <c r="Y54">
        <v>214.74119076549999</v>
      </c>
      <c r="Z54">
        <v>155</v>
      </c>
      <c r="AA54">
        <v>294.14838709679998</v>
      </c>
      <c r="AB54">
        <v>234</v>
      </c>
      <c r="AC54">
        <v>222.1495726496</v>
      </c>
      <c r="AD54">
        <v>145</v>
      </c>
      <c r="AE54">
        <v>290.2689655172</v>
      </c>
      <c r="AF54">
        <v>72</v>
      </c>
      <c r="AG54">
        <v>157.6527777778</v>
      </c>
      <c r="AH54">
        <v>8</v>
      </c>
      <c r="AI54">
        <v>191.25</v>
      </c>
      <c r="AL54" t="s">
        <v>374</v>
      </c>
      <c r="AM54">
        <v>42</v>
      </c>
      <c r="AN54">
        <v>36</v>
      </c>
      <c r="AO54">
        <v>252.5833333333</v>
      </c>
      <c r="AP54">
        <v>12</v>
      </c>
      <c r="AQ54">
        <v>414.8333333333</v>
      </c>
      <c r="AR54">
        <v>5</v>
      </c>
      <c r="AS54">
        <v>237.6</v>
      </c>
      <c r="AT54">
        <v>1</v>
      </c>
      <c r="AU54">
        <v>151</v>
      </c>
    </row>
    <row r="55" spans="6:49" x14ac:dyDescent="0.2">
      <c r="F55" t="s">
        <v>35</v>
      </c>
      <c r="G55">
        <v>3214</v>
      </c>
      <c r="H55">
        <v>1952</v>
      </c>
      <c r="I55">
        <v>469.63454638650001</v>
      </c>
      <c r="J55">
        <v>315</v>
      </c>
      <c r="K55">
        <v>472.9238095238</v>
      </c>
      <c r="L55">
        <v>921</v>
      </c>
      <c r="M55">
        <v>533.70358306189996</v>
      </c>
      <c r="N55">
        <v>324</v>
      </c>
      <c r="O55">
        <v>608.3796296296</v>
      </c>
      <c r="R55">
        <v>17</v>
      </c>
      <c r="S55">
        <v>471.29411764709999</v>
      </c>
      <c r="V55" t="s">
        <v>376</v>
      </c>
      <c r="W55">
        <v>7423</v>
      </c>
      <c r="X55">
        <v>5222</v>
      </c>
      <c r="Y55">
        <v>391.09594025280001</v>
      </c>
      <c r="Z55">
        <v>554</v>
      </c>
      <c r="AA55">
        <v>551.11552346569999</v>
      </c>
      <c r="AB55">
        <v>943</v>
      </c>
      <c r="AC55">
        <v>435.01696712619997</v>
      </c>
      <c r="AD55">
        <v>976</v>
      </c>
      <c r="AE55">
        <v>687.71209016390003</v>
      </c>
      <c r="AF55">
        <v>264</v>
      </c>
      <c r="AG55">
        <v>194.24242424240001</v>
      </c>
      <c r="AH55">
        <v>18</v>
      </c>
      <c r="AI55">
        <v>515.38888888890006</v>
      </c>
      <c r="AL55" t="s">
        <v>376</v>
      </c>
      <c r="AM55">
        <v>199</v>
      </c>
      <c r="AN55">
        <v>154</v>
      </c>
      <c r="AO55">
        <v>252.50649350649999</v>
      </c>
      <c r="AP55">
        <v>58</v>
      </c>
      <c r="AQ55">
        <v>403.34482758619998</v>
      </c>
      <c r="AR55">
        <v>34</v>
      </c>
      <c r="AS55">
        <v>179.73529411760001</v>
      </c>
      <c r="AT55">
        <v>11</v>
      </c>
      <c r="AU55">
        <v>418.63636363640001</v>
      </c>
    </row>
    <row r="56" spans="6:49" x14ac:dyDescent="0.2">
      <c r="F56" t="s">
        <v>61</v>
      </c>
      <c r="G56">
        <v>2592</v>
      </c>
      <c r="H56">
        <v>1933</v>
      </c>
      <c r="I56">
        <v>341.74806001029998</v>
      </c>
      <c r="J56">
        <v>341</v>
      </c>
      <c r="K56">
        <v>503.19648093839999</v>
      </c>
      <c r="L56">
        <v>264</v>
      </c>
      <c r="M56">
        <v>72.916666666699996</v>
      </c>
      <c r="N56">
        <v>391</v>
      </c>
      <c r="O56">
        <v>481.49616368289998</v>
      </c>
      <c r="R56">
        <v>4</v>
      </c>
      <c r="S56">
        <v>722</v>
      </c>
      <c r="V56" t="s">
        <v>373</v>
      </c>
      <c r="W56">
        <v>283</v>
      </c>
      <c r="X56">
        <v>145</v>
      </c>
      <c r="Y56">
        <v>144.91724137930001</v>
      </c>
      <c r="Z56">
        <v>93</v>
      </c>
      <c r="AA56">
        <v>181.6559139785</v>
      </c>
      <c r="AB56">
        <v>85</v>
      </c>
      <c r="AC56">
        <v>134.25882352939999</v>
      </c>
      <c r="AD56">
        <v>25</v>
      </c>
      <c r="AE56">
        <v>201.92</v>
      </c>
      <c r="AF56">
        <v>24</v>
      </c>
      <c r="AG56">
        <v>222.2916666667</v>
      </c>
      <c r="AH56">
        <v>4</v>
      </c>
      <c r="AI56">
        <v>189.75</v>
      </c>
      <c r="AL56" t="s">
        <v>373</v>
      </c>
      <c r="AM56">
        <v>19</v>
      </c>
      <c r="AN56">
        <v>13</v>
      </c>
      <c r="AO56">
        <v>214.92307692310001</v>
      </c>
      <c r="AP56">
        <v>2</v>
      </c>
      <c r="AQ56">
        <v>316</v>
      </c>
      <c r="AR56">
        <v>5</v>
      </c>
      <c r="AS56">
        <v>279.60000000000002</v>
      </c>
      <c r="AT56">
        <v>1</v>
      </c>
      <c r="AU56">
        <v>137</v>
      </c>
    </row>
    <row r="57" spans="6:49" x14ac:dyDescent="0.2">
      <c r="F57" t="s">
        <v>24</v>
      </c>
      <c r="G57">
        <v>1813</v>
      </c>
      <c r="H57">
        <v>1050</v>
      </c>
      <c r="I57">
        <v>196.72095238099999</v>
      </c>
      <c r="J57">
        <v>432</v>
      </c>
      <c r="K57">
        <v>252.412037037</v>
      </c>
      <c r="L57">
        <v>542</v>
      </c>
      <c r="M57">
        <v>325.24538745389998</v>
      </c>
      <c r="N57">
        <v>209</v>
      </c>
      <c r="O57">
        <v>564.84210526319998</v>
      </c>
      <c r="R57">
        <v>12</v>
      </c>
      <c r="S57">
        <v>719.25</v>
      </c>
      <c r="V57" t="s">
        <v>372</v>
      </c>
      <c r="W57">
        <v>3402</v>
      </c>
      <c r="X57">
        <v>1936</v>
      </c>
      <c r="Y57">
        <v>456.99483204130001</v>
      </c>
      <c r="Z57">
        <v>377</v>
      </c>
      <c r="AA57">
        <v>430.51458885940002</v>
      </c>
      <c r="AB57">
        <v>953</v>
      </c>
      <c r="AC57">
        <v>496.4942287513</v>
      </c>
      <c r="AD57">
        <v>346</v>
      </c>
      <c r="AE57">
        <v>570.93352601159995</v>
      </c>
      <c r="AF57">
        <v>148</v>
      </c>
      <c r="AG57">
        <v>158.9189189189</v>
      </c>
      <c r="AH57">
        <v>19</v>
      </c>
      <c r="AI57">
        <v>360.89473684209997</v>
      </c>
      <c r="AL57" t="s">
        <v>372</v>
      </c>
      <c r="AM57">
        <v>87</v>
      </c>
      <c r="AN57">
        <v>70</v>
      </c>
      <c r="AO57">
        <v>256.41428571429998</v>
      </c>
      <c r="AP57">
        <v>21</v>
      </c>
      <c r="AQ57">
        <v>334</v>
      </c>
      <c r="AR57">
        <v>14</v>
      </c>
      <c r="AS57">
        <v>210.5</v>
      </c>
      <c r="AT57">
        <v>3</v>
      </c>
      <c r="AU57">
        <v>343.6666666667</v>
      </c>
    </row>
    <row r="58" spans="6:49" x14ac:dyDescent="0.2">
      <c r="F58" t="s">
        <v>69</v>
      </c>
      <c r="G58">
        <v>15209</v>
      </c>
      <c r="H58">
        <v>10825</v>
      </c>
      <c r="I58">
        <v>358.04600886920002</v>
      </c>
      <c r="J58">
        <v>741</v>
      </c>
      <c r="K58">
        <v>798.51551956820003</v>
      </c>
      <c r="L58">
        <v>3722</v>
      </c>
      <c r="M58">
        <v>778.16335303599999</v>
      </c>
      <c r="N58">
        <v>660</v>
      </c>
      <c r="O58">
        <v>492.19696969699999</v>
      </c>
      <c r="R58">
        <v>2</v>
      </c>
      <c r="S58">
        <v>460.5</v>
      </c>
      <c r="V58" t="s">
        <v>416</v>
      </c>
      <c r="W58">
        <v>636</v>
      </c>
      <c r="X58">
        <v>496</v>
      </c>
      <c r="Y58">
        <v>244.17741935480001</v>
      </c>
      <c r="Z58">
        <v>85</v>
      </c>
      <c r="AA58">
        <v>473.07058823530002</v>
      </c>
      <c r="AB58">
        <v>68</v>
      </c>
      <c r="AC58">
        <v>210.45588235290001</v>
      </c>
      <c r="AD58">
        <v>44</v>
      </c>
      <c r="AE58">
        <v>299</v>
      </c>
      <c r="AF58">
        <v>27</v>
      </c>
      <c r="AG58">
        <v>168</v>
      </c>
      <c r="AH58">
        <v>1</v>
      </c>
      <c r="AI58">
        <v>1401</v>
      </c>
      <c r="AL58" t="s">
        <v>416</v>
      </c>
      <c r="AM58">
        <v>14</v>
      </c>
      <c r="AN58">
        <v>12</v>
      </c>
      <c r="AO58">
        <v>214.5</v>
      </c>
      <c r="AP58">
        <v>5</v>
      </c>
      <c r="AQ58">
        <v>507.2</v>
      </c>
      <c r="AR58">
        <v>2</v>
      </c>
      <c r="AS58">
        <v>104</v>
      </c>
    </row>
    <row r="59" spans="6:49" x14ac:dyDescent="0.2">
      <c r="F59" t="s">
        <v>44</v>
      </c>
      <c r="G59">
        <v>1268</v>
      </c>
      <c r="H59">
        <v>895</v>
      </c>
      <c r="I59">
        <v>329.30837988830001</v>
      </c>
      <c r="J59">
        <v>152</v>
      </c>
      <c r="K59">
        <v>295.35526315790003</v>
      </c>
      <c r="L59">
        <v>231</v>
      </c>
      <c r="M59">
        <v>191.316017316</v>
      </c>
      <c r="N59">
        <v>134</v>
      </c>
      <c r="O59">
        <v>277.58208955219999</v>
      </c>
      <c r="R59">
        <v>8</v>
      </c>
      <c r="S59">
        <v>191.25</v>
      </c>
      <c r="V59" t="s">
        <v>380</v>
      </c>
      <c r="W59">
        <v>2531</v>
      </c>
      <c r="X59">
        <v>1680</v>
      </c>
      <c r="Y59">
        <v>347.73095238100001</v>
      </c>
      <c r="Z59">
        <v>236</v>
      </c>
      <c r="AA59">
        <v>417.4449152542</v>
      </c>
      <c r="AB59">
        <v>179</v>
      </c>
      <c r="AC59">
        <v>269.79329608939997</v>
      </c>
      <c r="AD59">
        <v>540</v>
      </c>
      <c r="AE59">
        <v>520.55740740739998</v>
      </c>
      <c r="AF59">
        <v>122</v>
      </c>
      <c r="AG59">
        <v>203.04098360660001</v>
      </c>
      <c r="AH59">
        <v>10</v>
      </c>
      <c r="AI59">
        <v>433.1</v>
      </c>
      <c r="AL59" t="s">
        <v>380</v>
      </c>
      <c r="AM59">
        <v>57</v>
      </c>
      <c r="AN59">
        <v>43</v>
      </c>
      <c r="AO59">
        <v>219.18604651160001</v>
      </c>
      <c r="AP59">
        <v>6</v>
      </c>
      <c r="AQ59">
        <v>494.8333333333</v>
      </c>
      <c r="AR59">
        <v>13</v>
      </c>
      <c r="AS59">
        <v>172.61538461539999</v>
      </c>
      <c r="AV59">
        <v>1</v>
      </c>
      <c r="AW59">
        <v>222</v>
      </c>
    </row>
    <row r="60" spans="6:49" x14ac:dyDescent="0.2">
      <c r="F60" t="s">
        <v>60</v>
      </c>
      <c r="G60">
        <v>3030</v>
      </c>
      <c r="H60">
        <v>2268</v>
      </c>
      <c r="I60">
        <v>236.2980599647</v>
      </c>
      <c r="J60">
        <v>439</v>
      </c>
      <c r="K60">
        <v>550.73576309789996</v>
      </c>
      <c r="L60">
        <v>383</v>
      </c>
      <c r="M60">
        <v>197.66840731069999</v>
      </c>
      <c r="N60">
        <v>378</v>
      </c>
      <c r="O60">
        <v>636.05026455029997</v>
      </c>
      <c r="R60">
        <v>1</v>
      </c>
      <c r="S60">
        <v>2130</v>
      </c>
      <c r="V60" t="s">
        <v>383</v>
      </c>
      <c r="W60">
        <v>10032</v>
      </c>
      <c r="X60">
        <v>7242</v>
      </c>
      <c r="Y60">
        <v>257.0839547086</v>
      </c>
      <c r="Z60">
        <v>1152</v>
      </c>
      <c r="AA60">
        <v>452.8784722222</v>
      </c>
      <c r="AB60">
        <v>1324</v>
      </c>
      <c r="AC60">
        <v>216.89199395770001</v>
      </c>
      <c r="AD60">
        <v>928</v>
      </c>
      <c r="AE60">
        <v>362.85560344829997</v>
      </c>
      <c r="AF60">
        <v>522</v>
      </c>
      <c r="AG60">
        <v>176.7739463602</v>
      </c>
      <c r="AH60">
        <v>16</v>
      </c>
      <c r="AI60">
        <v>164.9375</v>
      </c>
      <c r="AL60" t="s">
        <v>383</v>
      </c>
      <c r="AM60">
        <v>194</v>
      </c>
      <c r="AN60">
        <v>154</v>
      </c>
      <c r="AO60">
        <v>248.25324675319999</v>
      </c>
      <c r="AP60">
        <v>40</v>
      </c>
      <c r="AQ60">
        <v>383.07499999999999</v>
      </c>
      <c r="AR60">
        <v>30</v>
      </c>
      <c r="AS60">
        <v>173.86666666670001</v>
      </c>
      <c r="AT60">
        <v>9</v>
      </c>
      <c r="AU60">
        <v>231.7777777778</v>
      </c>
      <c r="AV60">
        <v>1</v>
      </c>
      <c r="AW60">
        <v>500</v>
      </c>
    </row>
    <row r="61" spans="6:49" x14ac:dyDescent="0.2">
      <c r="F61" t="s">
        <v>33</v>
      </c>
      <c r="G61">
        <v>5456</v>
      </c>
      <c r="H61">
        <v>4407</v>
      </c>
      <c r="I61">
        <v>566.67188563649995</v>
      </c>
      <c r="J61">
        <v>227</v>
      </c>
      <c r="K61">
        <v>875.50220264320001</v>
      </c>
      <c r="L61">
        <v>728</v>
      </c>
      <c r="M61">
        <v>812.65247252749998</v>
      </c>
      <c r="N61">
        <v>313</v>
      </c>
      <c r="O61">
        <v>636.27156549519998</v>
      </c>
      <c r="R61">
        <v>8</v>
      </c>
      <c r="S61">
        <v>696.875</v>
      </c>
      <c r="V61" t="s">
        <v>415</v>
      </c>
      <c r="W61">
        <v>602</v>
      </c>
      <c r="X61">
        <v>397</v>
      </c>
      <c r="Y61">
        <v>413.10075566749998</v>
      </c>
      <c r="Z61">
        <v>27</v>
      </c>
      <c r="AA61">
        <v>804.70370370369994</v>
      </c>
      <c r="AB61">
        <v>143</v>
      </c>
      <c r="AC61">
        <v>775.10489510490004</v>
      </c>
      <c r="AD61">
        <v>40</v>
      </c>
      <c r="AE61">
        <v>537.1</v>
      </c>
      <c r="AF61">
        <v>22</v>
      </c>
      <c r="AG61">
        <v>104.1818181818</v>
      </c>
      <c r="AL61" t="s">
        <v>415</v>
      </c>
      <c r="AM61">
        <v>11</v>
      </c>
      <c r="AN61">
        <v>9</v>
      </c>
      <c r="AO61">
        <v>317.6666666667</v>
      </c>
      <c r="AP61">
        <v>5</v>
      </c>
      <c r="AQ61">
        <v>341.2</v>
      </c>
      <c r="AR61">
        <v>2</v>
      </c>
      <c r="AS61">
        <v>164</v>
      </c>
    </row>
    <row r="62" spans="6:49" x14ac:dyDescent="0.2">
      <c r="F62" t="s">
        <v>47</v>
      </c>
      <c r="G62">
        <v>2185</v>
      </c>
      <c r="H62">
        <v>1508</v>
      </c>
      <c r="I62">
        <v>319.06233421749999</v>
      </c>
      <c r="J62">
        <v>239</v>
      </c>
      <c r="K62">
        <v>400.41841004179997</v>
      </c>
      <c r="L62">
        <v>143</v>
      </c>
      <c r="M62">
        <v>171.42657342659999</v>
      </c>
      <c r="N62">
        <v>522</v>
      </c>
      <c r="O62">
        <v>494.14750957849998</v>
      </c>
      <c r="R62">
        <v>12</v>
      </c>
      <c r="S62">
        <v>370.25</v>
      </c>
      <c r="V62" t="s">
        <v>370</v>
      </c>
      <c r="W62">
        <v>57695</v>
      </c>
      <c r="X62">
        <v>40245</v>
      </c>
      <c r="Y62">
        <v>359.55058022510002</v>
      </c>
      <c r="Z62">
        <v>5305</v>
      </c>
      <c r="AA62">
        <v>520.15193213949999</v>
      </c>
      <c r="AB62">
        <v>9949</v>
      </c>
      <c r="AC62">
        <v>525.49170770930004</v>
      </c>
      <c r="AD62">
        <v>5336</v>
      </c>
      <c r="AE62">
        <v>529.74119190399995</v>
      </c>
      <c r="AF62">
        <v>2049</v>
      </c>
      <c r="AG62">
        <v>174.0273304051</v>
      </c>
      <c r="AH62">
        <v>116</v>
      </c>
      <c r="AI62">
        <v>451.12068965520001</v>
      </c>
      <c r="AL62" t="s">
        <v>370</v>
      </c>
      <c r="AM62">
        <v>1279</v>
      </c>
      <c r="AN62">
        <v>1012</v>
      </c>
      <c r="AO62">
        <v>246.6660079051</v>
      </c>
      <c r="AP62">
        <v>279</v>
      </c>
      <c r="AQ62">
        <v>377.70609318999999</v>
      </c>
      <c r="AR62">
        <v>209</v>
      </c>
      <c r="AS62">
        <v>200.3588516746</v>
      </c>
      <c r="AT62">
        <v>56</v>
      </c>
      <c r="AU62">
        <v>300.01785714290003</v>
      </c>
      <c r="AV62">
        <v>2</v>
      </c>
      <c r="AW62">
        <v>361</v>
      </c>
    </row>
    <row r="63" spans="6:49" x14ac:dyDescent="0.2">
      <c r="F63" t="s">
        <v>54</v>
      </c>
      <c r="G63">
        <v>573</v>
      </c>
      <c r="H63">
        <v>473</v>
      </c>
      <c r="I63">
        <v>221.13107822410001</v>
      </c>
      <c r="J63">
        <v>74</v>
      </c>
      <c r="K63">
        <v>482.56756756760001</v>
      </c>
      <c r="L63">
        <v>56</v>
      </c>
      <c r="M63">
        <v>93.482142857100001</v>
      </c>
      <c r="N63">
        <v>44</v>
      </c>
      <c r="O63">
        <v>261.9318181818</v>
      </c>
      <c r="V63" t="s">
        <v>699</v>
      </c>
      <c r="W63">
        <v>321616</v>
      </c>
      <c r="X63">
        <v>234395</v>
      </c>
      <c r="Y63">
        <v>405.73795901649999</v>
      </c>
      <c r="Z63">
        <v>27153</v>
      </c>
      <c r="AA63">
        <v>571.71299672229998</v>
      </c>
      <c r="AB63">
        <v>52339</v>
      </c>
      <c r="AC63">
        <v>579.37226542350004</v>
      </c>
      <c r="AD63">
        <v>23938</v>
      </c>
      <c r="AE63">
        <v>518.48328597689999</v>
      </c>
      <c r="AF63">
        <v>10335</v>
      </c>
      <c r="AG63">
        <v>177.19819994189999</v>
      </c>
      <c r="AH63">
        <v>609</v>
      </c>
      <c r="AI63">
        <v>439.89162561580002</v>
      </c>
      <c r="AL63" t="s">
        <v>699</v>
      </c>
      <c r="AM63">
        <v>6331</v>
      </c>
      <c r="AN63">
        <v>4738</v>
      </c>
      <c r="AO63">
        <v>295.42422963280001</v>
      </c>
      <c r="AP63">
        <v>1448</v>
      </c>
      <c r="AQ63">
        <v>442.94267955800001</v>
      </c>
      <c r="AR63">
        <v>1382</v>
      </c>
      <c r="AS63">
        <v>268.57018813309998</v>
      </c>
      <c r="AT63">
        <v>207</v>
      </c>
      <c r="AU63">
        <v>297.50241545889997</v>
      </c>
      <c r="AV63">
        <v>4</v>
      </c>
      <c r="AW63">
        <v>190.25</v>
      </c>
    </row>
    <row r="64" spans="6:49" x14ac:dyDescent="0.2">
      <c r="F64" t="s">
        <v>65</v>
      </c>
      <c r="G64">
        <v>5180</v>
      </c>
      <c r="H64">
        <v>4080</v>
      </c>
      <c r="I64">
        <v>557.39828431369995</v>
      </c>
      <c r="J64">
        <v>186</v>
      </c>
      <c r="K64">
        <v>1064.0376344086001</v>
      </c>
      <c r="L64">
        <v>171</v>
      </c>
      <c r="M64">
        <v>625.83625730990002</v>
      </c>
      <c r="N64">
        <v>925</v>
      </c>
      <c r="O64">
        <v>904.05945945949998</v>
      </c>
      <c r="R64">
        <v>4</v>
      </c>
      <c r="S64">
        <v>675</v>
      </c>
    </row>
    <row r="65" spans="6:19" x14ac:dyDescent="0.2">
      <c r="F65" t="s">
        <v>67</v>
      </c>
      <c r="G65">
        <v>533</v>
      </c>
      <c r="H65">
        <v>340</v>
      </c>
      <c r="I65">
        <v>565.68823529409997</v>
      </c>
      <c r="J65">
        <v>217</v>
      </c>
      <c r="K65">
        <v>449.70967741940001</v>
      </c>
      <c r="L65">
        <v>134</v>
      </c>
      <c r="M65">
        <v>116.19402985070001</v>
      </c>
      <c r="N65">
        <v>51</v>
      </c>
      <c r="O65">
        <v>201</v>
      </c>
      <c r="R65">
        <v>8</v>
      </c>
      <c r="S65">
        <v>167</v>
      </c>
    </row>
    <row r="66" spans="6:19" x14ac:dyDescent="0.2">
      <c r="F66" t="s">
        <v>82</v>
      </c>
      <c r="G66">
        <v>175</v>
      </c>
      <c r="H66">
        <v>37</v>
      </c>
      <c r="I66">
        <v>1039.7837837837999</v>
      </c>
      <c r="J66">
        <v>9</v>
      </c>
      <c r="K66">
        <v>1772.6666666666999</v>
      </c>
      <c r="L66">
        <v>63</v>
      </c>
      <c r="M66">
        <v>751.76190476190004</v>
      </c>
      <c r="N66">
        <v>71</v>
      </c>
      <c r="O66">
        <v>641.39436619720004</v>
      </c>
      <c r="R66">
        <v>4</v>
      </c>
      <c r="S66">
        <v>387.5</v>
      </c>
    </row>
    <row r="67" spans="6:19" x14ac:dyDescent="0.2">
      <c r="F67" t="s">
        <v>63</v>
      </c>
      <c r="G67">
        <v>5873</v>
      </c>
      <c r="H67">
        <v>4002</v>
      </c>
      <c r="I67">
        <v>272.93903048480001</v>
      </c>
      <c r="J67">
        <v>668</v>
      </c>
      <c r="K67">
        <v>418.27994011980002</v>
      </c>
      <c r="L67">
        <v>1164</v>
      </c>
      <c r="M67">
        <v>391.57989690720001</v>
      </c>
      <c r="N67">
        <v>686</v>
      </c>
      <c r="O67">
        <v>621.31778425660002</v>
      </c>
      <c r="R67">
        <v>21</v>
      </c>
      <c r="S67">
        <v>495.47619047619997</v>
      </c>
    </row>
    <row r="68" spans="6:19" x14ac:dyDescent="0.2">
      <c r="F68" t="s">
        <v>431</v>
      </c>
      <c r="G68">
        <v>25</v>
      </c>
      <c r="H68">
        <v>8</v>
      </c>
      <c r="I68">
        <v>515.875</v>
      </c>
      <c r="L68">
        <v>6</v>
      </c>
      <c r="M68">
        <v>882.66666666670005</v>
      </c>
      <c r="N68">
        <v>9</v>
      </c>
      <c r="O68">
        <v>216.6666666667</v>
      </c>
      <c r="R68">
        <v>2</v>
      </c>
      <c r="S68">
        <v>366.5</v>
      </c>
    </row>
    <row r="69" spans="6:19" x14ac:dyDescent="0.2">
      <c r="F69" t="s">
        <v>83</v>
      </c>
      <c r="G69">
        <v>9000</v>
      </c>
      <c r="H69">
        <v>6893</v>
      </c>
      <c r="I69">
        <v>238.68475264759999</v>
      </c>
      <c r="J69">
        <v>1115</v>
      </c>
      <c r="K69">
        <v>436.93632287000003</v>
      </c>
      <c r="L69">
        <v>1190</v>
      </c>
      <c r="M69">
        <v>152.774789916</v>
      </c>
      <c r="N69">
        <v>902</v>
      </c>
      <c r="O69">
        <v>351.28381374719999</v>
      </c>
      <c r="R69">
        <v>15</v>
      </c>
      <c r="S69">
        <v>174.2</v>
      </c>
    </row>
    <row r="70" spans="6:19" x14ac:dyDescent="0.2">
      <c r="F70" t="s">
        <v>135</v>
      </c>
      <c r="G70">
        <v>173</v>
      </c>
      <c r="H70">
        <v>140</v>
      </c>
      <c r="I70">
        <v>612.5285714286</v>
      </c>
      <c r="J70">
        <v>63</v>
      </c>
      <c r="K70">
        <v>252.2222222222</v>
      </c>
      <c r="L70">
        <v>8</v>
      </c>
      <c r="M70">
        <v>296</v>
      </c>
      <c r="N70">
        <v>24</v>
      </c>
      <c r="O70">
        <v>450.9583333333</v>
      </c>
      <c r="R70">
        <v>1</v>
      </c>
      <c r="S70">
        <v>248</v>
      </c>
    </row>
    <row r="71" spans="6:19" x14ac:dyDescent="0.2">
      <c r="F71" t="s">
        <v>370</v>
      </c>
      <c r="G71">
        <v>56958</v>
      </c>
      <c r="H71">
        <v>41359</v>
      </c>
      <c r="I71">
        <v>366.48066832699999</v>
      </c>
      <c r="J71">
        <v>5269</v>
      </c>
      <c r="K71">
        <v>522.44353767320001</v>
      </c>
      <c r="L71">
        <v>9759</v>
      </c>
      <c r="M71">
        <v>527.57167742599995</v>
      </c>
      <c r="N71">
        <v>5717</v>
      </c>
      <c r="O71">
        <v>566.39058947000001</v>
      </c>
      <c r="R71">
        <v>123</v>
      </c>
      <c r="S71">
        <v>460.6666666667</v>
      </c>
    </row>
    <row r="72" spans="6:19" x14ac:dyDescent="0.2">
      <c r="F72" t="s">
        <v>699</v>
      </c>
      <c r="G72">
        <v>327947</v>
      </c>
      <c r="H72">
        <v>239133</v>
      </c>
      <c r="I72">
        <v>403.5522132776</v>
      </c>
      <c r="J72">
        <v>28601</v>
      </c>
      <c r="K72">
        <v>565.19366455720001</v>
      </c>
      <c r="L72">
        <v>53721</v>
      </c>
      <c r="M72">
        <v>571.37672418609998</v>
      </c>
      <c r="N72">
        <v>24145</v>
      </c>
      <c r="O72">
        <v>516.58830108949996</v>
      </c>
      <c r="P72">
        <v>10339</v>
      </c>
      <c r="Q72">
        <v>177.2032504595</v>
      </c>
      <c r="R72">
        <v>609</v>
      </c>
      <c r="S72">
        <v>439.89162561580002</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495</v>
      </c>
      <c r="B1" t="s">
        <v>367</v>
      </c>
      <c r="C1" t="s">
        <v>494</v>
      </c>
      <c r="D1" t="s">
        <v>496</v>
      </c>
      <c r="E1" t="s">
        <v>497</v>
      </c>
      <c r="F1" t="s">
        <v>498</v>
      </c>
      <c r="G1" t="s">
        <v>499</v>
      </c>
      <c r="H1" t="s">
        <v>500</v>
      </c>
      <c r="I1" t="s">
        <v>501</v>
      </c>
      <c r="J1" t="s">
        <v>502</v>
      </c>
      <c r="K1" t="s">
        <v>503</v>
      </c>
      <c r="L1" t="s">
        <v>368</v>
      </c>
      <c r="M1" t="s">
        <v>504</v>
      </c>
      <c r="N1" t="s">
        <v>505</v>
      </c>
      <c r="O1" t="s">
        <v>506</v>
      </c>
      <c r="P1" t="s">
        <v>507</v>
      </c>
      <c r="Q1" t="s">
        <v>508</v>
      </c>
      <c r="R1" t="s">
        <v>679</v>
      </c>
    </row>
    <row r="2" spans="1:18" x14ac:dyDescent="0.2">
      <c r="A2">
        <v>1</v>
      </c>
      <c r="B2">
        <v>-99</v>
      </c>
      <c r="C2" t="s">
        <v>438</v>
      </c>
      <c r="D2" t="s">
        <v>699</v>
      </c>
      <c r="E2" t="s">
        <v>438</v>
      </c>
      <c r="F2" t="s">
        <v>699</v>
      </c>
      <c r="G2" t="s">
        <v>438</v>
      </c>
      <c r="H2" t="s">
        <v>6</v>
      </c>
      <c r="I2">
        <v>-99</v>
      </c>
      <c r="J2">
        <v>1</v>
      </c>
      <c r="K2" t="s">
        <v>6</v>
      </c>
      <c r="L2">
        <v>-99</v>
      </c>
      <c r="M2" t="s">
        <v>655</v>
      </c>
      <c r="N2" t="s">
        <v>655</v>
      </c>
      <c r="O2">
        <v>-99</v>
      </c>
      <c r="P2">
        <v>-99</v>
      </c>
      <c r="Q2">
        <v>1</v>
      </c>
      <c r="R2" t="s">
        <v>655</v>
      </c>
    </row>
    <row r="3" spans="1:18" x14ac:dyDescent="0.2">
      <c r="A3">
        <v>2</v>
      </c>
      <c r="B3">
        <v>-99</v>
      </c>
      <c r="C3" t="s">
        <v>439</v>
      </c>
      <c r="D3" t="s">
        <v>6</v>
      </c>
      <c r="E3" t="s">
        <v>439</v>
      </c>
      <c r="F3" t="s">
        <v>1036</v>
      </c>
      <c r="G3" t="s">
        <v>438</v>
      </c>
      <c r="H3" t="s">
        <v>6</v>
      </c>
      <c r="I3">
        <v>-99</v>
      </c>
      <c r="J3">
        <v>1</v>
      </c>
      <c r="K3" t="s">
        <v>6</v>
      </c>
      <c r="L3">
        <v>-99</v>
      </c>
      <c r="M3" t="s">
        <v>655</v>
      </c>
      <c r="N3" t="s">
        <v>655</v>
      </c>
      <c r="O3">
        <v>-99</v>
      </c>
      <c r="P3">
        <v>-99</v>
      </c>
      <c r="Q3">
        <v>1</v>
      </c>
      <c r="R3" t="s">
        <v>655</v>
      </c>
    </row>
    <row r="4" spans="1:18" x14ac:dyDescent="0.2">
      <c r="A4">
        <v>3</v>
      </c>
      <c r="B4">
        <v>-99</v>
      </c>
      <c r="C4" t="s">
        <v>656</v>
      </c>
      <c r="D4" t="s">
        <v>6</v>
      </c>
      <c r="E4" t="s">
        <v>656</v>
      </c>
      <c r="F4" t="s">
        <v>1038</v>
      </c>
      <c r="G4" t="s">
        <v>438</v>
      </c>
      <c r="H4" t="s">
        <v>6</v>
      </c>
      <c r="I4">
        <v>-99</v>
      </c>
      <c r="J4">
        <v>1</v>
      </c>
      <c r="K4" t="s">
        <v>6</v>
      </c>
      <c r="L4">
        <v>-99</v>
      </c>
      <c r="M4" t="s">
        <v>655</v>
      </c>
      <c r="N4" t="s">
        <v>655</v>
      </c>
      <c r="O4">
        <v>-99</v>
      </c>
      <c r="P4">
        <v>-99</v>
      </c>
      <c r="Q4">
        <v>1</v>
      </c>
      <c r="R4" t="s">
        <v>208</v>
      </c>
    </row>
    <row r="5" spans="1:18" x14ac:dyDescent="0.2">
      <c r="A5">
        <v>4</v>
      </c>
      <c r="B5">
        <v>-99</v>
      </c>
      <c r="C5" t="s">
        <v>440</v>
      </c>
      <c r="D5" t="s">
        <v>6</v>
      </c>
      <c r="E5" t="s">
        <v>440</v>
      </c>
      <c r="F5" t="s">
        <v>1044</v>
      </c>
      <c r="G5" t="s">
        <v>438</v>
      </c>
      <c r="H5" t="s">
        <v>6</v>
      </c>
      <c r="I5">
        <v>-99</v>
      </c>
      <c r="J5">
        <v>1</v>
      </c>
      <c r="K5" t="s">
        <v>6</v>
      </c>
      <c r="L5">
        <v>-99</v>
      </c>
      <c r="M5" t="s">
        <v>655</v>
      </c>
      <c r="N5" t="s">
        <v>655</v>
      </c>
      <c r="O5">
        <v>-99</v>
      </c>
      <c r="P5">
        <v>-99</v>
      </c>
      <c r="Q5">
        <v>1</v>
      </c>
      <c r="R5" t="s">
        <v>684</v>
      </c>
    </row>
    <row r="6" spans="1:18" x14ac:dyDescent="0.2">
      <c r="A6">
        <v>5</v>
      </c>
      <c r="B6">
        <v>-99</v>
      </c>
      <c r="C6" t="s">
        <v>441</v>
      </c>
      <c r="D6" t="s">
        <v>6</v>
      </c>
      <c r="E6" t="s">
        <v>441</v>
      </c>
      <c r="F6" t="s">
        <v>696</v>
      </c>
      <c r="G6" t="s">
        <v>438</v>
      </c>
      <c r="H6" t="s">
        <v>6</v>
      </c>
      <c r="I6">
        <v>-99</v>
      </c>
      <c r="J6">
        <v>1</v>
      </c>
      <c r="K6" t="s">
        <v>6</v>
      </c>
      <c r="L6">
        <v>-99</v>
      </c>
      <c r="M6" t="s">
        <v>655</v>
      </c>
      <c r="N6" t="s">
        <v>655</v>
      </c>
      <c r="O6">
        <v>-99</v>
      </c>
      <c r="P6">
        <v>-99</v>
      </c>
      <c r="Q6">
        <v>1</v>
      </c>
      <c r="R6" t="s">
        <v>680</v>
      </c>
    </row>
    <row r="7" spans="1:18" x14ac:dyDescent="0.2">
      <c r="A7">
        <v>6</v>
      </c>
      <c r="B7">
        <v>-99</v>
      </c>
      <c r="C7" t="s">
        <v>442</v>
      </c>
      <c r="D7" t="s">
        <v>6</v>
      </c>
      <c r="E7" t="s">
        <v>442</v>
      </c>
      <c r="F7" t="s">
        <v>1039</v>
      </c>
      <c r="G7" t="s">
        <v>438</v>
      </c>
      <c r="H7" t="s">
        <v>6</v>
      </c>
      <c r="I7">
        <v>-99</v>
      </c>
      <c r="J7">
        <v>1</v>
      </c>
      <c r="K7" t="s">
        <v>6</v>
      </c>
      <c r="L7">
        <v>-99</v>
      </c>
      <c r="M7" t="s">
        <v>655</v>
      </c>
      <c r="N7" t="s">
        <v>655</v>
      </c>
      <c r="O7">
        <v>-99</v>
      </c>
      <c r="P7">
        <v>-99</v>
      </c>
      <c r="Q7">
        <v>1</v>
      </c>
      <c r="R7" t="s">
        <v>681</v>
      </c>
    </row>
    <row r="8" spans="1:18" x14ac:dyDescent="0.2">
      <c r="A8">
        <v>7</v>
      </c>
      <c r="B8">
        <v>-99</v>
      </c>
      <c r="C8" t="s">
        <v>443</v>
      </c>
      <c r="D8" t="s">
        <v>6</v>
      </c>
      <c r="E8" t="s">
        <v>443</v>
      </c>
      <c r="F8" t="s">
        <v>1045</v>
      </c>
      <c r="G8" t="s">
        <v>438</v>
      </c>
      <c r="H8" t="s">
        <v>6</v>
      </c>
      <c r="I8">
        <v>-99</v>
      </c>
      <c r="J8">
        <v>1</v>
      </c>
      <c r="K8" t="s">
        <v>6</v>
      </c>
      <c r="L8">
        <v>-99</v>
      </c>
      <c r="M8" t="s">
        <v>655</v>
      </c>
      <c r="N8" t="s">
        <v>655</v>
      </c>
      <c r="O8">
        <v>-99</v>
      </c>
      <c r="P8">
        <v>-99</v>
      </c>
      <c r="Q8">
        <v>1</v>
      </c>
      <c r="R8" t="s">
        <v>682</v>
      </c>
    </row>
    <row r="9" spans="1:18" x14ac:dyDescent="0.2">
      <c r="A9">
        <v>8</v>
      </c>
      <c r="B9">
        <v>-99</v>
      </c>
      <c r="C9" t="s">
        <v>444</v>
      </c>
      <c r="D9" t="s">
        <v>6</v>
      </c>
      <c r="E9" t="s">
        <v>444</v>
      </c>
      <c r="F9" t="s">
        <v>1046</v>
      </c>
      <c r="G9" t="s">
        <v>438</v>
      </c>
      <c r="H9" t="s">
        <v>6</v>
      </c>
      <c r="I9">
        <v>-99</v>
      </c>
      <c r="J9">
        <v>1</v>
      </c>
      <c r="K9" t="s">
        <v>6</v>
      </c>
      <c r="L9">
        <v>-99</v>
      </c>
      <c r="M9" t="s">
        <v>655</v>
      </c>
      <c r="N9" t="s">
        <v>655</v>
      </c>
      <c r="O9">
        <v>-99</v>
      </c>
      <c r="P9">
        <v>-99</v>
      </c>
      <c r="Q9">
        <v>1</v>
      </c>
      <c r="R9" t="s">
        <v>399</v>
      </c>
    </row>
    <row r="10" spans="1:18" x14ac:dyDescent="0.2">
      <c r="A10">
        <v>9</v>
      </c>
      <c r="B10">
        <v>-99</v>
      </c>
      <c r="C10" t="s">
        <v>445</v>
      </c>
      <c r="D10" t="s">
        <v>6</v>
      </c>
      <c r="E10" t="s">
        <v>445</v>
      </c>
      <c r="F10" t="s">
        <v>1047</v>
      </c>
      <c r="G10" t="s">
        <v>438</v>
      </c>
      <c r="H10" t="s">
        <v>6</v>
      </c>
      <c r="I10">
        <v>-99</v>
      </c>
      <c r="J10">
        <v>1</v>
      </c>
      <c r="K10" t="s">
        <v>6</v>
      </c>
      <c r="L10">
        <v>-99</v>
      </c>
      <c r="M10" t="s">
        <v>655</v>
      </c>
      <c r="N10" t="s">
        <v>655</v>
      </c>
      <c r="O10">
        <v>-99</v>
      </c>
      <c r="P10">
        <v>-99</v>
      </c>
      <c r="Q10">
        <v>1</v>
      </c>
      <c r="R10" t="s">
        <v>685</v>
      </c>
    </row>
    <row r="11" spans="1:18" x14ac:dyDescent="0.2">
      <c r="A11">
        <v>10</v>
      </c>
      <c r="B11">
        <v>-99</v>
      </c>
      <c r="C11" t="s">
        <v>446</v>
      </c>
      <c r="D11" t="s">
        <v>6</v>
      </c>
      <c r="E11" t="s">
        <v>446</v>
      </c>
      <c r="F11" t="s">
        <v>1048</v>
      </c>
      <c r="G11" t="s">
        <v>438</v>
      </c>
      <c r="H11" t="s">
        <v>6</v>
      </c>
      <c r="I11">
        <v>-99</v>
      </c>
      <c r="J11">
        <v>1</v>
      </c>
      <c r="K11" t="s">
        <v>6</v>
      </c>
      <c r="L11">
        <v>-99</v>
      </c>
      <c r="M11" t="s">
        <v>655</v>
      </c>
      <c r="N11" t="s">
        <v>655</v>
      </c>
      <c r="O11">
        <v>-99</v>
      </c>
      <c r="P11">
        <v>-99</v>
      </c>
      <c r="Q11">
        <v>1</v>
      </c>
      <c r="R11" t="s">
        <v>655</v>
      </c>
    </row>
    <row r="12" spans="1:18" x14ac:dyDescent="0.2">
      <c r="A12">
        <v>11</v>
      </c>
      <c r="B12">
        <v>-99</v>
      </c>
      <c r="C12" t="s">
        <v>448</v>
      </c>
      <c r="D12" t="s">
        <v>509</v>
      </c>
      <c r="E12" t="s">
        <v>657</v>
      </c>
      <c r="F12" t="s">
        <v>129</v>
      </c>
      <c r="G12" t="s">
        <v>657</v>
      </c>
      <c r="H12" t="s">
        <v>371</v>
      </c>
      <c r="I12">
        <v>-99</v>
      </c>
      <c r="J12">
        <v>-99</v>
      </c>
      <c r="K12" t="s">
        <v>655</v>
      </c>
      <c r="L12">
        <v>-99</v>
      </c>
      <c r="M12" t="s">
        <v>655</v>
      </c>
      <c r="N12" t="s">
        <v>655</v>
      </c>
      <c r="O12">
        <v>-99</v>
      </c>
      <c r="P12">
        <v>-99</v>
      </c>
      <c r="Q12">
        <v>2</v>
      </c>
      <c r="R12" t="s">
        <v>655</v>
      </c>
    </row>
    <row r="13" spans="1:18" x14ac:dyDescent="0.2">
      <c r="A13">
        <v>12</v>
      </c>
      <c r="B13">
        <v>-99</v>
      </c>
      <c r="C13" t="s">
        <v>450</v>
      </c>
      <c r="D13" t="s">
        <v>509</v>
      </c>
      <c r="E13" t="s">
        <v>658</v>
      </c>
      <c r="F13" t="s">
        <v>130</v>
      </c>
      <c r="G13" t="s">
        <v>658</v>
      </c>
      <c r="H13" t="s">
        <v>378</v>
      </c>
      <c r="I13">
        <v>-99</v>
      </c>
      <c r="J13">
        <v>-99</v>
      </c>
      <c r="K13" t="s">
        <v>655</v>
      </c>
      <c r="L13">
        <v>-99</v>
      </c>
      <c r="M13" t="s">
        <v>655</v>
      </c>
      <c r="N13" t="s">
        <v>655</v>
      </c>
      <c r="O13">
        <v>-99</v>
      </c>
      <c r="P13">
        <v>-99</v>
      </c>
      <c r="Q13">
        <v>2</v>
      </c>
      <c r="R13" t="s">
        <v>655</v>
      </c>
    </row>
    <row r="14" spans="1:18" x14ac:dyDescent="0.2">
      <c r="A14">
        <v>13</v>
      </c>
      <c r="B14">
        <v>-99</v>
      </c>
      <c r="C14" t="s">
        <v>453</v>
      </c>
      <c r="D14" t="s">
        <v>509</v>
      </c>
      <c r="E14" t="s">
        <v>659</v>
      </c>
      <c r="F14" t="s">
        <v>131</v>
      </c>
      <c r="G14" t="s">
        <v>659</v>
      </c>
      <c r="H14" t="s">
        <v>387</v>
      </c>
      <c r="I14">
        <v>-99</v>
      </c>
      <c r="J14">
        <v>-99</v>
      </c>
      <c r="K14" t="s">
        <v>655</v>
      </c>
      <c r="L14">
        <v>-99</v>
      </c>
      <c r="M14" t="s">
        <v>655</v>
      </c>
      <c r="N14" t="s">
        <v>655</v>
      </c>
      <c r="O14">
        <v>-99</v>
      </c>
      <c r="P14">
        <v>-99</v>
      </c>
      <c r="Q14">
        <v>2</v>
      </c>
      <c r="R14" t="s">
        <v>655</v>
      </c>
    </row>
    <row r="15" spans="1:18" x14ac:dyDescent="0.2">
      <c r="A15">
        <v>14</v>
      </c>
      <c r="B15">
        <v>-99</v>
      </c>
      <c r="C15" t="s">
        <v>660</v>
      </c>
      <c r="D15" t="s">
        <v>509</v>
      </c>
      <c r="E15" t="s">
        <v>661</v>
      </c>
      <c r="F15" t="s">
        <v>132</v>
      </c>
      <c r="G15" t="s">
        <v>661</v>
      </c>
      <c r="H15" t="s">
        <v>403</v>
      </c>
      <c r="I15">
        <v>-99</v>
      </c>
      <c r="J15">
        <v>-99</v>
      </c>
      <c r="K15" t="s">
        <v>655</v>
      </c>
      <c r="L15">
        <v>-99</v>
      </c>
      <c r="M15" t="s">
        <v>655</v>
      </c>
      <c r="N15" t="s">
        <v>655</v>
      </c>
      <c r="O15">
        <v>-99</v>
      </c>
      <c r="P15">
        <v>-99</v>
      </c>
      <c r="Q15">
        <v>2</v>
      </c>
      <c r="R15" t="s">
        <v>655</v>
      </c>
    </row>
    <row r="16" spans="1:18" x14ac:dyDescent="0.2">
      <c r="A16">
        <v>15</v>
      </c>
      <c r="B16">
        <v>-99</v>
      </c>
      <c r="C16" t="s">
        <v>663</v>
      </c>
      <c r="D16" t="s">
        <v>430</v>
      </c>
      <c r="E16" t="s">
        <v>663</v>
      </c>
      <c r="F16" t="s">
        <v>430</v>
      </c>
      <c r="G16" t="s">
        <v>655</v>
      </c>
      <c r="H16" t="s">
        <v>655</v>
      </c>
      <c r="I16">
        <v>-99</v>
      </c>
      <c r="J16">
        <v>30</v>
      </c>
      <c r="K16" t="s">
        <v>370</v>
      </c>
      <c r="L16">
        <v>-99</v>
      </c>
      <c r="M16" t="s">
        <v>655</v>
      </c>
      <c r="N16" t="s">
        <v>655</v>
      </c>
      <c r="O16">
        <v>-99</v>
      </c>
      <c r="P16">
        <v>-99</v>
      </c>
      <c r="Q16">
        <v>3</v>
      </c>
      <c r="R16" t="s">
        <v>655</v>
      </c>
    </row>
    <row r="17" spans="1:18" x14ac:dyDescent="0.2">
      <c r="A17">
        <v>16</v>
      </c>
      <c r="B17">
        <v>-99</v>
      </c>
      <c r="C17" t="s">
        <v>662</v>
      </c>
      <c r="D17" t="s">
        <v>436</v>
      </c>
      <c r="E17" t="s">
        <v>662</v>
      </c>
      <c r="F17" t="s">
        <v>436</v>
      </c>
      <c r="G17" t="s">
        <v>655</v>
      </c>
      <c r="H17" t="s">
        <v>655</v>
      </c>
      <c r="I17">
        <v>-99</v>
      </c>
      <c r="J17">
        <v>31</v>
      </c>
      <c r="K17" t="s">
        <v>381</v>
      </c>
      <c r="L17">
        <v>-99</v>
      </c>
      <c r="M17" t="s">
        <v>655</v>
      </c>
      <c r="N17" t="s">
        <v>655</v>
      </c>
      <c r="O17">
        <v>-99</v>
      </c>
      <c r="P17">
        <v>-99</v>
      </c>
      <c r="Q17">
        <v>3</v>
      </c>
      <c r="R17" t="s">
        <v>655</v>
      </c>
    </row>
    <row r="18" spans="1:18" x14ac:dyDescent="0.2">
      <c r="A18">
        <v>17</v>
      </c>
      <c r="B18">
        <v>-99</v>
      </c>
      <c r="C18" t="s">
        <v>664</v>
      </c>
      <c r="D18" t="s">
        <v>434</v>
      </c>
      <c r="E18" t="s">
        <v>664</v>
      </c>
      <c r="F18" t="s">
        <v>434</v>
      </c>
      <c r="G18" t="s">
        <v>655</v>
      </c>
      <c r="H18" t="s">
        <v>655</v>
      </c>
      <c r="I18">
        <v>-99</v>
      </c>
      <c r="J18">
        <v>32</v>
      </c>
      <c r="K18" t="s">
        <v>391</v>
      </c>
      <c r="L18">
        <v>-99</v>
      </c>
      <c r="M18" t="s">
        <v>655</v>
      </c>
      <c r="N18" t="s">
        <v>655</v>
      </c>
      <c r="O18">
        <v>-99</v>
      </c>
      <c r="P18">
        <v>-99</v>
      </c>
      <c r="Q18">
        <v>3</v>
      </c>
      <c r="R18" t="s">
        <v>655</v>
      </c>
    </row>
    <row r="19" spans="1:18" x14ac:dyDescent="0.2">
      <c r="A19">
        <v>18</v>
      </c>
      <c r="B19">
        <v>-99</v>
      </c>
      <c r="C19" t="s">
        <v>665</v>
      </c>
      <c r="D19" t="s">
        <v>433</v>
      </c>
      <c r="E19" t="s">
        <v>665</v>
      </c>
      <c r="F19" t="s">
        <v>433</v>
      </c>
      <c r="G19" t="s">
        <v>655</v>
      </c>
      <c r="H19" t="s">
        <v>655</v>
      </c>
      <c r="I19">
        <v>-99</v>
      </c>
      <c r="J19">
        <v>33</v>
      </c>
      <c r="K19" t="s">
        <v>386</v>
      </c>
      <c r="L19">
        <v>-99</v>
      </c>
      <c r="M19" t="s">
        <v>655</v>
      </c>
      <c r="N19" t="s">
        <v>655</v>
      </c>
      <c r="O19">
        <v>-99</v>
      </c>
      <c r="P19">
        <v>-99</v>
      </c>
      <c r="Q19">
        <v>3</v>
      </c>
      <c r="R19" t="s">
        <v>655</v>
      </c>
    </row>
    <row r="20" spans="1:18" x14ac:dyDescent="0.2">
      <c r="A20">
        <v>19</v>
      </c>
      <c r="B20">
        <v>-99</v>
      </c>
      <c r="C20" t="s">
        <v>666</v>
      </c>
      <c r="D20" t="s">
        <v>435</v>
      </c>
      <c r="E20" t="s">
        <v>666</v>
      </c>
      <c r="F20" t="s">
        <v>435</v>
      </c>
      <c r="G20" t="s">
        <v>655</v>
      </c>
      <c r="H20" t="s">
        <v>655</v>
      </c>
      <c r="I20">
        <v>-99</v>
      </c>
      <c r="J20">
        <v>34</v>
      </c>
      <c r="K20" t="s">
        <v>405</v>
      </c>
      <c r="L20">
        <v>-99</v>
      </c>
      <c r="M20" t="s">
        <v>655</v>
      </c>
      <c r="N20" t="s">
        <v>655</v>
      </c>
      <c r="O20">
        <v>-99</v>
      </c>
      <c r="P20">
        <v>-99</v>
      </c>
      <c r="Q20">
        <v>3</v>
      </c>
      <c r="R20" t="s">
        <v>655</v>
      </c>
    </row>
    <row r="21" spans="1:18" x14ac:dyDescent="0.2">
      <c r="A21">
        <v>20</v>
      </c>
      <c r="B21">
        <v>1</v>
      </c>
      <c r="C21" t="s">
        <v>668</v>
      </c>
      <c r="D21" t="s">
        <v>369</v>
      </c>
      <c r="E21" t="s">
        <v>668</v>
      </c>
      <c r="F21" t="s">
        <v>510</v>
      </c>
      <c r="G21" t="s">
        <v>669</v>
      </c>
      <c r="H21" t="s">
        <v>8</v>
      </c>
      <c r="I21">
        <v>-99</v>
      </c>
      <c r="J21">
        <v>35</v>
      </c>
      <c r="K21" t="s">
        <v>8</v>
      </c>
      <c r="L21">
        <v>8240</v>
      </c>
      <c r="M21" t="s">
        <v>511</v>
      </c>
      <c r="N21" t="s">
        <v>655</v>
      </c>
      <c r="O21">
        <v>1</v>
      </c>
      <c r="P21">
        <v>2</v>
      </c>
      <c r="Q21">
        <v>-99</v>
      </c>
      <c r="R21" t="s">
        <v>655</v>
      </c>
    </row>
    <row r="22" spans="1:18" x14ac:dyDescent="0.2">
      <c r="A22">
        <v>21</v>
      </c>
      <c r="B22">
        <v>8</v>
      </c>
      <c r="C22" t="s">
        <v>136</v>
      </c>
      <c r="D22" t="s">
        <v>35</v>
      </c>
      <c r="E22" t="s">
        <v>512</v>
      </c>
      <c r="F22" t="s">
        <v>513</v>
      </c>
      <c r="G22" t="s">
        <v>657</v>
      </c>
      <c r="H22" t="s">
        <v>371</v>
      </c>
      <c r="I22">
        <v>380</v>
      </c>
      <c r="J22">
        <v>30</v>
      </c>
      <c r="K22" t="s">
        <v>370</v>
      </c>
      <c r="L22">
        <v>8233</v>
      </c>
      <c r="M22" t="s">
        <v>326</v>
      </c>
      <c r="N22" t="s">
        <v>372</v>
      </c>
      <c r="O22">
        <v>1</v>
      </c>
      <c r="P22">
        <v>2</v>
      </c>
      <c r="Q22">
        <v>-99</v>
      </c>
      <c r="R22" t="s">
        <v>683</v>
      </c>
    </row>
    <row r="23" spans="1:18" x14ac:dyDescent="0.2">
      <c r="A23">
        <v>22</v>
      </c>
      <c r="B23">
        <v>9</v>
      </c>
      <c r="C23" t="s">
        <v>137</v>
      </c>
      <c r="D23" t="s">
        <v>67</v>
      </c>
      <c r="E23" t="s">
        <v>514</v>
      </c>
      <c r="F23" t="s">
        <v>515</v>
      </c>
      <c r="G23" t="s">
        <v>657</v>
      </c>
      <c r="H23" t="s">
        <v>371</v>
      </c>
      <c r="I23">
        <v>380</v>
      </c>
      <c r="J23">
        <v>30</v>
      </c>
      <c r="K23" t="s">
        <v>370</v>
      </c>
      <c r="L23">
        <v>8235</v>
      </c>
      <c r="M23" t="s">
        <v>361</v>
      </c>
      <c r="N23" t="s">
        <v>373</v>
      </c>
      <c r="O23">
        <v>1</v>
      </c>
      <c r="P23">
        <v>1</v>
      </c>
      <c r="Q23">
        <v>-99</v>
      </c>
      <c r="R23" t="s">
        <v>683</v>
      </c>
    </row>
    <row r="24" spans="1:18" x14ac:dyDescent="0.2">
      <c r="A24">
        <v>23</v>
      </c>
      <c r="B24">
        <v>-99</v>
      </c>
      <c r="C24" t="s">
        <v>137</v>
      </c>
      <c r="D24" t="s">
        <v>67</v>
      </c>
      <c r="E24" t="s">
        <v>516</v>
      </c>
      <c r="F24" t="s">
        <v>517</v>
      </c>
      <c r="G24" t="s">
        <v>657</v>
      </c>
      <c r="H24" t="s">
        <v>371</v>
      </c>
      <c r="I24">
        <v>380</v>
      </c>
      <c r="J24">
        <v>30</v>
      </c>
      <c r="K24" t="s">
        <v>370</v>
      </c>
      <c r="L24">
        <v>8235</v>
      </c>
      <c r="M24" t="s">
        <v>361</v>
      </c>
      <c r="N24" t="s">
        <v>373</v>
      </c>
      <c r="O24">
        <v>-99</v>
      </c>
      <c r="P24">
        <v>1</v>
      </c>
      <c r="Q24">
        <v>-99</v>
      </c>
      <c r="R24" t="s">
        <v>399</v>
      </c>
    </row>
    <row r="25" spans="1:18" x14ac:dyDescent="0.2">
      <c r="A25">
        <v>24</v>
      </c>
      <c r="B25">
        <v>10</v>
      </c>
      <c r="C25" t="s">
        <v>138</v>
      </c>
      <c r="D25" t="s">
        <v>60</v>
      </c>
      <c r="E25" t="s">
        <v>518</v>
      </c>
      <c r="F25" t="s">
        <v>519</v>
      </c>
      <c r="G25" t="s">
        <v>657</v>
      </c>
      <c r="H25" t="s">
        <v>371</v>
      </c>
      <c r="I25">
        <v>380</v>
      </c>
      <c r="J25">
        <v>30</v>
      </c>
      <c r="K25" t="s">
        <v>370</v>
      </c>
      <c r="L25">
        <v>8237</v>
      </c>
      <c r="M25" t="s">
        <v>336</v>
      </c>
      <c r="N25" t="s">
        <v>60</v>
      </c>
      <c r="O25">
        <v>1</v>
      </c>
      <c r="P25">
        <v>2</v>
      </c>
      <c r="Q25">
        <v>-99</v>
      </c>
      <c r="R25" t="s">
        <v>683</v>
      </c>
    </row>
    <row r="26" spans="1:18" x14ac:dyDescent="0.2">
      <c r="A26">
        <v>25</v>
      </c>
      <c r="B26">
        <v>11</v>
      </c>
      <c r="C26" t="s">
        <v>139</v>
      </c>
      <c r="D26" t="s">
        <v>24</v>
      </c>
      <c r="E26" t="s">
        <v>520</v>
      </c>
      <c r="F26" t="s">
        <v>521</v>
      </c>
      <c r="G26" t="s">
        <v>657</v>
      </c>
      <c r="H26" t="s">
        <v>371</v>
      </c>
      <c r="I26">
        <v>380</v>
      </c>
      <c r="J26">
        <v>30</v>
      </c>
      <c r="K26" t="s">
        <v>370</v>
      </c>
      <c r="L26">
        <v>8238</v>
      </c>
      <c r="M26" t="s">
        <v>336</v>
      </c>
      <c r="N26" t="s">
        <v>60</v>
      </c>
      <c r="O26">
        <v>1</v>
      </c>
      <c r="P26">
        <v>2</v>
      </c>
      <c r="Q26">
        <v>-99</v>
      </c>
      <c r="R26" t="s">
        <v>683</v>
      </c>
    </row>
    <row r="27" spans="1:18" x14ac:dyDescent="0.2">
      <c r="A27">
        <v>26</v>
      </c>
      <c r="B27">
        <v>12</v>
      </c>
      <c r="C27" t="s">
        <v>140</v>
      </c>
      <c r="D27" t="s">
        <v>44</v>
      </c>
      <c r="E27" t="s">
        <v>522</v>
      </c>
      <c r="F27" t="s">
        <v>523</v>
      </c>
      <c r="G27" t="s">
        <v>657</v>
      </c>
      <c r="H27" t="s">
        <v>371</v>
      </c>
      <c r="I27">
        <v>380</v>
      </c>
      <c r="J27">
        <v>30</v>
      </c>
      <c r="K27" t="s">
        <v>370</v>
      </c>
      <c r="L27">
        <v>8239</v>
      </c>
      <c r="M27" t="s">
        <v>354</v>
      </c>
      <c r="N27" t="s">
        <v>374</v>
      </c>
      <c r="O27">
        <v>1</v>
      </c>
      <c r="P27">
        <v>2</v>
      </c>
      <c r="Q27">
        <v>-99</v>
      </c>
      <c r="R27" t="s">
        <v>683</v>
      </c>
    </row>
    <row r="28" spans="1:18" x14ac:dyDescent="0.2">
      <c r="A28">
        <v>27</v>
      </c>
      <c r="B28">
        <v>13</v>
      </c>
      <c r="C28" t="s">
        <v>141</v>
      </c>
      <c r="D28" t="s">
        <v>61</v>
      </c>
      <c r="E28" t="s">
        <v>524</v>
      </c>
      <c r="F28" t="s">
        <v>525</v>
      </c>
      <c r="G28" t="s">
        <v>657</v>
      </c>
      <c r="H28" t="s">
        <v>371</v>
      </c>
      <c r="I28">
        <v>380</v>
      </c>
      <c r="J28">
        <v>30</v>
      </c>
      <c r="K28" t="s">
        <v>370</v>
      </c>
      <c r="L28">
        <v>8241</v>
      </c>
      <c r="M28" t="s">
        <v>358</v>
      </c>
      <c r="N28" t="s">
        <v>375</v>
      </c>
      <c r="O28">
        <v>1</v>
      </c>
      <c r="P28">
        <v>2</v>
      </c>
      <c r="Q28">
        <v>-99</v>
      </c>
      <c r="R28" t="s">
        <v>683</v>
      </c>
    </row>
    <row r="29" spans="1:18" x14ac:dyDescent="0.2">
      <c r="A29">
        <v>28</v>
      </c>
      <c r="B29">
        <v>14</v>
      </c>
      <c r="C29" t="s">
        <v>99</v>
      </c>
      <c r="D29" t="s">
        <v>63</v>
      </c>
      <c r="E29" t="s">
        <v>526</v>
      </c>
      <c r="F29" t="s">
        <v>527</v>
      </c>
      <c r="G29" t="s">
        <v>657</v>
      </c>
      <c r="H29" t="s">
        <v>371</v>
      </c>
      <c r="I29">
        <v>380</v>
      </c>
      <c r="J29">
        <v>30</v>
      </c>
      <c r="K29" t="s">
        <v>370</v>
      </c>
      <c r="L29">
        <v>8242</v>
      </c>
      <c r="M29" t="s">
        <v>348</v>
      </c>
      <c r="N29" t="s">
        <v>376</v>
      </c>
      <c r="O29">
        <v>1</v>
      </c>
      <c r="P29">
        <v>1</v>
      </c>
      <c r="Q29">
        <v>-99</v>
      </c>
      <c r="R29" t="s">
        <v>683</v>
      </c>
    </row>
    <row r="30" spans="1:18" x14ac:dyDescent="0.2">
      <c r="A30">
        <v>29</v>
      </c>
      <c r="B30">
        <v>-99</v>
      </c>
      <c r="C30" t="s">
        <v>99</v>
      </c>
      <c r="D30" t="s">
        <v>63</v>
      </c>
      <c r="E30" t="s">
        <v>528</v>
      </c>
      <c r="F30" t="s">
        <v>210</v>
      </c>
      <c r="G30" t="s">
        <v>657</v>
      </c>
      <c r="H30" t="s">
        <v>371</v>
      </c>
      <c r="I30">
        <v>380</v>
      </c>
      <c r="J30">
        <v>30</v>
      </c>
      <c r="K30" t="s">
        <v>370</v>
      </c>
      <c r="L30">
        <v>8242</v>
      </c>
      <c r="M30" t="s">
        <v>348</v>
      </c>
      <c r="N30" t="s">
        <v>376</v>
      </c>
      <c r="O30">
        <v>-99</v>
      </c>
      <c r="P30">
        <v>1</v>
      </c>
      <c r="Q30">
        <v>-99</v>
      </c>
      <c r="R30" t="s">
        <v>208</v>
      </c>
    </row>
    <row r="31" spans="1:18" x14ac:dyDescent="0.2">
      <c r="A31">
        <v>30</v>
      </c>
      <c r="B31">
        <v>15</v>
      </c>
      <c r="C31" t="s">
        <v>142</v>
      </c>
      <c r="D31" t="s">
        <v>65</v>
      </c>
      <c r="E31" t="s">
        <v>529</v>
      </c>
      <c r="F31" t="s">
        <v>530</v>
      </c>
      <c r="G31" t="s">
        <v>657</v>
      </c>
      <c r="H31" t="s">
        <v>371</v>
      </c>
      <c r="I31">
        <v>380</v>
      </c>
      <c r="J31">
        <v>30</v>
      </c>
      <c r="K31" t="s">
        <v>370</v>
      </c>
      <c r="L31">
        <v>8243</v>
      </c>
      <c r="M31" t="s">
        <v>348</v>
      </c>
      <c r="N31" t="s">
        <v>376</v>
      </c>
      <c r="O31">
        <v>1</v>
      </c>
      <c r="P31">
        <v>1</v>
      </c>
      <c r="Q31">
        <v>-99</v>
      </c>
      <c r="R31" t="s">
        <v>683</v>
      </c>
    </row>
    <row r="32" spans="1:18" x14ac:dyDescent="0.2">
      <c r="A32">
        <v>31</v>
      </c>
      <c r="B32">
        <v>-99</v>
      </c>
      <c r="C32" t="s">
        <v>142</v>
      </c>
      <c r="D32" t="s">
        <v>65</v>
      </c>
      <c r="E32" t="s">
        <v>531</v>
      </c>
      <c r="F32" t="s">
        <v>532</v>
      </c>
      <c r="G32" t="s">
        <v>657</v>
      </c>
      <c r="H32" t="s">
        <v>371</v>
      </c>
      <c r="I32">
        <v>380</v>
      </c>
      <c r="J32">
        <v>30</v>
      </c>
      <c r="K32" t="s">
        <v>370</v>
      </c>
      <c r="L32">
        <v>8243</v>
      </c>
      <c r="M32" t="s">
        <v>348</v>
      </c>
      <c r="N32" t="s">
        <v>376</v>
      </c>
      <c r="O32">
        <v>-99</v>
      </c>
      <c r="P32">
        <v>1</v>
      </c>
      <c r="Q32">
        <v>-99</v>
      </c>
      <c r="R32" t="s">
        <v>682</v>
      </c>
    </row>
    <row r="33" spans="1:18" x14ac:dyDescent="0.2">
      <c r="A33">
        <v>32</v>
      </c>
      <c r="B33">
        <v>16</v>
      </c>
      <c r="C33" t="s">
        <v>143</v>
      </c>
      <c r="D33" t="s">
        <v>33</v>
      </c>
      <c r="E33" t="s">
        <v>533</v>
      </c>
      <c r="F33" t="s">
        <v>534</v>
      </c>
      <c r="G33" t="s">
        <v>657</v>
      </c>
      <c r="H33" t="s">
        <v>371</v>
      </c>
      <c r="I33">
        <v>380</v>
      </c>
      <c r="J33">
        <v>30</v>
      </c>
      <c r="K33" t="s">
        <v>370</v>
      </c>
      <c r="L33">
        <v>8244</v>
      </c>
      <c r="M33" t="s">
        <v>343</v>
      </c>
      <c r="N33" t="s">
        <v>377</v>
      </c>
      <c r="O33">
        <v>1</v>
      </c>
      <c r="P33">
        <v>2</v>
      </c>
      <c r="Q33">
        <v>-99</v>
      </c>
      <c r="R33" t="s">
        <v>683</v>
      </c>
    </row>
    <row r="34" spans="1:18" x14ac:dyDescent="0.2">
      <c r="A34">
        <v>33</v>
      </c>
      <c r="B34">
        <v>23</v>
      </c>
      <c r="C34" t="s">
        <v>103</v>
      </c>
      <c r="D34" t="s">
        <v>69</v>
      </c>
      <c r="E34" t="s">
        <v>535</v>
      </c>
      <c r="F34" t="s">
        <v>536</v>
      </c>
      <c r="G34" t="s">
        <v>658</v>
      </c>
      <c r="H34" t="s">
        <v>378</v>
      </c>
      <c r="I34">
        <v>381</v>
      </c>
      <c r="J34">
        <v>30</v>
      </c>
      <c r="K34" t="s">
        <v>370</v>
      </c>
      <c r="L34">
        <v>8245</v>
      </c>
      <c r="M34" t="s">
        <v>322</v>
      </c>
      <c r="N34" t="s">
        <v>379</v>
      </c>
      <c r="O34">
        <v>1</v>
      </c>
      <c r="P34">
        <v>2</v>
      </c>
      <c r="Q34">
        <v>-99</v>
      </c>
      <c r="R34" t="s">
        <v>683</v>
      </c>
    </row>
    <row r="35" spans="1:18" x14ac:dyDescent="0.2">
      <c r="A35">
        <v>34</v>
      </c>
      <c r="B35">
        <v>24</v>
      </c>
      <c r="C35" t="s">
        <v>144</v>
      </c>
      <c r="D35" t="s">
        <v>47</v>
      </c>
      <c r="E35" t="s">
        <v>537</v>
      </c>
      <c r="F35" t="s">
        <v>538</v>
      </c>
      <c r="G35" t="s">
        <v>658</v>
      </c>
      <c r="H35" t="s">
        <v>378</v>
      </c>
      <c r="I35">
        <v>381</v>
      </c>
      <c r="J35">
        <v>30</v>
      </c>
      <c r="K35" t="s">
        <v>370</v>
      </c>
      <c r="L35">
        <v>8246</v>
      </c>
      <c r="M35" t="s">
        <v>338</v>
      </c>
      <c r="N35" t="s">
        <v>380</v>
      </c>
      <c r="O35">
        <v>1</v>
      </c>
      <c r="P35">
        <v>2</v>
      </c>
      <c r="Q35">
        <v>-99</v>
      </c>
      <c r="R35" t="s">
        <v>683</v>
      </c>
    </row>
    <row r="36" spans="1:18" x14ac:dyDescent="0.2">
      <c r="A36">
        <v>35</v>
      </c>
      <c r="B36">
        <v>30</v>
      </c>
      <c r="C36" t="s">
        <v>145</v>
      </c>
      <c r="D36" t="s">
        <v>25</v>
      </c>
      <c r="E36" t="s">
        <v>539</v>
      </c>
      <c r="F36" t="s">
        <v>540</v>
      </c>
      <c r="G36" t="s">
        <v>658</v>
      </c>
      <c r="H36" t="s">
        <v>378</v>
      </c>
      <c r="I36">
        <v>381</v>
      </c>
      <c r="J36">
        <v>31</v>
      </c>
      <c r="K36" t="s">
        <v>381</v>
      </c>
      <c r="L36">
        <v>8247</v>
      </c>
      <c r="M36" t="s">
        <v>363</v>
      </c>
      <c r="N36" t="s">
        <v>382</v>
      </c>
      <c r="O36">
        <v>1</v>
      </c>
      <c r="P36">
        <v>2</v>
      </c>
      <c r="Q36">
        <v>-99</v>
      </c>
      <c r="R36" t="s">
        <v>683</v>
      </c>
    </row>
    <row r="37" spans="1:18" x14ac:dyDescent="0.2">
      <c r="A37">
        <v>36</v>
      </c>
      <c r="B37">
        <v>194</v>
      </c>
      <c r="C37" t="s">
        <v>146</v>
      </c>
      <c r="D37" t="s">
        <v>77</v>
      </c>
      <c r="E37" t="s">
        <v>541</v>
      </c>
      <c r="F37" t="s">
        <v>542</v>
      </c>
      <c r="G37" t="s">
        <v>658</v>
      </c>
      <c r="H37" t="s">
        <v>378</v>
      </c>
      <c r="I37">
        <v>381</v>
      </c>
      <c r="J37">
        <v>31</v>
      </c>
      <c r="K37" t="s">
        <v>381</v>
      </c>
      <c r="L37">
        <v>8248</v>
      </c>
      <c r="M37" t="s">
        <v>318</v>
      </c>
      <c r="N37" t="s">
        <v>426</v>
      </c>
      <c r="O37">
        <v>1</v>
      </c>
      <c r="P37">
        <v>2</v>
      </c>
      <c r="Q37">
        <v>-99</v>
      </c>
      <c r="R37" t="s">
        <v>683</v>
      </c>
    </row>
    <row r="38" spans="1:18" x14ac:dyDescent="0.2">
      <c r="A38">
        <v>37</v>
      </c>
      <c r="B38">
        <v>34</v>
      </c>
      <c r="C38" t="s">
        <v>147</v>
      </c>
      <c r="D38" t="s">
        <v>83</v>
      </c>
      <c r="E38" t="s">
        <v>543</v>
      </c>
      <c r="F38" t="s">
        <v>544</v>
      </c>
      <c r="G38" t="s">
        <v>658</v>
      </c>
      <c r="H38" t="s">
        <v>378</v>
      </c>
      <c r="I38">
        <v>381</v>
      </c>
      <c r="J38">
        <v>30</v>
      </c>
      <c r="K38" t="s">
        <v>370</v>
      </c>
      <c r="L38">
        <v>8249</v>
      </c>
      <c r="M38" t="s">
        <v>349</v>
      </c>
      <c r="N38" t="s">
        <v>383</v>
      </c>
      <c r="O38">
        <v>1</v>
      </c>
      <c r="P38">
        <v>1</v>
      </c>
      <c r="Q38">
        <v>-99</v>
      </c>
      <c r="R38" t="s">
        <v>683</v>
      </c>
    </row>
    <row r="39" spans="1:18" x14ac:dyDescent="0.2">
      <c r="A39">
        <v>38</v>
      </c>
      <c r="B39">
        <v>-99</v>
      </c>
      <c r="C39" t="s">
        <v>147</v>
      </c>
      <c r="D39" t="s">
        <v>83</v>
      </c>
      <c r="E39" t="s">
        <v>545</v>
      </c>
      <c r="F39" t="s">
        <v>213</v>
      </c>
      <c r="G39" t="s">
        <v>658</v>
      </c>
      <c r="H39" t="s">
        <v>378</v>
      </c>
      <c r="I39">
        <v>381</v>
      </c>
      <c r="J39">
        <v>30</v>
      </c>
      <c r="K39" t="s">
        <v>370</v>
      </c>
      <c r="L39">
        <v>8249</v>
      </c>
      <c r="M39" t="s">
        <v>349</v>
      </c>
      <c r="N39" t="s">
        <v>383</v>
      </c>
      <c r="O39">
        <v>-99</v>
      </c>
      <c r="P39">
        <v>1</v>
      </c>
      <c r="Q39">
        <v>-99</v>
      </c>
      <c r="R39" t="s">
        <v>680</v>
      </c>
    </row>
    <row r="40" spans="1:18" x14ac:dyDescent="0.2">
      <c r="A40">
        <v>39</v>
      </c>
      <c r="B40">
        <v>-99</v>
      </c>
      <c r="C40" t="s">
        <v>147</v>
      </c>
      <c r="D40" t="s">
        <v>83</v>
      </c>
      <c r="E40" t="s">
        <v>546</v>
      </c>
      <c r="F40" t="s">
        <v>958</v>
      </c>
      <c r="G40" t="s">
        <v>658</v>
      </c>
      <c r="H40" t="s">
        <v>378</v>
      </c>
      <c r="I40">
        <v>381</v>
      </c>
      <c r="J40">
        <v>30</v>
      </c>
      <c r="K40" t="s">
        <v>370</v>
      </c>
      <c r="L40">
        <v>8249</v>
      </c>
      <c r="M40" t="s">
        <v>349</v>
      </c>
      <c r="N40" t="s">
        <v>383</v>
      </c>
      <c r="O40">
        <v>-99</v>
      </c>
      <c r="P40">
        <v>1</v>
      </c>
      <c r="Q40">
        <v>-99</v>
      </c>
      <c r="R40" t="s">
        <v>681</v>
      </c>
    </row>
    <row r="41" spans="1:18" x14ac:dyDescent="0.2">
      <c r="A41">
        <v>40</v>
      </c>
      <c r="B41">
        <v>35</v>
      </c>
      <c r="C41" t="s">
        <v>148</v>
      </c>
      <c r="D41" t="s">
        <v>39</v>
      </c>
      <c r="E41" t="s">
        <v>547</v>
      </c>
      <c r="F41" t="s">
        <v>548</v>
      </c>
      <c r="G41" t="s">
        <v>658</v>
      </c>
      <c r="H41" t="s">
        <v>378</v>
      </c>
      <c r="I41">
        <v>381</v>
      </c>
      <c r="J41">
        <v>31</v>
      </c>
      <c r="K41" t="s">
        <v>381</v>
      </c>
      <c r="L41">
        <v>8250</v>
      </c>
      <c r="M41" t="s">
        <v>341</v>
      </c>
      <c r="N41" t="s">
        <v>384</v>
      </c>
      <c r="O41">
        <v>1</v>
      </c>
      <c r="P41">
        <v>2</v>
      </c>
      <c r="Q41">
        <v>-99</v>
      </c>
      <c r="R41" t="s">
        <v>683</v>
      </c>
    </row>
    <row r="42" spans="1:18" x14ac:dyDescent="0.2">
      <c r="A42">
        <v>41</v>
      </c>
      <c r="B42">
        <v>36</v>
      </c>
      <c r="C42" t="s">
        <v>91</v>
      </c>
      <c r="D42" t="s">
        <v>58</v>
      </c>
      <c r="E42" t="s">
        <v>549</v>
      </c>
      <c r="F42" t="s">
        <v>550</v>
      </c>
      <c r="G42" t="s">
        <v>658</v>
      </c>
      <c r="H42" t="s">
        <v>378</v>
      </c>
      <c r="I42">
        <v>381</v>
      </c>
      <c r="J42">
        <v>31</v>
      </c>
      <c r="K42" t="s">
        <v>381</v>
      </c>
      <c r="L42">
        <v>8251</v>
      </c>
      <c r="M42" t="s">
        <v>344</v>
      </c>
      <c r="N42" t="s">
        <v>385</v>
      </c>
      <c r="O42">
        <v>1</v>
      </c>
      <c r="P42">
        <v>2</v>
      </c>
      <c r="Q42">
        <v>-99</v>
      </c>
      <c r="R42" t="s">
        <v>683</v>
      </c>
    </row>
    <row r="43" spans="1:18" x14ac:dyDescent="0.2">
      <c r="A43">
        <v>42</v>
      </c>
      <c r="B43">
        <v>37</v>
      </c>
      <c r="C43" t="s">
        <v>149</v>
      </c>
      <c r="D43" t="s">
        <v>59</v>
      </c>
      <c r="E43" t="s">
        <v>551</v>
      </c>
      <c r="F43" t="s">
        <v>552</v>
      </c>
      <c r="G43" t="s">
        <v>659</v>
      </c>
      <c r="H43" t="s">
        <v>387</v>
      </c>
      <c r="I43">
        <v>382</v>
      </c>
      <c r="J43">
        <v>33</v>
      </c>
      <c r="K43" t="s">
        <v>386</v>
      </c>
      <c r="L43">
        <v>8252</v>
      </c>
      <c r="M43" t="s">
        <v>321</v>
      </c>
      <c r="N43" t="s">
        <v>388</v>
      </c>
      <c r="O43">
        <v>1</v>
      </c>
      <c r="P43">
        <v>2</v>
      </c>
      <c r="Q43">
        <v>-99</v>
      </c>
      <c r="R43" t="s">
        <v>683</v>
      </c>
    </row>
    <row r="44" spans="1:18" x14ac:dyDescent="0.2">
      <c r="A44">
        <v>43</v>
      </c>
      <c r="B44">
        <v>38</v>
      </c>
      <c r="C44" t="s">
        <v>150</v>
      </c>
      <c r="D44" t="s">
        <v>57</v>
      </c>
      <c r="E44" t="s">
        <v>553</v>
      </c>
      <c r="F44" t="s">
        <v>554</v>
      </c>
      <c r="G44" t="s">
        <v>658</v>
      </c>
      <c r="H44" t="s">
        <v>378</v>
      </c>
      <c r="I44">
        <v>381</v>
      </c>
      <c r="J44">
        <v>31</v>
      </c>
      <c r="K44" t="s">
        <v>381</v>
      </c>
      <c r="L44">
        <v>8253</v>
      </c>
      <c r="M44" t="s">
        <v>355</v>
      </c>
      <c r="N44" t="s">
        <v>389</v>
      </c>
      <c r="O44">
        <v>1</v>
      </c>
      <c r="P44">
        <v>2</v>
      </c>
      <c r="Q44">
        <v>-99</v>
      </c>
      <c r="R44" t="s">
        <v>683</v>
      </c>
    </row>
    <row r="45" spans="1:18" x14ac:dyDescent="0.2">
      <c r="A45">
        <v>44</v>
      </c>
      <c r="B45">
        <v>39</v>
      </c>
      <c r="C45" t="s">
        <v>151</v>
      </c>
      <c r="D45" t="s">
        <v>49</v>
      </c>
      <c r="E45" t="s">
        <v>555</v>
      </c>
      <c r="F45" t="s">
        <v>556</v>
      </c>
      <c r="G45" t="s">
        <v>658</v>
      </c>
      <c r="H45" t="s">
        <v>378</v>
      </c>
      <c r="I45">
        <v>381</v>
      </c>
      <c r="J45">
        <v>33</v>
      </c>
      <c r="K45" t="s">
        <v>386</v>
      </c>
      <c r="L45">
        <v>8254</v>
      </c>
      <c r="M45" t="s">
        <v>356</v>
      </c>
      <c r="N45" t="s">
        <v>390</v>
      </c>
      <c r="O45">
        <v>1</v>
      </c>
      <c r="P45">
        <v>1</v>
      </c>
      <c r="Q45">
        <v>-99</v>
      </c>
      <c r="R45" t="s">
        <v>683</v>
      </c>
    </row>
    <row r="46" spans="1:18" x14ac:dyDescent="0.2">
      <c r="A46">
        <v>45</v>
      </c>
      <c r="B46">
        <v>-99</v>
      </c>
      <c r="C46" t="s">
        <v>151</v>
      </c>
      <c r="D46" t="s">
        <v>49</v>
      </c>
      <c r="E46" t="s">
        <v>557</v>
      </c>
      <c r="F46" t="s">
        <v>558</v>
      </c>
      <c r="G46" t="s">
        <v>658</v>
      </c>
      <c r="H46" t="s">
        <v>378</v>
      </c>
      <c r="I46">
        <v>381</v>
      </c>
      <c r="J46">
        <v>33</v>
      </c>
      <c r="K46" t="s">
        <v>386</v>
      </c>
      <c r="L46">
        <v>8254</v>
      </c>
      <c r="M46" t="s">
        <v>356</v>
      </c>
      <c r="N46" t="s">
        <v>390</v>
      </c>
      <c r="O46">
        <v>-99</v>
      </c>
      <c r="P46">
        <v>1</v>
      </c>
      <c r="Q46">
        <v>-99</v>
      </c>
      <c r="R46" t="s">
        <v>684</v>
      </c>
    </row>
    <row r="47" spans="1:18" x14ac:dyDescent="0.2">
      <c r="A47">
        <v>46</v>
      </c>
      <c r="B47">
        <v>52</v>
      </c>
      <c r="C47" t="s">
        <v>152</v>
      </c>
      <c r="D47" t="s">
        <v>38</v>
      </c>
      <c r="E47" t="s">
        <v>559</v>
      </c>
      <c r="F47" t="s">
        <v>560</v>
      </c>
      <c r="G47" t="s">
        <v>657</v>
      </c>
      <c r="H47" t="s">
        <v>371</v>
      </c>
      <c r="I47">
        <v>380</v>
      </c>
      <c r="J47">
        <v>32</v>
      </c>
      <c r="K47" t="s">
        <v>391</v>
      </c>
      <c r="L47">
        <v>8255</v>
      </c>
      <c r="M47" t="s">
        <v>357</v>
      </c>
      <c r="N47" t="s">
        <v>392</v>
      </c>
      <c r="O47">
        <v>1</v>
      </c>
      <c r="P47">
        <v>2</v>
      </c>
      <c r="Q47">
        <v>-99</v>
      </c>
      <c r="R47" t="s">
        <v>683</v>
      </c>
    </row>
    <row r="48" spans="1:18" x14ac:dyDescent="0.2">
      <c r="A48">
        <v>47</v>
      </c>
      <c r="B48">
        <v>53</v>
      </c>
      <c r="C48" t="s">
        <v>153</v>
      </c>
      <c r="D48" t="s">
        <v>48</v>
      </c>
      <c r="E48" t="s">
        <v>561</v>
      </c>
      <c r="F48" t="s">
        <v>562</v>
      </c>
      <c r="G48" t="s">
        <v>657</v>
      </c>
      <c r="H48" t="s">
        <v>371</v>
      </c>
      <c r="I48">
        <v>380</v>
      </c>
      <c r="J48">
        <v>32</v>
      </c>
      <c r="K48" t="s">
        <v>391</v>
      </c>
      <c r="L48">
        <v>8256</v>
      </c>
      <c r="M48" t="s">
        <v>331</v>
      </c>
      <c r="N48" t="s">
        <v>393</v>
      </c>
      <c r="O48">
        <v>1</v>
      </c>
      <c r="P48">
        <v>2</v>
      </c>
      <c r="Q48">
        <v>-99</v>
      </c>
      <c r="R48" t="s">
        <v>683</v>
      </c>
    </row>
    <row r="49" spans="1:18" x14ac:dyDescent="0.2">
      <c r="A49">
        <v>48</v>
      </c>
      <c r="B49">
        <v>54</v>
      </c>
      <c r="C49" t="s">
        <v>154</v>
      </c>
      <c r="D49" t="s">
        <v>53</v>
      </c>
      <c r="E49" t="s">
        <v>563</v>
      </c>
      <c r="F49" t="s">
        <v>564</v>
      </c>
      <c r="G49" t="s">
        <v>658</v>
      </c>
      <c r="H49" t="s">
        <v>378</v>
      </c>
      <c r="I49">
        <v>381</v>
      </c>
      <c r="J49">
        <v>31</v>
      </c>
      <c r="K49" t="s">
        <v>381</v>
      </c>
      <c r="L49">
        <v>8257</v>
      </c>
      <c r="M49" t="s">
        <v>337</v>
      </c>
      <c r="N49" t="s">
        <v>394</v>
      </c>
      <c r="O49">
        <v>1</v>
      </c>
      <c r="P49">
        <v>1</v>
      </c>
      <c r="Q49">
        <v>-99</v>
      </c>
      <c r="R49" t="s">
        <v>683</v>
      </c>
    </row>
    <row r="50" spans="1:18" x14ac:dyDescent="0.2">
      <c r="A50">
        <v>49</v>
      </c>
      <c r="B50">
        <v>-99</v>
      </c>
      <c r="C50" t="s">
        <v>154</v>
      </c>
      <c r="D50" t="s">
        <v>53</v>
      </c>
      <c r="E50" t="s">
        <v>565</v>
      </c>
      <c r="F50" t="s">
        <v>566</v>
      </c>
      <c r="G50" t="s">
        <v>658</v>
      </c>
      <c r="H50" t="s">
        <v>378</v>
      </c>
      <c r="I50">
        <v>381</v>
      </c>
      <c r="J50">
        <v>31</v>
      </c>
      <c r="K50" t="s">
        <v>381</v>
      </c>
      <c r="L50">
        <v>8257</v>
      </c>
      <c r="M50" t="s">
        <v>337</v>
      </c>
      <c r="N50" t="s">
        <v>394</v>
      </c>
      <c r="O50">
        <v>-99</v>
      </c>
      <c r="P50">
        <v>1</v>
      </c>
      <c r="Q50">
        <v>-99</v>
      </c>
      <c r="R50" t="s">
        <v>685</v>
      </c>
    </row>
    <row r="51" spans="1:18" x14ac:dyDescent="0.2">
      <c r="A51">
        <v>50</v>
      </c>
      <c r="B51">
        <v>55</v>
      </c>
      <c r="C51" t="s">
        <v>155</v>
      </c>
      <c r="D51" t="s">
        <v>37</v>
      </c>
      <c r="E51" t="s">
        <v>567</v>
      </c>
      <c r="F51" t="s">
        <v>568</v>
      </c>
      <c r="G51" t="s">
        <v>659</v>
      </c>
      <c r="H51" t="s">
        <v>387</v>
      </c>
      <c r="I51">
        <v>382</v>
      </c>
      <c r="J51">
        <v>32</v>
      </c>
      <c r="K51" t="s">
        <v>391</v>
      </c>
      <c r="L51">
        <v>8258</v>
      </c>
      <c r="M51" t="s">
        <v>350</v>
      </c>
      <c r="N51" t="s">
        <v>395</v>
      </c>
      <c r="O51">
        <v>1</v>
      </c>
      <c r="P51">
        <v>2</v>
      </c>
      <c r="Q51">
        <v>-99</v>
      </c>
      <c r="R51" t="s">
        <v>683</v>
      </c>
    </row>
    <row r="52" spans="1:18" x14ac:dyDescent="0.2">
      <c r="A52">
        <v>51</v>
      </c>
      <c r="B52">
        <v>56</v>
      </c>
      <c r="C52" t="s">
        <v>156</v>
      </c>
      <c r="D52" t="s">
        <v>42</v>
      </c>
      <c r="E52" t="s">
        <v>569</v>
      </c>
      <c r="F52" t="s">
        <v>570</v>
      </c>
      <c r="G52" t="s">
        <v>657</v>
      </c>
      <c r="H52" t="s">
        <v>371</v>
      </c>
      <c r="I52">
        <v>380</v>
      </c>
      <c r="J52">
        <v>32</v>
      </c>
      <c r="K52" t="s">
        <v>391</v>
      </c>
      <c r="L52">
        <v>8259</v>
      </c>
      <c r="M52" t="s">
        <v>327</v>
      </c>
      <c r="N52" t="s">
        <v>396</v>
      </c>
      <c r="O52">
        <v>1</v>
      </c>
      <c r="P52">
        <v>2</v>
      </c>
      <c r="Q52">
        <v>-99</v>
      </c>
      <c r="R52" t="s">
        <v>683</v>
      </c>
    </row>
    <row r="53" spans="1:18" x14ac:dyDescent="0.2">
      <c r="A53">
        <v>52</v>
      </c>
      <c r="B53">
        <v>57</v>
      </c>
      <c r="C53" t="s">
        <v>157</v>
      </c>
      <c r="D53" t="s">
        <v>56</v>
      </c>
      <c r="E53" t="s">
        <v>571</v>
      </c>
      <c r="F53" t="s">
        <v>572</v>
      </c>
      <c r="G53" t="s">
        <v>659</v>
      </c>
      <c r="H53" t="s">
        <v>387</v>
      </c>
      <c r="I53">
        <v>382</v>
      </c>
      <c r="J53">
        <v>32</v>
      </c>
      <c r="K53" t="s">
        <v>391</v>
      </c>
      <c r="L53">
        <v>8260</v>
      </c>
      <c r="M53" t="s">
        <v>317</v>
      </c>
      <c r="N53" t="s">
        <v>397</v>
      </c>
      <c r="O53">
        <v>1</v>
      </c>
      <c r="P53">
        <v>1</v>
      </c>
      <c r="Q53">
        <v>-99</v>
      </c>
      <c r="R53" t="s">
        <v>683</v>
      </c>
    </row>
    <row r="54" spans="1:18" x14ac:dyDescent="0.2">
      <c r="A54">
        <v>53</v>
      </c>
      <c r="B54">
        <v>-99</v>
      </c>
      <c r="C54" t="s">
        <v>157</v>
      </c>
      <c r="D54" t="s">
        <v>56</v>
      </c>
      <c r="E54" t="s">
        <v>573</v>
      </c>
      <c r="F54" t="s">
        <v>209</v>
      </c>
      <c r="G54" t="s">
        <v>659</v>
      </c>
      <c r="H54" t="s">
        <v>387</v>
      </c>
      <c r="I54">
        <v>382</v>
      </c>
      <c r="J54">
        <v>32</v>
      </c>
      <c r="K54" t="s">
        <v>391</v>
      </c>
      <c r="L54">
        <v>8260</v>
      </c>
      <c r="M54" t="s">
        <v>317</v>
      </c>
      <c r="N54" t="s">
        <v>397</v>
      </c>
      <c r="O54">
        <v>-99</v>
      </c>
      <c r="P54">
        <v>1</v>
      </c>
      <c r="Q54">
        <v>-99</v>
      </c>
      <c r="R54" t="s">
        <v>208</v>
      </c>
    </row>
    <row r="55" spans="1:18" x14ac:dyDescent="0.2">
      <c r="A55">
        <v>54</v>
      </c>
      <c r="B55">
        <v>58</v>
      </c>
      <c r="C55" t="s">
        <v>158</v>
      </c>
      <c r="D55" t="s">
        <v>75</v>
      </c>
      <c r="E55" t="s">
        <v>574</v>
      </c>
      <c r="F55" t="s">
        <v>575</v>
      </c>
      <c r="G55" t="s">
        <v>659</v>
      </c>
      <c r="H55" t="s">
        <v>387</v>
      </c>
      <c r="I55">
        <v>382</v>
      </c>
      <c r="J55">
        <v>32</v>
      </c>
      <c r="K55" t="s">
        <v>391</v>
      </c>
      <c r="L55">
        <v>8261</v>
      </c>
      <c r="M55" t="s">
        <v>340</v>
      </c>
      <c r="N55" t="s">
        <v>398</v>
      </c>
      <c r="O55">
        <v>1</v>
      </c>
      <c r="P55">
        <v>2</v>
      </c>
      <c r="Q55">
        <v>-99</v>
      </c>
      <c r="R55" t="s">
        <v>683</v>
      </c>
    </row>
    <row r="56" spans="1:18" x14ac:dyDescent="0.2">
      <c r="A56">
        <v>55</v>
      </c>
      <c r="B56">
        <v>59</v>
      </c>
      <c r="C56" t="s">
        <v>159</v>
      </c>
      <c r="D56" t="s">
        <v>41</v>
      </c>
      <c r="E56" t="s">
        <v>576</v>
      </c>
      <c r="F56" t="s">
        <v>577</v>
      </c>
      <c r="G56" t="s">
        <v>659</v>
      </c>
      <c r="H56" t="s">
        <v>387</v>
      </c>
      <c r="I56">
        <v>382</v>
      </c>
      <c r="J56">
        <v>32</v>
      </c>
      <c r="K56" t="s">
        <v>391</v>
      </c>
      <c r="L56">
        <v>8262</v>
      </c>
      <c r="M56" t="s">
        <v>364</v>
      </c>
      <c r="N56" t="s">
        <v>400</v>
      </c>
      <c r="O56">
        <v>1</v>
      </c>
      <c r="P56">
        <v>2</v>
      </c>
      <c r="Q56">
        <v>-99</v>
      </c>
      <c r="R56" t="s">
        <v>683</v>
      </c>
    </row>
    <row r="57" spans="1:18" x14ac:dyDescent="0.2">
      <c r="A57">
        <v>56</v>
      </c>
      <c r="B57">
        <v>60</v>
      </c>
      <c r="C57" t="s">
        <v>160</v>
      </c>
      <c r="D57" t="s">
        <v>50</v>
      </c>
      <c r="E57" t="s">
        <v>578</v>
      </c>
      <c r="F57" t="s">
        <v>579</v>
      </c>
      <c r="G57" t="s">
        <v>659</v>
      </c>
      <c r="H57" t="s">
        <v>387</v>
      </c>
      <c r="I57">
        <v>382</v>
      </c>
      <c r="J57">
        <v>32</v>
      </c>
      <c r="K57" t="s">
        <v>391</v>
      </c>
      <c r="L57">
        <v>8263</v>
      </c>
      <c r="M57" t="s">
        <v>323</v>
      </c>
      <c r="N57" t="s">
        <v>401</v>
      </c>
      <c r="O57">
        <v>1</v>
      </c>
      <c r="P57">
        <v>2</v>
      </c>
      <c r="Q57">
        <v>-99</v>
      </c>
      <c r="R57" t="s">
        <v>683</v>
      </c>
    </row>
    <row r="58" spans="1:18" x14ac:dyDescent="0.2">
      <c r="A58">
        <v>57</v>
      </c>
      <c r="B58">
        <v>84</v>
      </c>
      <c r="C58" t="s">
        <v>161</v>
      </c>
      <c r="D58" t="s">
        <v>76</v>
      </c>
      <c r="E58" t="s">
        <v>580</v>
      </c>
      <c r="F58" t="s">
        <v>581</v>
      </c>
      <c r="G58" t="s">
        <v>659</v>
      </c>
      <c r="H58" t="s">
        <v>387</v>
      </c>
      <c r="I58">
        <v>382</v>
      </c>
      <c r="J58">
        <v>32</v>
      </c>
      <c r="K58" t="s">
        <v>391</v>
      </c>
      <c r="L58">
        <v>8264</v>
      </c>
      <c r="M58" t="s">
        <v>334</v>
      </c>
      <c r="N58" t="s">
        <v>402</v>
      </c>
      <c r="O58">
        <v>1</v>
      </c>
      <c r="P58">
        <v>1</v>
      </c>
      <c r="Q58">
        <v>-99</v>
      </c>
      <c r="R58" t="s">
        <v>683</v>
      </c>
    </row>
    <row r="59" spans="1:18" x14ac:dyDescent="0.2">
      <c r="A59">
        <v>58</v>
      </c>
      <c r="B59">
        <v>-99</v>
      </c>
      <c r="C59" t="s">
        <v>161</v>
      </c>
      <c r="D59" t="s">
        <v>76</v>
      </c>
      <c r="E59" t="s">
        <v>582</v>
      </c>
      <c r="F59" t="s">
        <v>492</v>
      </c>
      <c r="G59" t="s">
        <v>659</v>
      </c>
      <c r="H59" t="s">
        <v>387</v>
      </c>
      <c r="I59">
        <v>382</v>
      </c>
      <c r="J59">
        <v>32</v>
      </c>
      <c r="K59" t="s">
        <v>391</v>
      </c>
      <c r="L59">
        <v>8264</v>
      </c>
      <c r="M59" t="s">
        <v>334</v>
      </c>
      <c r="N59" t="s">
        <v>402</v>
      </c>
      <c r="O59">
        <v>-99</v>
      </c>
      <c r="P59">
        <v>1</v>
      </c>
      <c r="Q59">
        <v>-99</v>
      </c>
      <c r="R59" t="s">
        <v>655</v>
      </c>
    </row>
    <row r="60" spans="1:18" x14ac:dyDescent="0.2">
      <c r="A60">
        <v>59</v>
      </c>
      <c r="B60">
        <v>-99</v>
      </c>
      <c r="C60" t="s">
        <v>161</v>
      </c>
      <c r="D60" t="s">
        <v>76</v>
      </c>
      <c r="E60" t="s">
        <v>583</v>
      </c>
      <c r="F60" t="s">
        <v>212</v>
      </c>
      <c r="G60" t="s">
        <v>659</v>
      </c>
      <c r="H60" t="s">
        <v>387</v>
      </c>
      <c r="I60">
        <v>382</v>
      </c>
      <c r="J60">
        <v>32</v>
      </c>
      <c r="K60" t="s">
        <v>391</v>
      </c>
      <c r="L60">
        <v>8264</v>
      </c>
      <c r="M60" t="s">
        <v>334</v>
      </c>
      <c r="N60" t="s">
        <v>402</v>
      </c>
      <c r="O60">
        <v>-99</v>
      </c>
      <c r="P60">
        <v>1</v>
      </c>
      <c r="Q60">
        <v>-99</v>
      </c>
      <c r="R60" t="s">
        <v>208</v>
      </c>
    </row>
    <row r="61" spans="1:18" x14ac:dyDescent="0.2">
      <c r="A61">
        <v>60</v>
      </c>
      <c r="B61">
        <v>100</v>
      </c>
      <c r="C61" t="s">
        <v>162</v>
      </c>
      <c r="D61" t="s">
        <v>40</v>
      </c>
      <c r="E61" t="s">
        <v>584</v>
      </c>
      <c r="F61" t="s">
        <v>585</v>
      </c>
      <c r="G61" t="s">
        <v>661</v>
      </c>
      <c r="H61" t="s">
        <v>403</v>
      </c>
      <c r="I61">
        <v>383</v>
      </c>
      <c r="J61">
        <v>33</v>
      </c>
      <c r="K61" t="s">
        <v>386</v>
      </c>
      <c r="L61">
        <v>8268</v>
      </c>
      <c r="M61" t="s">
        <v>351</v>
      </c>
      <c r="N61" t="s">
        <v>404</v>
      </c>
      <c r="O61">
        <v>1</v>
      </c>
      <c r="P61">
        <v>2</v>
      </c>
      <c r="Q61">
        <v>-99</v>
      </c>
      <c r="R61" t="s">
        <v>683</v>
      </c>
    </row>
    <row r="62" spans="1:18" x14ac:dyDescent="0.2">
      <c r="A62">
        <v>61</v>
      </c>
      <c r="B62">
        <v>101</v>
      </c>
      <c r="C62" t="s">
        <v>163</v>
      </c>
      <c r="D62" t="s">
        <v>31</v>
      </c>
      <c r="E62" t="s">
        <v>586</v>
      </c>
      <c r="F62" t="s">
        <v>587</v>
      </c>
      <c r="G62" t="s">
        <v>661</v>
      </c>
      <c r="H62" t="s">
        <v>403</v>
      </c>
      <c r="I62">
        <v>383</v>
      </c>
      <c r="J62">
        <v>34</v>
      </c>
      <c r="K62" t="s">
        <v>405</v>
      </c>
      <c r="L62">
        <v>8269</v>
      </c>
      <c r="M62" t="s">
        <v>319</v>
      </c>
      <c r="N62" t="s">
        <v>406</v>
      </c>
      <c r="O62">
        <v>1</v>
      </c>
      <c r="P62">
        <v>2</v>
      </c>
      <c r="Q62">
        <v>-99</v>
      </c>
      <c r="R62" t="s">
        <v>683</v>
      </c>
    </row>
    <row r="63" spans="1:18" x14ac:dyDescent="0.2">
      <c r="A63">
        <v>62</v>
      </c>
      <c r="B63">
        <v>102</v>
      </c>
      <c r="C63" t="s">
        <v>164</v>
      </c>
      <c r="D63" t="s">
        <v>70</v>
      </c>
      <c r="E63" t="s">
        <v>588</v>
      </c>
      <c r="F63" t="s">
        <v>589</v>
      </c>
      <c r="G63" t="s">
        <v>661</v>
      </c>
      <c r="H63" t="s">
        <v>403</v>
      </c>
      <c r="I63">
        <v>383</v>
      </c>
      <c r="J63">
        <v>33</v>
      </c>
      <c r="K63" t="s">
        <v>386</v>
      </c>
      <c r="L63">
        <v>8270</v>
      </c>
      <c r="M63" t="s">
        <v>345</v>
      </c>
      <c r="N63" t="s">
        <v>407</v>
      </c>
      <c r="O63">
        <v>1</v>
      </c>
      <c r="P63">
        <v>1</v>
      </c>
      <c r="Q63">
        <v>-99</v>
      </c>
      <c r="R63" t="s">
        <v>683</v>
      </c>
    </row>
    <row r="64" spans="1:18" x14ac:dyDescent="0.2">
      <c r="A64">
        <v>63</v>
      </c>
      <c r="B64">
        <v>-99</v>
      </c>
      <c r="C64" t="s">
        <v>164</v>
      </c>
      <c r="D64" t="s">
        <v>70</v>
      </c>
      <c r="E64" t="s">
        <v>590</v>
      </c>
      <c r="F64" t="s">
        <v>211</v>
      </c>
      <c r="G64" t="s">
        <v>661</v>
      </c>
      <c r="H64" t="s">
        <v>403</v>
      </c>
      <c r="I64">
        <v>383</v>
      </c>
      <c r="J64">
        <v>33</v>
      </c>
      <c r="K64" t="s">
        <v>386</v>
      </c>
      <c r="L64">
        <v>8270</v>
      </c>
      <c r="M64" t="s">
        <v>345</v>
      </c>
      <c r="N64" t="s">
        <v>407</v>
      </c>
      <c r="O64">
        <v>-99</v>
      </c>
      <c r="P64">
        <v>1</v>
      </c>
      <c r="Q64">
        <v>-99</v>
      </c>
      <c r="R64" t="s">
        <v>680</v>
      </c>
    </row>
    <row r="65" spans="1:18" x14ac:dyDescent="0.2">
      <c r="A65">
        <v>64</v>
      </c>
      <c r="B65">
        <v>103</v>
      </c>
      <c r="C65" t="s">
        <v>165</v>
      </c>
      <c r="D65" t="s">
        <v>62</v>
      </c>
      <c r="E65" t="s">
        <v>591</v>
      </c>
      <c r="F65" t="s">
        <v>592</v>
      </c>
      <c r="G65" t="s">
        <v>661</v>
      </c>
      <c r="H65" t="s">
        <v>403</v>
      </c>
      <c r="I65">
        <v>383</v>
      </c>
      <c r="J65">
        <v>34</v>
      </c>
      <c r="K65" t="s">
        <v>405</v>
      </c>
      <c r="L65">
        <v>8272</v>
      </c>
      <c r="M65" t="s">
        <v>333</v>
      </c>
      <c r="N65" t="s">
        <v>408</v>
      </c>
      <c r="O65">
        <v>1</v>
      </c>
      <c r="P65">
        <v>2</v>
      </c>
      <c r="Q65">
        <v>-99</v>
      </c>
      <c r="R65" t="s">
        <v>683</v>
      </c>
    </row>
    <row r="66" spans="1:18" x14ac:dyDescent="0.2">
      <c r="A66">
        <v>65</v>
      </c>
      <c r="B66">
        <v>104</v>
      </c>
      <c r="C66" t="s">
        <v>166</v>
      </c>
      <c r="D66" t="s">
        <v>52</v>
      </c>
      <c r="E66" t="s">
        <v>593</v>
      </c>
      <c r="F66" t="s">
        <v>594</v>
      </c>
      <c r="G66" t="s">
        <v>661</v>
      </c>
      <c r="H66" t="s">
        <v>403</v>
      </c>
      <c r="I66">
        <v>383</v>
      </c>
      <c r="J66">
        <v>34</v>
      </c>
      <c r="K66" t="s">
        <v>405</v>
      </c>
      <c r="L66">
        <v>8221</v>
      </c>
      <c r="M66" t="s">
        <v>333</v>
      </c>
      <c r="N66" t="s">
        <v>408</v>
      </c>
      <c r="O66">
        <v>1</v>
      </c>
      <c r="P66">
        <v>2</v>
      </c>
      <c r="Q66">
        <v>-99</v>
      </c>
      <c r="R66" t="s">
        <v>683</v>
      </c>
    </row>
    <row r="67" spans="1:18" x14ac:dyDescent="0.2">
      <c r="A67">
        <v>66</v>
      </c>
      <c r="B67">
        <v>196</v>
      </c>
      <c r="C67" t="s">
        <v>167</v>
      </c>
      <c r="D67" t="s">
        <v>64</v>
      </c>
      <c r="E67" t="s">
        <v>595</v>
      </c>
      <c r="F67" t="s">
        <v>596</v>
      </c>
      <c r="G67" t="s">
        <v>661</v>
      </c>
      <c r="H67" t="s">
        <v>403</v>
      </c>
      <c r="I67">
        <v>383</v>
      </c>
      <c r="J67">
        <v>34</v>
      </c>
      <c r="K67" t="s">
        <v>405</v>
      </c>
      <c r="L67">
        <v>8202</v>
      </c>
      <c r="M67" t="s">
        <v>346</v>
      </c>
      <c r="N67" t="s">
        <v>427</v>
      </c>
      <c r="O67">
        <v>1</v>
      </c>
      <c r="P67">
        <v>2</v>
      </c>
      <c r="Q67">
        <v>-99</v>
      </c>
      <c r="R67" t="s">
        <v>683</v>
      </c>
    </row>
    <row r="68" spans="1:18" x14ac:dyDescent="0.2">
      <c r="A68">
        <v>67</v>
      </c>
      <c r="B68">
        <v>110</v>
      </c>
      <c r="C68" t="s">
        <v>168</v>
      </c>
      <c r="D68" t="s">
        <v>73</v>
      </c>
      <c r="E68" t="s">
        <v>597</v>
      </c>
      <c r="F68" t="s">
        <v>598</v>
      </c>
      <c r="G68" t="s">
        <v>661</v>
      </c>
      <c r="H68" t="s">
        <v>403</v>
      </c>
      <c r="I68">
        <v>383</v>
      </c>
      <c r="J68">
        <v>34</v>
      </c>
      <c r="K68" t="s">
        <v>405</v>
      </c>
      <c r="L68">
        <v>8203</v>
      </c>
      <c r="M68" t="s">
        <v>330</v>
      </c>
      <c r="N68" t="s">
        <v>80</v>
      </c>
      <c r="O68">
        <v>1</v>
      </c>
      <c r="P68">
        <v>1</v>
      </c>
      <c r="Q68">
        <v>-99</v>
      </c>
      <c r="R68" t="s">
        <v>683</v>
      </c>
    </row>
    <row r="69" spans="1:18" x14ac:dyDescent="0.2">
      <c r="A69">
        <v>68</v>
      </c>
      <c r="B69">
        <v>-99</v>
      </c>
      <c r="C69" t="s">
        <v>168</v>
      </c>
      <c r="D69" t="s">
        <v>73</v>
      </c>
      <c r="E69" t="s">
        <v>599</v>
      </c>
      <c r="F69" t="s">
        <v>600</v>
      </c>
      <c r="G69" t="s">
        <v>661</v>
      </c>
      <c r="H69" t="s">
        <v>403</v>
      </c>
      <c r="I69">
        <v>383</v>
      </c>
      <c r="J69">
        <v>34</v>
      </c>
      <c r="K69" t="s">
        <v>405</v>
      </c>
      <c r="L69">
        <v>8203</v>
      </c>
      <c r="M69" t="s">
        <v>330</v>
      </c>
      <c r="N69" t="s">
        <v>80</v>
      </c>
      <c r="O69">
        <v>-99</v>
      </c>
      <c r="P69">
        <v>1</v>
      </c>
      <c r="Q69">
        <v>-99</v>
      </c>
      <c r="R69" t="s">
        <v>399</v>
      </c>
    </row>
    <row r="70" spans="1:18" x14ac:dyDescent="0.2">
      <c r="A70">
        <v>69</v>
      </c>
      <c r="B70">
        <v>111</v>
      </c>
      <c r="C70" t="s">
        <v>169</v>
      </c>
      <c r="D70" t="s">
        <v>34</v>
      </c>
      <c r="E70" t="s">
        <v>601</v>
      </c>
      <c r="F70" t="s">
        <v>602</v>
      </c>
      <c r="G70" t="s">
        <v>661</v>
      </c>
      <c r="H70" t="s">
        <v>403</v>
      </c>
      <c r="I70">
        <v>383</v>
      </c>
      <c r="J70">
        <v>34</v>
      </c>
      <c r="K70" t="s">
        <v>405</v>
      </c>
      <c r="L70">
        <v>8204</v>
      </c>
      <c r="M70" t="s">
        <v>335</v>
      </c>
      <c r="N70" t="s">
        <v>409</v>
      </c>
      <c r="O70">
        <v>1</v>
      </c>
      <c r="P70">
        <v>2</v>
      </c>
      <c r="Q70">
        <v>-99</v>
      </c>
      <c r="R70" t="s">
        <v>683</v>
      </c>
    </row>
    <row r="71" spans="1:18" x14ac:dyDescent="0.2">
      <c r="A71">
        <v>70</v>
      </c>
      <c r="B71">
        <v>112</v>
      </c>
      <c r="C71" t="s">
        <v>170</v>
      </c>
      <c r="D71" t="s">
        <v>66</v>
      </c>
      <c r="E71" t="s">
        <v>603</v>
      </c>
      <c r="F71" t="s">
        <v>604</v>
      </c>
      <c r="G71" t="s">
        <v>661</v>
      </c>
      <c r="H71" t="s">
        <v>403</v>
      </c>
      <c r="I71">
        <v>383</v>
      </c>
      <c r="J71">
        <v>34</v>
      </c>
      <c r="K71" t="s">
        <v>405</v>
      </c>
      <c r="L71">
        <v>8205</v>
      </c>
      <c r="M71" t="s">
        <v>352</v>
      </c>
      <c r="N71" t="s">
        <v>410</v>
      </c>
      <c r="O71">
        <v>1</v>
      </c>
      <c r="P71">
        <v>2</v>
      </c>
      <c r="Q71">
        <v>-99</v>
      </c>
      <c r="R71" t="s">
        <v>683</v>
      </c>
    </row>
    <row r="72" spans="1:18" x14ac:dyDescent="0.2">
      <c r="A72">
        <v>71</v>
      </c>
      <c r="B72">
        <v>113</v>
      </c>
      <c r="C72" t="s">
        <v>171</v>
      </c>
      <c r="D72" t="s">
        <v>79</v>
      </c>
      <c r="E72" t="s">
        <v>605</v>
      </c>
      <c r="F72" t="s">
        <v>606</v>
      </c>
      <c r="G72" t="s">
        <v>659</v>
      </c>
      <c r="H72" t="s">
        <v>387</v>
      </c>
      <c r="I72">
        <v>382</v>
      </c>
      <c r="J72">
        <v>33</v>
      </c>
      <c r="K72" t="s">
        <v>386</v>
      </c>
      <c r="L72">
        <v>8206</v>
      </c>
      <c r="M72" t="s">
        <v>328</v>
      </c>
      <c r="N72" t="s">
        <v>411</v>
      </c>
      <c r="O72">
        <v>1</v>
      </c>
      <c r="P72">
        <v>2</v>
      </c>
      <c r="Q72">
        <v>-99</v>
      </c>
      <c r="R72" t="s">
        <v>683</v>
      </c>
    </row>
    <row r="73" spans="1:18" x14ac:dyDescent="0.2">
      <c r="A73">
        <v>72</v>
      </c>
      <c r="B73">
        <v>114</v>
      </c>
      <c r="C73" t="s">
        <v>172</v>
      </c>
      <c r="D73" t="s">
        <v>51</v>
      </c>
      <c r="E73" t="s">
        <v>607</v>
      </c>
      <c r="F73" t="s">
        <v>608</v>
      </c>
      <c r="G73" t="s">
        <v>659</v>
      </c>
      <c r="H73" t="s">
        <v>387</v>
      </c>
      <c r="I73">
        <v>382</v>
      </c>
      <c r="J73">
        <v>33</v>
      </c>
      <c r="K73" t="s">
        <v>386</v>
      </c>
      <c r="L73">
        <v>8207</v>
      </c>
      <c r="M73" t="s">
        <v>316</v>
      </c>
      <c r="N73" t="s">
        <v>412</v>
      </c>
      <c r="O73">
        <v>1</v>
      </c>
      <c r="P73">
        <v>2</v>
      </c>
      <c r="Q73">
        <v>-99</v>
      </c>
      <c r="R73" t="s">
        <v>683</v>
      </c>
    </row>
    <row r="74" spans="1:18" x14ac:dyDescent="0.2">
      <c r="A74">
        <v>73</v>
      </c>
      <c r="B74">
        <v>115</v>
      </c>
      <c r="C74" t="s">
        <v>173</v>
      </c>
      <c r="D74" t="s">
        <v>27</v>
      </c>
      <c r="E74" t="s">
        <v>609</v>
      </c>
      <c r="F74" t="s">
        <v>610</v>
      </c>
      <c r="G74" t="s">
        <v>659</v>
      </c>
      <c r="H74" t="s">
        <v>387</v>
      </c>
      <c r="I74">
        <v>382</v>
      </c>
      <c r="J74">
        <v>33</v>
      </c>
      <c r="K74" t="s">
        <v>386</v>
      </c>
      <c r="L74">
        <v>8208</v>
      </c>
      <c r="M74" t="s">
        <v>339</v>
      </c>
      <c r="N74" t="s">
        <v>413</v>
      </c>
      <c r="O74">
        <v>1</v>
      </c>
      <c r="P74">
        <v>2</v>
      </c>
      <c r="Q74">
        <v>-99</v>
      </c>
      <c r="R74" t="s">
        <v>683</v>
      </c>
    </row>
    <row r="75" spans="1:18" x14ac:dyDescent="0.2">
      <c r="A75">
        <v>74</v>
      </c>
      <c r="B75">
        <v>116</v>
      </c>
      <c r="C75" t="s">
        <v>174</v>
      </c>
      <c r="D75" t="s">
        <v>68</v>
      </c>
      <c r="E75" t="s">
        <v>611</v>
      </c>
      <c r="F75" t="s">
        <v>612</v>
      </c>
      <c r="G75" t="s">
        <v>661</v>
      </c>
      <c r="H75" t="s">
        <v>403</v>
      </c>
      <c r="I75">
        <v>383</v>
      </c>
      <c r="J75">
        <v>34</v>
      </c>
      <c r="K75" t="s">
        <v>405</v>
      </c>
      <c r="L75">
        <v>8210</v>
      </c>
      <c r="M75" t="s">
        <v>329</v>
      </c>
      <c r="N75" t="s">
        <v>414</v>
      </c>
      <c r="O75">
        <v>1</v>
      </c>
      <c r="P75">
        <v>2</v>
      </c>
      <c r="Q75">
        <v>-99</v>
      </c>
      <c r="R75" t="s">
        <v>683</v>
      </c>
    </row>
    <row r="76" spans="1:18" x14ac:dyDescent="0.2">
      <c r="A76">
        <v>75</v>
      </c>
      <c r="B76">
        <v>197</v>
      </c>
      <c r="C76" t="s">
        <v>175</v>
      </c>
      <c r="D76" t="s">
        <v>72</v>
      </c>
      <c r="E76" t="s">
        <v>613</v>
      </c>
      <c r="F76" t="s">
        <v>614</v>
      </c>
      <c r="G76" t="s">
        <v>658</v>
      </c>
      <c r="H76" t="s">
        <v>378</v>
      </c>
      <c r="I76">
        <v>381</v>
      </c>
      <c r="J76">
        <v>31</v>
      </c>
      <c r="K76" t="s">
        <v>381</v>
      </c>
      <c r="L76">
        <v>8211</v>
      </c>
      <c r="M76" t="s">
        <v>332</v>
      </c>
      <c r="N76" t="s">
        <v>428</v>
      </c>
      <c r="O76">
        <v>1</v>
      </c>
      <c r="P76">
        <v>2</v>
      </c>
      <c r="Q76">
        <v>-99</v>
      </c>
      <c r="R76" t="s">
        <v>683</v>
      </c>
    </row>
    <row r="77" spans="1:18" x14ac:dyDescent="0.2">
      <c r="A77">
        <v>76</v>
      </c>
      <c r="B77">
        <v>119</v>
      </c>
      <c r="C77" t="s">
        <v>176</v>
      </c>
      <c r="D77" t="s">
        <v>55</v>
      </c>
      <c r="E77" t="s">
        <v>615</v>
      </c>
      <c r="F77" t="s">
        <v>616</v>
      </c>
      <c r="G77" t="s">
        <v>661</v>
      </c>
      <c r="H77" t="s">
        <v>403</v>
      </c>
      <c r="I77">
        <v>383</v>
      </c>
      <c r="J77">
        <v>34</v>
      </c>
      <c r="K77" t="s">
        <v>405</v>
      </c>
      <c r="L77">
        <v>8223</v>
      </c>
      <c r="M77" t="s">
        <v>617</v>
      </c>
      <c r="N77" t="s">
        <v>618</v>
      </c>
      <c r="O77">
        <v>1</v>
      </c>
      <c r="P77">
        <v>2</v>
      </c>
      <c r="Q77">
        <v>-99</v>
      </c>
      <c r="R77" t="s">
        <v>683</v>
      </c>
    </row>
    <row r="78" spans="1:18" x14ac:dyDescent="0.2">
      <c r="A78">
        <v>77</v>
      </c>
      <c r="B78">
        <v>131</v>
      </c>
      <c r="C78" t="s">
        <v>177</v>
      </c>
      <c r="D78" t="s">
        <v>46</v>
      </c>
      <c r="E78" t="s">
        <v>619</v>
      </c>
      <c r="F78" t="s">
        <v>620</v>
      </c>
      <c r="G78" t="s">
        <v>659</v>
      </c>
      <c r="H78" t="s">
        <v>387</v>
      </c>
      <c r="I78">
        <v>382</v>
      </c>
      <c r="J78">
        <v>33</v>
      </c>
      <c r="K78" t="s">
        <v>386</v>
      </c>
      <c r="L78">
        <v>8226</v>
      </c>
      <c r="M78" t="s">
        <v>328</v>
      </c>
      <c r="N78" t="s">
        <v>411</v>
      </c>
      <c r="O78">
        <v>1</v>
      </c>
      <c r="P78">
        <v>2</v>
      </c>
      <c r="Q78">
        <v>-99</v>
      </c>
      <c r="R78" t="s">
        <v>683</v>
      </c>
    </row>
    <row r="79" spans="1:18" x14ac:dyDescent="0.2">
      <c r="A79">
        <v>78</v>
      </c>
      <c r="B79">
        <v>132</v>
      </c>
      <c r="C79" t="s">
        <v>670</v>
      </c>
      <c r="D79" t="s">
        <v>431</v>
      </c>
      <c r="E79" t="s">
        <v>621</v>
      </c>
      <c r="F79" t="s">
        <v>671</v>
      </c>
      <c r="G79" t="s">
        <v>658</v>
      </c>
      <c r="H79" t="s">
        <v>378</v>
      </c>
      <c r="I79">
        <v>381</v>
      </c>
      <c r="J79">
        <v>30</v>
      </c>
      <c r="K79" t="s">
        <v>370</v>
      </c>
      <c r="L79">
        <v>8229</v>
      </c>
      <c r="M79" t="s">
        <v>347</v>
      </c>
      <c r="N79" t="s">
        <v>415</v>
      </c>
      <c r="O79">
        <v>1</v>
      </c>
      <c r="P79">
        <v>2</v>
      </c>
      <c r="Q79">
        <v>-99</v>
      </c>
      <c r="R79" t="s">
        <v>683</v>
      </c>
    </row>
    <row r="80" spans="1:18" x14ac:dyDescent="0.2">
      <c r="A80">
        <v>79</v>
      </c>
      <c r="B80">
        <v>143</v>
      </c>
      <c r="C80" t="s">
        <v>178</v>
      </c>
      <c r="D80" t="s">
        <v>54</v>
      </c>
      <c r="E80" t="s">
        <v>622</v>
      </c>
      <c r="F80" t="s">
        <v>623</v>
      </c>
      <c r="G80" t="s">
        <v>657</v>
      </c>
      <c r="H80" t="s">
        <v>371</v>
      </c>
      <c r="I80">
        <v>380</v>
      </c>
      <c r="J80">
        <v>30</v>
      </c>
      <c r="K80" t="s">
        <v>370</v>
      </c>
      <c r="L80">
        <v>8230</v>
      </c>
      <c r="M80" t="s">
        <v>360</v>
      </c>
      <c r="N80" t="s">
        <v>416</v>
      </c>
      <c r="O80">
        <v>1</v>
      </c>
      <c r="P80">
        <v>2</v>
      </c>
      <c r="Q80">
        <v>-99</v>
      </c>
      <c r="R80" t="s">
        <v>683</v>
      </c>
    </row>
    <row r="81" spans="1:18" x14ac:dyDescent="0.2">
      <c r="A81">
        <v>80</v>
      </c>
      <c r="B81">
        <v>144</v>
      </c>
      <c r="C81" t="s">
        <v>672</v>
      </c>
      <c r="D81" t="s">
        <v>490</v>
      </c>
      <c r="E81" t="s">
        <v>672</v>
      </c>
      <c r="F81" t="s">
        <v>490</v>
      </c>
      <c r="G81" t="s">
        <v>669</v>
      </c>
      <c r="H81" t="s">
        <v>8</v>
      </c>
      <c r="I81">
        <v>-99</v>
      </c>
      <c r="J81">
        <v>35</v>
      </c>
      <c r="K81" t="s">
        <v>8</v>
      </c>
      <c r="L81">
        <v>8215</v>
      </c>
      <c r="M81" t="s">
        <v>340</v>
      </c>
      <c r="N81" t="s">
        <v>398</v>
      </c>
      <c r="O81">
        <v>1</v>
      </c>
      <c r="P81">
        <v>2</v>
      </c>
      <c r="Q81">
        <v>-99</v>
      </c>
      <c r="R81" t="s">
        <v>655</v>
      </c>
    </row>
    <row r="82" spans="1:18" x14ac:dyDescent="0.2">
      <c r="A82">
        <v>81</v>
      </c>
      <c r="B82">
        <v>145</v>
      </c>
      <c r="C82" t="s">
        <v>179</v>
      </c>
      <c r="D82" t="s">
        <v>71</v>
      </c>
      <c r="E82" t="s">
        <v>624</v>
      </c>
      <c r="F82" t="s">
        <v>625</v>
      </c>
      <c r="G82" t="s">
        <v>661</v>
      </c>
      <c r="H82" t="s">
        <v>403</v>
      </c>
      <c r="I82">
        <v>383</v>
      </c>
      <c r="J82">
        <v>34</v>
      </c>
      <c r="K82" t="s">
        <v>405</v>
      </c>
      <c r="L82">
        <v>8231</v>
      </c>
      <c r="M82" t="s">
        <v>333</v>
      </c>
      <c r="N82" t="s">
        <v>408</v>
      </c>
      <c r="O82">
        <v>1</v>
      </c>
      <c r="P82">
        <v>1</v>
      </c>
      <c r="Q82">
        <v>-99</v>
      </c>
      <c r="R82" t="s">
        <v>683</v>
      </c>
    </row>
    <row r="83" spans="1:18" x14ac:dyDescent="0.2">
      <c r="A83">
        <v>82</v>
      </c>
      <c r="B83">
        <v>-99</v>
      </c>
      <c r="C83" t="s">
        <v>179</v>
      </c>
      <c r="D83" t="s">
        <v>71</v>
      </c>
      <c r="E83" t="s">
        <v>626</v>
      </c>
      <c r="F83" t="s">
        <v>957</v>
      </c>
      <c r="G83" t="s">
        <v>661</v>
      </c>
      <c r="H83" t="s">
        <v>403</v>
      </c>
      <c r="I83">
        <v>383</v>
      </c>
      <c r="J83">
        <v>34</v>
      </c>
      <c r="K83" t="s">
        <v>405</v>
      </c>
      <c r="L83">
        <v>8231</v>
      </c>
      <c r="M83" t="s">
        <v>333</v>
      </c>
      <c r="N83" t="s">
        <v>408</v>
      </c>
      <c r="O83">
        <v>-99</v>
      </c>
      <c r="P83">
        <v>1</v>
      </c>
      <c r="Q83">
        <v>-99</v>
      </c>
      <c r="R83" t="s">
        <v>681</v>
      </c>
    </row>
    <row r="84" spans="1:18" x14ac:dyDescent="0.2">
      <c r="A84">
        <v>83</v>
      </c>
      <c r="B84">
        <v>151</v>
      </c>
      <c r="C84" t="s">
        <v>673</v>
      </c>
      <c r="D84" t="s">
        <v>1057</v>
      </c>
      <c r="E84" t="s">
        <v>673</v>
      </c>
      <c r="F84" t="s">
        <v>491</v>
      </c>
      <c r="G84" t="s">
        <v>669</v>
      </c>
      <c r="H84" t="s">
        <v>8</v>
      </c>
      <c r="I84">
        <v>380</v>
      </c>
      <c r="J84">
        <v>35</v>
      </c>
      <c r="K84" t="s">
        <v>8</v>
      </c>
      <c r="L84">
        <v>3180155</v>
      </c>
      <c r="M84" t="s">
        <v>347</v>
      </c>
      <c r="N84" t="s">
        <v>415</v>
      </c>
      <c r="O84">
        <v>1</v>
      </c>
      <c r="P84">
        <v>2</v>
      </c>
      <c r="Q84">
        <v>-99</v>
      </c>
      <c r="R84" t="s">
        <v>655</v>
      </c>
    </row>
    <row r="85" spans="1:18" x14ac:dyDescent="0.2">
      <c r="A85">
        <v>84</v>
      </c>
      <c r="B85">
        <v>152</v>
      </c>
      <c r="C85" t="s">
        <v>180</v>
      </c>
      <c r="D85" t="s">
        <v>78</v>
      </c>
      <c r="E85" t="s">
        <v>627</v>
      </c>
      <c r="F85" t="s">
        <v>628</v>
      </c>
      <c r="G85" t="s">
        <v>657</v>
      </c>
      <c r="H85" t="s">
        <v>371</v>
      </c>
      <c r="I85">
        <v>380</v>
      </c>
      <c r="J85">
        <v>30</v>
      </c>
      <c r="K85" t="s">
        <v>370</v>
      </c>
      <c r="L85">
        <v>8234</v>
      </c>
      <c r="M85" t="s">
        <v>353</v>
      </c>
      <c r="N85" t="s">
        <v>417</v>
      </c>
      <c r="O85">
        <v>1</v>
      </c>
      <c r="P85">
        <v>2</v>
      </c>
      <c r="Q85">
        <v>-99</v>
      </c>
      <c r="R85" t="s">
        <v>683</v>
      </c>
    </row>
    <row r="86" spans="1:18" x14ac:dyDescent="0.2">
      <c r="A86">
        <v>85</v>
      </c>
      <c r="B86">
        <v>153</v>
      </c>
      <c r="C86" t="s">
        <v>89</v>
      </c>
      <c r="D86" t="s">
        <v>135</v>
      </c>
      <c r="E86" t="s">
        <v>629</v>
      </c>
      <c r="F86" t="s">
        <v>630</v>
      </c>
      <c r="G86" t="s">
        <v>657</v>
      </c>
      <c r="H86" t="s">
        <v>371</v>
      </c>
      <c r="I86">
        <v>380</v>
      </c>
      <c r="J86">
        <v>30</v>
      </c>
      <c r="K86" t="s">
        <v>370</v>
      </c>
      <c r="L86">
        <v>8236</v>
      </c>
      <c r="M86" t="s">
        <v>366</v>
      </c>
      <c r="N86" t="s">
        <v>418</v>
      </c>
      <c r="O86">
        <v>1</v>
      </c>
      <c r="P86">
        <v>2</v>
      </c>
      <c r="Q86">
        <v>-99</v>
      </c>
      <c r="R86" t="s">
        <v>683</v>
      </c>
    </row>
    <row r="87" spans="1:18" x14ac:dyDescent="0.2">
      <c r="A87">
        <v>86</v>
      </c>
      <c r="B87">
        <v>154</v>
      </c>
      <c r="C87" t="s">
        <v>182</v>
      </c>
      <c r="D87" t="s">
        <v>181</v>
      </c>
      <c r="E87" t="s">
        <v>631</v>
      </c>
      <c r="F87" t="s">
        <v>632</v>
      </c>
      <c r="G87" t="s">
        <v>661</v>
      </c>
      <c r="H87" t="s">
        <v>403</v>
      </c>
      <c r="I87">
        <v>383</v>
      </c>
      <c r="J87">
        <v>33</v>
      </c>
      <c r="K87" t="s">
        <v>386</v>
      </c>
      <c r="L87">
        <v>8265</v>
      </c>
      <c r="M87" t="s">
        <v>359</v>
      </c>
      <c r="N87" t="s">
        <v>419</v>
      </c>
      <c r="O87">
        <v>1</v>
      </c>
      <c r="P87">
        <v>2</v>
      </c>
      <c r="Q87">
        <v>-99</v>
      </c>
      <c r="R87" t="s">
        <v>683</v>
      </c>
    </row>
    <row r="88" spans="1:18" x14ac:dyDescent="0.2">
      <c r="A88">
        <v>87</v>
      </c>
      <c r="B88">
        <v>155</v>
      </c>
      <c r="C88" t="s">
        <v>183</v>
      </c>
      <c r="D88" t="s">
        <v>43</v>
      </c>
      <c r="E88" t="s">
        <v>633</v>
      </c>
      <c r="F88" t="s">
        <v>634</v>
      </c>
      <c r="G88" t="s">
        <v>659</v>
      </c>
      <c r="H88" t="s">
        <v>387</v>
      </c>
      <c r="I88">
        <v>382</v>
      </c>
      <c r="J88">
        <v>32</v>
      </c>
      <c r="K88" t="s">
        <v>391</v>
      </c>
      <c r="L88">
        <v>8266</v>
      </c>
      <c r="M88" t="s">
        <v>324</v>
      </c>
      <c r="N88" t="s">
        <v>420</v>
      </c>
      <c r="O88">
        <v>1</v>
      </c>
      <c r="P88">
        <v>2</v>
      </c>
      <c r="Q88">
        <v>-99</v>
      </c>
      <c r="R88" t="s">
        <v>683</v>
      </c>
    </row>
    <row r="89" spans="1:18" x14ac:dyDescent="0.2">
      <c r="A89">
        <v>88</v>
      </c>
      <c r="B89">
        <v>156</v>
      </c>
      <c r="C89" t="s">
        <v>184</v>
      </c>
      <c r="D89" t="s">
        <v>74</v>
      </c>
      <c r="E89" t="s">
        <v>635</v>
      </c>
      <c r="F89" t="s">
        <v>636</v>
      </c>
      <c r="G89" t="s">
        <v>659</v>
      </c>
      <c r="H89" t="s">
        <v>387</v>
      </c>
      <c r="I89">
        <v>382</v>
      </c>
      <c r="J89">
        <v>32</v>
      </c>
      <c r="K89" t="s">
        <v>391</v>
      </c>
      <c r="L89">
        <v>8267</v>
      </c>
      <c r="M89" t="s">
        <v>342</v>
      </c>
      <c r="N89" t="s">
        <v>421</v>
      </c>
      <c r="O89">
        <v>1</v>
      </c>
      <c r="P89">
        <v>2</v>
      </c>
      <c r="Q89">
        <v>-99</v>
      </c>
      <c r="R89" t="s">
        <v>683</v>
      </c>
    </row>
    <row r="90" spans="1:18" x14ac:dyDescent="0.2">
      <c r="A90">
        <v>89</v>
      </c>
      <c r="B90">
        <v>157</v>
      </c>
      <c r="C90" t="s">
        <v>674</v>
      </c>
      <c r="D90" t="s">
        <v>36</v>
      </c>
      <c r="E90" t="s">
        <v>637</v>
      </c>
      <c r="F90" t="s">
        <v>638</v>
      </c>
      <c r="G90" t="s">
        <v>661</v>
      </c>
      <c r="H90" t="s">
        <v>403</v>
      </c>
      <c r="I90">
        <v>383</v>
      </c>
      <c r="J90">
        <v>33</v>
      </c>
      <c r="K90" t="s">
        <v>386</v>
      </c>
      <c r="L90">
        <v>8271</v>
      </c>
      <c r="M90" t="s">
        <v>320</v>
      </c>
      <c r="N90" t="s">
        <v>422</v>
      </c>
      <c r="O90">
        <v>1</v>
      </c>
      <c r="P90">
        <v>2</v>
      </c>
      <c r="Q90">
        <v>-99</v>
      </c>
      <c r="R90" t="s">
        <v>683</v>
      </c>
    </row>
    <row r="91" spans="1:18" x14ac:dyDescent="0.2">
      <c r="A91">
        <v>90</v>
      </c>
      <c r="B91">
        <v>158</v>
      </c>
      <c r="C91" t="s">
        <v>185</v>
      </c>
      <c r="D91" t="s">
        <v>81</v>
      </c>
      <c r="E91" t="s">
        <v>639</v>
      </c>
      <c r="F91" t="s">
        <v>640</v>
      </c>
      <c r="G91" t="s">
        <v>659</v>
      </c>
      <c r="H91" t="s">
        <v>387</v>
      </c>
      <c r="I91">
        <v>382</v>
      </c>
      <c r="J91">
        <v>32</v>
      </c>
      <c r="K91" t="s">
        <v>391</v>
      </c>
      <c r="L91">
        <v>8209</v>
      </c>
      <c r="M91" t="s">
        <v>365</v>
      </c>
      <c r="N91" t="s">
        <v>423</v>
      </c>
      <c r="O91">
        <v>1</v>
      </c>
      <c r="P91">
        <v>2</v>
      </c>
      <c r="Q91">
        <v>-99</v>
      </c>
      <c r="R91" t="s">
        <v>683</v>
      </c>
    </row>
    <row r="92" spans="1:18" x14ac:dyDescent="0.2">
      <c r="A92">
        <v>91</v>
      </c>
      <c r="B92">
        <v>198</v>
      </c>
      <c r="C92" t="s">
        <v>186</v>
      </c>
      <c r="D92" t="s">
        <v>45</v>
      </c>
      <c r="E92" t="s">
        <v>641</v>
      </c>
      <c r="F92" t="s">
        <v>642</v>
      </c>
      <c r="G92" t="s">
        <v>661</v>
      </c>
      <c r="H92" t="s">
        <v>403</v>
      </c>
      <c r="I92">
        <v>383</v>
      </c>
      <c r="J92">
        <v>34</v>
      </c>
      <c r="K92" t="s">
        <v>405</v>
      </c>
      <c r="L92">
        <v>8224</v>
      </c>
      <c r="M92" t="s">
        <v>362</v>
      </c>
      <c r="N92" t="s">
        <v>429</v>
      </c>
      <c r="O92">
        <v>1</v>
      </c>
      <c r="P92">
        <v>2</v>
      </c>
      <c r="Q92">
        <v>-99</v>
      </c>
      <c r="R92" t="s">
        <v>683</v>
      </c>
    </row>
    <row r="93" spans="1:18" x14ac:dyDescent="0.2">
      <c r="A93">
        <v>92</v>
      </c>
      <c r="B93">
        <v>161</v>
      </c>
      <c r="C93" t="s">
        <v>187</v>
      </c>
      <c r="D93" t="s">
        <v>82</v>
      </c>
      <c r="E93" t="s">
        <v>643</v>
      </c>
      <c r="F93" t="s">
        <v>644</v>
      </c>
      <c r="G93" t="s">
        <v>657</v>
      </c>
      <c r="H93" t="s">
        <v>371</v>
      </c>
      <c r="I93">
        <v>380</v>
      </c>
      <c r="J93">
        <v>30</v>
      </c>
      <c r="K93" t="s">
        <v>370</v>
      </c>
      <c r="L93">
        <v>8225</v>
      </c>
      <c r="M93" t="s">
        <v>325</v>
      </c>
      <c r="N93" t="s">
        <v>424</v>
      </c>
      <c r="O93">
        <v>1</v>
      </c>
      <c r="P93">
        <v>2</v>
      </c>
      <c r="Q93">
        <v>-99</v>
      </c>
      <c r="R93" t="s">
        <v>683</v>
      </c>
    </row>
    <row r="94" spans="1:18" x14ac:dyDescent="0.2">
      <c r="A94">
        <v>93</v>
      </c>
      <c r="B94">
        <v>162</v>
      </c>
      <c r="C94" t="s">
        <v>188</v>
      </c>
      <c r="D94" t="s">
        <v>32</v>
      </c>
      <c r="E94" t="s">
        <v>645</v>
      </c>
      <c r="F94" t="s">
        <v>646</v>
      </c>
      <c r="G94" t="s">
        <v>661</v>
      </c>
      <c r="H94" t="s">
        <v>403</v>
      </c>
      <c r="I94">
        <v>383</v>
      </c>
      <c r="J94">
        <v>34</v>
      </c>
      <c r="K94" t="s">
        <v>405</v>
      </c>
      <c r="L94">
        <v>8227</v>
      </c>
      <c r="M94" t="s">
        <v>478</v>
      </c>
      <c r="N94" t="s">
        <v>425</v>
      </c>
      <c r="O94">
        <v>1</v>
      </c>
      <c r="P94">
        <v>2</v>
      </c>
      <c r="Q94">
        <v>-99</v>
      </c>
      <c r="R94" t="s">
        <v>683</v>
      </c>
    </row>
    <row r="95" spans="1:18" x14ac:dyDescent="0.2">
      <c r="A95">
        <v>94</v>
      </c>
      <c r="B95">
        <v>-99</v>
      </c>
      <c r="C95" t="s">
        <v>675</v>
      </c>
      <c r="D95" t="s">
        <v>8</v>
      </c>
      <c r="E95" t="s">
        <v>676</v>
      </c>
      <c r="F95" t="s">
        <v>224</v>
      </c>
      <c r="G95" t="s">
        <v>655</v>
      </c>
      <c r="H95" t="s">
        <v>8</v>
      </c>
      <c r="I95">
        <v>-99</v>
      </c>
      <c r="J95">
        <v>-99</v>
      </c>
      <c r="K95" t="s">
        <v>8</v>
      </c>
      <c r="L95">
        <v>-99</v>
      </c>
      <c r="M95" t="s">
        <v>655</v>
      </c>
      <c r="N95" t="s">
        <v>655</v>
      </c>
      <c r="O95">
        <v>-99</v>
      </c>
      <c r="P95">
        <v>-99</v>
      </c>
      <c r="Q95">
        <v>-99</v>
      </c>
      <c r="R95" t="s">
        <v>208</v>
      </c>
    </row>
    <row r="96" spans="1:18" x14ac:dyDescent="0.2">
      <c r="A96">
        <v>95</v>
      </c>
      <c r="B96">
        <v>-99</v>
      </c>
      <c r="C96" t="s">
        <v>675</v>
      </c>
      <c r="D96" t="s">
        <v>8</v>
      </c>
      <c r="E96" t="s">
        <v>677</v>
      </c>
      <c r="F96" t="s">
        <v>308</v>
      </c>
      <c r="G96" t="s">
        <v>655</v>
      </c>
      <c r="H96" t="s">
        <v>8</v>
      </c>
      <c r="I96">
        <v>-99</v>
      </c>
      <c r="J96">
        <v>-99</v>
      </c>
      <c r="K96" t="s">
        <v>8</v>
      </c>
      <c r="L96">
        <v>-99</v>
      </c>
      <c r="M96" t="s">
        <v>655</v>
      </c>
      <c r="N96" t="s">
        <v>655</v>
      </c>
      <c r="O96">
        <v>-99</v>
      </c>
      <c r="P96">
        <v>-99</v>
      </c>
      <c r="Q96">
        <v>-99</v>
      </c>
      <c r="R96" t="s">
        <v>680</v>
      </c>
    </row>
    <row r="97" spans="1:18" x14ac:dyDescent="0.2">
      <c r="A97">
        <v>96</v>
      </c>
      <c r="B97">
        <v>-99</v>
      </c>
      <c r="C97" t="s">
        <v>675</v>
      </c>
      <c r="D97" t="s">
        <v>8</v>
      </c>
      <c r="E97" t="s">
        <v>678</v>
      </c>
      <c r="F97" t="s">
        <v>307</v>
      </c>
      <c r="G97" t="s">
        <v>655</v>
      </c>
      <c r="H97" t="s">
        <v>8</v>
      </c>
      <c r="I97">
        <v>-99</v>
      </c>
      <c r="J97">
        <v>-99</v>
      </c>
      <c r="K97" t="s">
        <v>8</v>
      </c>
      <c r="L97">
        <v>-99</v>
      </c>
      <c r="M97" t="s">
        <v>655</v>
      </c>
      <c r="N97" t="s">
        <v>655</v>
      </c>
      <c r="O97">
        <v>-99</v>
      </c>
      <c r="P97">
        <v>-99</v>
      </c>
      <c r="Q97">
        <v>-99</v>
      </c>
      <c r="R97" t="s">
        <v>681</v>
      </c>
    </row>
    <row r="98" spans="1:18" x14ac:dyDescent="0.2">
      <c r="A98">
        <v>97</v>
      </c>
      <c r="B98">
        <v>-99</v>
      </c>
      <c r="C98" t="s">
        <v>667</v>
      </c>
      <c r="D98" t="s">
        <v>1056</v>
      </c>
      <c r="E98" t="s">
        <v>667</v>
      </c>
      <c r="F98" t="s">
        <v>1056</v>
      </c>
      <c r="G98" t="s">
        <v>655</v>
      </c>
      <c r="H98" t="s">
        <v>655</v>
      </c>
      <c r="I98">
        <v>-99</v>
      </c>
      <c r="J98">
        <v>35</v>
      </c>
      <c r="K98" t="s">
        <v>8</v>
      </c>
      <c r="L98">
        <v>-99</v>
      </c>
      <c r="M98" t="s">
        <v>655</v>
      </c>
      <c r="N98" t="s">
        <v>655</v>
      </c>
      <c r="O98">
        <v>-99</v>
      </c>
      <c r="P98">
        <v>-99</v>
      </c>
      <c r="Q98">
        <v>3</v>
      </c>
      <c r="R98" t="s">
        <v>655</v>
      </c>
    </row>
    <row r="99" spans="1:18" x14ac:dyDescent="0.2">
      <c r="A99">
        <v>98</v>
      </c>
      <c r="B99">
        <v>-99</v>
      </c>
      <c r="C99" t="s">
        <v>675</v>
      </c>
      <c r="D99" t="s">
        <v>8</v>
      </c>
      <c r="E99" t="s">
        <v>686</v>
      </c>
      <c r="F99" t="s">
        <v>687</v>
      </c>
      <c r="G99" t="s">
        <v>655</v>
      </c>
      <c r="H99" t="s">
        <v>8</v>
      </c>
      <c r="I99">
        <v>-99</v>
      </c>
      <c r="J99">
        <v>-99</v>
      </c>
      <c r="K99" t="s">
        <v>8</v>
      </c>
      <c r="L99">
        <v>-99</v>
      </c>
      <c r="M99" t="s">
        <v>655</v>
      </c>
      <c r="N99" t="s">
        <v>655</v>
      </c>
      <c r="O99">
        <v>-99</v>
      </c>
      <c r="P99">
        <v>-99</v>
      </c>
      <c r="Q99">
        <v>-99</v>
      </c>
      <c r="R99" t="s">
        <v>683</v>
      </c>
    </row>
    <row r="100" spans="1:18" x14ac:dyDescent="0.2">
      <c r="A100">
        <v>99</v>
      </c>
      <c r="B100">
        <v>250</v>
      </c>
      <c r="C100" t="s">
        <v>655</v>
      </c>
      <c r="D100" t="s">
        <v>32</v>
      </c>
      <c r="E100" t="s">
        <v>722</v>
      </c>
      <c r="F100" t="s">
        <v>688</v>
      </c>
      <c r="G100" t="s">
        <v>655</v>
      </c>
      <c r="H100" t="s">
        <v>403</v>
      </c>
      <c r="I100">
        <v>-99</v>
      </c>
      <c r="J100">
        <v>-99</v>
      </c>
      <c r="K100" t="s">
        <v>405</v>
      </c>
      <c r="L100">
        <v>-99</v>
      </c>
      <c r="M100" t="s">
        <v>655</v>
      </c>
      <c r="N100" t="s">
        <v>655</v>
      </c>
      <c r="O100">
        <v>-99</v>
      </c>
      <c r="P100">
        <v>-99</v>
      </c>
      <c r="Q100">
        <v>-99</v>
      </c>
      <c r="R100" t="s">
        <v>689</v>
      </c>
    </row>
    <row r="101" spans="1:18" x14ac:dyDescent="0.2">
      <c r="A101">
        <v>100</v>
      </c>
      <c r="B101">
        <v>256</v>
      </c>
      <c r="C101" t="s">
        <v>655</v>
      </c>
      <c r="D101" t="s">
        <v>212</v>
      </c>
      <c r="E101" t="s">
        <v>723</v>
      </c>
      <c r="F101" t="s">
        <v>690</v>
      </c>
      <c r="G101" t="s">
        <v>655</v>
      </c>
      <c r="H101" t="s">
        <v>387</v>
      </c>
      <c r="I101">
        <v>-99</v>
      </c>
      <c r="J101">
        <v>-99</v>
      </c>
      <c r="K101" t="s">
        <v>391</v>
      </c>
      <c r="L101">
        <v>-99</v>
      </c>
      <c r="M101" t="s">
        <v>655</v>
      </c>
      <c r="N101" t="s">
        <v>655</v>
      </c>
      <c r="O101">
        <v>-99</v>
      </c>
      <c r="P101">
        <v>-99</v>
      </c>
      <c r="Q101">
        <v>-99</v>
      </c>
      <c r="R101" t="s">
        <v>689</v>
      </c>
    </row>
    <row r="102" spans="1:18" x14ac:dyDescent="0.2">
      <c r="A102">
        <v>101</v>
      </c>
      <c r="B102">
        <v>257</v>
      </c>
      <c r="C102" t="s">
        <v>655</v>
      </c>
      <c r="D102" t="s">
        <v>209</v>
      </c>
      <c r="E102" t="s">
        <v>724</v>
      </c>
      <c r="F102" t="s">
        <v>691</v>
      </c>
      <c r="G102" t="s">
        <v>655</v>
      </c>
      <c r="H102" t="s">
        <v>387</v>
      </c>
      <c r="I102">
        <v>-99</v>
      </c>
      <c r="J102">
        <v>-99</v>
      </c>
      <c r="K102" t="s">
        <v>391</v>
      </c>
      <c r="L102">
        <v>-99</v>
      </c>
      <c r="M102" t="s">
        <v>655</v>
      </c>
      <c r="N102" t="s">
        <v>655</v>
      </c>
      <c r="O102">
        <v>-99</v>
      </c>
      <c r="P102">
        <v>-99</v>
      </c>
      <c r="Q102">
        <v>-99</v>
      </c>
      <c r="R102" t="s">
        <v>689</v>
      </c>
    </row>
    <row r="103" spans="1:18" x14ac:dyDescent="0.2">
      <c r="A103">
        <v>102</v>
      </c>
      <c r="B103">
        <v>258</v>
      </c>
      <c r="C103" t="s">
        <v>655</v>
      </c>
      <c r="D103" t="s">
        <v>210</v>
      </c>
      <c r="E103" t="s">
        <v>725</v>
      </c>
      <c r="F103" t="s">
        <v>692</v>
      </c>
      <c r="G103" t="s">
        <v>655</v>
      </c>
      <c r="H103" t="s">
        <v>371</v>
      </c>
      <c r="I103">
        <v>-99</v>
      </c>
      <c r="J103">
        <v>-99</v>
      </c>
      <c r="K103" t="s">
        <v>370</v>
      </c>
      <c r="L103">
        <v>-99</v>
      </c>
      <c r="M103" t="s">
        <v>655</v>
      </c>
      <c r="N103" t="s">
        <v>655</v>
      </c>
      <c r="O103">
        <v>-99</v>
      </c>
      <c r="P103">
        <v>-99</v>
      </c>
      <c r="Q103">
        <v>-99</v>
      </c>
      <c r="R103" t="s">
        <v>689</v>
      </c>
    </row>
    <row r="104" spans="1:18" x14ac:dyDescent="0.2">
      <c r="A104">
        <v>103</v>
      </c>
      <c r="B104">
        <v>259</v>
      </c>
      <c r="C104" t="s">
        <v>655</v>
      </c>
      <c r="D104" t="s">
        <v>135</v>
      </c>
      <c r="E104" t="s">
        <v>726</v>
      </c>
      <c r="F104" t="s">
        <v>693</v>
      </c>
      <c r="G104" t="s">
        <v>655</v>
      </c>
      <c r="H104" t="s">
        <v>371</v>
      </c>
      <c r="I104">
        <v>-99</v>
      </c>
      <c r="J104">
        <v>-99</v>
      </c>
      <c r="K104" t="s">
        <v>370</v>
      </c>
      <c r="L104">
        <v>-99</v>
      </c>
      <c r="M104" t="s">
        <v>655</v>
      </c>
      <c r="N104" t="s">
        <v>655</v>
      </c>
      <c r="O104">
        <v>-99</v>
      </c>
      <c r="P104">
        <v>-99</v>
      </c>
      <c r="Q104">
        <v>-99</v>
      </c>
      <c r="R104" t="s">
        <v>689</v>
      </c>
    </row>
    <row r="105" spans="1:18" x14ac:dyDescent="0.2">
      <c r="A105">
        <v>104</v>
      </c>
      <c r="B105">
        <v>260</v>
      </c>
      <c r="C105" t="s">
        <v>655</v>
      </c>
      <c r="D105" t="s">
        <v>46</v>
      </c>
      <c r="E105" t="s">
        <v>727</v>
      </c>
      <c r="F105" t="s">
        <v>694</v>
      </c>
      <c r="G105" t="s">
        <v>655</v>
      </c>
      <c r="H105" t="s">
        <v>387</v>
      </c>
      <c r="I105">
        <v>-99</v>
      </c>
      <c r="J105">
        <v>-99</v>
      </c>
      <c r="K105" t="s">
        <v>386</v>
      </c>
      <c r="L105">
        <v>-99</v>
      </c>
      <c r="M105" t="s">
        <v>655</v>
      </c>
      <c r="N105" t="s">
        <v>655</v>
      </c>
      <c r="O105">
        <v>-99</v>
      </c>
      <c r="P105">
        <v>-99</v>
      </c>
      <c r="Q105">
        <v>-99</v>
      </c>
      <c r="R105" t="s">
        <v>689</v>
      </c>
    </row>
    <row r="106" spans="1:18" x14ac:dyDescent="0.2">
      <c r="A106">
        <v>105</v>
      </c>
      <c r="B106">
        <v>261</v>
      </c>
      <c r="C106" t="s">
        <v>655</v>
      </c>
      <c r="D106" t="s">
        <v>65</v>
      </c>
      <c r="E106" t="s">
        <v>728</v>
      </c>
      <c r="F106" t="s">
        <v>695</v>
      </c>
      <c r="G106" t="s">
        <v>655</v>
      </c>
      <c r="H106" t="s">
        <v>371</v>
      </c>
      <c r="I106">
        <v>-99</v>
      </c>
      <c r="J106">
        <v>-99</v>
      </c>
      <c r="K106" t="s">
        <v>370</v>
      </c>
      <c r="L106">
        <v>-99</v>
      </c>
      <c r="M106" t="s">
        <v>655</v>
      </c>
      <c r="N106" t="s">
        <v>655</v>
      </c>
      <c r="O106">
        <v>-99</v>
      </c>
      <c r="P106">
        <v>-99</v>
      </c>
      <c r="Q106">
        <v>-99</v>
      </c>
      <c r="R106" t="s">
        <v>689</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464</v>
      </c>
      <c r="B1" t="s">
        <v>458</v>
      </c>
      <c r="C1" t="s">
        <v>465</v>
      </c>
      <c r="D1" t="s">
        <v>466</v>
      </c>
      <c r="E1" t="s">
        <v>493</v>
      </c>
    </row>
    <row r="2" spans="1:5" x14ac:dyDescent="0.2">
      <c r="A2" t="s">
        <v>326</v>
      </c>
      <c r="B2" t="s">
        <v>372</v>
      </c>
      <c r="C2" t="s">
        <v>372</v>
      </c>
      <c r="D2" t="s">
        <v>467</v>
      </c>
      <c r="E2" t="s">
        <v>370</v>
      </c>
    </row>
    <row r="3" spans="1:5" x14ac:dyDescent="0.2">
      <c r="A3" t="s">
        <v>358</v>
      </c>
      <c r="B3" t="s">
        <v>375</v>
      </c>
      <c r="C3" t="s">
        <v>375</v>
      </c>
      <c r="D3" t="s">
        <v>467</v>
      </c>
      <c r="E3" t="s">
        <v>370</v>
      </c>
    </row>
    <row r="4" spans="1:5" x14ac:dyDescent="0.2">
      <c r="A4" t="s">
        <v>353</v>
      </c>
      <c r="B4" t="s">
        <v>417</v>
      </c>
      <c r="C4" t="s">
        <v>417</v>
      </c>
      <c r="D4" t="s">
        <v>467</v>
      </c>
      <c r="E4" t="s">
        <v>370</v>
      </c>
    </row>
    <row r="5" spans="1:5" x14ac:dyDescent="0.2">
      <c r="A5" t="s">
        <v>332</v>
      </c>
      <c r="B5" t="s">
        <v>428</v>
      </c>
      <c r="C5" t="s">
        <v>428</v>
      </c>
      <c r="D5" t="s">
        <v>468</v>
      </c>
      <c r="E5" t="s">
        <v>381</v>
      </c>
    </row>
    <row r="6" spans="1:5" x14ac:dyDescent="0.2">
      <c r="A6" t="s">
        <v>356</v>
      </c>
      <c r="B6" t="s">
        <v>390</v>
      </c>
      <c r="C6" t="s">
        <v>390</v>
      </c>
      <c r="D6" t="s">
        <v>468</v>
      </c>
      <c r="E6" t="s">
        <v>386</v>
      </c>
    </row>
    <row r="7" spans="1:5" x14ac:dyDescent="0.2">
      <c r="A7" t="s">
        <v>359</v>
      </c>
      <c r="B7" t="s">
        <v>419</v>
      </c>
      <c r="C7" t="s">
        <v>419</v>
      </c>
      <c r="D7" t="s">
        <v>470</v>
      </c>
      <c r="E7" t="s">
        <v>386</v>
      </c>
    </row>
    <row r="8" spans="1:5" x14ac:dyDescent="0.2">
      <c r="A8" t="s">
        <v>334</v>
      </c>
      <c r="B8" t="s">
        <v>402</v>
      </c>
      <c r="C8" t="s">
        <v>402</v>
      </c>
      <c r="D8" t="s">
        <v>471</v>
      </c>
      <c r="E8" t="s">
        <v>391</v>
      </c>
    </row>
    <row r="9" spans="1:5" x14ac:dyDescent="0.2">
      <c r="A9" t="s">
        <v>351</v>
      </c>
      <c r="B9" t="s">
        <v>404</v>
      </c>
      <c r="C9" t="s">
        <v>404</v>
      </c>
      <c r="D9" t="s">
        <v>470</v>
      </c>
      <c r="E9" t="s">
        <v>386</v>
      </c>
    </row>
    <row r="10" spans="1:5" x14ac:dyDescent="0.2">
      <c r="A10" t="s">
        <v>479</v>
      </c>
      <c r="B10" t="s">
        <v>480</v>
      </c>
      <c r="C10" t="s">
        <v>309</v>
      </c>
      <c r="D10" t="s">
        <v>455</v>
      </c>
      <c r="E10" t="s">
        <v>8</v>
      </c>
    </row>
    <row r="11" spans="1:5" x14ac:dyDescent="0.2">
      <c r="A11" t="s">
        <v>360</v>
      </c>
      <c r="B11" t="s">
        <v>416</v>
      </c>
      <c r="C11" t="s">
        <v>416</v>
      </c>
      <c r="D11" t="s">
        <v>467</v>
      </c>
      <c r="E11" t="s">
        <v>370</v>
      </c>
    </row>
    <row r="12" spans="1:5" x14ac:dyDescent="0.2">
      <c r="A12" t="s">
        <v>338</v>
      </c>
      <c r="B12" t="s">
        <v>380</v>
      </c>
      <c r="C12" t="s">
        <v>380</v>
      </c>
      <c r="D12" t="s">
        <v>468</v>
      </c>
      <c r="E12" t="s">
        <v>370</v>
      </c>
    </row>
    <row r="13" spans="1:5" x14ac:dyDescent="0.2">
      <c r="A13" t="s">
        <v>343</v>
      </c>
      <c r="B13" t="s">
        <v>377</v>
      </c>
      <c r="C13" t="s">
        <v>377</v>
      </c>
      <c r="D13" t="s">
        <v>467</v>
      </c>
      <c r="E13" t="s">
        <v>370</v>
      </c>
    </row>
    <row r="14" spans="1:5" x14ac:dyDescent="0.2">
      <c r="A14" t="s">
        <v>341</v>
      </c>
      <c r="B14" t="s">
        <v>384</v>
      </c>
      <c r="C14" t="s">
        <v>384</v>
      </c>
      <c r="D14" t="s">
        <v>468</v>
      </c>
      <c r="E14" t="s">
        <v>381</v>
      </c>
    </row>
    <row r="15" spans="1:5" x14ac:dyDescent="0.2">
      <c r="A15" t="s">
        <v>331</v>
      </c>
      <c r="B15" t="s">
        <v>393</v>
      </c>
      <c r="C15" t="s">
        <v>393</v>
      </c>
      <c r="D15" t="s">
        <v>467</v>
      </c>
      <c r="E15" t="s">
        <v>391</v>
      </c>
    </row>
    <row r="16" spans="1:5" x14ac:dyDescent="0.2">
      <c r="A16" t="s">
        <v>345</v>
      </c>
      <c r="B16" t="s">
        <v>407</v>
      </c>
      <c r="C16" t="s">
        <v>407</v>
      </c>
      <c r="D16" t="s">
        <v>470</v>
      </c>
      <c r="E16" t="s">
        <v>386</v>
      </c>
    </row>
    <row r="17" spans="1:5" x14ac:dyDescent="0.2">
      <c r="A17" t="s">
        <v>481</v>
      </c>
      <c r="B17" t="s">
        <v>482</v>
      </c>
      <c r="C17" t="s">
        <v>309</v>
      </c>
      <c r="D17" t="s">
        <v>455</v>
      </c>
      <c r="E17" t="s">
        <v>8</v>
      </c>
    </row>
    <row r="18" spans="1:5" x14ac:dyDescent="0.2">
      <c r="A18" t="s">
        <v>357</v>
      </c>
      <c r="B18" t="s">
        <v>392</v>
      </c>
      <c r="C18" t="s">
        <v>392</v>
      </c>
      <c r="D18" t="s">
        <v>467</v>
      </c>
      <c r="E18" t="s">
        <v>391</v>
      </c>
    </row>
    <row r="19" spans="1:5" x14ac:dyDescent="0.2">
      <c r="A19" t="s">
        <v>350</v>
      </c>
      <c r="B19" t="s">
        <v>395</v>
      </c>
      <c r="C19" t="s">
        <v>395</v>
      </c>
      <c r="D19" t="s">
        <v>471</v>
      </c>
      <c r="E19" t="s">
        <v>391</v>
      </c>
    </row>
    <row r="20" spans="1:5" x14ac:dyDescent="0.2">
      <c r="A20" t="s">
        <v>340</v>
      </c>
      <c r="B20" t="s">
        <v>398</v>
      </c>
      <c r="C20" t="s">
        <v>398</v>
      </c>
      <c r="D20" t="s">
        <v>471</v>
      </c>
      <c r="E20" t="s">
        <v>391</v>
      </c>
    </row>
    <row r="21" spans="1:5" x14ac:dyDescent="0.2">
      <c r="A21" t="s">
        <v>365</v>
      </c>
      <c r="B21" t="s">
        <v>423</v>
      </c>
      <c r="C21" t="s">
        <v>423</v>
      </c>
      <c r="D21" t="s">
        <v>471</v>
      </c>
      <c r="E21" t="s">
        <v>391</v>
      </c>
    </row>
    <row r="22" spans="1:5" x14ac:dyDescent="0.2">
      <c r="A22" t="s">
        <v>336</v>
      </c>
      <c r="B22" t="s">
        <v>60</v>
      </c>
      <c r="C22" t="s">
        <v>60</v>
      </c>
      <c r="D22" t="s">
        <v>467</v>
      </c>
      <c r="E22" t="s">
        <v>370</v>
      </c>
    </row>
    <row r="23" spans="1:5" x14ac:dyDescent="0.2">
      <c r="A23" t="s">
        <v>349</v>
      </c>
      <c r="B23" t="s">
        <v>383</v>
      </c>
      <c r="C23" t="s">
        <v>383</v>
      </c>
      <c r="D23" t="s">
        <v>309</v>
      </c>
      <c r="E23" t="s">
        <v>370</v>
      </c>
    </row>
    <row r="24" spans="1:5" x14ac:dyDescent="0.2">
      <c r="A24" t="s">
        <v>344</v>
      </c>
      <c r="B24" t="s">
        <v>385</v>
      </c>
      <c r="C24" t="s">
        <v>385</v>
      </c>
      <c r="D24" t="s">
        <v>468</v>
      </c>
      <c r="E24" t="s">
        <v>381</v>
      </c>
    </row>
    <row r="25" spans="1:5" x14ac:dyDescent="0.2">
      <c r="A25" t="s">
        <v>342</v>
      </c>
      <c r="B25" t="s">
        <v>421</v>
      </c>
      <c r="C25" t="s">
        <v>421</v>
      </c>
      <c r="D25" t="s">
        <v>471</v>
      </c>
      <c r="E25" t="s">
        <v>391</v>
      </c>
    </row>
    <row r="26" spans="1:5" x14ac:dyDescent="0.2">
      <c r="A26" t="s">
        <v>319</v>
      </c>
      <c r="B26" t="s">
        <v>406</v>
      </c>
      <c r="C26" t="s">
        <v>406</v>
      </c>
      <c r="D26" t="s">
        <v>470</v>
      </c>
      <c r="E26" t="s">
        <v>405</v>
      </c>
    </row>
    <row r="27" spans="1:5" x14ac:dyDescent="0.2">
      <c r="A27" t="s">
        <v>320</v>
      </c>
      <c r="B27" t="s">
        <v>422</v>
      </c>
      <c r="C27" t="s">
        <v>422</v>
      </c>
      <c r="D27" t="s">
        <v>470</v>
      </c>
      <c r="E27" t="s">
        <v>386</v>
      </c>
    </row>
    <row r="28" spans="1:5" x14ac:dyDescent="0.2">
      <c r="A28" t="s">
        <v>354</v>
      </c>
      <c r="B28" t="s">
        <v>374</v>
      </c>
      <c r="C28" t="s">
        <v>374</v>
      </c>
      <c r="D28" t="s">
        <v>467</v>
      </c>
      <c r="E28" t="s">
        <v>370</v>
      </c>
    </row>
    <row r="29" spans="1:5" x14ac:dyDescent="0.2">
      <c r="A29" t="s">
        <v>469</v>
      </c>
      <c r="B29" t="s">
        <v>455</v>
      </c>
      <c r="C29" t="s">
        <v>309</v>
      </c>
      <c r="D29" t="s">
        <v>455</v>
      </c>
      <c r="E29" t="s">
        <v>8</v>
      </c>
    </row>
    <row r="30" spans="1:5" x14ac:dyDescent="0.2">
      <c r="A30" t="s">
        <v>366</v>
      </c>
      <c r="B30" t="s">
        <v>418</v>
      </c>
      <c r="C30" t="s">
        <v>418</v>
      </c>
      <c r="D30" t="s">
        <v>467</v>
      </c>
      <c r="E30" t="s">
        <v>370</v>
      </c>
    </row>
    <row r="31" spans="1:5" x14ac:dyDescent="0.2">
      <c r="A31" t="s">
        <v>347</v>
      </c>
      <c r="B31" t="s">
        <v>415</v>
      </c>
      <c r="C31" t="s">
        <v>415</v>
      </c>
      <c r="D31" t="s">
        <v>309</v>
      </c>
      <c r="E31" t="s">
        <v>370</v>
      </c>
    </row>
    <row r="32" spans="1:5" x14ac:dyDescent="0.2">
      <c r="A32" t="s">
        <v>327</v>
      </c>
      <c r="B32" t="s">
        <v>396</v>
      </c>
      <c r="C32" t="s">
        <v>396</v>
      </c>
      <c r="D32" t="s">
        <v>467</v>
      </c>
      <c r="E32" t="s">
        <v>391</v>
      </c>
    </row>
    <row r="33" spans="1:5" x14ac:dyDescent="0.2">
      <c r="A33" t="s">
        <v>324</v>
      </c>
      <c r="B33" t="s">
        <v>420</v>
      </c>
      <c r="C33" t="s">
        <v>420</v>
      </c>
      <c r="D33" t="s">
        <v>471</v>
      </c>
      <c r="E33" t="s">
        <v>391</v>
      </c>
    </row>
    <row r="34" spans="1:5" x14ac:dyDescent="0.2">
      <c r="A34" t="s">
        <v>346</v>
      </c>
      <c r="B34" t="s">
        <v>427</v>
      </c>
      <c r="C34" t="s">
        <v>427</v>
      </c>
      <c r="D34" t="s">
        <v>470</v>
      </c>
      <c r="E34" t="s">
        <v>405</v>
      </c>
    </row>
    <row r="35" spans="1:5" x14ac:dyDescent="0.2">
      <c r="A35" t="s">
        <v>335</v>
      </c>
      <c r="B35" t="s">
        <v>409</v>
      </c>
      <c r="C35" t="s">
        <v>409</v>
      </c>
      <c r="D35" t="s">
        <v>470</v>
      </c>
      <c r="E35" t="s">
        <v>405</v>
      </c>
    </row>
    <row r="36" spans="1:5" x14ac:dyDescent="0.2">
      <c r="A36" t="s">
        <v>362</v>
      </c>
      <c r="B36" t="s">
        <v>429</v>
      </c>
      <c r="C36" t="s">
        <v>429</v>
      </c>
      <c r="D36" t="s">
        <v>470</v>
      </c>
      <c r="E36" t="s">
        <v>405</v>
      </c>
    </row>
    <row r="37" spans="1:5" x14ac:dyDescent="0.2">
      <c r="A37" t="s">
        <v>478</v>
      </c>
      <c r="B37" t="s">
        <v>425</v>
      </c>
      <c r="C37" t="s">
        <v>425</v>
      </c>
      <c r="D37" t="s">
        <v>470</v>
      </c>
      <c r="E37" t="s">
        <v>405</v>
      </c>
    </row>
    <row r="38" spans="1:5" x14ac:dyDescent="0.2">
      <c r="A38" t="s">
        <v>476</v>
      </c>
      <c r="B38" t="s">
        <v>477</v>
      </c>
      <c r="C38" t="s">
        <v>309</v>
      </c>
      <c r="D38" t="s">
        <v>455</v>
      </c>
      <c r="E38" t="s">
        <v>8</v>
      </c>
    </row>
    <row r="39" spans="1:5" x14ac:dyDescent="0.2">
      <c r="A39" t="s">
        <v>352</v>
      </c>
      <c r="B39" t="s">
        <v>410</v>
      </c>
      <c r="C39" t="s">
        <v>410</v>
      </c>
      <c r="D39" t="s">
        <v>470</v>
      </c>
      <c r="E39" t="s">
        <v>405</v>
      </c>
    </row>
    <row r="40" spans="1:5" x14ac:dyDescent="0.2">
      <c r="A40" t="s">
        <v>485</v>
      </c>
      <c r="B40" t="s">
        <v>486</v>
      </c>
      <c r="C40" t="s">
        <v>309</v>
      </c>
      <c r="D40" t="s">
        <v>455</v>
      </c>
      <c r="E40" t="s">
        <v>8</v>
      </c>
    </row>
    <row r="41" spans="1:5" x14ac:dyDescent="0.2">
      <c r="A41" t="s">
        <v>472</v>
      </c>
      <c r="B41" t="s">
        <v>473</v>
      </c>
      <c r="C41" t="s">
        <v>309</v>
      </c>
      <c r="D41" t="s">
        <v>455</v>
      </c>
      <c r="E41" t="s">
        <v>8</v>
      </c>
    </row>
    <row r="42" spans="1:5" x14ac:dyDescent="0.2">
      <c r="A42" t="s">
        <v>361</v>
      </c>
      <c r="B42" t="s">
        <v>373</v>
      </c>
      <c r="C42" t="s">
        <v>373</v>
      </c>
      <c r="D42" t="s">
        <v>467</v>
      </c>
      <c r="E42" t="s">
        <v>370</v>
      </c>
    </row>
    <row r="43" spans="1:5" x14ac:dyDescent="0.2">
      <c r="A43" t="s">
        <v>322</v>
      </c>
      <c r="B43" t="s">
        <v>379</v>
      </c>
      <c r="C43" t="s">
        <v>379</v>
      </c>
      <c r="D43" t="s">
        <v>468</v>
      </c>
      <c r="E43" t="s">
        <v>370</v>
      </c>
    </row>
    <row r="44" spans="1:5" x14ac:dyDescent="0.2">
      <c r="A44" t="s">
        <v>325</v>
      </c>
      <c r="B44" t="s">
        <v>424</v>
      </c>
      <c r="C44" t="s">
        <v>424</v>
      </c>
      <c r="D44" t="s">
        <v>467</v>
      </c>
      <c r="E44" t="s">
        <v>370</v>
      </c>
    </row>
    <row r="45" spans="1:5" x14ac:dyDescent="0.2">
      <c r="A45" t="s">
        <v>355</v>
      </c>
      <c r="B45" t="s">
        <v>389</v>
      </c>
      <c r="C45" t="s">
        <v>389</v>
      </c>
      <c r="D45" t="s">
        <v>468</v>
      </c>
      <c r="E45" t="s">
        <v>381</v>
      </c>
    </row>
    <row r="46" spans="1:5" x14ac:dyDescent="0.2">
      <c r="A46" t="s">
        <v>337</v>
      </c>
      <c r="B46" t="s">
        <v>394</v>
      </c>
      <c r="C46" t="s">
        <v>394</v>
      </c>
      <c r="D46" t="s">
        <v>468</v>
      </c>
      <c r="E46" t="s">
        <v>381</v>
      </c>
    </row>
    <row r="47" spans="1:5" x14ac:dyDescent="0.2">
      <c r="A47" t="s">
        <v>364</v>
      </c>
      <c r="B47" t="s">
        <v>400</v>
      </c>
      <c r="C47" t="s">
        <v>400</v>
      </c>
      <c r="D47" t="s">
        <v>471</v>
      </c>
      <c r="E47" t="s">
        <v>391</v>
      </c>
    </row>
    <row r="48" spans="1:5" x14ac:dyDescent="0.2">
      <c r="A48" t="s">
        <v>339</v>
      </c>
      <c r="B48" t="s">
        <v>413</v>
      </c>
      <c r="C48" t="s">
        <v>413</v>
      </c>
      <c r="D48" t="s">
        <v>471</v>
      </c>
      <c r="E48" t="s">
        <v>386</v>
      </c>
    </row>
    <row r="49" spans="1:5" x14ac:dyDescent="0.2">
      <c r="A49" t="s">
        <v>328</v>
      </c>
      <c r="B49" t="s">
        <v>411</v>
      </c>
      <c r="C49" t="s">
        <v>411</v>
      </c>
      <c r="D49" t="s">
        <v>471</v>
      </c>
      <c r="E49" t="s">
        <v>386</v>
      </c>
    </row>
    <row r="50" spans="1:5" x14ac:dyDescent="0.2">
      <c r="A50" t="s">
        <v>333</v>
      </c>
      <c r="B50" t="s">
        <v>408</v>
      </c>
      <c r="C50" t="s">
        <v>408</v>
      </c>
      <c r="D50" t="s">
        <v>470</v>
      </c>
      <c r="E50" t="s">
        <v>405</v>
      </c>
    </row>
    <row r="51" spans="1:5" x14ac:dyDescent="0.2">
      <c r="A51" t="s">
        <v>321</v>
      </c>
      <c r="B51" t="s">
        <v>388</v>
      </c>
      <c r="C51" t="s">
        <v>388</v>
      </c>
      <c r="D51" t="s">
        <v>471</v>
      </c>
      <c r="E51" t="s">
        <v>386</v>
      </c>
    </row>
    <row r="52" spans="1:5" x14ac:dyDescent="0.2">
      <c r="A52" t="s">
        <v>474</v>
      </c>
      <c r="B52" t="s">
        <v>475</v>
      </c>
      <c r="C52" t="s">
        <v>309</v>
      </c>
      <c r="D52" t="s">
        <v>455</v>
      </c>
      <c r="E52" t="s">
        <v>8</v>
      </c>
    </row>
    <row r="53" spans="1:5" x14ac:dyDescent="0.2">
      <c r="A53" t="s">
        <v>483</v>
      </c>
      <c r="B53" t="s">
        <v>484</v>
      </c>
      <c r="C53" t="s">
        <v>309</v>
      </c>
      <c r="D53" t="s">
        <v>455</v>
      </c>
      <c r="E53" t="s">
        <v>8</v>
      </c>
    </row>
    <row r="54" spans="1:5" x14ac:dyDescent="0.2">
      <c r="A54" t="s">
        <v>348</v>
      </c>
      <c r="B54" t="s">
        <v>376</v>
      </c>
      <c r="C54" t="s">
        <v>376</v>
      </c>
      <c r="D54" t="s">
        <v>467</v>
      </c>
      <c r="E54" t="s">
        <v>370</v>
      </c>
    </row>
    <row r="55" spans="1:5" x14ac:dyDescent="0.2">
      <c r="A55" t="s">
        <v>363</v>
      </c>
      <c r="B55" t="s">
        <v>382</v>
      </c>
      <c r="C55" t="s">
        <v>382</v>
      </c>
      <c r="D55" t="s">
        <v>468</v>
      </c>
      <c r="E55" t="s">
        <v>381</v>
      </c>
    </row>
    <row r="56" spans="1:5" x14ac:dyDescent="0.2">
      <c r="A56" t="s">
        <v>318</v>
      </c>
      <c r="B56" t="s">
        <v>426</v>
      </c>
      <c r="C56" t="s">
        <v>426</v>
      </c>
      <c r="D56" t="s">
        <v>468</v>
      </c>
      <c r="E56" t="s">
        <v>381</v>
      </c>
    </row>
    <row r="57" spans="1:5" x14ac:dyDescent="0.2">
      <c r="A57" t="s">
        <v>317</v>
      </c>
      <c r="B57" t="s">
        <v>397</v>
      </c>
      <c r="C57" t="s">
        <v>397</v>
      </c>
      <c r="D57" t="s">
        <v>471</v>
      </c>
      <c r="E57" t="s">
        <v>391</v>
      </c>
    </row>
    <row r="58" spans="1:5" x14ac:dyDescent="0.2">
      <c r="A58" t="s">
        <v>323</v>
      </c>
      <c r="B58" t="s">
        <v>401</v>
      </c>
      <c r="C58" t="s">
        <v>401</v>
      </c>
      <c r="D58" t="s">
        <v>471</v>
      </c>
      <c r="E58" t="s">
        <v>391</v>
      </c>
    </row>
    <row r="59" spans="1:5" x14ac:dyDescent="0.2">
      <c r="A59" t="s">
        <v>329</v>
      </c>
      <c r="B59" t="s">
        <v>414</v>
      </c>
      <c r="C59" t="s">
        <v>414</v>
      </c>
      <c r="D59" t="s">
        <v>470</v>
      </c>
      <c r="E59" t="s">
        <v>405</v>
      </c>
    </row>
    <row r="60" spans="1:5" x14ac:dyDescent="0.2">
      <c r="A60" t="s">
        <v>316</v>
      </c>
      <c r="B60" t="s">
        <v>412</v>
      </c>
      <c r="C60" t="s">
        <v>412</v>
      </c>
      <c r="D60" t="s">
        <v>471</v>
      </c>
      <c r="E60" t="s">
        <v>386</v>
      </c>
    </row>
    <row r="61" spans="1:5" x14ac:dyDescent="0.2">
      <c r="A61" t="s">
        <v>330</v>
      </c>
      <c r="B61" t="s">
        <v>80</v>
      </c>
      <c r="C61" t="s">
        <v>80</v>
      </c>
      <c r="D61" t="s">
        <v>470</v>
      </c>
      <c r="E61" t="s">
        <v>405</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1035</v>
      </c>
      <c r="C2" t="s">
        <v>438</v>
      </c>
      <c r="D2" t="s">
        <v>439</v>
      </c>
      <c r="E2" t="s">
        <v>440</v>
      </c>
      <c r="F2" t="s">
        <v>441</v>
      </c>
      <c r="G2" t="s">
        <v>442</v>
      </c>
      <c r="H2" t="s">
        <v>443</v>
      </c>
      <c r="I2" t="s">
        <v>444</v>
      </c>
      <c r="J2" t="s">
        <v>445</v>
      </c>
      <c r="K2" t="s">
        <v>446</v>
      </c>
      <c r="L2" t="s">
        <v>447</v>
      </c>
      <c r="M2" t="s">
        <v>448</v>
      </c>
      <c r="N2" t="s">
        <v>449</v>
      </c>
      <c r="O2" t="s">
        <v>450</v>
      </c>
      <c r="P2" t="s">
        <v>451</v>
      </c>
      <c r="Q2" t="s">
        <v>453</v>
      </c>
    </row>
    <row r="3" spans="2:33" x14ac:dyDescent="0.2">
      <c r="B3" t="s">
        <v>386</v>
      </c>
      <c r="C3" t="s">
        <v>412</v>
      </c>
      <c r="D3" t="s">
        <v>404</v>
      </c>
      <c r="E3" t="s">
        <v>388</v>
      </c>
      <c r="F3" t="s">
        <v>390</v>
      </c>
      <c r="G3" t="s">
        <v>419</v>
      </c>
      <c r="H3" t="s">
        <v>413</v>
      </c>
      <c r="I3" t="s">
        <v>411</v>
      </c>
      <c r="J3" t="s">
        <v>407</v>
      </c>
      <c r="K3" t="s">
        <v>422</v>
      </c>
      <c r="L3" t="s">
        <v>452</v>
      </c>
      <c r="M3" t="s">
        <v>452</v>
      </c>
      <c r="N3" t="s">
        <v>452</v>
      </c>
      <c r="O3" t="s">
        <v>452</v>
      </c>
      <c r="P3" t="s">
        <v>452</v>
      </c>
      <c r="Q3" t="s">
        <v>452</v>
      </c>
      <c r="S3" s="14" t="s">
        <v>412</v>
      </c>
      <c r="T3" s="14" t="s">
        <v>404</v>
      </c>
      <c r="U3" s="14" t="s">
        <v>388</v>
      </c>
      <c r="V3" s="14" t="s">
        <v>390</v>
      </c>
      <c r="W3" s="14" t="s">
        <v>419</v>
      </c>
      <c r="X3" s="14" t="s">
        <v>413</v>
      </c>
      <c r="Y3" s="14" t="s">
        <v>411</v>
      </c>
      <c r="Z3" s="14" t="s">
        <v>407</v>
      </c>
      <c r="AA3" s="14" t="s">
        <v>422</v>
      </c>
      <c r="AB3" s="14"/>
      <c r="AC3" s="14"/>
      <c r="AD3" s="14"/>
      <c r="AE3" s="14"/>
      <c r="AF3" s="15"/>
      <c r="AG3" s="15"/>
    </row>
    <row r="4" spans="2:33" x14ac:dyDescent="0.2">
      <c r="B4" t="s">
        <v>391</v>
      </c>
      <c r="C4" t="s">
        <v>395</v>
      </c>
      <c r="D4" t="s">
        <v>393</v>
      </c>
      <c r="E4" t="s">
        <v>400</v>
      </c>
      <c r="F4" t="s">
        <v>423</v>
      </c>
      <c r="G4" t="s">
        <v>396</v>
      </c>
      <c r="H4" t="s">
        <v>402</v>
      </c>
      <c r="I4" t="s">
        <v>398</v>
      </c>
      <c r="J4" t="s">
        <v>401</v>
      </c>
      <c r="K4" t="s">
        <v>420</v>
      </c>
      <c r="L4" t="s">
        <v>392</v>
      </c>
      <c r="M4" t="s">
        <v>421</v>
      </c>
      <c r="N4" t="s">
        <v>397</v>
      </c>
      <c r="O4" t="s">
        <v>452</v>
      </c>
      <c r="P4" t="s">
        <v>452</v>
      </c>
      <c r="Q4" t="s">
        <v>452</v>
      </c>
      <c r="S4" s="14" t="s">
        <v>395</v>
      </c>
      <c r="T4" s="14" t="s">
        <v>393</v>
      </c>
      <c r="U4" s="14" t="s">
        <v>400</v>
      </c>
      <c r="V4" s="14" t="s">
        <v>423</v>
      </c>
      <c r="W4" s="14" t="s">
        <v>396</v>
      </c>
      <c r="X4" s="14" t="s">
        <v>402</v>
      </c>
      <c r="Y4" s="14" t="s">
        <v>398</v>
      </c>
      <c r="Z4" s="14" t="s">
        <v>401</v>
      </c>
      <c r="AA4" s="14" t="s">
        <v>420</v>
      </c>
      <c r="AB4" s="14" t="s">
        <v>392</v>
      </c>
      <c r="AC4" s="14" t="s">
        <v>421</v>
      </c>
      <c r="AD4" s="14" t="s">
        <v>397</v>
      </c>
      <c r="AE4" s="14"/>
      <c r="AF4" s="15"/>
      <c r="AG4" s="15"/>
    </row>
    <row r="5" spans="2:33" x14ac:dyDescent="0.2">
      <c r="B5" t="s">
        <v>370</v>
      </c>
      <c r="C5" t="s">
        <v>374</v>
      </c>
      <c r="D5" t="s">
        <v>424</v>
      </c>
      <c r="E5" t="s">
        <v>415</v>
      </c>
      <c r="F5" t="s">
        <v>417</v>
      </c>
      <c r="G5" t="s">
        <v>377</v>
      </c>
      <c r="H5" t="s">
        <v>372</v>
      </c>
      <c r="I5" t="s">
        <v>416</v>
      </c>
      <c r="J5" t="s">
        <v>375</v>
      </c>
      <c r="K5" t="s">
        <v>60</v>
      </c>
      <c r="L5" t="s">
        <v>383</v>
      </c>
      <c r="M5" t="s">
        <v>376</v>
      </c>
      <c r="N5" t="s">
        <v>373</v>
      </c>
      <c r="O5" t="s">
        <v>418</v>
      </c>
      <c r="P5" t="s">
        <v>379</v>
      </c>
      <c r="Q5" t="s">
        <v>380</v>
      </c>
      <c r="S5" s="14" t="s">
        <v>374</v>
      </c>
      <c r="T5" s="14" t="s">
        <v>424</v>
      </c>
      <c r="U5" s="14" t="s">
        <v>415</v>
      </c>
      <c r="V5" s="14" t="s">
        <v>417</v>
      </c>
      <c r="W5" s="14" t="s">
        <v>377</v>
      </c>
      <c r="X5" s="14" t="s">
        <v>372</v>
      </c>
      <c r="Y5" s="14" t="s">
        <v>416</v>
      </c>
      <c r="Z5" s="14" t="s">
        <v>375</v>
      </c>
      <c r="AA5" s="14" t="s">
        <v>60</v>
      </c>
      <c r="AB5" s="14" t="s">
        <v>383</v>
      </c>
      <c r="AC5" s="14" t="s">
        <v>376</v>
      </c>
      <c r="AD5" s="14" t="s">
        <v>373</v>
      </c>
      <c r="AE5" s="14" t="s">
        <v>418</v>
      </c>
      <c r="AF5" s="15" t="s">
        <v>379</v>
      </c>
      <c r="AG5" s="15" t="s">
        <v>380</v>
      </c>
    </row>
    <row r="6" spans="2:33" x14ac:dyDescent="0.2">
      <c r="B6" t="s">
        <v>405</v>
      </c>
      <c r="C6" t="s">
        <v>425</v>
      </c>
      <c r="D6" t="s">
        <v>427</v>
      </c>
      <c r="E6" t="s">
        <v>408</v>
      </c>
      <c r="F6" t="s">
        <v>429</v>
      </c>
      <c r="G6" t="s">
        <v>409</v>
      </c>
      <c r="H6" t="s">
        <v>414</v>
      </c>
      <c r="I6" t="s">
        <v>406</v>
      </c>
      <c r="J6" t="s">
        <v>410</v>
      </c>
      <c r="K6" t="s">
        <v>80</v>
      </c>
      <c r="L6" t="s">
        <v>452</v>
      </c>
      <c r="M6" t="s">
        <v>452</v>
      </c>
      <c r="N6" t="s">
        <v>452</v>
      </c>
      <c r="O6" t="s">
        <v>452</v>
      </c>
      <c r="P6" t="s">
        <v>452</v>
      </c>
      <c r="Q6" t="s">
        <v>452</v>
      </c>
      <c r="S6" s="14" t="s">
        <v>425</v>
      </c>
      <c r="T6" s="14" t="s">
        <v>427</v>
      </c>
      <c r="U6" s="14" t="s">
        <v>408</v>
      </c>
      <c r="V6" s="14" t="s">
        <v>429</v>
      </c>
      <c r="W6" s="14" t="s">
        <v>409</v>
      </c>
      <c r="X6" s="14" t="s">
        <v>414</v>
      </c>
      <c r="Y6" s="14" t="s">
        <v>406</v>
      </c>
      <c r="Z6" s="14" t="s">
        <v>410</v>
      </c>
      <c r="AA6" s="14" t="s">
        <v>80</v>
      </c>
      <c r="AB6" s="14"/>
      <c r="AC6" s="14"/>
      <c r="AD6" s="14"/>
      <c r="AE6" s="14"/>
      <c r="AF6" s="15"/>
      <c r="AG6" s="15"/>
    </row>
    <row r="7" spans="2:33" x14ac:dyDescent="0.2">
      <c r="B7" t="s">
        <v>381</v>
      </c>
      <c r="C7" t="s">
        <v>389</v>
      </c>
      <c r="D7" t="s">
        <v>426</v>
      </c>
      <c r="E7" t="s">
        <v>382</v>
      </c>
      <c r="F7" t="s">
        <v>394</v>
      </c>
      <c r="G7" t="s">
        <v>428</v>
      </c>
      <c r="H7" t="s">
        <v>384</v>
      </c>
      <c r="I7" t="s">
        <v>385</v>
      </c>
      <c r="J7" t="s">
        <v>452</v>
      </c>
      <c r="K7" t="s">
        <v>452</v>
      </c>
      <c r="L7" t="s">
        <v>452</v>
      </c>
      <c r="M7" t="s">
        <v>452</v>
      </c>
      <c r="N7" t="s">
        <v>452</v>
      </c>
      <c r="O7" t="s">
        <v>452</v>
      </c>
      <c r="P7" t="s">
        <v>452</v>
      </c>
      <c r="Q7" t="s">
        <v>452</v>
      </c>
      <c r="S7" s="14" t="s">
        <v>389</v>
      </c>
      <c r="T7" s="14" t="s">
        <v>426</v>
      </c>
      <c r="U7" s="14" t="s">
        <v>382</v>
      </c>
      <c r="V7" s="14" t="s">
        <v>394</v>
      </c>
      <c r="W7" s="14" t="s">
        <v>428</v>
      </c>
      <c r="X7" s="14" t="s">
        <v>384</v>
      </c>
      <c r="Y7" s="14" t="s">
        <v>385</v>
      </c>
      <c r="Z7" s="14"/>
      <c r="AA7" s="14"/>
      <c r="AB7" s="14"/>
      <c r="AC7" s="14"/>
      <c r="AD7" s="14"/>
      <c r="AE7" s="14"/>
      <c r="AF7" s="15"/>
      <c r="AG7" s="15"/>
    </row>
    <row r="8" spans="2:33" x14ac:dyDescent="0.2">
      <c r="B8" t="s">
        <v>8</v>
      </c>
      <c r="C8" t="s">
        <v>8</v>
      </c>
      <c r="D8" t="s">
        <v>452</v>
      </c>
      <c r="E8" t="s">
        <v>452</v>
      </c>
      <c r="F8" t="s">
        <v>452</v>
      </c>
      <c r="G8" t="s">
        <v>452</v>
      </c>
      <c r="H8" t="s">
        <v>452</v>
      </c>
      <c r="I8" t="s">
        <v>452</v>
      </c>
      <c r="J8" t="s">
        <v>452</v>
      </c>
      <c r="K8" t="s">
        <v>452</v>
      </c>
      <c r="L8" t="s">
        <v>452</v>
      </c>
      <c r="M8" t="s">
        <v>452</v>
      </c>
      <c r="N8" t="s">
        <v>452</v>
      </c>
      <c r="O8" t="s">
        <v>452</v>
      </c>
      <c r="P8" t="s">
        <v>452</v>
      </c>
      <c r="Q8" t="s">
        <v>452</v>
      </c>
      <c r="S8" s="16" t="s">
        <v>8</v>
      </c>
      <c r="T8" s="16"/>
      <c r="U8" s="16"/>
      <c r="V8" s="16"/>
      <c r="W8" s="16"/>
      <c r="X8" s="16"/>
      <c r="Y8" s="16"/>
      <c r="Z8" s="16"/>
      <c r="AA8" s="16"/>
      <c r="AB8" s="16"/>
      <c r="AC8" s="16"/>
      <c r="AD8" s="16"/>
      <c r="AE8" s="16"/>
      <c r="AF8" s="17"/>
      <c r="AG8" s="17"/>
    </row>
    <row r="10" spans="2:33" x14ac:dyDescent="0.2">
      <c r="B10" t="s">
        <v>437</v>
      </c>
      <c r="C10" t="s">
        <v>438</v>
      </c>
      <c r="D10" t="s">
        <v>439</v>
      </c>
      <c r="E10" t="s">
        <v>440</v>
      </c>
      <c r="F10" t="s">
        <v>441</v>
      </c>
      <c r="G10" t="s">
        <v>442</v>
      </c>
      <c r="H10" t="s">
        <v>443</v>
      </c>
      <c r="I10" t="s">
        <v>444</v>
      </c>
      <c r="J10" t="s">
        <v>445</v>
      </c>
      <c r="K10" t="s">
        <v>446</v>
      </c>
      <c r="L10" t="s">
        <v>447</v>
      </c>
      <c r="M10" t="s">
        <v>448</v>
      </c>
      <c r="N10" t="s">
        <v>449</v>
      </c>
      <c r="O10" t="s">
        <v>450</v>
      </c>
      <c r="P10" t="s">
        <v>451</v>
      </c>
      <c r="Q10" t="s">
        <v>453</v>
      </c>
      <c r="R10" t="s">
        <v>454</v>
      </c>
    </row>
    <row r="11" spans="2:33" x14ac:dyDescent="0.2">
      <c r="B11" t="s">
        <v>386</v>
      </c>
      <c r="C11" t="s">
        <v>638</v>
      </c>
      <c r="D11" t="s">
        <v>585</v>
      </c>
      <c r="E11" t="s">
        <v>632</v>
      </c>
      <c r="F11" t="s">
        <v>620</v>
      </c>
      <c r="G11" t="s">
        <v>556</v>
      </c>
      <c r="H11" t="s">
        <v>608</v>
      </c>
      <c r="I11" t="s">
        <v>610</v>
      </c>
      <c r="J11" t="s">
        <v>552</v>
      </c>
      <c r="K11" t="s">
        <v>589</v>
      </c>
      <c r="L11" t="s">
        <v>606</v>
      </c>
      <c r="M11" t="s">
        <v>452</v>
      </c>
      <c r="N11" t="s">
        <v>452</v>
      </c>
      <c r="O11" t="s">
        <v>452</v>
      </c>
      <c r="P11" t="s">
        <v>452</v>
      </c>
      <c r="Q11" t="s">
        <v>452</v>
      </c>
      <c r="R11" t="s">
        <v>452</v>
      </c>
    </row>
    <row r="12" spans="2:33" x14ac:dyDescent="0.2">
      <c r="B12" t="s">
        <v>391</v>
      </c>
      <c r="C12" t="s">
        <v>568</v>
      </c>
      <c r="D12" t="s">
        <v>560</v>
      </c>
      <c r="E12" t="s">
        <v>577</v>
      </c>
      <c r="F12" t="s">
        <v>570</v>
      </c>
      <c r="G12" t="s">
        <v>634</v>
      </c>
      <c r="H12" t="s">
        <v>562</v>
      </c>
      <c r="I12" t="s">
        <v>579</v>
      </c>
      <c r="J12" t="s">
        <v>572</v>
      </c>
      <c r="K12" t="s">
        <v>636</v>
      </c>
      <c r="L12" t="s">
        <v>575</v>
      </c>
      <c r="M12" t="s">
        <v>581</v>
      </c>
      <c r="N12" t="s">
        <v>640</v>
      </c>
      <c r="O12" t="s">
        <v>452</v>
      </c>
      <c r="P12" t="s">
        <v>452</v>
      </c>
      <c r="Q12" t="s">
        <v>452</v>
      </c>
      <c r="R12" t="s">
        <v>452</v>
      </c>
    </row>
    <row r="13" spans="2:33" x14ac:dyDescent="0.2">
      <c r="B13" t="s">
        <v>370</v>
      </c>
      <c r="C13" t="s">
        <v>534</v>
      </c>
      <c r="D13" t="s">
        <v>513</v>
      </c>
      <c r="E13" t="s">
        <v>521</v>
      </c>
      <c r="F13" t="s">
        <v>523</v>
      </c>
      <c r="G13" t="s">
        <v>538</v>
      </c>
      <c r="H13" t="s">
        <v>623</v>
      </c>
      <c r="I13" t="s">
        <v>519</v>
      </c>
      <c r="J13" t="s">
        <v>525</v>
      </c>
      <c r="K13" t="s">
        <v>527</v>
      </c>
      <c r="L13" t="s">
        <v>530</v>
      </c>
      <c r="M13" t="s">
        <v>515</v>
      </c>
      <c r="N13" t="s">
        <v>536</v>
      </c>
      <c r="O13" t="s">
        <v>628</v>
      </c>
      <c r="P13" t="s">
        <v>630</v>
      </c>
      <c r="Q13" t="s">
        <v>644</v>
      </c>
      <c r="R13" t="s">
        <v>544</v>
      </c>
    </row>
    <row r="14" spans="2:33" x14ac:dyDescent="0.2">
      <c r="B14" t="s">
        <v>405</v>
      </c>
      <c r="C14" t="s">
        <v>587</v>
      </c>
      <c r="D14" t="s">
        <v>646</v>
      </c>
      <c r="E14" t="s">
        <v>602</v>
      </c>
      <c r="F14" t="s">
        <v>642</v>
      </c>
      <c r="G14" t="s">
        <v>594</v>
      </c>
      <c r="H14" t="s">
        <v>616</v>
      </c>
      <c r="I14" t="s">
        <v>592</v>
      </c>
      <c r="J14" t="s">
        <v>596</v>
      </c>
      <c r="K14" t="s">
        <v>604</v>
      </c>
      <c r="L14" t="s">
        <v>612</v>
      </c>
      <c r="M14" t="s">
        <v>625</v>
      </c>
      <c r="N14" t="s">
        <v>598</v>
      </c>
      <c r="O14" t="s">
        <v>452</v>
      </c>
      <c r="P14" t="s">
        <v>452</v>
      </c>
      <c r="Q14" t="s">
        <v>452</v>
      </c>
      <c r="R14" t="s">
        <v>452</v>
      </c>
    </row>
    <row r="15" spans="2:33" x14ac:dyDescent="0.2">
      <c r="B15" t="s">
        <v>381</v>
      </c>
      <c r="C15" t="s">
        <v>540</v>
      </c>
      <c r="D15" t="s">
        <v>548</v>
      </c>
      <c r="E15" t="s">
        <v>564</v>
      </c>
      <c r="F15" t="s">
        <v>554</v>
      </c>
      <c r="G15" t="s">
        <v>550</v>
      </c>
      <c r="H15" t="s">
        <v>614</v>
      </c>
      <c r="I15" t="s">
        <v>542</v>
      </c>
      <c r="J15" t="s">
        <v>452</v>
      </c>
      <c r="K15" t="s">
        <v>452</v>
      </c>
      <c r="L15" t="s">
        <v>452</v>
      </c>
      <c r="M15" t="s">
        <v>452</v>
      </c>
      <c r="N15" t="s">
        <v>452</v>
      </c>
      <c r="O15" t="s">
        <v>452</v>
      </c>
      <c r="P15" t="s">
        <v>452</v>
      </c>
      <c r="Q15" t="s">
        <v>452</v>
      </c>
      <c r="R15" t="s">
        <v>452</v>
      </c>
    </row>
    <row r="16" spans="2:33" x14ac:dyDescent="0.2">
      <c r="B16" t="s">
        <v>8</v>
      </c>
      <c r="C16" t="s">
        <v>452</v>
      </c>
      <c r="D16" t="s">
        <v>452</v>
      </c>
      <c r="E16" t="s">
        <v>452</v>
      </c>
      <c r="F16" t="s">
        <v>452</v>
      </c>
      <c r="G16" t="s">
        <v>452</v>
      </c>
      <c r="H16" t="s">
        <v>452</v>
      </c>
      <c r="I16" t="s">
        <v>452</v>
      </c>
      <c r="J16" t="s">
        <v>452</v>
      </c>
      <c r="K16" t="s">
        <v>452</v>
      </c>
      <c r="L16" t="s">
        <v>452</v>
      </c>
      <c r="M16" t="s">
        <v>452</v>
      </c>
      <c r="N16" t="s">
        <v>452</v>
      </c>
      <c r="O16" t="s">
        <v>452</v>
      </c>
      <c r="P16" t="s">
        <v>452</v>
      </c>
      <c r="Q16" t="s">
        <v>452</v>
      </c>
      <c r="R16" t="s">
        <v>452</v>
      </c>
    </row>
    <row r="19" spans="2:4" x14ac:dyDescent="0.2">
      <c r="B19" t="s">
        <v>974</v>
      </c>
      <c r="C19" t="s">
        <v>975</v>
      </c>
      <c r="D19" t="s">
        <v>976</v>
      </c>
    </row>
    <row r="20" spans="2:4" x14ac:dyDescent="0.2">
      <c r="B20" s="151">
        <v>42483</v>
      </c>
      <c r="C20">
        <v>24220</v>
      </c>
      <c r="D20">
        <v>4</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350594</CP_Inventory>
    <Fiscal_Year xmlns="c9744be7-b815-40bc-84fa-afc9c406d9bc">2016</Fiscal_Year>
    <CP_Backlog xmlns="c9744be7-b815-40bc-84fa-afc9c406d9bc">78533</CP_Backlog>
    <Creation_date xmlns="c9744be7-b815-40bc-84fa-afc9c406d9bc">2016-04-25T00:00:00</Creation_date>
    <Data_date xmlns="c9744be7-b815-40bc-84fa-afc9c406d9bc">2016-04-23T00:00:00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dcmitype/"/>
    <ds:schemaRef ds:uri="http://schemas.microsoft.com/office/2006/documentManagement/types"/>
    <ds:schemaRef ds:uri="fef9c9dc-374b-4157-9e06-089f148416e5"/>
    <ds:schemaRef ds:uri="http://purl.org/dc/terms/"/>
    <ds:schemaRef ds:uri="http://www.w3.org/XML/1998/namespace"/>
    <ds:schemaRef ds:uri="c9744be7-b815-40bc-84fa-afc9c406d9bc"/>
    <ds:schemaRef ds:uri="http://schemas.microsoft.com/office/2006/metadata/propertie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25,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2016-04-25T12:44:35Z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