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DATA'!$B$2:$D$52</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<sst xmlns="http://schemas.openxmlformats.org/spreadsheetml/2006/main" count="4089" uniqueCount="1064">
  <si>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</si>
  <si>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</si>
  <si>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</si>
  <si>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</si>
  <si>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</si>
  <si>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</si>
  <si>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</si>
  <si>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</si>
  <si>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</si>
  <si>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</si>
  <si>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</si>
  <si>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</si>
  <si>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</si>
  <si>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</si>
  <si>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</si>
  <si>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</si>
  <si>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</si>
  <si>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</si>
  <si>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</si>
  <si>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</si>
  <si>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</si>
  <si>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</si>
  <si>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</si>
  <si>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</si>
  <si>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</si>
  <si>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</si>
  <si>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</si>
  <si>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</si>
  <si>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</si>
  <si>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</si>
  <si>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</si>
  <si>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</si>
  <si>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</si>
  <si>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</si>
  <si>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</si>
  <si>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</si>
  <si>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</si>
  <si>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</si>
  <si>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</si>
  <si>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</si>
  <si>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</si>
  <si>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</si>
  <si>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</si>
  <si>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</si>
  <si>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</si>
  <si>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</si>
  <si>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</si>
  <si>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</si>
  <si>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</si>
  <si>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</si>
  <si>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</si>
  <si>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</si>
  <si>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</si>
  <si>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</si>
  <si>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</si>
  <si>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</si>
  <si>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</si>
  <si>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</si>
  <si>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</si>
  <si>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</si>
  <si>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</si>
  <si>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</si>
  <si>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</si>
  <si>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</si>
  <si>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</si>
  <si>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</si>
  <si>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</si>
  <si>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</si>
  <si>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</si>
  <si>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</si>
  <si>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</si>
  <si>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</si>
  <si>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</si>
  <si>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</si>
  <si>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</si>
  <si>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</si>
  <si>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</si>
  <si>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</si>
  <si>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</si>
  <si>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</si>
  <si>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</si>
  <si>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</si>
  <si>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</si>
  <si>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</si>
  <si>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</si>
  <si>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</si>
  <si>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</si>
  <si>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</si>
  <si>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</si>
  <si>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</si>
  <si>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</si>
  <si>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</si>
  <si>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</si>
  <si>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</si>
  <si>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</si>
  <si>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</si>
  <si>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</si>
  <si>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</si>
  <si>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</si>
  <si>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</si>
  <si>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</si>
  <si>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</si>
  <si>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</si>
  <si>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</si>
  <si>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</si>
  <si>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</si>
  <si>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</si>
  <si>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</si>
  <si>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</si>
  <si>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</si>
  <si>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</si>
  <si>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</si>
  <si>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</si>
  <si>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</si>
  <si>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</si>
  <si>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</si>
  <si>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</si>
  <si>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</si>
  <si>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</si>
  <si>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</si>
  <si>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</si>
  <si>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</si>
  <si>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</si>
  <si>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</si>
  <si>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</si>
  <si>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</si>
  <si>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</si>
  <si>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</si>
  <si>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</si>
  <si>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</si>
  <si>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</si>
  <si>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</si>
  <si>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</si>
  <si>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</si>
  <si>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</si>
  <si>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</si>
  <si>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</si>
  <si>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</si>
  <si>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</si>
  <si>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</si>
  <si>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</si>
  <si>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</si>
  <si>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</si>
  <si>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</si>
  <si>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</si>
  <si>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</si>
  <si>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</si>
  <si>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</si>
  <si>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</si>
  <si>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</si>
  <si>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</si>
  <si>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</si>
  <si>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</si>
  <si>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</si>
  <si>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</si>
  <si>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</si>
  <si>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</si>
  <si>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</si>
  <si>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</si>
  <si>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</si>
  <si>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</si>
  <si>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</si>
  <si>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</si>
  <si>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</si>
  <si>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</si>
  <si>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</si>
  <si>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</si>
  <si>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</si>
  <si>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</si>
  <si>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</si>
  <si>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</si>
  <si>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</si>
  <si>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</si>
  <si>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</si>
  <si>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</si>
  <si>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</si>
  <si>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</si>
  <si>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</si>
  <si>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</si>
  <si>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</si>
  <si>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</si>
  <si>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</si>
  <si>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</si>
  <si>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</si>
  <si>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</si>
  <si>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</si>
  <si>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</si>
  <si>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</si>
  <si>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</si>
  <si>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</si>
  <si>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</si>
  <si>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</si>
  <si>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</si>
  <si>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</si>
  <si>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</si>
  <si>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</si>
  <si>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</si>
  <si>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</si>
  <si>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</si>
  <si>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</si>
  <si>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</si>
  <si>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</si>
  <si>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</si>
  <si>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</si>
  <si>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</si>
  <si>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</si>
  <si>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</si>
  <si>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</si>
  <si>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</si>
  <si>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</si>
  <si>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</si>
  <si>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</si>
  <si>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</si>
  <si>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</si>
  <si>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</si>
  <si>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</si>
  <si>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</si>
  <si>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</si>
  <si>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</si>
  <si>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</si>
  <si>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</si>
  <si>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</si>
  <si>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</si>
  <si>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</si>
  <si>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</si>
  <si>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</si>
  <si>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</si>
  <si>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</si>
  <si>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</si>
  <si>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</si>
  <si>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</si>
  <si>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</si>
  <si>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</si>
  <si>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</si>
  <si>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</si>
  <si>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</si>
  <si>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</si>
  <si>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</si>
  <si>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</si>
  <si>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</si>
  <si>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</si>
  <si>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</si>
  <si>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</si>
  <si>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</si>
  <si>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</si>
  <si>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</si>
  <si>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</si>
  <si>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</si>
  <si>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</si>
  <si>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</si>
  <si>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</si>
  <si>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</si>
  <si>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</si>
  <si>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</si>
  <si>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</si>
  <si>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</si>
  <si>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</si>
  <si>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</si>
  <si>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</si>
  <si>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</si>
  <si>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</si>
  <si>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</si>
  <si>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</si>
  <si>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</si>
  <si>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</si>
  <si>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</si>
  <si>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</si>
  <si>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</si>
  <si>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</si>
  <si>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</si>
  <si>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</si>
  <si>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</si>
  <si>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</si>
  <si>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</si>
  <si>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</si>
  <si>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</si>
  <si>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</si>
  <si>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</si>
  <si>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</si>
  <si>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</si>
  <si>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</si>
  <si>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</si>
  <si>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</si>
  <si>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</si>
  <si>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</si>
  <si>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</si>
  <si>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</si>
  <si>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</si>
  <si>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</si>
  <si>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</si>
  <si>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</si>
  <si>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</si>
  <si>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</si>
  <si>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</si>
  <si>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</si>
  <si>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</si>
  <si>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</si>
  <si>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</si>
  <si>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</si>
  <si>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</si>
  <si>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</si>
  <si>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</si>
  <si>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</si>
  <si>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</si>
  <si>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</si>
  <si>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</si>
  <si>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</si>
  <si>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</si>
  <si>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</si>
  <si>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</si>
  <si>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</si>
  <si>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</si>
  <si>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</si>
  <si>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</si>
  <si>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</si>
  <si>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</si>
  <si>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</si>
  <si>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</si>
  <si>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</si>
  <si>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</si>
  <si>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</si>
  <si>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</si>
  <si>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</si>
  <si>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</si>
  <si>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</si>
  <si>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</si>
  <si>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</si>
  <si>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</si>
  <si>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</si>
  <si>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</si>
  <si>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</si>
  <si>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</si>
  <si>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</si>
  <si>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</si>
  <si>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</si>
  <si>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</si>
  <si>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</si>
  <si>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</si>
  <si>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</si>
  <si>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</si>
  <si>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</si>
  <si>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</si>
  <si>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</si>
  <si>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</si>
  <si>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</si>
  <si>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</si>
  <si>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</si>
  <si>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</si>
  <si>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</si>
  <si>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</si>
  <si>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</si>
  <si>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</si>
  <si>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</si>
  <si>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</si>
  <si>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</si>
  <si>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</si>
  <si>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</si>
  <si>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</si>
  <si>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</si>
  <si>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</si>
  <si>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</si>
  <si>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</si>
  <si>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</si>
  <si>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</si>
  <si>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</si>
  <si>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</si>
  <si>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</si>
  <si>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</si>
  <si>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</si>
  <si>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</si>
  <si>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</si>
  <si>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</si>
  <si>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</si>
  <si>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</si>
  <si>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</si>
  <si>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</si>
  <si>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</si>
  <si>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</si>
  <si>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</si>
  <si>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</si>
  <si>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</si>
  <si>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</si>
  <si>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</si>
  <si>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</si>
  <si>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</si>
  <si>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</si>
  <si>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</si>
  <si>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</si>
  <si>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</si>
  <si>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</si>
  <si>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</si>
  <si>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</si>
  <si>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</si>
  <si>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</si>
  <si>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</si>
  <si>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</si>
  <si>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</si>
  <si>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</si>
  <si>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</si>
  <si>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</si>
  <si>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</si>
  <si>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</si>
  <si>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</si>
  <si>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</si>
  <si>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</si>
  <si>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</si>
  <si>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</si>
  <si>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</si>
  <si>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</si>
  <si>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</si>
  <si>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</si>
  <si>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</si>
  <si>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</si>
  <si>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</si>
  <si>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</si>
  <si>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</si>
  <si>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</si>
  <si>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</si>
  <si>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</si>
  <si>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</si>
  <si>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</si>
  <si>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</si>
  <si>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</si>
  <si>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</si>
  <si>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</si>
  <si>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</si>
  <si>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</si>
  <si>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</si>
  <si>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</si>
  <si>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</si>
  <si>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</si>
  <si>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</si>
  <si>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</si>
  <si>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</si>
  <si>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</si>
  <si>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</si>
  <si>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</si>
  <si>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</si>
  <si>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</si>
  <si>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</si>
  <si>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</si>
  <si>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</si>
  <si>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</si>
  <si>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</si>
  <si>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</si>
  <si>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</si>
  <si>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</si>
  <si>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</si>
  <si>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</si>
  <si>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</si>
  <si>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</si>
  <si>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</si>
  <si>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</si>
  <si>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</si>
  <si>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</si>
  <si>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</si>
  <si>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</si>
  <si>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</si>
  <si>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</si>
  <si>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</si>
  <si>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</si>
  <si>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</si>
  <si>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</si>
  <si>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</si>
  <si>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</si>
  <si>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</si>
  <si>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</si>
  <si>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</si>
  <si>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</si>
  <si>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</si>
  <si>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</si>
  <si>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</si>
  <si>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</si>
  <si>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</si>
  <si>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</si>
  <si>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</si>
  <si>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</si>
  <si>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</si>
  <si>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</si>
  <si>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</si>
  <si>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</si>
  <si>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</si>
  <si>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</si>
  <si>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</si>
  <si>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</si>
  <si>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</si>
  <si>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</si>
  <si>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</si>
  <si>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</si>
  <si>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</si>
  <si>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</si>
  <si>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</si>
  <si>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</si>
  <si>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</si>
  <si>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</si>
  <si>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</si>
  <si>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</si>
  <si>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</si>
  <si>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</si>
  <si>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</si>
  <si>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</si>
  <si>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</si>
  <si>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</si>
  <si>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</si>
  <si>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</si>
  <si>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</si>
  <si>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</si>
  <si>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</si>
  <si>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</si>
  <si>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</si>
  <si>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</si>
  <si>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</si>
  <si>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</si>
  <si>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</si>
  <si>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</si>
  <si>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</si>
  <si>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</si>
  <si>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</si>
  <si>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</si>
  <si>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</si>
  <si>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</si>
  <si>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</si>
  <si>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</si>
  <si>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</si>
  <si>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</si>
  <si>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</si>
  <si>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</si>
  <si>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</si>
  <si>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</si>
  <si>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</si>
  <si>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</si>
  <si>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</si>
  <si>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</si>
  <si>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</si>
  <si>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</si>
  <si>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</si>
  <si>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</si>
  <si>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</si>
  <si>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</si>
  <si>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</si>
  <si>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</si>
  <si>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</si>
  <si>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</si>
  <si>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</si>
  <si>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</si>
  <si>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</si>
  <si>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</si>
  <si>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</si>
  <si>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</si>
  <si>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</si>
  <si>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</si>
  <si>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</si>
  <si>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</si>
  <si>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</si>
  <si>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</si>
  <si>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</si>
  <si>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</si>
  <si>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</si>
  <si>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</si>
  <si>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</si>
  <si>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</si>
  <si>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</si>
  <si>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</si>
  <si>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</si>
  <si>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</si>
  <si>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</si>
  <si>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</si>
  <si>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</si>
  <si>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</si>
  <si>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</si>
  <si>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</si>
  <si>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</si>
  <si>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</si>
  <si>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</si>
  <si>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</si>
  <si>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</si>
  <si>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</si>
  <si>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</si>
  <si>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</si>
  <si>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</si>
  <si>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</si>
  <si>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</si>
  <si>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</si>
  <si>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</si>
  <si>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</si>
  <si>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</si>
  <si>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</si>
  <si>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</si>
  <si>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</si>
  <si>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</si>
  <si>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</si>
  <si>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</si>
  <si>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</si>
  <si>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</si>
  <si>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</si>
  <si>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</si>
  <si>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</si>
  <si>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</si>
  <si>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</si>
  <si>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</si>
  <si>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</si>
  <si>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</si>
  <si>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</si>
  <si>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</si>
  <si>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</si>
  <si>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</si>
  <si>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</si>
  <si>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</si>
  <si>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</si>
  <si>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</si>
  <si>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</si>
  <si>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</si>
  <si>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</si>
  <si>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</si>
  <si>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</si>
  <si>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</si>
  <si>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</si>
  <si>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</si>
  <si>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</si>
  <si>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</si>
  <si>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</si>
  <si>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</si>
  <si>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</si>
  <si>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</si>
  <si>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</si>
  <si>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</si>
  <si>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</si>
  <si>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</si>
  <si>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</si>
  <si>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</si>
  <si>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</si>
  <si>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</si>
  <si>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</si>
  <si>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</si>
  <si>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</si>
  <si>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</si>
  <si>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</si>
  <si>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</si>
  <si>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</si>
  <si>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</si>
  <si>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</si>
  <si>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</si>
  <si>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</si>
  <si>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</si>
  <si>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</si>
  <si>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</si>
  <si>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</si>
  <si>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</si>
  <si>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</si>
  <si>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</si>
  <si>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</si>
  <si>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</si>
  <si>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</si>
  <si>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</si>
  <si>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</si>
  <si>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</si>
  <si>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</si>
  <si>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</si>
  <si>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</si>
  <si>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</si>
  <si>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</si>
  <si>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</si>
  <si>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</si>
  <si>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</si>
  <si>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</si>
  <si>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</si>
  <si>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</si>
  <si>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</si>
  <si>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</si>
  <si>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</si>
  <si>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</si>
  <si>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</si>
  <si>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</si>
  <si>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</si>
  <si>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</si>
  <si>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</si>
  <si>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</si>
  <si>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</si>
  <si>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</si>
  <si>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</si>
  <si>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</si>
  <si>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</si>
  <si>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</si>
  <si>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</si>
  <si>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</si>
  <si>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</si>
  <si>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</si>
  <si>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</si>
  <si>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</si>
  <si>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</si>
  <si>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</si>
  <si>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</si>
  <si>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</si>
  <si>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</si>
  <si>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</si>
  <si>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</si>
  <si>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</si>
  <si>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</si>
  <si>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</si>
  <si>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</si>
  <si>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</si>
  <si>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</si>
  <si>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</si>
  <si>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</si>
  <si>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</si>
  <si>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</si>
  <si>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</si>
  <si>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</si>
  <si>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</si>
  <si>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</si>
  <si>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</si>
  <si>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</si>
  <si>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</si>
  <si>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</si>
  <si>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</si>
  <si>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</si>
  <si>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</si>
  <si>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</si>
  <si>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</si>
  <si>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</si>
  <si>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</si>
  <si>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</si>
  <si>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</si>
  <si>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</si>
  <si>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</si>
  <si>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</si>
  <si>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</si>
  <si>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</si>
  <si>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</si>
  <si>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</si>
  <si>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</si>
  <si>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</si>
  <si>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</si>
  <si>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</si>
  <si>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</si>
  <si>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</si>
  <si>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</si>
  <si>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</si>
  <si>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</si>
  <si>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</si>
  <si>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</si>
  <si>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</si>
  <si>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</si>
  <si>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</si>
  <si>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</si>
  <si>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</si>
  <si>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</si>
  <si>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</si>
  <si>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</si>
  <si>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</si>
  <si>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</si>
  <si>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</si>
  <si>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</si>
  <si>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</si>
  <si>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</si>
  <si>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</si>
  <si>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</si>
  <si>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</si>
  <si>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</si>
  <si>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</si>
  <si>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</si>
  <si>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</si>
  <si>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</si>
  <si>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</si>
  <si>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</si>
  <si>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</si>
  <si>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</si>
  <si>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</si>
  <si>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</si>
  <si>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</si>
  <si>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</si>
  <si>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</si>
  <si>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</si>
  <si>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</si>
  <si>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</si>
  <si>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</si>
  <si>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</si>
  <si>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</si>
  <si>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</si>
  <si>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</si>
  <si>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</si>
  <si>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</si>
  <si>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</si>
  <si>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</si>
  <si>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</si>
  <si>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</si>
  <si>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</si>
  <si>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</si>
  <si>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</si>
  <si>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</si>
  <si>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</si>
  <si>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</si>
  <si>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</si>
  <si>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</si>
  <si>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</si>
  <si>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</si>
  <si>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</si>
  <si>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</si>
  <si>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</si>
  <si>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</si>
  <si>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</si>
  <si>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</si>
  <si>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</si>
  <si>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</si>
  <si>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</si>
  <si>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</si>
  <si>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</si>
  <si>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</si>
  <si>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</si>
  <si>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</si>
  <si>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</si>
  <si>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</si>
  <si>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</si>
  <si>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</si>
  <si>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</si>
  <si>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</si>
  <si>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</si>
  <si>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</si>
  <si>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</si>
  <si>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</si>
  <si>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</si>
  <si>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</si>
  <si>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</si>
  <si>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</si>
  <si>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</si>
  <si>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</si>
  <si>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</si>
  <si>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</si>
  <si>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</si>
  <si>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</si>
  <si>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</si>
  <si>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</si>
  <si>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</si>
  <si>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</si>
  <si>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</si>
  <si>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</si>
  <si>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</si>
  <si>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</si>
  <si>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</si>
  <si>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</si>
  <si>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</si>
  <si>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</si>
  <si>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</si>
  <si>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</si>
  <si>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</si>
  <si>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</si>
  <si>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</si>
  <si>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</si>
  <si>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</si>
  <si>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</si>
  <si>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</si>
  <si>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</si>
  <si>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</si>
  <si>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</si>
  <si>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</si>
  <si>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</si>
  <si>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</si>
  <si>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</si>
  <si>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</si>
  <si>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</si>
  <si>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</si>
  <si>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</si>
  <si>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</si>
  <si>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</si>
  <si>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</si>
  <si>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</si>
  <si>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</si>
  <si>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</si>
  <si>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</si>
  <si>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</si>
  <si>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</si>
  <si>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</si>
  <si>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</si>
  <si>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</si>
  <si>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</si>
  <si>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</si>
  <si>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</si>
  <si>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</si>
  <si>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</si>
  <si>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</si>
  <si>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</si>
  <si>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</si>
  <si>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</si>
  <si>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</si>
  <si>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</si>
  <si>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</si>
  <si>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</si>
  <si>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</si>
  <si>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</si>
  <si>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</si>
  <si>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</si>
  <si>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</si>
  <si>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</si>
  <si>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</si>
  <si>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</si>
  <si>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</si>
  <si>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</si>
  <si>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</si>
  <si>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</si>
  <si>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</si>
  <si>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</si>
  <si>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</si>
  <si>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</si>
  <si>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</si>
  <si>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</si>
  <si>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</si>
  <si>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</si>
  <si>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</si>
  <si>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</si>
  <si>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</si>
  <si>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</si>
  <si>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</si>
  <si>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</si>
  <si>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</si>
  <si>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</si>
  <si>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</si>
  <si>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</si>
  <si>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</si>
  <si>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</si>
  <si>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</si>
  <si>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</si>
  <si>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</si>
  <si>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</si>
  <si>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</si>
  <si>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</si>
  <si>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</si>
  <si>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</si>
  <si>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</si>
  <si>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</si>
  <si>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</si>
  <si>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</si>
  <si>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</si>
  <si>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</si>
  <si>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</si>
  <si>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</si>
  <si>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</si>
  <si>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</si>
  <si>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</si>
  <si>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</si>
  <si>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</si>
  <si>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</si>
  <si>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</si>
  <si>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</si>
  <si>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</si>
  <si>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</si>
  <si>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</si>
  <si>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</si>
  <si>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</si>
  <si>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</si>
  <si>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</si>
  <si>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</si>
  <si>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</si>
  <si>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</si>
  <si>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</si>
  <si>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</si>
  <si>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</si>
  <si>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</si>
  <si>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</si>
  <si>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</si>
  <si>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</si>
  <si>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</si>
  <si>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</si>
  <si>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</si>
  <si>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</si>
  <si>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</si>
  <si>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</si>
  <si>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</si>
  <si>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</si>
  <si>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</si>
  <si>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</si>
  <si>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</si>
  <si>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</si>
  <si>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</si>
  <si>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</si>
  <si>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</si>
  <si>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</si>
  <si>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</si>
  <si>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</si>
  <si>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</si>
  <si>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</si>
  <si>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</si>
  <si>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</si>
  <si>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</si>
  <si>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</si>
  <si>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</si>
  <si>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</si>
  <si>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</si>
  <si>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</si>
  <si>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</si>
  <si>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</si>
  <si>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</si>
  <si>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</si>
  <si>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</si>
  <si>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</si>
  <si>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</si>
  <si>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</si>
  <si>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</si>
  <si>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</si>
  <si>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</si>
  <si>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</si>
  <si>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</si>
  <si>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</si>
  <si>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</si>
  <si>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</si>
  <si>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</si>
  <si>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</si>
  <si>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</si>
  <si>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</si>
  <si>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</si>
  <si>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</si>
  <si>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</si>
  <si>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</si>
  <si>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</si>
  <si>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</si>
  <si>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</si>
  <si>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</si>
  <si>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</si>
  <si>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</si>
  <si>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</si>
  <si>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</si>
  <si>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</si>
  <si>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</si>
  <si>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</si>
  <si>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</si>
  <si>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</si>
  <si>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</si>
  <si>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</si>
  <si>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</si>
  <si>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</si>
  <si>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</si>
  <si>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</si>
  <si>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</si>
  <si>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</si>
  <si>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</si>
  <si>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</si>
  <si>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</si>
  <si>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</si>
  <si>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</si>
  <si>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</si>
  <si>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</si>
  <si>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</si>
  <si>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</si>
  <si>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</si>
  <si>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</si>
  <si>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</si>
  <si>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</si>
  <si>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</si>
  <si>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</si>
  <si>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</si>
  <si>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</si>
  <si>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</si>
  <si>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</si>
  <si>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</si>
  <si>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</si>
  <si>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</si>
  <si>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</si>
  <si>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</si>
  <si>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</si>
  <si>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</si>
  <si>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</si>
  <si>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</si>
  <si>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</si>
  <si>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Current Pending on 07/02/2016</t>
  </si>
  <si>
    <t>Prior Pending on 06/25/2016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</si>
</sst>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3" fontId="4" fillId="38" borderId="3" xfId="0" applyNumberFormat="1" applyFont="1" applyFill="1" applyBorder="1"/>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numFmt numFmtId="173"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4"/>
      <queryTableField id="2" name="CNT" tableColumnId="5"/>
      <queryTableField id="3" name="CNT_BL" tableColumnId="6"/>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4"/>
      <queryTableField id="2" name="INVENTORY" tableColumnId="5"/>
      <queryTableField id="3" name="ADP" tableColumnId="6"/>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9"/>
      <queryTableField id="2" name="GEOGRAPHY_DIM_SID" tableColumnId="20"/>
      <queryTableField id="3" name="ID_RO" tableColumnId="21"/>
      <queryTableField id="4" name="DEF_RO" tableColumnId="22"/>
      <queryTableField id="5" name="ID_SPM" tableColumnId="23"/>
      <queryTableField id="6" name="DEF_SPM" tableColumnId="24"/>
      <queryTableField id="7" name="ID_AREA" tableColumnId="25"/>
      <queryTableField id="8" name="DEF_AREA" tableColumnId="26"/>
      <queryTableField id="9" name="AREA_NBR" tableColumnId="27"/>
      <queryTableField id="10" name="ID_DIST" tableColumnId="28"/>
      <queryTableField id="11" name="DEF_DIST" tableColumnId="29"/>
      <queryTableField id="12" name="LCTN_ID" tableColumnId="30"/>
      <queryTableField id="13" name="ID_STATE" tableColumnId="31"/>
      <queryTableField id="14" name="DEF_STATE" tableColumnId="32"/>
      <queryTableField id="15" name="KEY_RO" tableColumnId="33"/>
      <queryTableField id="16" name="KEY_SPM" tableColumnId="34"/>
      <queryTableField id="17" name="KEY_HL" tableColumnId="35"/>
      <queryTableField id="18" name="TYP_SPM" tableColumnId="36"/>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6"/>
      <queryTableField id="2" name="STATE" tableColumnId="7"/>
      <queryTableField id="3" name="STATE_OTHER" tableColumnId="8"/>
      <queryTableField id="4" name="AREA" tableColumnId="9"/>
      <queryTableField id="5" name="STATE_DIST" tableColumnId="10"/>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7"/>
      <queryTableField id="2" name="DIST_TYP" tableColumnId="18"/>
      <queryTableField id="3" name="SOO_INVENTORY" tableColumnId="19"/>
      <queryTableField id="4" name="SOO_BL_INVENTORY" tableColumnId="20"/>
      <queryTableField id="5" name="SOO_ADP" tableColumnId="21"/>
      <queryTableField id="6" name="SOO_PRODUCTION_FYTD" tableColumnId="22"/>
      <queryTableField id="7" name="SOO_PRODUCTION_MTD" tableColumnId="23"/>
      <queryTableField id="8" name="SOO_ADC_FYTD" tableColumnId="24"/>
      <queryTableField id="9" name="SOO_ADC_MTD" tableColumnId="25"/>
      <queryTableField id="10" name="SOJ_INVENTORY" tableColumnId="26"/>
      <queryTableField id="11" name="SOJ_BL_INVENTORY" tableColumnId="27"/>
      <queryTableField id="12" name="SOJ_ADP" tableColumnId="28"/>
      <queryTableField id="13" name="SOJ_PRODUCTION_FYTD" tableColumnId="29"/>
      <queryTableField id="14" name="SOJ_PRODUCTION_MTD" tableColumnId="30"/>
      <queryTableField id="15" name="SOJ_ADC_FYTD" tableColumnId="31"/>
      <queryTableField id="16" name="SOJ_ADC_MTD" tableColumnId="3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2" tableType="queryTable" totalsRowShown="0">
  <sortState ref="B3:D52">
    <sortCondition ref="B5"/>
  </sortState>
  <tableColumns count="3">
    <tableColumn id="4" uniqueName="4" name="MMWR_TRAD_AGG_NATIONAL" queryTableFieldId="1"/>
    <tableColumn id="5" uniqueName="5" name="CNT" queryTableFieldId="2"/>
    <tableColumn id="6" uniqueName="6"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1" uniqueName="11" name="MMWR_RATING_STATE_ROLLUP_VS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1" uniqueName="11" name="MMWR_RATING_STATE_ROLLUP_PM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1" uniqueName="11" name="MMWR_RATING_STATE_ROLLUP_QST"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1" uniqueName="11" name="MMWR_RATING_STATE_ROLLUP_BDD"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1"/>
    <tableColumn id="4" uniqueName="4" name="RO" queryTableFieldId="4"/>
    <tableColumn id="5" uniqueName="5" name="COMP3_ISSUES_WGHTED_ACC" queryTableFieldId="5" dataDxfId="10"/>
    <tableColumn id="6" uniqueName="6" name="COMP3_RTNG_CLM_WGHTED_ACC" queryTableFieldId="6" dataDxfId="9"/>
    <tableColumn id="7" uniqueName="7" name="COMP12_RTNG_CLM_WGHTED_ACC" queryTableFieldId="7" dataDxfId="8"/>
    <tableColumn id="8" uniqueName="8" name="COMP12_RTNG_CLM_MOE" queryTableFieldId="8" dataDxfId="7"/>
    <tableColumn id="9" uniqueName="9" name="COMP12_AUTH_CLM_WGHTED_ACC" queryTableFieldId="9" dataDxfId="6"/>
    <tableColumn id="10" uniqueName="10" name="COMP12_AUTH_CLM_MOE" queryTableFieldId="10" dataDxfId="5"/>
    <tableColumn id="11" uniqueName="11" name="PMC3_RTNG_CLM_WGHTED_ACC" queryTableFieldId="11" dataDxfId="4"/>
    <tableColumn id="12" uniqueName="12" name="PMC12_RTNG_CLM_WGHTED_ACC" queryTableFieldId="12" dataDxfId="3"/>
    <tableColumn id="13" uniqueName="13" name="PMC12_RTNG_CLM_MOE" queryTableFieldId="13" dataDxfId="2"/>
    <tableColumn id="14" uniqueName="14" name="PMC12_AUTH_CLM_WGHTED_ACC" queryTableFieldId="14" dataDxfId="1"/>
    <tableColumn id="15" uniqueName="15" name="PMC12_AUTH_CLM_MOE" queryTableFieldId="15" dataDxfId="0"/>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5" uniqueName="15" name="MMWR_APP_STATE_COMP"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5" uniqueName="15" name="MMWR_APP_STATE_PEN"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5" uniqueName="15" name="MMWR_APP_RO"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4" uniqueName="4" name="TITLE" queryTableFieldId="1"/>
    <tableColumn id="5" uniqueName="5" name="INVENTORY" queryTableFieldId="2"/>
    <tableColumn id="6" uniqueName="6"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9" uniqueName="19" name="ID_ORD" queryTableFieldId="1"/>
    <tableColumn id="20" uniqueName="20" name="GEOGRAPHY_DIM_SID" queryTableFieldId="2"/>
    <tableColumn id="21" uniqueName="21" name="ID_RO" queryTableFieldId="3"/>
    <tableColumn id="22" uniqueName="22" name="DEF_RO" queryTableFieldId="4"/>
    <tableColumn id="23" uniqueName="23" name="ID_SPM" queryTableFieldId="5"/>
    <tableColumn id="24" uniqueName="24" name="DEF_SPM" queryTableFieldId="6"/>
    <tableColumn id="25" uniqueName="25" name="ID_AREA" queryTableFieldId="7"/>
    <tableColumn id="26" uniqueName="26" name="DEF_AREA" queryTableFieldId="8"/>
    <tableColumn id="27" uniqueName="27" name="AREA_NBR" queryTableFieldId="9"/>
    <tableColumn id="28" uniqueName="28" name="ID_DIST" queryTableFieldId="10"/>
    <tableColumn id="29" uniqueName="29" name="DEF_DIST" queryTableFieldId="11"/>
    <tableColumn id="30" uniqueName="30" name="LCTN_ID" queryTableFieldId="12"/>
    <tableColumn id="31" uniqueName="31" name="ID_STATE" queryTableFieldId="13"/>
    <tableColumn id="32" uniqueName="32" name="DEF_STATE" queryTableFieldId="14"/>
    <tableColumn id="33" uniqueName="33" name="KEY_RO" queryTableFieldId="15"/>
    <tableColumn id="34" uniqueName="34" name="KEY_SPM" queryTableFieldId="16"/>
    <tableColumn id="35" uniqueName="35" name="KEY_HL" queryTableFieldId="17"/>
    <tableColumn id="36" uniqueName="36"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4" uniqueName="14" name="MMWR_TRAD_AGG_RO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6" uniqueName="6" name="ST" queryTableFieldId="1"/>
    <tableColumn id="7" uniqueName="7" name="STATE" queryTableFieldId="2"/>
    <tableColumn id="8" uniqueName="8" name="STATE_OTHER" queryTableFieldId="3"/>
    <tableColumn id="9" uniqueName="9" name="AREA" queryTableFieldId="4"/>
    <tableColumn id="10" uniqueName="10"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12"/>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4" uniqueName="14" name="MMWR_TRAD_AGG_RO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4" uniqueName="14" name="MMWR_TRAD_AGG_STATE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4" uniqueName="14" name="MMWR_TRAD_AGG_STATE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4" uniqueName="14" name="MMWR_TRAD_AGG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4" uniqueName="14" name="MMWR_TRAD_AGG_ST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4" uniqueName="14" name="MMWR_TRAD_AGG_ST_DISTRICT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7" uniqueName="17" name="MMWR_RATING_RO_ROLLUP" queryTableFieldId="1"/>
    <tableColumn id="18" uniqueName="18" name="DIST_TYP" queryTableFieldId="2"/>
    <tableColumn id="19" uniqueName="19" name="SOO_INVENTORY" queryTableFieldId="3"/>
    <tableColumn id="20" uniqueName="20" name="SOO_BL_INVENTORY" queryTableFieldId="4"/>
    <tableColumn id="21" uniqueName="21" name="SOO_ADP" queryTableFieldId="5"/>
    <tableColumn id="22" uniqueName="22" name="SOO_PRODUCTION_FYTD" queryTableFieldId="6"/>
    <tableColumn id="23" uniqueName="23" name="SOO_PRODUCTION_MTD" queryTableFieldId="7"/>
    <tableColumn id="24" uniqueName="24" name="SOO_ADC_FYTD" queryTableFieldId="8"/>
    <tableColumn id="25" uniqueName="25" name="SOO_ADC_MTD" queryTableFieldId="9"/>
    <tableColumn id="26" uniqueName="26" name="SOJ_INVENTORY" queryTableFieldId="10"/>
    <tableColumn id="27" uniqueName="27" name="SOJ_BL_INVENTORY" queryTableFieldId="11"/>
    <tableColumn id="28" uniqueName="28" name="SOJ_ADP" queryTableFieldId="12"/>
    <tableColumn id="29" uniqueName="29" name="SOJ_PRODUCTION_FYTD" queryTableFieldId="13"/>
    <tableColumn id="30" uniqueName="30" name="SOJ_PRODUCTION_MTD" queryTableFieldId="14"/>
    <tableColumn id="31" uniqueName="31" name="SOJ_ADC_FYTD" queryTableFieldId="15"/>
    <tableColumn id="32" uniqueName="32"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303</v>
      </c>
      <c r="B1" s="276"/>
      <c r="C1" s="276"/>
      <c r="D1" s="276"/>
      <c r="E1" s="276"/>
      <c r="F1" s="276"/>
      <c r="G1" s="276"/>
      <c r="H1" s="276"/>
      <c r="I1" s="276"/>
      <c r="J1" s="276"/>
      <c r="K1" s="276"/>
      <c r="L1" s="276"/>
      <c r="M1" s="276"/>
      <c r="N1" s="276"/>
      <c r="O1" s="276"/>
      <c r="P1" s="277"/>
    </row>
    <row r="2" spans="1:16" ht="29.25" customHeight="1" x14ac:dyDescent="0.2">
      <c r="A2" s="269" t="s">
        <v>305</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301</v>
      </c>
      <c r="B8" s="267"/>
      <c r="C8" s="267"/>
      <c r="D8" s="267"/>
      <c r="E8" s="267"/>
      <c r="F8" s="267"/>
      <c r="G8" s="268"/>
      <c r="H8" s="266" t="s">
        <v>302</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1" max="1" width="3.7109375" customWidth="1"/>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1048</v>
      </c>
      <c r="C2" t="s">
        <v>502</v>
      </c>
      <c r="D2" t="s">
        <v>918</v>
      </c>
      <c r="E2" t="s">
        <v>919</v>
      </c>
      <c r="F2" t="s">
        <v>920</v>
      </c>
      <c r="G2" t="s">
        <v>921</v>
      </c>
      <c r="H2" t="s">
        <v>923</v>
      </c>
      <c r="I2" t="s">
        <v>1042</v>
      </c>
      <c r="J2" t="s">
        <v>924</v>
      </c>
      <c r="K2" t="s">
        <v>925</v>
      </c>
      <c r="L2" t="s">
        <v>922</v>
      </c>
      <c r="M2" t="s">
        <v>927</v>
      </c>
      <c r="N2" t="s">
        <v>928</v>
      </c>
      <c r="O2" t="s">
        <v>929</v>
      </c>
      <c r="P2" t="s">
        <v>930</v>
      </c>
    </row>
    <row r="3" spans="2:16" x14ac:dyDescent="0.2">
      <c r="B3" t="s">
        <v>586</v>
      </c>
      <c r="C3" t="s">
        <v>404</v>
      </c>
      <c r="D3" s="18">
        <v>42556.428055555552</v>
      </c>
      <c r="E3" t="s">
        <v>163</v>
      </c>
      <c r="F3" s="19">
        <v>0.94877355688936005</v>
      </c>
      <c r="G3" s="19">
        <v>0.83915821119879697</v>
      </c>
      <c r="H3" s="19">
        <v>0.91268150094001899</v>
      </c>
      <c r="I3" s="19">
        <v>4.2854177150073801E-2</v>
      </c>
      <c r="J3" s="19">
        <v>0.89132406545680198</v>
      </c>
      <c r="K3" s="19">
        <v>5.4723329435295801E-2</v>
      </c>
      <c r="L3" s="19"/>
      <c r="M3" s="19"/>
      <c r="N3" s="19"/>
      <c r="O3" s="19"/>
      <c r="P3" s="19"/>
    </row>
    <row r="4" spans="2:16" x14ac:dyDescent="0.2">
      <c r="B4" t="s">
        <v>645</v>
      </c>
      <c r="C4" t="s">
        <v>404</v>
      </c>
      <c r="D4" s="18">
        <v>42556.428055555552</v>
      </c>
      <c r="E4" t="s">
        <v>188</v>
      </c>
      <c r="F4" s="19">
        <v>0.94023222832831099</v>
      </c>
      <c r="G4" s="19">
        <v>0.82221135029354198</v>
      </c>
      <c r="H4" s="19">
        <v>0.89928964252978905</v>
      </c>
      <c r="I4" s="19">
        <v>4.29470142023433E-2</v>
      </c>
      <c r="J4" s="19">
        <v>0.93531956884773004</v>
      </c>
      <c r="K4" s="19">
        <v>5.06648690219575E-2</v>
      </c>
      <c r="L4" s="19"/>
      <c r="M4" s="19"/>
      <c r="N4" s="19"/>
      <c r="O4" s="19"/>
      <c r="P4" s="19"/>
    </row>
    <row r="5" spans="2:16" x14ac:dyDescent="0.2">
      <c r="B5" t="s">
        <v>539</v>
      </c>
      <c r="C5" t="s">
        <v>380</v>
      </c>
      <c r="D5" s="18">
        <v>42556.428055555552</v>
      </c>
      <c r="E5" t="s">
        <v>145</v>
      </c>
      <c r="F5" s="19">
        <v>0.91098786347504801</v>
      </c>
      <c r="G5" s="19">
        <v>0.85081506829536002</v>
      </c>
      <c r="H5" s="19">
        <v>0.85434191050253006</v>
      </c>
      <c r="I5" s="19">
        <v>5.4219926755332298E-2</v>
      </c>
      <c r="J5" s="19">
        <v>0.85853863498231198</v>
      </c>
      <c r="K5" s="19">
        <v>5.22588910087411E-2</v>
      </c>
      <c r="L5" s="19"/>
      <c r="M5" s="19"/>
      <c r="N5" s="19"/>
      <c r="O5" s="19"/>
      <c r="P5" s="19"/>
    </row>
    <row r="6" spans="2:16" x14ac:dyDescent="0.2">
      <c r="B6" t="s">
        <v>533</v>
      </c>
      <c r="C6" t="s">
        <v>369</v>
      </c>
      <c r="D6" s="18">
        <v>42556.428055555552</v>
      </c>
      <c r="E6" t="s">
        <v>143</v>
      </c>
      <c r="F6" s="19">
        <v>0.90188566775685497</v>
      </c>
      <c r="G6" s="19">
        <v>0.73347025467369298</v>
      </c>
      <c r="H6" s="19">
        <v>0.81653649450434795</v>
      </c>
      <c r="I6" s="19">
        <v>4.6324894365922603E-2</v>
      </c>
      <c r="J6" s="19">
        <v>0.88521920558676104</v>
      </c>
      <c r="K6" s="19">
        <v>4.92292310977984E-2</v>
      </c>
      <c r="L6" s="19"/>
      <c r="M6" s="19"/>
      <c r="N6" s="19"/>
      <c r="O6" s="19"/>
      <c r="P6" s="19"/>
    </row>
    <row r="7" spans="2:16" x14ac:dyDescent="0.2">
      <c r="B7" t="s">
        <v>601</v>
      </c>
      <c r="C7" t="s">
        <v>404</v>
      </c>
      <c r="D7" s="18">
        <v>42556.428055555552</v>
      </c>
      <c r="E7" t="s">
        <v>169</v>
      </c>
      <c r="F7" s="19">
        <v>0.98568297205909206</v>
      </c>
      <c r="G7" s="19">
        <v>0.94174907292954302</v>
      </c>
      <c r="H7" s="19">
        <v>0.92102908634409997</v>
      </c>
      <c r="I7" s="19">
        <v>4.3882126542635701E-2</v>
      </c>
      <c r="J7" s="19">
        <v>0.98030555354427595</v>
      </c>
      <c r="K7" s="19">
        <v>1.85673623148539E-2</v>
      </c>
      <c r="L7" s="19"/>
      <c r="M7" s="19"/>
      <c r="N7" s="19"/>
      <c r="O7" s="19"/>
      <c r="P7" s="19"/>
    </row>
    <row r="8" spans="2:16" x14ac:dyDescent="0.2">
      <c r="B8" t="s">
        <v>512</v>
      </c>
      <c r="C8" t="s">
        <v>369</v>
      </c>
      <c r="D8" s="18">
        <v>42556.428055555552</v>
      </c>
      <c r="E8" t="s">
        <v>136</v>
      </c>
      <c r="F8" s="19">
        <v>0.93814228931247201</v>
      </c>
      <c r="G8" s="19">
        <v>0.80065275187492602</v>
      </c>
      <c r="H8" s="19">
        <v>0.79722077464949703</v>
      </c>
      <c r="I8" s="19">
        <v>6.1605731085896898E-2</v>
      </c>
      <c r="J8" s="19">
        <v>0.92791149212874402</v>
      </c>
      <c r="K8" s="19">
        <v>3.00411100052588E-2</v>
      </c>
      <c r="L8" s="19"/>
      <c r="M8" s="19"/>
      <c r="N8" s="19"/>
      <c r="O8" s="19"/>
      <c r="P8" s="19"/>
    </row>
    <row r="9" spans="2:16" x14ac:dyDescent="0.2">
      <c r="B9" t="s">
        <v>520</v>
      </c>
      <c r="C9" t="s">
        <v>369</v>
      </c>
      <c r="D9" s="18">
        <v>42556.428055555552</v>
      </c>
      <c r="E9" t="s">
        <v>139</v>
      </c>
      <c r="F9" s="19">
        <v>0.95926984604583498</v>
      </c>
      <c r="G9" s="19">
        <v>0.90241278623021404</v>
      </c>
      <c r="H9" s="19">
        <v>0.89693203448661996</v>
      </c>
      <c r="I9" s="19">
        <v>4.7920287070820203E-2</v>
      </c>
      <c r="J9" s="19">
        <v>0.85459267784486603</v>
      </c>
      <c r="K9" s="19">
        <v>4.93915498095788E-2</v>
      </c>
      <c r="L9" s="19"/>
      <c r="M9" s="19"/>
      <c r="N9" s="19"/>
      <c r="O9" s="19"/>
      <c r="P9" s="19"/>
    </row>
    <row r="10" spans="2:16" x14ac:dyDescent="0.2">
      <c r="B10" t="s">
        <v>637</v>
      </c>
      <c r="C10" t="s">
        <v>385</v>
      </c>
      <c r="D10" s="18">
        <v>42556.428055555552</v>
      </c>
      <c r="E10" t="s">
        <v>673</v>
      </c>
      <c r="F10" s="19">
        <v>0.93663044928791095</v>
      </c>
      <c r="G10" s="19">
        <v>0.89671667753859496</v>
      </c>
      <c r="H10" s="19">
        <v>0.89583821647470896</v>
      </c>
      <c r="I10" s="19">
        <v>4.5604423083520099E-2</v>
      </c>
      <c r="J10" s="19">
        <v>0.84362625725528995</v>
      </c>
      <c r="K10" s="19">
        <v>6.7786629976463106E-2</v>
      </c>
      <c r="L10" s="19"/>
      <c r="M10" s="19"/>
      <c r="N10" s="19"/>
      <c r="O10" s="19"/>
      <c r="P10" s="19"/>
    </row>
    <row r="11" spans="2:16" x14ac:dyDescent="0.2">
      <c r="B11" t="s">
        <v>567</v>
      </c>
      <c r="C11" t="s">
        <v>390</v>
      </c>
      <c r="D11" s="18">
        <v>42556.428055555552</v>
      </c>
      <c r="E11" t="s">
        <v>155</v>
      </c>
      <c r="F11" s="19">
        <v>0.90806660863505295</v>
      </c>
      <c r="G11" s="19">
        <v>0.80001056189269104</v>
      </c>
      <c r="H11" s="19">
        <v>0.85900752882037501</v>
      </c>
      <c r="I11" s="19">
        <v>5.1513455213775497E-2</v>
      </c>
      <c r="J11" s="19">
        <v>0.87019931420665197</v>
      </c>
      <c r="K11" s="19">
        <v>4.7641153624255902E-2</v>
      </c>
      <c r="L11" s="252"/>
      <c r="M11" s="252"/>
      <c r="N11" s="252"/>
      <c r="O11" s="252"/>
      <c r="P11" s="252"/>
    </row>
    <row r="12" spans="2:16" x14ac:dyDescent="0.2">
      <c r="B12" t="s">
        <v>559</v>
      </c>
      <c r="C12" t="s">
        <v>390</v>
      </c>
      <c r="D12" s="18">
        <v>42556.428055555552</v>
      </c>
      <c r="E12" t="s">
        <v>152</v>
      </c>
      <c r="F12" s="19">
        <v>0.99536780772031996</v>
      </c>
      <c r="G12" s="19">
        <v>1</v>
      </c>
      <c r="H12" s="19">
        <v>0.92463888547737305</v>
      </c>
      <c r="I12" s="19">
        <v>4.1311670903757897E-2</v>
      </c>
      <c r="J12" s="19">
        <v>0.88250454140038603</v>
      </c>
      <c r="K12" s="19">
        <v>5.1669422810486303E-2</v>
      </c>
      <c r="L12" s="19"/>
      <c r="M12" s="19"/>
      <c r="N12" s="19"/>
      <c r="O12" s="19"/>
      <c r="P12" s="19"/>
    </row>
    <row r="13" spans="2:16" x14ac:dyDescent="0.2">
      <c r="B13" t="s">
        <v>547</v>
      </c>
      <c r="C13" t="s">
        <v>380</v>
      </c>
      <c r="D13" s="18">
        <v>42556.428055555552</v>
      </c>
      <c r="E13" t="s">
        <v>148</v>
      </c>
      <c r="F13" s="19">
        <v>0.96120436705840095</v>
      </c>
      <c r="G13" s="19">
        <v>0.85417164634956</v>
      </c>
      <c r="H13" s="19">
        <v>0.92116835548537102</v>
      </c>
      <c r="I13" s="19">
        <v>4.3587036118812497E-2</v>
      </c>
      <c r="J13" s="19">
        <v>0.90264696698742497</v>
      </c>
      <c r="K13" s="19">
        <v>5.5087777613855103E-2</v>
      </c>
      <c r="L13" s="19"/>
      <c r="M13" s="19"/>
      <c r="N13" s="19"/>
      <c r="O13" s="19"/>
      <c r="P13" s="19"/>
    </row>
    <row r="14" spans="2:16" x14ac:dyDescent="0.2">
      <c r="B14" t="s">
        <v>385</v>
      </c>
      <c r="C14" t="s">
        <v>385</v>
      </c>
      <c r="D14" s="18">
        <v>42556.428055555552</v>
      </c>
      <c r="E14" t="s">
        <v>664</v>
      </c>
      <c r="F14" s="19">
        <v>0.95058705224716</v>
      </c>
      <c r="G14" s="19">
        <v>0.88438084446713405</v>
      </c>
      <c r="H14" s="19">
        <v>0.88652989127308701</v>
      </c>
      <c r="I14" s="19">
        <v>1.8074517090315E-2</v>
      </c>
      <c r="J14" s="19">
        <v>0.92687011784482698</v>
      </c>
      <c r="K14" s="19">
        <v>1.6133210559247199E-2</v>
      </c>
      <c r="L14" s="19"/>
      <c r="M14" s="19"/>
      <c r="N14" s="19"/>
      <c r="O14" s="19"/>
      <c r="P14" s="19"/>
    </row>
    <row r="15" spans="2:16" x14ac:dyDescent="0.2">
      <c r="B15" t="s">
        <v>584</v>
      </c>
      <c r="C15" t="s">
        <v>385</v>
      </c>
      <c r="D15" s="18">
        <v>42556.428055555552</v>
      </c>
      <c r="E15" t="s">
        <v>162</v>
      </c>
      <c r="F15" s="19">
        <v>0.97988263217748595</v>
      </c>
      <c r="G15" s="19">
        <v>0.91805179744878196</v>
      </c>
      <c r="H15" s="19">
        <v>0.92196096624019297</v>
      </c>
      <c r="I15" s="19">
        <v>4.1974923294750201E-2</v>
      </c>
      <c r="J15" s="19">
        <v>0.89320175258268897</v>
      </c>
      <c r="K15" s="19">
        <v>4.82087686731138E-2</v>
      </c>
      <c r="L15" s="19"/>
      <c r="M15" s="19"/>
      <c r="N15" s="19"/>
      <c r="O15" s="19"/>
      <c r="P15" s="19"/>
    </row>
    <row r="16" spans="2:16" x14ac:dyDescent="0.2">
      <c r="B16" t="s">
        <v>576</v>
      </c>
      <c r="C16" t="s">
        <v>390</v>
      </c>
      <c r="D16" s="18">
        <v>42556.428055555552</v>
      </c>
      <c r="E16" t="s">
        <v>159</v>
      </c>
      <c r="F16" s="19">
        <v>0.94556506189144196</v>
      </c>
      <c r="G16" s="19">
        <v>0.87468842057557195</v>
      </c>
      <c r="H16" s="19">
        <v>0.93562715045355005</v>
      </c>
      <c r="I16" s="19">
        <v>4.65982963557557E-2</v>
      </c>
      <c r="J16" s="19">
        <v>0.980792073018255</v>
      </c>
      <c r="K16" s="19">
        <v>2.05552400638058E-2</v>
      </c>
      <c r="L16" s="252"/>
      <c r="M16" s="252"/>
      <c r="N16" s="252"/>
      <c r="O16" s="252"/>
      <c r="P16" s="252"/>
    </row>
    <row r="17" spans="2:16" x14ac:dyDescent="0.2">
      <c r="B17" t="s">
        <v>569</v>
      </c>
      <c r="C17" t="s">
        <v>390</v>
      </c>
      <c r="D17" s="18">
        <v>42556.428055555552</v>
      </c>
      <c r="E17" t="s">
        <v>156</v>
      </c>
      <c r="F17" s="19">
        <v>0.91524812390130295</v>
      </c>
      <c r="G17" s="19">
        <v>0.82300059082608201</v>
      </c>
      <c r="H17" s="19">
        <v>0.89388520681584605</v>
      </c>
      <c r="I17" s="19">
        <v>4.3272837631088801E-2</v>
      </c>
      <c r="J17" s="19">
        <v>0.90944316674278503</v>
      </c>
      <c r="K17" s="19">
        <v>4.5516474179482701E-2</v>
      </c>
      <c r="L17" s="19"/>
      <c r="M17" s="19"/>
      <c r="N17" s="19"/>
      <c r="O17" s="19"/>
      <c r="P17" s="19"/>
    </row>
    <row r="18" spans="2:16" x14ac:dyDescent="0.2">
      <c r="B18" t="s">
        <v>633</v>
      </c>
      <c r="C18" t="s">
        <v>390</v>
      </c>
      <c r="D18" s="18">
        <v>42556.428055555552</v>
      </c>
      <c r="E18" t="s">
        <v>183</v>
      </c>
      <c r="F18" s="19">
        <v>0.92549500956595898</v>
      </c>
      <c r="G18" s="19">
        <v>0.86410470620996904</v>
      </c>
      <c r="H18" s="19">
        <v>0.88939750149817898</v>
      </c>
      <c r="I18" s="19">
        <v>5.1613049583126999E-2</v>
      </c>
      <c r="J18" s="19">
        <v>0.97405602240896405</v>
      </c>
      <c r="K18" s="19">
        <v>2.5138603669433199E-2</v>
      </c>
      <c r="L18" s="19"/>
      <c r="M18" s="19"/>
      <c r="N18" s="19"/>
      <c r="O18" s="19"/>
      <c r="P18" s="19"/>
    </row>
    <row r="19" spans="2:16" x14ac:dyDescent="0.2">
      <c r="B19" t="s">
        <v>631</v>
      </c>
      <c r="C19" t="s">
        <v>385</v>
      </c>
      <c r="D19" s="18">
        <v>42556.428055555552</v>
      </c>
      <c r="E19" t="s">
        <v>182</v>
      </c>
      <c r="F19" s="19">
        <v>0.96254942274236899</v>
      </c>
      <c r="G19" s="19">
        <v>0.89024002543315806</v>
      </c>
      <c r="H19" s="19">
        <v>0.93777657608940601</v>
      </c>
      <c r="I19" s="19">
        <v>4.3207866738300002E-2</v>
      </c>
      <c r="J19" s="19">
        <v>0.95068809594023396</v>
      </c>
      <c r="K19" s="19">
        <v>3.5798256647673901E-2</v>
      </c>
      <c r="L19" s="19"/>
      <c r="M19" s="19"/>
      <c r="N19" s="19"/>
      <c r="O19" s="19"/>
      <c r="P19" s="19"/>
    </row>
    <row r="20" spans="2:16" x14ac:dyDescent="0.2">
      <c r="B20" t="s">
        <v>522</v>
      </c>
      <c r="C20" t="s">
        <v>369</v>
      </c>
      <c r="D20" s="18">
        <v>42556.428055555552</v>
      </c>
      <c r="E20" t="s">
        <v>140</v>
      </c>
      <c r="F20" s="19">
        <v>0.98068869165559502</v>
      </c>
      <c r="G20" s="19">
        <v>0.93820256453708395</v>
      </c>
      <c r="H20" s="19">
        <v>0.92779320412044497</v>
      </c>
      <c r="I20" s="19">
        <v>4.4271476300910398E-2</v>
      </c>
      <c r="J20" s="19">
        <v>0.94307359307359295</v>
      </c>
      <c r="K20" s="19">
        <v>4.6997468949121803E-2</v>
      </c>
      <c r="L20" s="19"/>
      <c r="M20" s="19"/>
      <c r="N20" s="19"/>
      <c r="O20" s="19"/>
      <c r="P20" s="19"/>
    </row>
    <row r="21" spans="2:16" x14ac:dyDescent="0.2">
      <c r="B21" t="s">
        <v>641</v>
      </c>
      <c r="C21" t="s">
        <v>404</v>
      </c>
      <c r="D21" s="18">
        <v>42556.428055555552</v>
      </c>
      <c r="E21" t="s">
        <v>186</v>
      </c>
      <c r="F21" s="19">
        <v>0.97454740025133502</v>
      </c>
      <c r="G21" s="19">
        <v>0.94266330986543101</v>
      </c>
      <c r="H21" s="19">
        <v>0.90092809275608998</v>
      </c>
      <c r="I21" s="19">
        <v>4.2909310256342897E-2</v>
      </c>
      <c r="J21" s="19">
        <v>0.96599807888004396</v>
      </c>
      <c r="K21" s="19">
        <v>3.4007984995199601E-2</v>
      </c>
      <c r="L21" s="19"/>
      <c r="M21" s="19"/>
      <c r="N21" s="19"/>
      <c r="O21" s="19"/>
      <c r="P21" s="19"/>
    </row>
    <row r="22" spans="2:16" x14ac:dyDescent="0.2">
      <c r="B22" t="s">
        <v>619</v>
      </c>
      <c r="C22" t="s">
        <v>385</v>
      </c>
      <c r="D22" s="18">
        <v>42556.428055555552</v>
      </c>
      <c r="E22" t="s">
        <v>177</v>
      </c>
      <c r="F22" s="19">
        <v>0.94090513812713805</v>
      </c>
      <c r="G22" s="19">
        <v>0.87696755360952094</v>
      </c>
      <c r="H22" s="19">
        <v>0.84353317181690701</v>
      </c>
      <c r="I22" s="19">
        <v>4.9494393264196003E-2</v>
      </c>
      <c r="J22" s="19">
        <v>0.90975290498261197</v>
      </c>
      <c r="K22" s="19">
        <v>4.37356173265405E-2</v>
      </c>
      <c r="L22" s="19"/>
      <c r="M22" s="19"/>
      <c r="N22" s="19"/>
      <c r="O22" s="19"/>
      <c r="P22" s="19"/>
    </row>
    <row r="23" spans="2:16" x14ac:dyDescent="0.2">
      <c r="B23" t="s">
        <v>537</v>
      </c>
      <c r="C23" t="s">
        <v>369</v>
      </c>
      <c r="D23" s="18">
        <v>42556.428055555552</v>
      </c>
      <c r="E23" t="s">
        <v>144</v>
      </c>
      <c r="F23" s="19">
        <v>0.97442158530926104</v>
      </c>
      <c r="G23" s="19">
        <v>0.90296513107661003</v>
      </c>
      <c r="H23" s="19">
        <v>0.87672402884980405</v>
      </c>
      <c r="I23" s="19">
        <v>4.8457498326536202E-2</v>
      </c>
      <c r="J23" s="19">
        <v>0.89849844709711302</v>
      </c>
      <c r="K23" s="19">
        <v>4.7045346468051003E-2</v>
      </c>
      <c r="L23" s="19"/>
      <c r="M23" s="19"/>
      <c r="N23" s="19"/>
      <c r="O23" s="19"/>
      <c r="P23" s="19"/>
    </row>
    <row r="24" spans="2:16" x14ac:dyDescent="0.2">
      <c r="B24" t="s">
        <v>561</v>
      </c>
      <c r="C24" t="s">
        <v>390</v>
      </c>
      <c r="D24" s="18">
        <v>42556.428055555552</v>
      </c>
      <c r="E24" t="s">
        <v>153</v>
      </c>
      <c r="F24" s="19">
        <v>0.93614546042554703</v>
      </c>
      <c r="G24" s="19">
        <v>0.84238356011287796</v>
      </c>
      <c r="H24" s="19">
        <v>0.88511762589510601</v>
      </c>
      <c r="I24" s="19">
        <v>5.2036616075737903E-2</v>
      </c>
      <c r="J24" s="19">
        <v>0.96047744917379096</v>
      </c>
      <c r="K24" s="19">
        <v>2.8330670146649899E-2</v>
      </c>
      <c r="L24" s="19"/>
      <c r="M24" s="19"/>
      <c r="N24" s="19"/>
      <c r="O24" s="19"/>
      <c r="P24" s="19"/>
    </row>
    <row r="25" spans="2:16" x14ac:dyDescent="0.2">
      <c r="B25" t="s">
        <v>555</v>
      </c>
      <c r="C25" t="s">
        <v>385</v>
      </c>
      <c r="D25" s="18">
        <v>42556.428055555552</v>
      </c>
      <c r="E25" t="s">
        <v>151</v>
      </c>
      <c r="F25" s="19">
        <v>0.94265756985055205</v>
      </c>
      <c r="G25" s="19">
        <v>0.865115771079074</v>
      </c>
      <c r="H25" s="19">
        <v>0.86175871958552996</v>
      </c>
      <c r="I25" s="19">
        <v>5.0929192073556603E-2</v>
      </c>
      <c r="J25" s="19">
        <v>0.88566793876431305</v>
      </c>
      <c r="K25" s="19">
        <v>4.9113299218340498E-2</v>
      </c>
      <c r="L25" s="19"/>
      <c r="M25" s="19"/>
      <c r="N25" s="19"/>
      <c r="O25" s="19"/>
      <c r="P25" s="19"/>
    </row>
    <row r="26" spans="2:16" x14ac:dyDescent="0.2">
      <c r="B26" t="s">
        <v>578</v>
      </c>
      <c r="C26" t="s">
        <v>390</v>
      </c>
      <c r="D26" s="18">
        <v>42556.428055555552</v>
      </c>
      <c r="E26" t="s">
        <v>160</v>
      </c>
      <c r="F26" s="19">
        <v>0.98493776179668702</v>
      </c>
      <c r="G26" s="19">
        <v>0.92424543288324101</v>
      </c>
      <c r="H26" s="19">
        <v>0.93650507293304996</v>
      </c>
      <c r="I26" s="19">
        <v>3.9835521667923597E-2</v>
      </c>
      <c r="J26" s="19">
        <v>0.98766136509521396</v>
      </c>
      <c r="K26" s="19">
        <v>1.8355314738469301E-2</v>
      </c>
      <c r="L26" s="19"/>
      <c r="M26" s="19"/>
      <c r="N26" s="19"/>
      <c r="O26" s="19"/>
      <c r="P26" s="19"/>
    </row>
    <row r="27" spans="2:16" x14ac:dyDescent="0.2">
      <c r="B27" t="s">
        <v>607</v>
      </c>
      <c r="C27" t="s">
        <v>385</v>
      </c>
      <c r="D27" s="18">
        <v>42556.428055555552</v>
      </c>
      <c r="E27" t="s">
        <v>172</v>
      </c>
      <c r="F27" s="19">
        <v>0.941418344851502</v>
      </c>
      <c r="G27" s="19">
        <v>0.80515136310419799</v>
      </c>
      <c r="H27" s="19">
        <v>0.86908317860122097</v>
      </c>
      <c r="I27" s="19">
        <v>5.1089451893071403E-2</v>
      </c>
      <c r="J27" s="19">
        <v>0.94708919756181797</v>
      </c>
      <c r="K27" s="19">
        <v>3.9217194676167702E-2</v>
      </c>
      <c r="L27" s="19"/>
      <c r="M27" s="19"/>
      <c r="N27" s="19"/>
      <c r="O27" s="19"/>
      <c r="P27" s="19"/>
    </row>
    <row r="28" spans="2:16" x14ac:dyDescent="0.2">
      <c r="B28" t="s">
        <v>593</v>
      </c>
      <c r="C28" t="s">
        <v>404</v>
      </c>
      <c r="D28" s="18">
        <v>42556.428055555552</v>
      </c>
      <c r="E28" t="s">
        <v>166</v>
      </c>
      <c r="F28" s="19">
        <v>0.97084835875791897</v>
      </c>
      <c r="G28" s="19">
        <v>0.91662165325266898</v>
      </c>
      <c r="H28" s="19">
        <v>0.86873671992302204</v>
      </c>
      <c r="I28" s="19">
        <v>4.53639509828513E-2</v>
      </c>
      <c r="J28" s="19">
        <v>0.83181809060016598</v>
      </c>
      <c r="K28" s="19">
        <v>5.8914621623810198E-2</v>
      </c>
      <c r="L28" s="19"/>
      <c r="M28" s="19"/>
      <c r="N28" s="19"/>
      <c r="O28" s="19"/>
      <c r="P28" s="19"/>
    </row>
    <row r="29" spans="2:16" x14ac:dyDescent="0.2">
      <c r="B29" t="s">
        <v>563</v>
      </c>
      <c r="C29" t="s">
        <v>380</v>
      </c>
      <c r="D29" s="18">
        <v>42556.428055555552</v>
      </c>
      <c r="E29" t="s">
        <v>154</v>
      </c>
      <c r="F29" s="19">
        <v>0.94697129761142995</v>
      </c>
      <c r="G29" s="19">
        <v>0.91104508912967497</v>
      </c>
      <c r="H29" s="19">
        <v>0.90595136446740698</v>
      </c>
      <c r="I29" s="19">
        <v>4.3179762706453198E-2</v>
      </c>
      <c r="J29" s="19">
        <v>0.92353605950949602</v>
      </c>
      <c r="K29" s="19">
        <v>4.3249636732106002E-2</v>
      </c>
      <c r="L29" s="19"/>
      <c r="M29" s="19"/>
      <c r="N29" s="19"/>
      <c r="O29" s="19"/>
      <c r="P29" s="19"/>
    </row>
    <row r="30" spans="2:16" x14ac:dyDescent="0.2">
      <c r="B30" t="s">
        <v>622</v>
      </c>
      <c r="C30" t="s">
        <v>369</v>
      </c>
      <c r="D30" s="18">
        <v>42556.428055555552</v>
      </c>
      <c r="E30" t="s">
        <v>178</v>
      </c>
      <c r="F30" s="19">
        <v>0.97013701421076803</v>
      </c>
      <c r="G30" s="19">
        <v>0.90144452842865497</v>
      </c>
      <c r="H30" s="19">
        <v>0.89876098297638596</v>
      </c>
      <c r="I30" s="19">
        <v>4.4138516467842899E-2</v>
      </c>
      <c r="J30" s="19">
        <v>0.87528553489206495</v>
      </c>
      <c r="K30" s="19">
        <v>5.7207236605424303E-2</v>
      </c>
      <c r="L30" s="19"/>
      <c r="M30" s="19"/>
      <c r="N30" s="19"/>
      <c r="O30" s="19"/>
      <c r="P30" s="19"/>
    </row>
    <row r="31" spans="2:16" x14ac:dyDescent="0.2">
      <c r="B31" t="s">
        <v>615</v>
      </c>
      <c r="C31" t="s">
        <v>404</v>
      </c>
      <c r="D31" s="18">
        <v>42556.428055555552</v>
      </c>
      <c r="E31" t="s">
        <v>176</v>
      </c>
      <c r="F31" s="19">
        <v>0.97028418795186899</v>
      </c>
      <c r="G31" s="19">
        <v>0.85918621179815202</v>
      </c>
      <c r="H31" s="19">
        <v>0.89811969166364802</v>
      </c>
      <c r="I31" s="19">
        <v>5.0293224393106302E-2</v>
      </c>
      <c r="J31" s="19">
        <v>0.97581430745814302</v>
      </c>
      <c r="K31" s="19">
        <v>2.5957480175567801E-2</v>
      </c>
      <c r="L31" s="19"/>
      <c r="M31" s="19"/>
      <c r="N31" s="19"/>
      <c r="O31" s="19"/>
      <c r="P31" s="19"/>
    </row>
    <row r="32" spans="2:16" x14ac:dyDescent="0.2">
      <c r="B32" t="s">
        <v>390</v>
      </c>
      <c r="C32" t="s">
        <v>390</v>
      </c>
      <c r="D32" s="18">
        <v>42556.428055555552</v>
      </c>
      <c r="E32" t="s">
        <v>663</v>
      </c>
      <c r="F32" s="19">
        <v>0.957239994377454</v>
      </c>
      <c r="G32" s="19">
        <v>0.89498908202916505</v>
      </c>
      <c r="H32" s="19">
        <v>0.91951647151431104</v>
      </c>
      <c r="I32" s="19">
        <v>1.33574737231644E-2</v>
      </c>
      <c r="J32" s="19">
        <v>0.91234524822361096</v>
      </c>
      <c r="K32" s="19">
        <v>1.7874338600114802E-2</v>
      </c>
      <c r="L32" s="19"/>
      <c r="M32" s="19"/>
      <c r="N32" s="19"/>
      <c r="O32" s="19"/>
      <c r="P32" s="19"/>
    </row>
    <row r="33" spans="2:16" x14ac:dyDescent="0.2">
      <c r="B33" t="s">
        <v>209</v>
      </c>
      <c r="C33" t="s">
        <v>390</v>
      </c>
      <c r="D33" s="18">
        <v>42556.428055555552</v>
      </c>
      <c r="E33" t="s">
        <v>157</v>
      </c>
      <c r="F33" s="19">
        <v>0.98987526085572497</v>
      </c>
      <c r="G33" s="19">
        <v>0.95369995956328402</v>
      </c>
      <c r="H33" s="19">
        <v>0.97167525860035697</v>
      </c>
      <c r="I33" s="19">
        <v>3.1084345938768701E-2</v>
      </c>
      <c r="J33" s="19">
        <v>0.89683124692106497</v>
      </c>
      <c r="K33" s="19">
        <v>4.5811702428346701E-2</v>
      </c>
      <c r="L33" s="19">
        <v>0.96276698095054802</v>
      </c>
      <c r="M33" s="19">
        <v>0.94959324681566903</v>
      </c>
      <c r="N33" s="19">
        <v>4.1262651856044497E-2</v>
      </c>
      <c r="O33" s="19">
        <v>0.98543069541401496</v>
      </c>
      <c r="P33" s="19">
        <v>1.64370248537857E-2</v>
      </c>
    </row>
    <row r="34" spans="2:16" x14ac:dyDescent="0.2">
      <c r="B34" t="s">
        <v>571</v>
      </c>
      <c r="C34" t="s">
        <v>390</v>
      </c>
      <c r="D34" s="18">
        <v>42556.428055555552</v>
      </c>
      <c r="E34" t="s">
        <v>157</v>
      </c>
      <c r="F34" s="19">
        <v>0.98987526085572497</v>
      </c>
      <c r="G34" s="19">
        <v>0.95369995956328402</v>
      </c>
      <c r="H34" s="19">
        <v>0.97167525860035697</v>
      </c>
      <c r="I34" s="19">
        <v>3.1084345938768701E-2</v>
      </c>
      <c r="J34" s="19">
        <v>0.89683124692106497</v>
      </c>
      <c r="K34" s="19">
        <v>4.5811702428346701E-2</v>
      </c>
      <c r="L34" s="19">
        <v>0.96276698095054802</v>
      </c>
      <c r="M34" s="19">
        <v>0.94959324681566903</v>
      </c>
      <c r="N34" s="19">
        <v>4.1262651856044497E-2</v>
      </c>
      <c r="O34" s="19">
        <v>0.98543069541401496</v>
      </c>
      <c r="P34" s="19">
        <v>1.64370248537857E-2</v>
      </c>
    </row>
    <row r="35" spans="2:16" x14ac:dyDescent="0.2">
      <c r="B35" t="s">
        <v>553</v>
      </c>
      <c r="C35" t="s">
        <v>380</v>
      </c>
      <c r="D35" s="18">
        <v>42556.428055555552</v>
      </c>
      <c r="E35" t="s">
        <v>150</v>
      </c>
      <c r="F35" s="19">
        <v>0.86478189926065097</v>
      </c>
      <c r="G35" s="19">
        <v>0.73645920941968002</v>
      </c>
      <c r="H35" s="19">
        <v>0.81202735850099494</v>
      </c>
      <c r="I35" s="19">
        <v>5.7602883091519001E-2</v>
      </c>
      <c r="J35" s="19">
        <v>0.918963762382766</v>
      </c>
      <c r="K35" s="19">
        <v>4.9237264538583798E-2</v>
      </c>
      <c r="L35" s="19"/>
      <c r="M35" s="19"/>
      <c r="N35" s="19"/>
      <c r="O35" s="19"/>
      <c r="P35" s="19"/>
    </row>
    <row r="36" spans="2:16" x14ac:dyDescent="0.2">
      <c r="B36" t="s">
        <v>609</v>
      </c>
      <c r="C36" t="s">
        <v>385</v>
      </c>
      <c r="D36" s="18">
        <v>42556.428055555552</v>
      </c>
      <c r="E36" t="s">
        <v>173</v>
      </c>
      <c r="F36" s="19">
        <v>0.91852839581428403</v>
      </c>
      <c r="G36" s="19">
        <v>0.87772005423328403</v>
      </c>
      <c r="H36" s="19">
        <v>0.88916700182841402</v>
      </c>
      <c r="I36" s="19">
        <v>4.8809392299867901E-2</v>
      </c>
      <c r="J36" s="19">
        <v>0.94598376054953504</v>
      </c>
      <c r="K36" s="19">
        <v>4.2046351645843902E-2</v>
      </c>
      <c r="L36" s="19"/>
      <c r="M36" s="19"/>
      <c r="N36" s="19"/>
      <c r="O36" s="19"/>
      <c r="P36" s="19"/>
    </row>
    <row r="37" spans="2:16" x14ac:dyDescent="0.2">
      <c r="B37" t="s">
        <v>549</v>
      </c>
      <c r="C37" t="s">
        <v>380</v>
      </c>
      <c r="D37" s="18">
        <v>42556.428055555552</v>
      </c>
      <c r="E37" t="s">
        <v>91</v>
      </c>
      <c r="F37" s="19">
        <v>0.95898947362294196</v>
      </c>
      <c r="G37" s="19">
        <v>0.84315918963595105</v>
      </c>
      <c r="H37" s="19">
        <v>0.91376462998801999</v>
      </c>
      <c r="I37" s="19">
        <v>4.8932059884459297E-2</v>
      </c>
      <c r="J37" s="19">
        <v>0.90889962901356602</v>
      </c>
      <c r="K37" s="19">
        <v>4.9327781225054899E-2</v>
      </c>
      <c r="L37" s="19"/>
      <c r="M37" s="19"/>
      <c r="N37" s="19"/>
      <c r="O37" s="19"/>
      <c r="P37" s="19"/>
    </row>
    <row r="38" spans="2:16" x14ac:dyDescent="0.2">
      <c r="B38" t="s">
        <v>551</v>
      </c>
      <c r="C38" t="s">
        <v>385</v>
      </c>
      <c r="D38" s="18">
        <v>42556.428055555552</v>
      </c>
      <c r="E38" t="s">
        <v>149</v>
      </c>
      <c r="F38" s="19">
        <v>0.96066138012485203</v>
      </c>
      <c r="G38" s="19">
        <v>0.84681048173636797</v>
      </c>
      <c r="H38" s="19">
        <v>0.91256074187365699</v>
      </c>
      <c r="I38" s="19">
        <v>4.1916531756804598E-2</v>
      </c>
      <c r="J38" s="19">
        <v>0.94730878838021704</v>
      </c>
      <c r="K38" s="19">
        <v>3.7617050548482397E-2</v>
      </c>
      <c r="L38" s="19"/>
      <c r="M38" s="19"/>
      <c r="N38" s="19"/>
      <c r="O38" s="19"/>
      <c r="P38" s="19"/>
    </row>
    <row r="39" spans="2:16" x14ac:dyDescent="0.2">
      <c r="B39" t="s">
        <v>518</v>
      </c>
      <c r="C39" t="s">
        <v>369</v>
      </c>
      <c r="D39" s="18">
        <v>42556.428055555552</v>
      </c>
      <c r="E39" t="s">
        <v>138</v>
      </c>
      <c r="F39" s="19">
        <v>0.93814788167473995</v>
      </c>
      <c r="G39" s="19">
        <v>0.87274806093754798</v>
      </c>
      <c r="H39" s="19">
        <v>0.87191749462785995</v>
      </c>
      <c r="I39" s="19">
        <v>5.10509932455223E-2</v>
      </c>
      <c r="J39" s="19">
        <v>0.91433992235894301</v>
      </c>
      <c r="K39" s="19">
        <v>4.2794130526865398E-2</v>
      </c>
      <c r="L39" s="19"/>
      <c r="M39" s="19"/>
      <c r="N39" s="19"/>
      <c r="O39" s="19"/>
      <c r="P39" s="19"/>
    </row>
    <row r="40" spans="2:16" x14ac:dyDescent="0.2">
      <c r="B40" t="s">
        <v>524</v>
      </c>
      <c r="C40" t="s">
        <v>369</v>
      </c>
      <c r="D40" s="18">
        <v>42556.428055555552</v>
      </c>
      <c r="E40" t="s">
        <v>141</v>
      </c>
      <c r="F40" s="19">
        <v>0.95214199809231503</v>
      </c>
      <c r="G40" s="19">
        <v>0.89667266187050398</v>
      </c>
      <c r="H40" s="19">
        <v>0.90428581260107999</v>
      </c>
      <c r="I40" s="19">
        <v>3.9477569540227901E-2</v>
      </c>
      <c r="J40" s="19">
        <v>0.85679246064442405</v>
      </c>
      <c r="K40" s="19">
        <v>5.2328934940198801E-2</v>
      </c>
      <c r="L40" s="19"/>
      <c r="M40" s="19"/>
      <c r="N40" s="19"/>
      <c r="O40" s="19"/>
      <c r="P40" s="19"/>
    </row>
    <row r="41" spans="2:16" x14ac:dyDescent="0.2">
      <c r="B41" t="s">
        <v>369</v>
      </c>
      <c r="C41" t="s">
        <v>369</v>
      </c>
      <c r="D41" s="18">
        <v>42556.428055555552</v>
      </c>
      <c r="E41" t="s">
        <v>662</v>
      </c>
      <c r="F41" s="19">
        <v>0.95846293173471497</v>
      </c>
      <c r="G41" s="19">
        <v>0.86841381260836104</v>
      </c>
      <c r="H41" s="19">
        <v>0.87854911720371398</v>
      </c>
      <c r="I41" s="19">
        <v>1.5281988631149801E-2</v>
      </c>
      <c r="J41" s="19">
        <v>0.87548147611045801</v>
      </c>
      <c r="K41" s="19">
        <v>3.1487582547481997E-2</v>
      </c>
      <c r="L41" s="19"/>
      <c r="M41" s="19"/>
      <c r="N41" s="19"/>
      <c r="O41" s="19"/>
      <c r="P41" s="19"/>
    </row>
    <row r="42" spans="2:16" x14ac:dyDescent="0.2">
      <c r="B42" t="s">
        <v>591</v>
      </c>
      <c r="C42" t="s">
        <v>404</v>
      </c>
      <c r="D42" s="18">
        <v>42556.428055555552</v>
      </c>
      <c r="E42" t="s">
        <v>165</v>
      </c>
      <c r="F42" s="19">
        <v>0.94578142608181603</v>
      </c>
      <c r="G42" s="19">
        <v>0.80424032489249897</v>
      </c>
      <c r="H42" s="19">
        <v>0.87553958053094805</v>
      </c>
      <c r="I42" s="19">
        <v>5.0054742145219301E-2</v>
      </c>
      <c r="J42" s="19">
        <v>0.91554200558184595</v>
      </c>
      <c r="K42" s="19">
        <v>4.0484273187339603E-2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404</v>
      </c>
      <c r="C44" t="s">
        <v>404</v>
      </c>
      <c r="D44" s="18">
        <v>42556.428055555552</v>
      </c>
      <c r="E44" t="s">
        <v>665</v>
      </c>
      <c r="F44" s="19">
        <v>0.96150918889306902</v>
      </c>
      <c r="G44" s="19">
        <v>0.85992397699140799</v>
      </c>
      <c r="H44" s="19">
        <v>0.87814200969922895</v>
      </c>
      <c r="I44" s="19">
        <v>1.8008126017852E-2</v>
      </c>
      <c r="J44" s="19">
        <v>0.91064877242244402</v>
      </c>
      <c r="K44" s="19">
        <v>1.79454044209971E-2</v>
      </c>
      <c r="L44" s="19"/>
      <c r="M44" s="19"/>
      <c r="N44" s="19"/>
      <c r="O44" s="19"/>
      <c r="P44" s="19"/>
    </row>
    <row r="45" spans="2:16" x14ac:dyDescent="0.2">
      <c r="B45" t="s">
        <v>210</v>
      </c>
      <c r="C45" t="s">
        <v>369</v>
      </c>
      <c r="D45" s="18">
        <v>42556.428055555552</v>
      </c>
      <c r="E45" t="s">
        <v>99</v>
      </c>
      <c r="F45" s="19">
        <v>0.94628007849308804</v>
      </c>
      <c r="G45" s="19">
        <v>0.89027388022362897</v>
      </c>
      <c r="H45" s="19">
        <v>0.90797815441669005</v>
      </c>
      <c r="I45" s="19">
        <v>4.0546343801548902E-2</v>
      </c>
      <c r="J45" s="19">
        <v>0.86444863285205198</v>
      </c>
      <c r="K45" s="19">
        <v>5.6895880287101103E-2</v>
      </c>
      <c r="L45" s="19">
        <v>1</v>
      </c>
      <c r="M45" s="19">
        <v>0.94104774258337198</v>
      </c>
      <c r="N45" s="19">
        <v>4.0168640763625002E-2</v>
      </c>
      <c r="O45" s="19">
        <v>0.94488559649514903</v>
      </c>
      <c r="P45" s="19">
        <v>3.8677062646118102E-2</v>
      </c>
    </row>
    <row r="46" spans="2:16" x14ac:dyDescent="0.2">
      <c r="B46" t="s">
        <v>526</v>
      </c>
      <c r="C46" t="s">
        <v>369</v>
      </c>
      <c r="D46" s="18">
        <v>42556.428055555552</v>
      </c>
      <c r="E46" t="s">
        <v>99</v>
      </c>
      <c r="F46" s="19">
        <v>0.94628007849308804</v>
      </c>
      <c r="G46" s="19">
        <v>0.89027388022362897</v>
      </c>
      <c r="H46" s="19">
        <v>0.90797815441669005</v>
      </c>
      <c r="I46" s="19">
        <v>4.0546343801548902E-2</v>
      </c>
      <c r="J46" s="19">
        <v>0.86444863285205198</v>
      </c>
      <c r="K46" s="19">
        <v>5.6895880287101103E-2</v>
      </c>
      <c r="L46" s="19">
        <v>1</v>
      </c>
      <c r="M46" s="19">
        <v>0.94104774258337198</v>
      </c>
      <c r="N46" s="19">
        <v>4.0168640763625002E-2</v>
      </c>
      <c r="O46" s="19">
        <v>0.94488559649514903</v>
      </c>
      <c r="P46" s="19">
        <v>3.8677062646118102E-2</v>
      </c>
    </row>
    <row r="47" spans="2:16" x14ac:dyDescent="0.2">
      <c r="B47" t="s">
        <v>595</v>
      </c>
      <c r="C47" t="s">
        <v>404</v>
      </c>
      <c r="D47" s="18">
        <v>42556.428055555552</v>
      </c>
      <c r="E47" t="s">
        <v>167</v>
      </c>
      <c r="F47" s="19">
        <v>0.95186912939378798</v>
      </c>
      <c r="G47" s="19">
        <v>0.84533420472602405</v>
      </c>
      <c r="H47" s="19">
        <v>0.86701454288797797</v>
      </c>
      <c r="I47" s="19">
        <v>5.4772140068105303E-2</v>
      </c>
      <c r="J47" s="19">
        <v>0.93536336273841003</v>
      </c>
      <c r="K47" s="19">
        <v>4.1256894590360499E-2</v>
      </c>
      <c r="L47" s="19"/>
      <c r="M47" s="19"/>
      <c r="N47" s="19"/>
      <c r="O47" s="19"/>
      <c r="P47" s="19"/>
    </row>
    <row r="48" spans="2:16" x14ac:dyDescent="0.2">
      <c r="B48" t="s">
        <v>529</v>
      </c>
      <c r="C48" t="s">
        <v>369</v>
      </c>
      <c r="D48" s="18">
        <v>42556.428055555552</v>
      </c>
      <c r="E48" t="s">
        <v>142</v>
      </c>
      <c r="F48" s="19">
        <v>0.95793217049462098</v>
      </c>
      <c r="G48" s="19">
        <v>0.85860801647551099</v>
      </c>
      <c r="H48" s="19">
        <v>0.87937727771437402</v>
      </c>
      <c r="I48" s="19">
        <v>4.7506445381002002E-2</v>
      </c>
      <c r="J48" s="19">
        <v>0.88973110411783196</v>
      </c>
      <c r="K48" s="19">
        <v>5.6191515520256599E-2</v>
      </c>
      <c r="L48" s="19"/>
      <c r="M48" s="19"/>
      <c r="N48" s="19"/>
      <c r="O48" s="19"/>
      <c r="P48" s="19"/>
    </row>
    <row r="49" spans="2:16" x14ac:dyDescent="0.2">
      <c r="B49" t="s">
        <v>603</v>
      </c>
      <c r="C49" t="s">
        <v>404</v>
      </c>
      <c r="D49" s="18">
        <v>42556.428055555552</v>
      </c>
      <c r="E49" t="s">
        <v>170</v>
      </c>
      <c r="F49" s="19">
        <v>0.99354743120839195</v>
      </c>
      <c r="G49" s="19">
        <v>1</v>
      </c>
      <c r="H49" s="19">
        <v>0.90387287149083595</v>
      </c>
      <c r="I49" s="19">
        <v>5.1179683129794602E-2</v>
      </c>
      <c r="J49" s="19">
        <v>0.91946668284004496</v>
      </c>
      <c r="K49" s="19">
        <v>4.5588233395152097E-2</v>
      </c>
      <c r="L49" s="19"/>
      <c r="M49" s="19"/>
      <c r="N49" s="19"/>
      <c r="O49" s="19"/>
      <c r="P49" s="19"/>
    </row>
    <row r="50" spans="2:16" x14ac:dyDescent="0.2">
      <c r="B50" t="s">
        <v>514</v>
      </c>
      <c r="C50" t="s">
        <v>369</v>
      </c>
      <c r="D50" s="18">
        <v>42556.428055555552</v>
      </c>
      <c r="E50" t="s">
        <v>137</v>
      </c>
      <c r="F50" s="19">
        <v>0.94296670230941904</v>
      </c>
      <c r="G50" s="19">
        <v>0.85349718209980197</v>
      </c>
      <c r="H50" s="19">
        <v>0.88856606333828703</v>
      </c>
      <c r="I50" s="19">
        <v>5.0706483762728398E-2</v>
      </c>
      <c r="J50" s="19">
        <v>0.93977915265468903</v>
      </c>
      <c r="K50" s="19">
        <v>3.9216633604310797E-2</v>
      </c>
      <c r="L50" s="19"/>
      <c r="M50" s="19"/>
      <c r="N50" s="19"/>
      <c r="O50" s="19"/>
      <c r="P50" s="19"/>
    </row>
    <row r="51" spans="2:16" x14ac:dyDescent="0.2">
      <c r="B51" t="s">
        <v>611</v>
      </c>
      <c r="C51" t="s">
        <v>404</v>
      </c>
      <c r="D51" s="18">
        <v>42556.428055555552</v>
      </c>
      <c r="E51" t="s">
        <v>174</v>
      </c>
      <c r="F51" s="19">
        <v>0.96176565631292998</v>
      </c>
      <c r="G51" s="19">
        <v>0.90628068739770895</v>
      </c>
      <c r="H51" s="19">
        <v>0.89628375857952802</v>
      </c>
      <c r="I51" s="19">
        <v>4.6870863468279803E-2</v>
      </c>
      <c r="J51" s="19">
        <v>0.90183443168934196</v>
      </c>
      <c r="K51" s="19">
        <v>5.4740519223620603E-2</v>
      </c>
      <c r="L51" s="19"/>
      <c r="M51" s="19"/>
      <c r="N51" s="19"/>
      <c r="O51" s="19"/>
      <c r="P51" s="19"/>
    </row>
    <row r="52" spans="2:16" x14ac:dyDescent="0.2">
      <c r="B52" t="s">
        <v>535</v>
      </c>
      <c r="C52" t="s">
        <v>369</v>
      </c>
      <c r="D52" s="18">
        <v>42556.428055555552</v>
      </c>
      <c r="E52" t="s">
        <v>103</v>
      </c>
      <c r="F52" s="19">
        <v>0.94995038186049097</v>
      </c>
      <c r="G52" s="19">
        <v>0.81953368490708001</v>
      </c>
      <c r="H52" s="19">
        <v>0.89004359705665703</v>
      </c>
      <c r="I52" s="19">
        <v>4.6643099069139E-2</v>
      </c>
      <c r="J52" s="19">
        <v>0.89970755114911505</v>
      </c>
      <c r="K52" s="19">
        <v>4.5651227068979901E-2</v>
      </c>
      <c r="L52" s="19"/>
      <c r="M52" s="19"/>
      <c r="N52" s="19"/>
      <c r="O52" s="19"/>
      <c r="P52" s="19"/>
    </row>
    <row r="53" spans="2:16" x14ac:dyDescent="0.2">
      <c r="B53" t="s">
        <v>588</v>
      </c>
      <c r="C53" t="s">
        <v>385</v>
      </c>
      <c r="D53" s="18">
        <v>42556.428055555552</v>
      </c>
      <c r="E53" t="s">
        <v>164</v>
      </c>
      <c r="F53" s="19">
        <v>0.96856994295735299</v>
      </c>
      <c r="G53" s="19">
        <v>0.88907296039940997</v>
      </c>
      <c r="H53" s="19">
        <v>0.90955848358761004</v>
      </c>
      <c r="I53" s="19">
        <v>4.5921829533085698E-2</v>
      </c>
      <c r="J53" s="19">
        <v>0.96491714220444402</v>
      </c>
      <c r="K53" s="19">
        <v>3.5120368666195702E-2</v>
      </c>
      <c r="L53" s="252"/>
      <c r="M53" s="252"/>
      <c r="N53" s="252"/>
      <c r="O53" s="252"/>
      <c r="P53" s="252"/>
    </row>
    <row r="54" spans="2:16" x14ac:dyDescent="0.2">
      <c r="B54" t="s">
        <v>624</v>
      </c>
      <c r="C54" t="s">
        <v>404</v>
      </c>
      <c r="D54" s="18">
        <v>42556.428055555552</v>
      </c>
      <c r="E54" t="s">
        <v>179</v>
      </c>
      <c r="F54" s="19">
        <v>0.95038737761853098</v>
      </c>
      <c r="G54" s="19">
        <v>0.77528559684780496</v>
      </c>
      <c r="H54" s="19">
        <v>0.84395644879729703</v>
      </c>
      <c r="I54" s="19">
        <v>5.0155223110998903E-2</v>
      </c>
      <c r="J54" s="19">
        <v>0.89524205661178302</v>
      </c>
      <c r="K54" s="19">
        <v>4.8280029286120699E-2</v>
      </c>
      <c r="L54" s="19"/>
      <c r="M54" s="19"/>
      <c r="N54" s="19"/>
      <c r="O54" s="19"/>
      <c r="P54" s="19"/>
    </row>
    <row r="55" spans="2:16" x14ac:dyDescent="0.2">
      <c r="B55" t="s">
        <v>613</v>
      </c>
      <c r="C55" t="s">
        <v>380</v>
      </c>
      <c r="D55" s="18">
        <v>42556.428055555552</v>
      </c>
      <c r="E55" t="s">
        <v>175</v>
      </c>
      <c r="F55" s="19">
        <v>0.88313049546406097</v>
      </c>
      <c r="G55" s="19">
        <v>0.70910718645723103</v>
      </c>
      <c r="H55" s="19">
        <v>0.81229489100380303</v>
      </c>
      <c r="I55" s="19">
        <v>5.3933272903807901E-2</v>
      </c>
      <c r="J55" s="19">
        <v>0.82327842143192898</v>
      </c>
      <c r="K55" s="19">
        <v>5.6424903768481097E-2</v>
      </c>
      <c r="L55" s="19"/>
      <c r="M55" s="19"/>
      <c r="N55" s="19"/>
      <c r="O55" s="19"/>
      <c r="P55" s="19"/>
    </row>
    <row r="56" spans="2:16" x14ac:dyDescent="0.2">
      <c r="B56" t="s">
        <v>597</v>
      </c>
      <c r="C56" t="s">
        <v>404</v>
      </c>
      <c r="D56" s="18">
        <v>42556.428055555552</v>
      </c>
      <c r="E56" t="s">
        <v>168</v>
      </c>
      <c r="F56" s="19">
        <v>0.96779325023575602</v>
      </c>
      <c r="G56" s="19">
        <v>0.87364031907179096</v>
      </c>
      <c r="H56" s="19">
        <v>0.89016602074619799</v>
      </c>
      <c r="I56" s="19">
        <v>4.5304074210308798E-2</v>
      </c>
      <c r="J56" s="19">
        <v>0.93013291182195101</v>
      </c>
      <c r="K56" s="19">
        <v>3.7898654439485098E-2</v>
      </c>
      <c r="L56" s="19"/>
      <c r="M56" s="19"/>
      <c r="N56" s="19"/>
      <c r="O56" s="19"/>
      <c r="P56" s="19"/>
    </row>
    <row r="57" spans="2:16" x14ac:dyDescent="0.2">
      <c r="B57" t="s">
        <v>635</v>
      </c>
      <c r="C57" t="s">
        <v>390</v>
      </c>
      <c r="D57" s="18">
        <v>42556.428055555552</v>
      </c>
      <c r="E57" t="s">
        <v>184</v>
      </c>
      <c r="F57" s="19">
        <v>0.95675790567508201</v>
      </c>
      <c r="G57" s="19">
        <v>0.81039755351681897</v>
      </c>
      <c r="H57" s="19">
        <v>0.877275580665411</v>
      </c>
      <c r="I57" s="19">
        <v>5.4463166690014997E-2</v>
      </c>
      <c r="J57" s="19">
        <v>0.95956572769952997</v>
      </c>
      <c r="K57" s="19">
        <v>3.38285608115486E-2</v>
      </c>
      <c r="L57" s="19"/>
      <c r="M57" s="19"/>
      <c r="N57" s="19"/>
      <c r="O57" s="19"/>
      <c r="P57" s="19"/>
    </row>
    <row r="58" spans="2:16" x14ac:dyDescent="0.2">
      <c r="B58" t="s">
        <v>380</v>
      </c>
      <c r="C58" t="s">
        <v>380</v>
      </c>
      <c r="D58" s="18">
        <v>42556.428055555552</v>
      </c>
      <c r="E58" t="s">
        <v>661</v>
      </c>
      <c r="F58" s="19">
        <v>0.92574430410102804</v>
      </c>
      <c r="G58" s="19">
        <v>0.82153637237027899</v>
      </c>
      <c r="H58" s="19">
        <v>0.86913939850232103</v>
      </c>
      <c r="I58" s="19">
        <v>2.2204941282430501E-2</v>
      </c>
      <c r="J58" s="19">
        <v>0.87642825582651795</v>
      </c>
      <c r="K58" s="19">
        <v>2.9395311172146801E-2</v>
      </c>
      <c r="L58" s="19"/>
      <c r="M58" s="19"/>
      <c r="N58" s="19"/>
      <c r="O58" s="19"/>
      <c r="P58" s="19"/>
    </row>
    <row r="59" spans="2:16" x14ac:dyDescent="0.2">
      <c r="B59" t="s">
        <v>574</v>
      </c>
      <c r="C59" t="s">
        <v>390</v>
      </c>
      <c r="D59" s="18">
        <v>42556.428055555552</v>
      </c>
      <c r="E59" t="s">
        <v>158</v>
      </c>
      <c r="F59" s="19">
        <v>0.97733865379560803</v>
      </c>
      <c r="G59" s="19">
        <v>0.89801273227804501</v>
      </c>
      <c r="H59" s="19">
        <v>0.915362908480992</v>
      </c>
      <c r="I59" s="19">
        <v>4.0373743061803198E-2</v>
      </c>
      <c r="J59" s="19">
        <v>0.83440824879934805</v>
      </c>
      <c r="K59" s="19">
        <v>5.7303281977683897E-2</v>
      </c>
      <c r="L59" s="19"/>
      <c r="M59" s="19"/>
      <c r="N59" s="19"/>
      <c r="O59" s="19"/>
      <c r="P59" s="19"/>
    </row>
    <row r="60" spans="2:16" x14ac:dyDescent="0.2">
      <c r="B60" t="s">
        <v>212</v>
      </c>
      <c r="C60" t="s">
        <v>390</v>
      </c>
      <c r="D60" s="18">
        <v>42556.428055555552</v>
      </c>
      <c r="E60" t="s">
        <v>161</v>
      </c>
      <c r="F60" s="19">
        <v>0.95057287838573201</v>
      </c>
      <c r="G60" s="19">
        <v>0.91060008164376105</v>
      </c>
      <c r="H60" s="19">
        <v>0.95515693342946395</v>
      </c>
      <c r="I60" s="19">
        <v>3.5979609876492999E-2</v>
      </c>
      <c r="J60" s="19">
        <v>0.90472269728810695</v>
      </c>
      <c r="K60" s="19">
        <v>4.5788712491312E-2</v>
      </c>
      <c r="L60" s="19">
        <v>1</v>
      </c>
      <c r="M60" s="19">
        <v>0.99143651029663205</v>
      </c>
      <c r="N60" s="19">
        <v>1.2784329961668801E-2</v>
      </c>
      <c r="O60" s="19">
        <v>0.98094927418039501</v>
      </c>
      <c r="P60" s="19">
        <v>2.30989770379884E-2</v>
      </c>
    </row>
    <row r="61" spans="2:16" x14ac:dyDescent="0.2">
      <c r="B61" t="s">
        <v>580</v>
      </c>
      <c r="C61" t="s">
        <v>390</v>
      </c>
      <c r="D61" s="18">
        <v>42556.428055555552</v>
      </c>
      <c r="E61" t="s">
        <v>161</v>
      </c>
      <c r="F61" s="19">
        <v>0.95057287838573201</v>
      </c>
      <c r="G61" s="19">
        <v>0.91060008164376105</v>
      </c>
      <c r="H61" s="19">
        <v>0.95515693342946395</v>
      </c>
      <c r="I61" s="19">
        <v>3.5979609876492999E-2</v>
      </c>
      <c r="J61" s="19">
        <v>0.90472269728810695</v>
      </c>
      <c r="K61" s="19">
        <v>4.5788712491312E-2</v>
      </c>
      <c r="L61" s="19">
        <v>1</v>
      </c>
      <c r="M61" s="19">
        <v>0.99143651029663205</v>
      </c>
      <c r="N61" s="19">
        <v>1.2784329961668801E-2</v>
      </c>
      <c r="O61" s="19">
        <v>0.98094927418039501</v>
      </c>
      <c r="P61" s="19">
        <v>2.30989770379884E-2</v>
      </c>
    </row>
    <row r="62" spans="2:16" x14ac:dyDescent="0.2">
      <c r="B62" t="s">
        <v>541</v>
      </c>
      <c r="C62" t="s">
        <v>380</v>
      </c>
      <c r="D62" s="18">
        <v>42556.428055555552</v>
      </c>
      <c r="E62" t="s">
        <v>146</v>
      </c>
      <c r="F62" s="19">
        <v>0.92574360958842705</v>
      </c>
      <c r="G62" s="19">
        <v>0.79807178969428605</v>
      </c>
      <c r="H62" s="19">
        <v>0.84907403358581801</v>
      </c>
      <c r="I62" s="19">
        <v>5.5477817429652798E-2</v>
      </c>
      <c r="J62" s="19">
        <v>0.83262893391882598</v>
      </c>
      <c r="K62" s="19">
        <v>7.8835149283419406E-2</v>
      </c>
      <c r="L62" s="19"/>
      <c r="M62" s="19"/>
      <c r="N62" s="19"/>
      <c r="O62" s="19"/>
      <c r="P62" s="19"/>
    </row>
    <row r="63" spans="2:16" x14ac:dyDescent="0.2">
      <c r="B63" t="s">
        <v>627</v>
      </c>
      <c r="C63" t="s">
        <v>369</v>
      </c>
      <c r="D63" s="18">
        <v>42556.428055555552</v>
      </c>
      <c r="E63" t="s">
        <v>180</v>
      </c>
      <c r="F63" s="19">
        <v>0.95099421506928705</v>
      </c>
      <c r="G63" s="19">
        <v>0.86820493236588803</v>
      </c>
      <c r="H63" s="19">
        <v>0.882147152333979</v>
      </c>
      <c r="I63" s="19">
        <v>5.0737305494407997E-2</v>
      </c>
      <c r="J63" s="19">
        <v>0.94162719388572302</v>
      </c>
      <c r="K63" s="19">
        <v>3.6865638105428603E-2</v>
      </c>
      <c r="L63" s="19"/>
      <c r="M63" s="19"/>
      <c r="N63" s="19"/>
      <c r="O63" s="19"/>
      <c r="P63" s="19"/>
    </row>
    <row r="64" spans="2:16" x14ac:dyDescent="0.2">
      <c r="B64" t="s">
        <v>696</v>
      </c>
      <c r="C64" t="s">
        <v>6</v>
      </c>
      <c r="D64" s="18">
        <v>42556.428055555552</v>
      </c>
      <c r="E64" t="s">
        <v>437</v>
      </c>
      <c r="F64" s="19"/>
      <c r="G64" s="19"/>
      <c r="H64" s="19"/>
      <c r="I64" s="19"/>
      <c r="J64" s="19"/>
      <c r="K64" s="19"/>
      <c r="L64" s="19">
        <v>0.98909889862257405</v>
      </c>
      <c r="M64" s="19">
        <v>0.962461420830656</v>
      </c>
      <c r="N64" s="19">
        <v>1.89323408092755E-2</v>
      </c>
      <c r="O64" s="19">
        <v>0.96839693342882505</v>
      </c>
      <c r="P64" s="19">
        <v>1.7865746849166E-2</v>
      </c>
    </row>
    <row r="65" spans="2:16" x14ac:dyDescent="0.2">
      <c r="B65" t="s">
        <v>698</v>
      </c>
      <c r="C65" t="s">
        <v>6</v>
      </c>
      <c r="D65" s="18">
        <v>42556.428055555552</v>
      </c>
      <c r="E65" t="s">
        <v>437</v>
      </c>
      <c r="F65" s="19">
        <v>0.95168781246098</v>
      </c>
      <c r="G65" s="19">
        <v>0.86588343156635506</v>
      </c>
      <c r="H65" s="19">
        <v>0.885974049178335</v>
      </c>
      <c r="I65" s="19">
        <v>7.8611549572085004E-3</v>
      </c>
      <c r="J65" s="19">
        <v>0.89787886833437702</v>
      </c>
      <c r="K65" s="19">
        <v>1.1898620119243E-2</v>
      </c>
      <c r="L65" s="19">
        <v>0.98909889862257405</v>
      </c>
      <c r="M65" s="19">
        <v>0.962461420830656</v>
      </c>
      <c r="N65" s="19">
        <v>1.89323408092755E-2</v>
      </c>
      <c r="O65" s="19">
        <v>0.96839693342882505</v>
      </c>
      <c r="P65" s="19">
        <v>1.7865746849166E-2</v>
      </c>
    </row>
    <row r="66" spans="2:16" x14ac:dyDescent="0.2">
      <c r="B66" t="s">
        <v>605</v>
      </c>
      <c r="C66" t="s">
        <v>385</v>
      </c>
      <c r="D66" s="18">
        <v>42556.428055555552</v>
      </c>
      <c r="E66" t="s">
        <v>171</v>
      </c>
      <c r="F66" s="19">
        <v>0.94637202466813097</v>
      </c>
      <c r="G66" s="19">
        <v>0.91500744850259397</v>
      </c>
      <c r="H66" s="19">
        <v>0.88686771961349897</v>
      </c>
      <c r="I66" s="19">
        <v>4.7485470709738603E-2</v>
      </c>
      <c r="J66" s="19">
        <v>0.874680502987491</v>
      </c>
      <c r="K66" s="19">
        <v>5.0026952978333601E-2</v>
      </c>
      <c r="L66" s="19"/>
      <c r="M66" s="19"/>
      <c r="N66" s="19"/>
      <c r="O66" s="19"/>
      <c r="P66" s="19"/>
    </row>
    <row r="67" spans="2:16" x14ac:dyDescent="0.2">
      <c r="B67" t="s">
        <v>670</v>
      </c>
      <c r="C67" t="s">
        <v>369</v>
      </c>
      <c r="D67" s="18">
        <v>42556.428055555552</v>
      </c>
      <c r="E67" t="s">
        <v>669</v>
      </c>
      <c r="F67" s="152"/>
      <c r="G67" s="152"/>
      <c r="H67" s="152">
        <v>0.88995132366672203</v>
      </c>
      <c r="I67" s="152">
        <v>0.12137505344279099</v>
      </c>
      <c r="J67" s="152">
        <v>0.83391668862680102</v>
      </c>
      <c r="K67" s="152">
        <v>6.9000578092155998E-2</v>
      </c>
      <c r="L67" s="152"/>
      <c r="M67" s="152"/>
      <c r="N67" s="152"/>
      <c r="O67" s="152"/>
      <c r="P67" s="152"/>
    </row>
    <row r="68" spans="2:16" x14ac:dyDescent="0.2">
      <c r="B68" t="s">
        <v>629</v>
      </c>
      <c r="C68" t="s">
        <v>369</v>
      </c>
      <c r="D68" s="18">
        <v>42556.428055555552</v>
      </c>
      <c r="E68" t="s">
        <v>89</v>
      </c>
      <c r="F68" s="152">
        <v>0.92819112720934704</v>
      </c>
      <c r="G68" s="152">
        <v>0.85756607609642799</v>
      </c>
      <c r="H68" s="152">
        <v>0.86165169908625405</v>
      </c>
      <c r="I68" s="152">
        <v>4.51309145133931E-2</v>
      </c>
      <c r="J68" s="152">
        <v>0.89202927531595</v>
      </c>
      <c r="K68" s="152">
        <v>4.4870385383623999E-2</v>
      </c>
      <c r="L68" s="152"/>
      <c r="M68" s="152"/>
      <c r="N68" s="152"/>
      <c r="O68" s="152"/>
      <c r="P68" s="152"/>
    </row>
    <row r="69" spans="2:16" x14ac:dyDescent="0.2">
      <c r="B69" t="s">
        <v>639</v>
      </c>
      <c r="C69" t="s">
        <v>390</v>
      </c>
      <c r="D69" s="18">
        <v>42556.428055555552</v>
      </c>
      <c r="E69" t="s">
        <v>185</v>
      </c>
      <c r="F69" s="152">
        <v>0.89528176687167305</v>
      </c>
      <c r="G69" s="152">
        <v>0.81572469942251202</v>
      </c>
      <c r="H69" s="152">
        <v>0.88588254887097195</v>
      </c>
      <c r="I69" s="152">
        <v>5.14555711729629E-2</v>
      </c>
      <c r="J69" s="152">
        <v>0.90787479215807598</v>
      </c>
      <c r="K69" s="152">
        <v>5.9673802601130498E-2</v>
      </c>
      <c r="L69" s="152"/>
      <c r="M69" s="152"/>
      <c r="N69" s="152"/>
      <c r="O69" s="152"/>
      <c r="P69" s="152"/>
    </row>
    <row r="70" spans="2:16" x14ac:dyDescent="0.2">
      <c r="B70" t="s">
        <v>643</v>
      </c>
      <c r="C70" t="s">
        <v>369</v>
      </c>
      <c r="D70" s="18">
        <v>42556.428055555552</v>
      </c>
      <c r="E70" t="s">
        <v>187</v>
      </c>
      <c r="F70" s="152">
        <v>0.93471966306922905</v>
      </c>
      <c r="G70" s="152">
        <v>0.88203017832647501</v>
      </c>
      <c r="H70" s="152">
        <v>0.85926204227565595</v>
      </c>
      <c r="I70" s="152">
        <v>4.8008498261212298E-2</v>
      </c>
      <c r="J70" s="152">
        <v>0.918353174603175</v>
      </c>
      <c r="K70" s="152">
        <v>5.0309632027787897E-2</v>
      </c>
      <c r="L70" s="152"/>
      <c r="M70" s="152"/>
      <c r="N70" s="152"/>
      <c r="O70" s="152"/>
      <c r="P70" s="152"/>
    </row>
    <row r="71" spans="2:16" x14ac:dyDescent="0.2">
      <c r="B71" t="s">
        <v>543</v>
      </c>
      <c r="C71" t="s">
        <v>369</v>
      </c>
      <c r="D71" s="18">
        <v>42556.428055555552</v>
      </c>
      <c r="E71" t="s">
        <v>147</v>
      </c>
      <c r="F71" s="152">
        <v>0.97516311507695497</v>
      </c>
      <c r="G71" s="152">
        <v>0.89462189025807903</v>
      </c>
      <c r="H71" s="152">
        <v>0.86190657684410998</v>
      </c>
      <c r="I71" s="152">
        <v>4.8293107088046502E-2</v>
      </c>
      <c r="J71" s="152">
        <v>0.92634233480790296</v>
      </c>
      <c r="K71" s="152">
        <v>4.5502998631029898E-2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950</v>
      </c>
      <c r="C2" t="s">
        <v>951</v>
      </c>
      <c r="D2" t="s">
        <v>133</v>
      </c>
      <c r="F2" t="s">
        <v>945</v>
      </c>
      <c r="G2" t="s">
        <v>932</v>
      </c>
      <c r="H2" t="s">
        <v>933</v>
      </c>
      <c r="I2" t="s">
        <v>934</v>
      </c>
      <c r="J2" t="s">
        <v>935</v>
      </c>
      <c r="K2" t="s">
        <v>936</v>
      </c>
      <c r="L2" t="s">
        <v>937</v>
      </c>
      <c r="M2" t="s">
        <v>938</v>
      </c>
      <c r="N2" t="s">
        <v>939</v>
      </c>
      <c r="O2" t="s">
        <v>940</v>
      </c>
      <c r="P2" t="s">
        <v>941</v>
      </c>
      <c r="Q2" t="s">
        <v>942</v>
      </c>
      <c r="R2" t="s">
        <v>943</v>
      </c>
      <c r="S2" t="s">
        <v>944</v>
      </c>
      <c r="V2" t="s">
        <v>946</v>
      </c>
      <c r="W2" t="s">
        <v>932</v>
      </c>
      <c r="X2" t="s">
        <v>933</v>
      </c>
      <c r="Y2" t="s">
        <v>934</v>
      </c>
      <c r="Z2" t="s">
        <v>935</v>
      </c>
      <c r="AA2" t="s">
        <v>936</v>
      </c>
      <c r="AB2" t="s">
        <v>937</v>
      </c>
      <c r="AC2" t="s">
        <v>938</v>
      </c>
      <c r="AD2" t="s">
        <v>939</v>
      </c>
      <c r="AE2" t="s">
        <v>940</v>
      </c>
      <c r="AF2" t="s">
        <v>941</v>
      </c>
      <c r="AG2" t="s">
        <v>942</v>
      </c>
      <c r="AH2" t="s">
        <v>943</v>
      </c>
      <c r="AI2" t="s">
        <v>944</v>
      </c>
      <c r="AL2" t="s">
        <v>947</v>
      </c>
      <c r="AM2" t="s">
        <v>932</v>
      </c>
      <c r="AN2" t="s">
        <v>933</v>
      </c>
      <c r="AO2" t="s">
        <v>934</v>
      </c>
      <c r="AP2" t="s">
        <v>935</v>
      </c>
      <c r="AQ2" t="s">
        <v>936</v>
      </c>
      <c r="AR2" t="s">
        <v>937</v>
      </c>
      <c r="AS2" t="s">
        <v>938</v>
      </c>
      <c r="AT2" t="s">
        <v>939</v>
      </c>
      <c r="AU2" t="s">
        <v>940</v>
      </c>
      <c r="AV2" t="s">
        <v>941</v>
      </c>
      <c r="AW2" t="s">
        <v>942</v>
      </c>
      <c r="AX2" t="s">
        <v>943</v>
      </c>
      <c r="AY2" t="s">
        <v>944</v>
      </c>
    </row>
    <row r="3" spans="2:51" x14ac:dyDescent="0.2">
      <c r="B3" t="s">
        <v>953</v>
      </c>
      <c r="C3">
        <v>402194</v>
      </c>
      <c r="D3">
        <v>399.7064549031</v>
      </c>
      <c r="F3" t="s">
        <v>8</v>
      </c>
      <c r="G3">
        <v>10993</v>
      </c>
      <c r="P3">
        <v>10993</v>
      </c>
      <c r="Q3">
        <v>176.13802201799999</v>
      </c>
      <c r="V3" t="s">
        <v>309</v>
      </c>
      <c r="W3">
        <v>333</v>
      </c>
      <c r="X3">
        <v>215</v>
      </c>
      <c r="Y3">
        <v>355.38139534880003</v>
      </c>
      <c r="Z3">
        <v>88</v>
      </c>
      <c r="AA3">
        <v>410.35227272729998</v>
      </c>
      <c r="AB3">
        <v>80</v>
      </c>
      <c r="AC3">
        <v>453.15</v>
      </c>
      <c r="AD3">
        <v>25</v>
      </c>
      <c r="AE3">
        <v>687.44</v>
      </c>
      <c r="AF3">
        <v>12</v>
      </c>
      <c r="AG3">
        <v>216.9166666667</v>
      </c>
      <c r="AH3">
        <v>1</v>
      </c>
      <c r="AI3">
        <v>355</v>
      </c>
      <c r="AL3" t="s">
        <v>309</v>
      </c>
      <c r="AM3">
        <v>1</v>
      </c>
      <c r="AP3">
        <v>1</v>
      </c>
      <c r="AQ3">
        <v>316</v>
      </c>
      <c r="AR3">
        <v>1</v>
      </c>
      <c r="AS3">
        <v>43</v>
      </c>
    </row>
    <row r="4" spans="2:51" x14ac:dyDescent="0.2">
      <c r="B4" t="s">
        <v>952</v>
      </c>
      <c r="C4">
        <v>34325</v>
      </c>
      <c r="D4">
        <v>399.7064549031</v>
      </c>
      <c r="F4" t="s">
        <v>8</v>
      </c>
      <c r="G4">
        <v>10993</v>
      </c>
      <c r="P4">
        <v>10993</v>
      </c>
      <c r="Q4">
        <v>176.13802201799999</v>
      </c>
      <c r="V4" t="s">
        <v>8</v>
      </c>
      <c r="W4">
        <v>4355</v>
      </c>
      <c r="X4">
        <v>3221</v>
      </c>
      <c r="Y4">
        <v>481.15155279499999</v>
      </c>
      <c r="Z4">
        <v>452</v>
      </c>
      <c r="AA4">
        <v>433.84513274339997</v>
      </c>
      <c r="AB4">
        <v>462</v>
      </c>
      <c r="AC4">
        <v>427.20562770560002</v>
      </c>
      <c r="AD4">
        <v>638</v>
      </c>
      <c r="AE4">
        <v>831.8150470219</v>
      </c>
      <c r="AF4">
        <v>31</v>
      </c>
      <c r="AG4">
        <v>443.8387096774</v>
      </c>
      <c r="AH4">
        <v>3</v>
      </c>
      <c r="AI4">
        <v>416.3333333333</v>
      </c>
      <c r="AL4" t="s">
        <v>8</v>
      </c>
      <c r="AM4">
        <v>35</v>
      </c>
      <c r="AN4">
        <v>31</v>
      </c>
      <c r="AO4">
        <v>203.80645161289999</v>
      </c>
      <c r="AP4">
        <v>9</v>
      </c>
      <c r="AQ4">
        <v>334.1111111111</v>
      </c>
      <c r="AR4">
        <v>4</v>
      </c>
      <c r="AS4">
        <v>169.5</v>
      </c>
    </row>
    <row r="5" spans="2:51" x14ac:dyDescent="0.2">
      <c r="B5" t="s">
        <v>964</v>
      </c>
      <c r="C5">
        <v>25711</v>
      </c>
      <c r="D5">
        <v>542.01299054879996</v>
      </c>
      <c r="F5" t="s">
        <v>43</v>
      </c>
      <c r="G5">
        <v>591</v>
      </c>
      <c r="H5">
        <v>502</v>
      </c>
      <c r="I5">
        <v>261.87649402390002</v>
      </c>
      <c r="J5">
        <v>44</v>
      </c>
      <c r="K5">
        <v>550.25</v>
      </c>
      <c r="L5">
        <v>74</v>
      </c>
      <c r="M5">
        <v>188.29729729729999</v>
      </c>
      <c r="N5">
        <v>14</v>
      </c>
      <c r="O5">
        <v>338.42857142859998</v>
      </c>
      <c r="R5">
        <v>1</v>
      </c>
      <c r="S5">
        <v>101</v>
      </c>
      <c r="V5" t="s">
        <v>8</v>
      </c>
      <c r="W5">
        <v>4688</v>
      </c>
      <c r="X5">
        <v>3436</v>
      </c>
      <c r="Y5">
        <v>473.2794759825</v>
      </c>
      <c r="Z5">
        <v>540</v>
      </c>
      <c r="AA5">
        <v>430.01666666670002</v>
      </c>
      <c r="AB5">
        <v>542</v>
      </c>
      <c r="AC5">
        <v>431.03505535059998</v>
      </c>
      <c r="AD5">
        <v>663</v>
      </c>
      <c r="AE5">
        <v>826.37104072399995</v>
      </c>
      <c r="AF5">
        <v>43</v>
      </c>
      <c r="AG5">
        <v>380.51162790699999</v>
      </c>
      <c r="AH5">
        <v>4</v>
      </c>
      <c r="AI5">
        <v>401</v>
      </c>
      <c r="AL5" t="s">
        <v>8</v>
      </c>
      <c r="AM5">
        <v>36</v>
      </c>
      <c r="AN5">
        <v>31</v>
      </c>
      <c r="AO5">
        <v>203.80645161289999</v>
      </c>
      <c r="AP5">
        <v>10</v>
      </c>
      <c r="AQ5">
        <v>332.3</v>
      </c>
      <c r="AR5">
        <v>5</v>
      </c>
      <c r="AS5">
        <v>144.19999999999999</v>
      </c>
    </row>
    <row r="6" spans="2:51" x14ac:dyDescent="0.2">
      <c r="B6" t="s">
        <v>241</v>
      </c>
      <c r="C6">
        <v>51854</v>
      </c>
      <c r="D6">
        <v>542.23733945310005</v>
      </c>
      <c r="F6" t="s">
        <v>37</v>
      </c>
      <c r="G6">
        <v>8294</v>
      </c>
      <c r="H6">
        <v>6699</v>
      </c>
      <c r="I6">
        <v>441.34094640990003</v>
      </c>
      <c r="J6">
        <v>335</v>
      </c>
      <c r="K6">
        <v>954.11343283580004</v>
      </c>
      <c r="L6">
        <v>1087</v>
      </c>
      <c r="M6">
        <v>635.98160073600002</v>
      </c>
      <c r="N6">
        <v>487</v>
      </c>
      <c r="O6">
        <v>595.71868583160006</v>
      </c>
      <c r="R6">
        <v>21</v>
      </c>
      <c r="S6">
        <v>471.3333333333</v>
      </c>
      <c r="V6" t="s">
        <v>399</v>
      </c>
      <c r="W6">
        <v>1492</v>
      </c>
      <c r="X6">
        <v>843</v>
      </c>
      <c r="Y6">
        <v>185.3724792408</v>
      </c>
      <c r="Z6">
        <v>162</v>
      </c>
      <c r="AA6">
        <v>283.4259259259</v>
      </c>
      <c r="AB6">
        <v>464</v>
      </c>
      <c r="AC6">
        <v>303.35560344829997</v>
      </c>
      <c r="AD6">
        <v>118</v>
      </c>
      <c r="AE6">
        <v>310.79661016950001</v>
      </c>
      <c r="AF6">
        <v>64</v>
      </c>
      <c r="AG6">
        <v>188.765625</v>
      </c>
      <c r="AH6">
        <v>3</v>
      </c>
      <c r="AI6">
        <v>186</v>
      </c>
      <c r="AL6" t="s">
        <v>399</v>
      </c>
      <c r="AM6">
        <v>34</v>
      </c>
      <c r="AN6">
        <v>24</v>
      </c>
      <c r="AO6">
        <v>111.5833333333</v>
      </c>
      <c r="AP6">
        <v>16</v>
      </c>
      <c r="AQ6">
        <v>205.3125</v>
      </c>
      <c r="AR6">
        <v>10</v>
      </c>
      <c r="AS6">
        <v>202.8</v>
      </c>
    </row>
    <row r="7" spans="2:51" x14ac:dyDescent="0.2">
      <c r="B7" t="s">
        <v>240</v>
      </c>
      <c r="C7">
        <v>233528</v>
      </c>
      <c r="D7">
        <v>405.81689012980002</v>
      </c>
      <c r="F7" t="s">
        <v>42</v>
      </c>
      <c r="G7">
        <v>5162</v>
      </c>
      <c r="H7">
        <v>3601</v>
      </c>
      <c r="I7">
        <v>373.136073313</v>
      </c>
      <c r="J7">
        <v>842</v>
      </c>
      <c r="K7">
        <v>480.80166270780001</v>
      </c>
      <c r="L7">
        <v>970</v>
      </c>
      <c r="M7">
        <v>459.88556701030001</v>
      </c>
      <c r="N7">
        <v>543</v>
      </c>
      <c r="O7">
        <v>402.16758747699998</v>
      </c>
      <c r="R7">
        <v>48</v>
      </c>
      <c r="S7">
        <v>395.875</v>
      </c>
      <c r="V7" t="s">
        <v>391</v>
      </c>
      <c r="W7">
        <v>12698</v>
      </c>
      <c r="X7">
        <v>9412</v>
      </c>
      <c r="Y7">
        <v>641.7760305992</v>
      </c>
      <c r="Z7">
        <v>679</v>
      </c>
      <c r="AA7">
        <v>946.28424153169999</v>
      </c>
      <c r="AB7">
        <v>2307</v>
      </c>
      <c r="AC7">
        <v>1165.5925444300001</v>
      </c>
      <c r="AD7">
        <v>757</v>
      </c>
      <c r="AE7">
        <v>904.21268163800005</v>
      </c>
      <c r="AF7">
        <v>202</v>
      </c>
      <c r="AG7">
        <v>177.0148514851</v>
      </c>
      <c r="AH7">
        <v>20</v>
      </c>
      <c r="AI7">
        <v>772.45</v>
      </c>
      <c r="AL7" t="s">
        <v>391</v>
      </c>
      <c r="AM7">
        <v>303</v>
      </c>
      <c r="AN7">
        <v>205</v>
      </c>
      <c r="AO7">
        <v>396.41463414629999</v>
      </c>
      <c r="AP7">
        <v>28</v>
      </c>
      <c r="AQ7">
        <v>840.28571428570001</v>
      </c>
      <c r="AR7">
        <v>94</v>
      </c>
      <c r="AS7">
        <v>366.11702127659998</v>
      </c>
      <c r="AT7">
        <v>4</v>
      </c>
      <c r="AU7">
        <v>931.75</v>
      </c>
    </row>
    <row r="8" spans="2:51" x14ac:dyDescent="0.2">
      <c r="B8" t="s">
        <v>242</v>
      </c>
      <c r="C8">
        <v>22686</v>
      </c>
      <c r="D8">
        <v>506.87794338129999</v>
      </c>
      <c r="F8" t="s">
        <v>50</v>
      </c>
      <c r="G8">
        <v>1162</v>
      </c>
      <c r="H8">
        <v>529</v>
      </c>
      <c r="I8">
        <v>300.1077504726</v>
      </c>
      <c r="J8">
        <v>455</v>
      </c>
      <c r="K8">
        <v>331.73626373629997</v>
      </c>
      <c r="L8">
        <v>474</v>
      </c>
      <c r="M8">
        <v>189.2510548523</v>
      </c>
      <c r="N8">
        <v>158</v>
      </c>
      <c r="O8">
        <v>210.81645569619999</v>
      </c>
      <c r="R8">
        <v>1</v>
      </c>
      <c r="S8">
        <v>222</v>
      </c>
      <c r="V8" t="s">
        <v>422</v>
      </c>
      <c r="W8">
        <v>1321</v>
      </c>
      <c r="X8">
        <v>906</v>
      </c>
      <c r="Y8">
        <v>207.2461368653</v>
      </c>
      <c r="Z8">
        <v>159</v>
      </c>
      <c r="AA8">
        <v>309.17610062889997</v>
      </c>
      <c r="AB8">
        <v>145</v>
      </c>
      <c r="AC8">
        <v>180.78620689659999</v>
      </c>
      <c r="AD8">
        <v>170</v>
      </c>
      <c r="AE8">
        <v>395.59411764710001</v>
      </c>
      <c r="AF8">
        <v>95</v>
      </c>
      <c r="AG8">
        <v>149.58947368419999</v>
      </c>
      <c r="AH8">
        <v>5</v>
      </c>
      <c r="AI8">
        <v>350.2</v>
      </c>
      <c r="AL8" t="s">
        <v>422</v>
      </c>
      <c r="AM8">
        <v>25</v>
      </c>
      <c r="AN8">
        <v>21</v>
      </c>
      <c r="AO8">
        <v>157.57142857139999</v>
      </c>
      <c r="AP8">
        <v>6</v>
      </c>
      <c r="AQ8">
        <v>224.5</v>
      </c>
      <c r="AR8">
        <v>4</v>
      </c>
      <c r="AS8">
        <v>277.5</v>
      </c>
    </row>
    <row r="9" spans="2:51" x14ac:dyDescent="0.2">
      <c r="B9" t="s">
        <v>243</v>
      </c>
      <c r="C9">
        <v>10993</v>
      </c>
      <c r="D9">
        <v>176.13802201799999</v>
      </c>
      <c r="F9" t="s">
        <v>81</v>
      </c>
      <c r="G9">
        <v>1331</v>
      </c>
      <c r="H9">
        <v>1016</v>
      </c>
      <c r="I9">
        <v>242.4783464567</v>
      </c>
      <c r="J9">
        <v>205</v>
      </c>
      <c r="K9">
        <v>357.49756097559998</v>
      </c>
      <c r="L9">
        <v>131</v>
      </c>
      <c r="M9">
        <v>137.13740458020001</v>
      </c>
      <c r="N9">
        <v>180</v>
      </c>
      <c r="O9">
        <v>381.63333333330002</v>
      </c>
      <c r="R9">
        <v>4</v>
      </c>
      <c r="S9">
        <v>180.25</v>
      </c>
      <c r="V9" t="s">
        <v>392</v>
      </c>
      <c r="W9">
        <v>8135</v>
      </c>
      <c r="X9">
        <v>6288</v>
      </c>
      <c r="Y9">
        <v>503.41603053440002</v>
      </c>
      <c r="Z9">
        <v>381</v>
      </c>
      <c r="AA9">
        <v>887.53018372700001</v>
      </c>
      <c r="AB9">
        <v>1335</v>
      </c>
      <c r="AC9">
        <v>901.08239700369995</v>
      </c>
      <c r="AD9">
        <v>399</v>
      </c>
      <c r="AE9">
        <v>700.81453634089996</v>
      </c>
      <c r="AF9">
        <v>112</v>
      </c>
      <c r="AG9">
        <v>160.96428571429999</v>
      </c>
      <c r="AH9">
        <v>1</v>
      </c>
      <c r="AI9">
        <v>345</v>
      </c>
      <c r="AL9" t="s">
        <v>392</v>
      </c>
      <c r="AM9">
        <v>146</v>
      </c>
      <c r="AN9">
        <v>116</v>
      </c>
      <c r="AO9">
        <v>375.8362068966</v>
      </c>
      <c r="AP9">
        <v>14</v>
      </c>
      <c r="AQ9">
        <v>630.85714285710003</v>
      </c>
      <c r="AR9">
        <v>28</v>
      </c>
      <c r="AS9">
        <v>191.57142857139999</v>
      </c>
      <c r="AT9">
        <v>2</v>
      </c>
      <c r="AU9">
        <v>160</v>
      </c>
    </row>
    <row r="10" spans="2:51" x14ac:dyDescent="0.2">
      <c r="B10" t="s">
        <v>948</v>
      </c>
      <c r="C10">
        <v>646</v>
      </c>
      <c r="D10">
        <v>441.2012383901</v>
      </c>
      <c r="F10" t="s">
        <v>76</v>
      </c>
      <c r="G10">
        <v>3803</v>
      </c>
      <c r="H10">
        <v>1829</v>
      </c>
      <c r="I10">
        <v>209.33406232909999</v>
      </c>
      <c r="J10">
        <v>841</v>
      </c>
      <c r="K10">
        <v>322.33055885850001</v>
      </c>
      <c r="L10">
        <v>1895</v>
      </c>
      <c r="M10">
        <v>358.09498680740001</v>
      </c>
      <c r="N10">
        <v>78</v>
      </c>
      <c r="O10">
        <v>233.28205128210001</v>
      </c>
      <c r="R10">
        <v>1</v>
      </c>
      <c r="S10">
        <v>17</v>
      </c>
      <c r="V10" t="s">
        <v>394</v>
      </c>
      <c r="W10">
        <v>8465</v>
      </c>
      <c r="X10">
        <v>6611</v>
      </c>
      <c r="Y10">
        <v>439.73680229920001</v>
      </c>
      <c r="Z10">
        <v>345</v>
      </c>
      <c r="AA10">
        <v>912.07246376809996</v>
      </c>
      <c r="AB10">
        <v>1086</v>
      </c>
      <c r="AC10">
        <v>630.01104972380006</v>
      </c>
      <c r="AD10">
        <v>489</v>
      </c>
      <c r="AE10">
        <v>577.58077709609995</v>
      </c>
      <c r="AF10">
        <v>258</v>
      </c>
      <c r="AG10">
        <v>164.1356589147</v>
      </c>
      <c r="AH10">
        <v>21</v>
      </c>
      <c r="AI10">
        <v>471.3333333333</v>
      </c>
      <c r="AL10" t="s">
        <v>394</v>
      </c>
      <c r="AM10">
        <v>313</v>
      </c>
      <c r="AN10">
        <v>205</v>
      </c>
      <c r="AO10">
        <v>385.7853658537</v>
      </c>
      <c r="AP10">
        <v>26</v>
      </c>
      <c r="AQ10">
        <v>567.61538461539999</v>
      </c>
      <c r="AR10">
        <v>102</v>
      </c>
      <c r="AS10">
        <v>401.1274509804</v>
      </c>
      <c r="AT10">
        <v>6</v>
      </c>
      <c r="AU10">
        <v>260.5</v>
      </c>
    </row>
    <row r="11" spans="2:51" x14ac:dyDescent="0.2">
      <c r="F11" t="s">
        <v>38</v>
      </c>
      <c r="G11">
        <v>12616</v>
      </c>
      <c r="H11">
        <v>9470</v>
      </c>
      <c r="I11">
        <v>649.07729672649998</v>
      </c>
      <c r="J11">
        <v>575</v>
      </c>
      <c r="K11">
        <v>1001.1669565216999</v>
      </c>
      <c r="L11">
        <v>2363</v>
      </c>
      <c r="M11">
        <v>1184.5196783749</v>
      </c>
      <c r="N11">
        <v>764</v>
      </c>
      <c r="O11">
        <v>915.94633507850006</v>
      </c>
      <c r="R11">
        <v>19</v>
      </c>
      <c r="S11">
        <v>787.05263157889999</v>
      </c>
      <c r="V11" t="s">
        <v>395</v>
      </c>
      <c r="W11">
        <v>5249</v>
      </c>
      <c r="X11">
        <v>3403</v>
      </c>
      <c r="Y11">
        <v>359.22215692039998</v>
      </c>
      <c r="Z11">
        <v>674</v>
      </c>
      <c r="AA11">
        <v>440.16172106819999</v>
      </c>
      <c r="AB11">
        <v>968</v>
      </c>
      <c r="AC11">
        <v>476.48140495870001</v>
      </c>
      <c r="AD11">
        <v>542</v>
      </c>
      <c r="AE11">
        <v>413.26383763839999</v>
      </c>
      <c r="AF11">
        <v>286</v>
      </c>
      <c r="AG11">
        <v>166.66433566430001</v>
      </c>
      <c r="AH11">
        <v>50</v>
      </c>
      <c r="AI11">
        <v>384.22</v>
      </c>
      <c r="AL11" t="s">
        <v>395</v>
      </c>
      <c r="AM11">
        <v>229</v>
      </c>
      <c r="AN11">
        <v>177</v>
      </c>
      <c r="AO11">
        <v>367.20903954800002</v>
      </c>
      <c r="AP11">
        <v>18</v>
      </c>
      <c r="AQ11">
        <v>539.7777777778</v>
      </c>
      <c r="AR11">
        <v>43</v>
      </c>
      <c r="AS11">
        <v>315.79069767440001</v>
      </c>
      <c r="AT11">
        <v>8</v>
      </c>
      <c r="AU11">
        <v>484.125</v>
      </c>
      <c r="AV11">
        <v>1</v>
      </c>
      <c r="AW11">
        <v>108</v>
      </c>
    </row>
    <row r="12" spans="2:51" x14ac:dyDescent="0.2">
      <c r="F12" t="s">
        <v>56</v>
      </c>
      <c r="G12">
        <v>3112</v>
      </c>
      <c r="H12">
        <v>2671</v>
      </c>
      <c r="I12">
        <v>326.93260950950003</v>
      </c>
      <c r="J12">
        <v>379</v>
      </c>
      <c r="K12">
        <v>324.8205804749</v>
      </c>
      <c r="L12">
        <v>397</v>
      </c>
      <c r="M12">
        <v>327.52896725440002</v>
      </c>
      <c r="N12">
        <v>44</v>
      </c>
      <c r="O12">
        <v>144.25</v>
      </c>
      <c r="V12" t="s">
        <v>397</v>
      </c>
      <c r="W12">
        <v>6259</v>
      </c>
      <c r="X12">
        <v>5283</v>
      </c>
      <c r="Y12">
        <v>289.56937346199999</v>
      </c>
      <c r="Z12">
        <v>552</v>
      </c>
      <c r="AA12">
        <v>523.89492753620004</v>
      </c>
      <c r="AB12">
        <v>339</v>
      </c>
      <c r="AC12">
        <v>214.37168141590001</v>
      </c>
      <c r="AD12">
        <v>377</v>
      </c>
      <c r="AE12">
        <v>386.29442970820003</v>
      </c>
      <c r="AF12">
        <v>246</v>
      </c>
      <c r="AG12">
        <v>184.74390243900001</v>
      </c>
      <c r="AH12">
        <v>14</v>
      </c>
      <c r="AI12">
        <v>378.64285714290003</v>
      </c>
      <c r="AL12" t="s">
        <v>397</v>
      </c>
      <c r="AM12">
        <v>217</v>
      </c>
      <c r="AN12">
        <v>174</v>
      </c>
      <c r="AO12">
        <v>341.70689655170003</v>
      </c>
      <c r="AP12">
        <v>11</v>
      </c>
      <c r="AQ12">
        <v>571.27272727269997</v>
      </c>
      <c r="AR12">
        <v>39</v>
      </c>
      <c r="AS12">
        <v>236.358974359</v>
      </c>
      <c r="AT12">
        <v>4</v>
      </c>
      <c r="AU12">
        <v>371.5</v>
      </c>
    </row>
    <row r="13" spans="2:51" x14ac:dyDescent="0.2">
      <c r="F13" t="s">
        <v>75</v>
      </c>
      <c r="G13">
        <v>5910</v>
      </c>
      <c r="H13">
        <v>5244</v>
      </c>
      <c r="I13">
        <v>284.29977116700002</v>
      </c>
      <c r="J13">
        <v>549</v>
      </c>
      <c r="K13">
        <v>525.92167577409998</v>
      </c>
      <c r="L13">
        <v>272</v>
      </c>
      <c r="M13">
        <v>134.4080882353</v>
      </c>
      <c r="N13">
        <v>379</v>
      </c>
      <c r="O13">
        <v>387.23746701850001</v>
      </c>
      <c r="R13">
        <v>15</v>
      </c>
      <c r="S13">
        <v>372.13333333330002</v>
      </c>
      <c r="V13" t="s">
        <v>400</v>
      </c>
      <c r="W13">
        <v>1076</v>
      </c>
      <c r="X13">
        <v>291</v>
      </c>
      <c r="Y13">
        <v>121.3986254296</v>
      </c>
      <c r="Z13">
        <v>281</v>
      </c>
      <c r="AA13">
        <v>217.36298932380001</v>
      </c>
      <c r="AB13">
        <v>502</v>
      </c>
      <c r="AC13">
        <v>223.21314741040001</v>
      </c>
      <c r="AD13">
        <v>160</v>
      </c>
      <c r="AE13">
        <v>214.9375</v>
      </c>
      <c r="AF13">
        <v>122</v>
      </c>
      <c r="AG13">
        <v>169.4426229508</v>
      </c>
      <c r="AH13">
        <v>1</v>
      </c>
      <c r="AI13">
        <v>222</v>
      </c>
      <c r="AL13" t="s">
        <v>400</v>
      </c>
      <c r="AM13">
        <v>16</v>
      </c>
      <c r="AN13">
        <v>8</v>
      </c>
      <c r="AO13">
        <v>150.875</v>
      </c>
      <c r="AP13">
        <v>2</v>
      </c>
      <c r="AQ13">
        <v>254</v>
      </c>
      <c r="AR13">
        <v>7</v>
      </c>
      <c r="AS13">
        <v>103</v>
      </c>
      <c r="AT13">
        <v>1</v>
      </c>
      <c r="AU13">
        <v>96</v>
      </c>
    </row>
    <row r="14" spans="2:51" x14ac:dyDescent="0.2">
      <c r="F14" t="s">
        <v>41</v>
      </c>
      <c r="G14">
        <v>1478</v>
      </c>
      <c r="H14">
        <v>882</v>
      </c>
      <c r="I14">
        <v>188.10204081629999</v>
      </c>
      <c r="J14">
        <v>210</v>
      </c>
      <c r="K14">
        <v>347.9238095238</v>
      </c>
      <c r="L14">
        <v>472</v>
      </c>
      <c r="M14">
        <v>298.04872881360001</v>
      </c>
      <c r="N14">
        <v>121</v>
      </c>
      <c r="O14">
        <v>312.79338842980002</v>
      </c>
      <c r="R14">
        <v>3</v>
      </c>
      <c r="S14">
        <v>186</v>
      </c>
      <c r="V14" t="s">
        <v>401</v>
      </c>
      <c r="W14">
        <v>2190</v>
      </c>
      <c r="X14">
        <v>1046</v>
      </c>
      <c r="Y14">
        <v>170.7323135755</v>
      </c>
      <c r="Z14">
        <v>462</v>
      </c>
      <c r="AA14">
        <v>207.93722943719999</v>
      </c>
      <c r="AB14">
        <v>909</v>
      </c>
      <c r="AC14">
        <v>277.82068206819997</v>
      </c>
      <c r="AD14">
        <v>69</v>
      </c>
      <c r="AE14">
        <v>260.884057971</v>
      </c>
      <c r="AF14">
        <v>165</v>
      </c>
      <c r="AG14">
        <v>149.07272727270001</v>
      </c>
      <c r="AH14">
        <v>1</v>
      </c>
      <c r="AI14">
        <v>17</v>
      </c>
      <c r="AL14" t="s">
        <v>401</v>
      </c>
      <c r="AM14">
        <v>28</v>
      </c>
      <c r="AN14">
        <v>18</v>
      </c>
      <c r="AO14">
        <v>99.944444444400006</v>
      </c>
      <c r="AP14">
        <v>17</v>
      </c>
      <c r="AQ14">
        <v>233.3529411765</v>
      </c>
      <c r="AR14">
        <v>6</v>
      </c>
      <c r="AS14">
        <v>92</v>
      </c>
      <c r="AT14">
        <v>4</v>
      </c>
      <c r="AU14">
        <v>207.5</v>
      </c>
    </row>
    <row r="15" spans="2:51" x14ac:dyDescent="0.2">
      <c r="F15" t="s">
        <v>74</v>
      </c>
      <c r="G15">
        <v>252</v>
      </c>
      <c r="H15">
        <v>124</v>
      </c>
      <c r="I15">
        <v>312.8548387097</v>
      </c>
      <c r="J15">
        <v>113</v>
      </c>
      <c r="K15">
        <v>253.2920353982</v>
      </c>
      <c r="L15">
        <v>87</v>
      </c>
      <c r="M15">
        <v>222.37931034479999</v>
      </c>
      <c r="N15">
        <v>34</v>
      </c>
      <c r="O15">
        <v>219.70588235290001</v>
      </c>
      <c r="R15">
        <v>7</v>
      </c>
      <c r="S15">
        <v>364</v>
      </c>
      <c r="V15" t="s">
        <v>396</v>
      </c>
      <c r="W15">
        <v>3183</v>
      </c>
      <c r="X15">
        <v>2619</v>
      </c>
      <c r="Y15">
        <v>332.31080565100001</v>
      </c>
      <c r="Z15">
        <v>367</v>
      </c>
      <c r="AA15">
        <v>329.78474114440002</v>
      </c>
      <c r="AB15">
        <v>401</v>
      </c>
      <c r="AC15">
        <v>320.06483790520002</v>
      </c>
      <c r="AD15">
        <v>56</v>
      </c>
      <c r="AE15">
        <v>216.67857142860001</v>
      </c>
      <c r="AF15">
        <v>106</v>
      </c>
      <c r="AG15">
        <v>145.62264150940001</v>
      </c>
      <c r="AH15">
        <v>1</v>
      </c>
      <c r="AI15">
        <v>235</v>
      </c>
      <c r="AL15" t="s">
        <v>396</v>
      </c>
      <c r="AM15">
        <v>94</v>
      </c>
      <c r="AN15">
        <v>73</v>
      </c>
      <c r="AO15">
        <v>339.41095890410003</v>
      </c>
      <c r="AP15">
        <v>9</v>
      </c>
      <c r="AQ15">
        <v>386.1111111111</v>
      </c>
      <c r="AR15">
        <v>18</v>
      </c>
      <c r="AS15">
        <v>476.44444444440001</v>
      </c>
      <c r="AT15">
        <v>3</v>
      </c>
      <c r="AU15">
        <v>340</v>
      </c>
    </row>
    <row r="16" spans="2:51" x14ac:dyDescent="0.2">
      <c r="F16" t="s">
        <v>48</v>
      </c>
      <c r="G16">
        <v>8080</v>
      </c>
      <c r="H16">
        <v>6345</v>
      </c>
      <c r="I16">
        <v>510.37241922769999</v>
      </c>
      <c r="J16">
        <v>281</v>
      </c>
      <c r="K16">
        <v>1047.4626334520001</v>
      </c>
      <c r="L16">
        <v>1330</v>
      </c>
      <c r="M16">
        <v>926.19849624059998</v>
      </c>
      <c r="N16">
        <v>404</v>
      </c>
      <c r="O16">
        <v>701.53217821780004</v>
      </c>
      <c r="R16">
        <v>1</v>
      </c>
      <c r="S16">
        <v>345</v>
      </c>
      <c r="V16" t="s">
        <v>419</v>
      </c>
      <c r="W16">
        <v>472</v>
      </c>
      <c r="X16">
        <v>380</v>
      </c>
      <c r="Y16">
        <v>272.33947368420002</v>
      </c>
      <c r="Z16">
        <v>32</v>
      </c>
      <c r="AA16">
        <v>536.78125</v>
      </c>
      <c r="AB16">
        <v>61</v>
      </c>
      <c r="AC16">
        <v>326.63934426230003</v>
      </c>
      <c r="AD16">
        <v>10</v>
      </c>
      <c r="AE16">
        <v>357.5</v>
      </c>
      <c r="AF16">
        <v>20</v>
      </c>
      <c r="AG16">
        <v>198</v>
      </c>
      <c r="AH16">
        <v>1</v>
      </c>
      <c r="AI16">
        <v>101</v>
      </c>
      <c r="AL16" t="s">
        <v>419</v>
      </c>
      <c r="AM16">
        <v>3</v>
      </c>
      <c r="AN16">
        <v>2</v>
      </c>
      <c r="AO16">
        <v>163</v>
      </c>
      <c r="AP16">
        <v>2</v>
      </c>
      <c r="AQ16">
        <v>257</v>
      </c>
      <c r="AR16">
        <v>1</v>
      </c>
      <c r="AS16">
        <v>110</v>
      </c>
    </row>
    <row r="17" spans="6:51" x14ac:dyDescent="0.2">
      <c r="F17" t="s">
        <v>390</v>
      </c>
      <c r="G17">
        <v>51791</v>
      </c>
      <c r="H17">
        <v>38912</v>
      </c>
      <c r="I17">
        <v>441.3429019326</v>
      </c>
      <c r="J17">
        <v>4829</v>
      </c>
      <c r="K17">
        <v>544.11120314760001</v>
      </c>
      <c r="L17">
        <v>9552</v>
      </c>
      <c r="M17">
        <v>659.03193048579999</v>
      </c>
      <c r="N17">
        <v>3206</v>
      </c>
      <c r="O17">
        <v>566.14441671869997</v>
      </c>
      <c r="R17">
        <v>121</v>
      </c>
      <c r="S17">
        <v>445.8512396694</v>
      </c>
      <c r="V17" t="s">
        <v>420</v>
      </c>
      <c r="W17">
        <v>180</v>
      </c>
      <c r="X17">
        <v>54</v>
      </c>
      <c r="Y17">
        <v>253.7222222222</v>
      </c>
      <c r="Z17">
        <v>29</v>
      </c>
      <c r="AA17">
        <v>215.68965517239999</v>
      </c>
      <c r="AB17">
        <v>44</v>
      </c>
      <c r="AC17">
        <v>320.97727272729998</v>
      </c>
      <c r="AD17">
        <v>36</v>
      </c>
      <c r="AE17">
        <v>298.0833333333</v>
      </c>
      <c r="AF17">
        <v>39</v>
      </c>
      <c r="AG17">
        <v>272.41025641030001</v>
      </c>
      <c r="AH17">
        <v>7</v>
      </c>
      <c r="AI17">
        <v>364</v>
      </c>
      <c r="AL17" t="s">
        <v>420</v>
      </c>
      <c r="AM17">
        <v>9</v>
      </c>
      <c r="AN17">
        <v>7</v>
      </c>
      <c r="AO17">
        <v>198.42857142860001</v>
      </c>
      <c r="AP17">
        <v>2</v>
      </c>
      <c r="AQ17">
        <v>188</v>
      </c>
      <c r="AR17">
        <v>2</v>
      </c>
      <c r="AS17">
        <v>261</v>
      </c>
    </row>
    <row r="18" spans="6:51" x14ac:dyDescent="0.2">
      <c r="F18" t="s">
        <v>68</v>
      </c>
      <c r="G18">
        <v>2995</v>
      </c>
      <c r="H18">
        <v>2449</v>
      </c>
      <c r="I18">
        <v>310.51694569210002</v>
      </c>
      <c r="J18">
        <v>317</v>
      </c>
      <c r="K18">
        <v>454.01261829650002</v>
      </c>
      <c r="L18">
        <v>366</v>
      </c>
      <c r="M18">
        <v>292.12568306010002</v>
      </c>
      <c r="N18">
        <v>177</v>
      </c>
      <c r="O18">
        <v>508.1751412429</v>
      </c>
      <c r="R18">
        <v>3</v>
      </c>
      <c r="S18">
        <v>892</v>
      </c>
      <c r="V18" t="s">
        <v>390</v>
      </c>
      <c r="W18">
        <v>50720</v>
      </c>
      <c r="X18">
        <v>37136</v>
      </c>
      <c r="Y18">
        <v>441.90712516159999</v>
      </c>
      <c r="Z18">
        <v>4123</v>
      </c>
      <c r="AA18">
        <v>552.48193063300005</v>
      </c>
      <c r="AB18">
        <v>8561</v>
      </c>
      <c r="AC18">
        <v>677.96075224859999</v>
      </c>
      <c r="AD18">
        <v>3183</v>
      </c>
      <c r="AE18">
        <v>565.1677662582</v>
      </c>
      <c r="AF18">
        <v>1715</v>
      </c>
      <c r="AG18">
        <v>169.57784256560001</v>
      </c>
      <c r="AH18">
        <v>125</v>
      </c>
      <c r="AI18">
        <v>445.08800000000002</v>
      </c>
      <c r="AL18" t="s">
        <v>390</v>
      </c>
      <c r="AM18">
        <v>1417</v>
      </c>
      <c r="AN18">
        <v>1030</v>
      </c>
      <c r="AO18">
        <v>353.2873786408</v>
      </c>
      <c r="AP18">
        <v>151</v>
      </c>
      <c r="AQ18">
        <v>507.21854304639999</v>
      </c>
      <c r="AR18">
        <v>354</v>
      </c>
      <c r="AS18">
        <v>330.81920903949998</v>
      </c>
      <c r="AT18">
        <v>32</v>
      </c>
      <c r="AU18">
        <v>403.59375</v>
      </c>
      <c r="AV18">
        <v>1</v>
      </c>
      <c r="AW18">
        <v>108</v>
      </c>
    </row>
    <row r="19" spans="6:51" x14ac:dyDescent="0.2">
      <c r="F19" t="s">
        <v>34</v>
      </c>
      <c r="G19">
        <v>824</v>
      </c>
      <c r="H19">
        <v>541</v>
      </c>
      <c r="I19">
        <v>240.04251386320001</v>
      </c>
      <c r="J19">
        <v>119</v>
      </c>
      <c r="K19">
        <v>378.12605042019999</v>
      </c>
      <c r="L19">
        <v>135</v>
      </c>
      <c r="M19">
        <v>211.8888888889</v>
      </c>
      <c r="N19">
        <v>145</v>
      </c>
      <c r="O19">
        <v>539.62758620689999</v>
      </c>
      <c r="R19">
        <v>3</v>
      </c>
      <c r="S19">
        <v>388.3333333333</v>
      </c>
      <c r="V19" t="s">
        <v>408</v>
      </c>
      <c r="W19">
        <v>897</v>
      </c>
      <c r="X19">
        <v>547</v>
      </c>
      <c r="Y19">
        <v>253.42778793420001</v>
      </c>
      <c r="Z19">
        <v>124</v>
      </c>
      <c r="AA19">
        <v>395.19354838710001</v>
      </c>
      <c r="AB19">
        <v>137</v>
      </c>
      <c r="AC19">
        <v>246.0802919708</v>
      </c>
      <c r="AD19">
        <v>140</v>
      </c>
      <c r="AE19">
        <v>516.24285714289999</v>
      </c>
      <c r="AF19">
        <v>70</v>
      </c>
      <c r="AG19">
        <v>184.3857142857</v>
      </c>
      <c r="AH19">
        <v>3</v>
      </c>
      <c r="AI19">
        <v>388.3333333333</v>
      </c>
      <c r="AL19" t="s">
        <v>408</v>
      </c>
      <c r="AM19">
        <v>6</v>
      </c>
      <c r="AN19">
        <v>3</v>
      </c>
      <c r="AO19">
        <v>97.333333333300004</v>
      </c>
      <c r="AP19">
        <v>4</v>
      </c>
      <c r="AQ19">
        <v>236.5</v>
      </c>
      <c r="AR19">
        <v>3</v>
      </c>
      <c r="AS19">
        <v>84</v>
      </c>
    </row>
    <row r="20" spans="6:51" x14ac:dyDescent="0.2">
      <c r="F20" t="s">
        <v>55</v>
      </c>
      <c r="G20">
        <v>893</v>
      </c>
      <c r="H20">
        <v>398</v>
      </c>
      <c r="I20">
        <v>267.8040201005</v>
      </c>
      <c r="J20">
        <v>303</v>
      </c>
      <c r="K20">
        <v>341.02640264029998</v>
      </c>
      <c r="L20">
        <v>189</v>
      </c>
      <c r="M20">
        <v>232.55555555559999</v>
      </c>
      <c r="N20">
        <v>304</v>
      </c>
      <c r="O20">
        <v>599.78618421049998</v>
      </c>
      <c r="R20">
        <v>2</v>
      </c>
      <c r="S20">
        <v>549.5</v>
      </c>
      <c r="V20" t="s">
        <v>424</v>
      </c>
      <c r="W20">
        <v>258</v>
      </c>
      <c r="X20">
        <v>111</v>
      </c>
      <c r="Y20">
        <v>199.8918918919</v>
      </c>
      <c r="Z20">
        <v>96</v>
      </c>
      <c r="AA20">
        <v>223.9479166667</v>
      </c>
      <c r="AB20">
        <v>62</v>
      </c>
      <c r="AC20">
        <v>274.96774193549999</v>
      </c>
      <c r="AD20">
        <v>50</v>
      </c>
      <c r="AE20">
        <v>490.2</v>
      </c>
      <c r="AF20">
        <v>33</v>
      </c>
      <c r="AG20">
        <v>166.6666666667</v>
      </c>
      <c r="AH20">
        <v>2</v>
      </c>
      <c r="AI20">
        <v>514</v>
      </c>
      <c r="AL20" t="s">
        <v>424</v>
      </c>
      <c r="AM20">
        <v>3</v>
      </c>
      <c r="AN20">
        <v>2</v>
      </c>
      <c r="AO20">
        <v>192</v>
      </c>
      <c r="AP20">
        <v>1</v>
      </c>
      <c r="AQ20">
        <v>240</v>
      </c>
      <c r="AR20">
        <v>1</v>
      </c>
      <c r="AS20">
        <v>109</v>
      </c>
    </row>
    <row r="21" spans="6:51" x14ac:dyDescent="0.2">
      <c r="F21" t="s">
        <v>62</v>
      </c>
      <c r="G21">
        <v>8441</v>
      </c>
      <c r="H21">
        <v>7116</v>
      </c>
      <c r="I21">
        <v>386.4666947723</v>
      </c>
      <c r="J21">
        <v>505</v>
      </c>
      <c r="K21">
        <v>668.69900990099995</v>
      </c>
      <c r="L21">
        <v>981</v>
      </c>
      <c r="M21">
        <v>492.34658511719999</v>
      </c>
      <c r="N21">
        <v>338</v>
      </c>
      <c r="O21">
        <v>478.45562130180002</v>
      </c>
      <c r="R21">
        <v>6</v>
      </c>
      <c r="S21">
        <v>143.1666666667</v>
      </c>
      <c r="V21" t="s">
        <v>428</v>
      </c>
      <c r="W21">
        <v>1084</v>
      </c>
      <c r="X21">
        <v>782</v>
      </c>
      <c r="Y21">
        <v>309.5115089514</v>
      </c>
      <c r="Z21">
        <v>238</v>
      </c>
      <c r="AA21">
        <v>374.96218487390001</v>
      </c>
      <c r="AB21">
        <v>213</v>
      </c>
      <c r="AC21">
        <v>329.51643192490002</v>
      </c>
      <c r="AD21">
        <v>50</v>
      </c>
      <c r="AE21">
        <v>477.74</v>
      </c>
      <c r="AF21">
        <v>36</v>
      </c>
      <c r="AG21">
        <v>194.3888888889</v>
      </c>
      <c r="AH21">
        <v>3</v>
      </c>
      <c r="AI21">
        <v>328</v>
      </c>
      <c r="AL21" t="s">
        <v>428</v>
      </c>
      <c r="AM21">
        <v>12</v>
      </c>
      <c r="AN21">
        <v>9</v>
      </c>
      <c r="AO21">
        <v>242.44444444440001</v>
      </c>
      <c r="AP21">
        <v>5</v>
      </c>
      <c r="AQ21">
        <v>211.6</v>
      </c>
      <c r="AR21">
        <v>3</v>
      </c>
      <c r="AS21">
        <v>121</v>
      </c>
    </row>
    <row r="22" spans="6:51" x14ac:dyDescent="0.2">
      <c r="F22" t="s">
        <v>64</v>
      </c>
      <c r="G22">
        <v>6813</v>
      </c>
      <c r="H22">
        <v>5192</v>
      </c>
      <c r="I22">
        <v>418.95127118639999</v>
      </c>
      <c r="J22">
        <v>580</v>
      </c>
      <c r="K22">
        <v>592.13103448280003</v>
      </c>
      <c r="L22">
        <v>1233</v>
      </c>
      <c r="M22">
        <v>690.90429845899996</v>
      </c>
      <c r="N22">
        <v>374</v>
      </c>
      <c r="O22">
        <v>497.46791443849997</v>
      </c>
      <c r="R22">
        <v>14</v>
      </c>
      <c r="S22">
        <v>684.78571428570001</v>
      </c>
      <c r="V22" t="s">
        <v>413</v>
      </c>
      <c r="W22">
        <v>3021</v>
      </c>
      <c r="X22">
        <v>2401</v>
      </c>
      <c r="Y22">
        <v>318.6022490629</v>
      </c>
      <c r="Z22">
        <v>313</v>
      </c>
      <c r="AA22">
        <v>465.23003194889998</v>
      </c>
      <c r="AB22">
        <v>377</v>
      </c>
      <c r="AC22">
        <v>332.44827586209999</v>
      </c>
      <c r="AD22">
        <v>174</v>
      </c>
      <c r="AE22">
        <v>494.183908046</v>
      </c>
      <c r="AF22">
        <v>67</v>
      </c>
      <c r="AG22">
        <v>254.80597014930001</v>
      </c>
      <c r="AH22">
        <v>2</v>
      </c>
      <c r="AI22">
        <v>1260</v>
      </c>
      <c r="AL22" t="s">
        <v>413</v>
      </c>
      <c r="AM22">
        <v>32</v>
      </c>
      <c r="AN22">
        <v>19</v>
      </c>
      <c r="AO22">
        <v>147.63157894739999</v>
      </c>
      <c r="AP22">
        <v>15</v>
      </c>
      <c r="AQ22">
        <v>299.13333333330002</v>
      </c>
      <c r="AR22">
        <v>6</v>
      </c>
      <c r="AS22">
        <v>112.6666666667</v>
      </c>
      <c r="AT22">
        <v>7</v>
      </c>
      <c r="AU22">
        <v>349</v>
      </c>
    </row>
    <row r="23" spans="6:51" x14ac:dyDescent="0.2">
      <c r="F23" t="s">
        <v>73</v>
      </c>
      <c r="G23">
        <v>4710</v>
      </c>
      <c r="H23">
        <v>3518</v>
      </c>
      <c r="I23">
        <v>280.35446276290003</v>
      </c>
      <c r="J23">
        <v>764</v>
      </c>
      <c r="K23">
        <v>340.37958115179998</v>
      </c>
      <c r="L23">
        <v>938</v>
      </c>
      <c r="M23">
        <v>273.78891257999999</v>
      </c>
      <c r="N23">
        <v>236</v>
      </c>
      <c r="O23">
        <v>479.48305084750001</v>
      </c>
      <c r="R23">
        <v>18</v>
      </c>
      <c r="S23">
        <v>314.8888888889</v>
      </c>
      <c r="V23" t="s">
        <v>409</v>
      </c>
      <c r="W23">
        <v>4928</v>
      </c>
      <c r="X23">
        <v>3454</v>
      </c>
      <c r="Y23">
        <v>391.67776491019998</v>
      </c>
      <c r="Z23">
        <v>380</v>
      </c>
      <c r="AA23">
        <v>488.10526315790003</v>
      </c>
      <c r="AB23">
        <v>1078</v>
      </c>
      <c r="AC23">
        <v>570.03710575139996</v>
      </c>
      <c r="AD23">
        <v>243</v>
      </c>
      <c r="AE23">
        <v>494.83950617279999</v>
      </c>
      <c r="AF23">
        <v>145</v>
      </c>
      <c r="AG23">
        <v>154</v>
      </c>
      <c r="AH23">
        <v>8</v>
      </c>
      <c r="AI23">
        <v>355.375</v>
      </c>
      <c r="AL23" t="s">
        <v>409</v>
      </c>
      <c r="AM23">
        <v>41</v>
      </c>
      <c r="AN23">
        <v>32</v>
      </c>
      <c r="AO23">
        <v>157.625</v>
      </c>
      <c r="AP23">
        <v>9</v>
      </c>
      <c r="AQ23">
        <v>337</v>
      </c>
      <c r="AR23">
        <v>9</v>
      </c>
      <c r="AS23">
        <v>74.777777777799997</v>
      </c>
    </row>
    <row r="24" spans="6:51" x14ac:dyDescent="0.2">
      <c r="F24" t="s">
        <v>45</v>
      </c>
      <c r="G24">
        <v>1257</v>
      </c>
      <c r="H24">
        <v>933</v>
      </c>
      <c r="I24">
        <v>305.40943193999999</v>
      </c>
      <c r="J24">
        <v>322</v>
      </c>
      <c r="K24">
        <v>372.32608695649998</v>
      </c>
      <c r="L24">
        <v>268</v>
      </c>
      <c r="M24">
        <v>340.58208955219999</v>
      </c>
      <c r="N24">
        <v>52</v>
      </c>
      <c r="O24">
        <v>529.32692307690002</v>
      </c>
      <c r="R24">
        <v>4</v>
      </c>
      <c r="S24">
        <v>334.75</v>
      </c>
      <c r="V24" t="s">
        <v>426</v>
      </c>
      <c r="W24">
        <v>7027</v>
      </c>
      <c r="X24">
        <v>5201</v>
      </c>
      <c r="Y24">
        <v>418.41703518550003</v>
      </c>
      <c r="Z24">
        <v>579</v>
      </c>
      <c r="AA24">
        <v>586.59240069079999</v>
      </c>
      <c r="AB24">
        <v>1244</v>
      </c>
      <c r="AC24">
        <v>663.78215434080005</v>
      </c>
      <c r="AD24">
        <v>378</v>
      </c>
      <c r="AE24">
        <v>498.62433862429998</v>
      </c>
      <c r="AF24">
        <v>190</v>
      </c>
      <c r="AG24">
        <v>177.6789473684</v>
      </c>
      <c r="AH24">
        <v>14</v>
      </c>
      <c r="AI24">
        <v>745.35714285710003</v>
      </c>
      <c r="AL24" t="s">
        <v>426</v>
      </c>
      <c r="AM24">
        <v>57</v>
      </c>
      <c r="AN24">
        <v>39</v>
      </c>
      <c r="AO24">
        <v>233.10256410260001</v>
      </c>
      <c r="AP24">
        <v>34</v>
      </c>
      <c r="AQ24">
        <v>195.70588235290001</v>
      </c>
      <c r="AR24">
        <v>16</v>
      </c>
      <c r="AS24">
        <v>51.8125</v>
      </c>
      <c r="AT24">
        <v>2</v>
      </c>
      <c r="AU24">
        <v>231</v>
      </c>
    </row>
    <row r="25" spans="6:51" x14ac:dyDescent="0.2">
      <c r="F25" t="s">
        <v>66</v>
      </c>
      <c r="G25">
        <v>4844</v>
      </c>
      <c r="H25">
        <v>3505</v>
      </c>
      <c r="I25">
        <v>395.59115549220002</v>
      </c>
      <c r="J25">
        <v>380</v>
      </c>
      <c r="K25">
        <v>494.76842105259999</v>
      </c>
      <c r="L25">
        <v>1087</v>
      </c>
      <c r="M25">
        <v>574.82888684449995</v>
      </c>
      <c r="N25">
        <v>242</v>
      </c>
      <c r="O25">
        <v>521.39669421489998</v>
      </c>
      <c r="R25">
        <v>10</v>
      </c>
      <c r="S25">
        <v>352.1</v>
      </c>
      <c r="V25" t="s">
        <v>407</v>
      </c>
      <c r="W25">
        <v>18105</v>
      </c>
      <c r="X25">
        <v>14557</v>
      </c>
      <c r="Y25">
        <v>330.17414302399999</v>
      </c>
      <c r="Z25">
        <v>1978</v>
      </c>
      <c r="AA25">
        <v>458.46814964610002</v>
      </c>
      <c r="AB25">
        <v>2004</v>
      </c>
      <c r="AC25">
        <v>369.15269461079998</v>
      </c>
      <c r="AD25">
        <v>805</v>
      </c>
      <c r="AE25">
        <v>411.62732919249999</v>
      </c>
      <c r="AF25">
        <v>723</v>
      </c>
      <c r="AG25">
        <v>173.96680497930001</v>
      </c>
      <c r="AH25">
        <v>16</v>
      </c>
      <c r="AI25">
        <v>162.875</v>
      </c>
      <c r="AL25" t="s">
        <v>407</v>
      </c>
      <c r="AM25">
        <v>277</v>
      </c>
      <c r="AN25">
        <v>202</v>
      </c>
      <c r="AO25">
        <v>169.39603960400001</v>
      </c>
      <c r="AP25">
        <v>123</v>
      </c>
      <c r="AQ25">
        <v>256.91869918700002</v>
      </c>
      <c r="AR25">
        <v>66</v>
      </c>
      <c r="AS25">
        <v>133.6818181818</v>
      </c>
      <c r="AT25">
        <v>9</v>
      </c>
      <c r="AU25">
        <v>263.3333333333</v>
      </c>
    </row>
    <row r="26" spans="6:51" x14ac:dyDescent="0.2">
      <c r="F26" t="s">
        <v>32</v>
      </c>
      <c r="G26">
        <v>197</v>
      </c>
      <c r="H26">
        <v>100</v>
      </c>
      <c r="I26">
        <v>228.11</v>
      </c>
      <c r="J26">
        <v>108</v>
      </c>
      <c r="K26">
        <v>265.6111111111</v>
      </c>
      <c r="L26">
        <v>46</v>
      </c>
      <c r="M26">
        <v>161.1086956522</v>
      </c>
      <c r="N26">
        <v>49</v>
      </c>
      <c r="O26">
        <v>480.69387755100001</v>
      </c>
      <c r="R26">
        <v>2</v>
      </c>
      <c r="S26">
        <v>514</v>
      </c>
      <c r="V26" t="s">
        <v>405</v>
      </c>
      <c r="W26">
        <v>1701</v>
      </c>
      <c r="X26">
        <v>1266</v>
      </c>
      <c r="Y26">
        <v>293.74091627169997</v>
      </c>
      <c r="Z26">
        <v>269</v>
      </c>
      <c r="AA26">
        <v>331.25650557620003</v>
      </c>
      <c r="AB26">
        <v>310</v>
      </c>
      <c r="AC26">
        <v>284.6064516129</v>
      </c>
      <c r="AD26">
        <v>57</v>
      </c>
      <c r="AE26">
        <v>308.36842105260001</v>
      </c>
      <c r="AF26">
        <v>66</v>
      </c>
      <c r="AG26">
        <v>180.01515151519999</v>
      </c>
      <c r="AH26">
        <v>2</v>
      </c>
      <c r="AI26">
        <v>286</v>
      </c>
      <c r="AL26" t="s">
        <v>405</v>
      </c>
      <c r="AM26">
        <v>18</v>
      </c>
      <c r="AN26">
        <v>13</v>
      </c>
      <c r="AO26">
        <v>86.538461538500002</v>
      </c>
      <c r="AP26">
        <v>6</v>
      </c>
      <c r="AQ26">
        <v>247.8333333333</v>
      </c>
      <c r="AR26">
        <v>5</v>
      </c>
      <c r="AS26">
        <v>55</v>
      </c>
    </row>
    <row r="27" spans="6:51" x14ac:dyDescent="0.2">
      <c r="F27" t="s">
        <v>71</v>
      </c>
      <c r="G27">
        <v>3814</v>
      </c>
      <c r="H27">
        <v>3552</v>
      </c>
      <c r="I27">
        <v>240.83586711710001</v>
      </c>
      <c r="J27">
        <v>762</v>
      </c>
      <c r="K27">
        <v>352.30446194230001</v>
      </c>
      <c r="L27">
        <v>109</v>
      </c>
      <c r="M27">
        <v>87.550458715600001</v>
      </c>
      <c r="N27">
        <v>146</v>
      </c>
      <c r="O27">
        <v>243.80136986299999</v>
      </c>
      <c r="R27">
        <v>7</v>
      </c>
      <c r="S27">
        <v>114.57142857140001</v>
      </c>
      <c r="V27" t="s">
        <v>80</v>
      </c>
      <c r="W27">
        <v>4966</v>
      </c>
      <c r="X27">
        <v>3584</v>
      </c>
      <c r="Y27">
        <v>287.24330357140002</v>
      </c>
      <c r="Z27">
        <v>768</v>
      </c>
      <c r="AA27">
        <v>349.4231770833</v>
      </c>
      <c r="AB27">
        <v>966</v>
      </c>
      <c r="AC27">
        <v>288.4140786749</v>
      </c>
      <c r="AD27">
        <v>243</v>
      </c>
      <c r="AE27">
        <v>500.93004115230002</v>
      </c>
      <c r="AF27">
        <v>156</v>
      </c>
      <c r="AG27">
        <v>166.36538461539999</v>
      </c>
      <c r="AH27">
        <v>17</v>
      </c>
      <c r="AI27">
        <v>278.9411764706</v>
      </c>
      <c r="AL27" t="s">
        <v>80</v>
      </c>
      <c r="AM27">
        <v>63</v>
      </c>
      <c r="AN27">
        <v>45</v>
      </c>
      <c r="AO27">
        <v>112.1333333333</v>
      </c>
      <c r="AP27">
        <v>33</v>
      </c>
      <c r="AQ27">
        <v>284.27272727270002</v>
      </c>
      <c r="AR27">
        <v>15</v>
      </c>
      <c r="AS27">
        <v>102.4</v>
      </c>
      <c r="AT27">
        <v>3</v>
      </c>
      <c r="AU27">
        <v>148</v>
      </c>
    </row>
    <row r="28" spans="6:51" x14ac:dyDescent="0.2">
      <c r="F28" t="s">
        <v>31</v>
      </c>
      <c r="G28">
        <v>1553</v>
      </c>
      <c r="H28">
        <v>1222</v>
      </c>
      <c r="I28">
        <v>286.70212765960002</v>
      </c>
      <c r="J28">
        <v>325</v>
      </c>
      <c r="K28">
        <v>356.33846153849998</v>
      </c>
      <c r="L28">
        <v>286</v>
      </c>
      <c r="M28">
        <v>245.58041958039999</v>
      </c>
      <c r="N28">
        <v>43</v>
      </c>
      <c r="O28">
        <v>234</v>
      </c>
      <c r="R28">
        <v>2</v>
      </c>
      <c r="S28">
        <v>286</v>
      </c>
      <c r="V28" t="s">
        <v>404</v>
      </c>
      <c r="W28">
        <v>41987</v>
      </c>
      <c r="X28">
        <v>31903</v>
      </c>
      <c r="Y28">
        <v>341.80352944859999</v>
      </c>
      <c r="Z28">
        <v>4745</v>
      </c>
      <c r="AA28">
        <v>441.47376185460001</v>
      </c>
      <c r="AB28">
        <v>6391</v>
      </c>
      <c r="AC28">
        <v>437.04334219999998</v>
      </c>
      <c r="AD28">
        <v>2140</v>
      </c>
      <c r="AE28">
        <v>460.77009345789997</v>
      </c>
      <c r="AF28">
        <v>1486</v>
      </c>
      <c r="AG28">
        <v>176.43203230149999</v>
      </c>
      <c r="AH28">
        <v>67</v>
      </c>
      <c r="AI28">
        <v>401.41791044780001</v>
      </c>
      <c r="AL28" t="s">
        <v>404</v>
      </c>
      <c r="AM28">
        <v>509</v>
      </c>
      <c r="AN28">
        <v>364</v>
      </c>
      <c r="AO28">
        <v>165.3489010989</v>
      </c>
      <c r="AP28">
        <v>230</v>
      </c>
      <c r="AQ28">
        <v>256.03043478260003</v>
      </c>
      <c r="AR28">
        <v>124</v>
      </c>
      <c r="AS28">
        <v>109.1612903226</v>
      </c>
      <c r="AT28">
        <v>21</v>
      </c>
      <c r="AU28">
        <v>272.3333333333</v>
      </c>
    </row>
    <row r="29" spans="6:51" x14ac:dyDescent="0.2">
      <c r="F29" t="s">
        <v>52</v>
      </c>
      <c r="G29">
        <v>4843</v>
      </c>
      <c r="H29">
        <v>3739</v>
      </c>
      <c r="I29">
        <v>303.35143086390002</v>
      </c>
      <c r="J29">
        <v>690</v>
      </c>
      <c r="K29">
        <v>425.97971014490003</v>
      </c>
      <c r="L29">
        <v>827</v>
      </c>
      <c r="M29">
        <v>241.55139056830001</v>
      </c>
      <c r="N29">
        <v>276</v>
      </c>
      <c r="O29">
        <v>387.1992753623</v>
      </c>
      <c r="R29">
        <v>1</v>
      </c>
      <c r="S29">
        <v>169</v>
      </c>
      <c r="V29" t="s">
        <v>388</v>
      </c>
      <c r="W29">
        <v>9935</v>
      </c>
      <c r="X29">
        <v>4636</v>
      </c>
      <c r="Y29">
        <v>266.90830636459998</v>
      </c>
      <c r="Z29">
        <v>659</v>
      </c>
      <c r="AA29">
        <v>541.25796661610002</v>
      </c>
      <c r="AB29">
        <v>3625</v>
      </c>
      <c r="AC29">
        <v>603.41158620689998</v>
      </c>
      <c r="AD29">
        <v>1150</v>
      </c>
      <c r="AE29">
        <v>466.46127067010002</v>
      </c>
      <c r="AF29">
        <v>513</v>
      </c>
      <c r="AG29">
        <v>173.92787524369999</v>
      </c>
      <c r="AH29">
        <v>11</v>
      </c>
      <c r="AI29">
        <v>638.81818181819995</v>
      </c>
      <c r="AL29" t="s">
        <v>388</v>
      </c>
      <c r="AM29">
        <v>247</v>
      </c>
      <c r="AN29">
        <v>179</v>
      </c>
      <c r="AO29">
        <v>390.60893854749997</v>
      </c>
      <c r="AP29">
        <v>20</v>
      </c>
      <c r="AQ29">
        <v>486.75</v>
      </c>
      <c r="AR29">
        <v>60</v>
      </c>
      <c r="AS29">
        <v>325.46666666670001</v>
      </c>
      <c r="AT29">
        <v>8</v>
      </c>
      <c r="AU29">
        <v>274.875</v>
      </c>
    </row>
    <row r="30" spans="6:51" x14ac:dyDescent="0.2">
      <c r="F30" t="s">
        <v>404</v>
      </c>
      <c r="G30">
        <v>41184</v>
      </c>
      <c r="H30">
        <v>32265</v>
      </c>
      <c r="I30">
        <v>339.15447078879998</v>
      </c>
      <c r="J30">
        <v>5175</v>
      </c>
      <c r="K30">
        <v>434.43632850239999</v>
      </c>
      <c r="L30">
        <v>6465</v>
      </c>
      <c r="M30">
        <v>429.11600928069998</v>
      </c>
      <c r="N30">
        <v>2382</v>
      </c>
      <c r="O30">
        <v>479.10915197309998</v>
      </c>
      <c r="R30">
        <v>72</v>
      </c>
      <c r="S30">
        <v>395.625</v>
      </c>
      <c r="V30" t="s">
        <v>425</v>
      </c>
      <c r="W30">
        <v>31485</v>
      </c>
      <c r="X30">
        <v>26959</v>
      </c>
      <c r="Y30">
        <v>460.79545201619999</v>
      </c>
      <c r="Z30">
        <v>2272</v>
      </c>
      <c r="AA30">
        <v>687.29225352109995</v>
      </c>
      <c r="AB30">
        <v>1139</v>
      </c>
      <c r="AC30">
        <v>280.5021949078</v>
      </c>
      <c r="AD30">
        <v>2315</v>
      </c>
      <c r="AE30">
        <v>338.76630669550002</v>
      </c>
      <c r="AF30">
        <v>1014</v>
      </c>
      <c r="AG30">
        <v>166.91025641030001</v>
      </c>
      <c r="AH30">
        <v>58</v>
      </c>
      <c r="AI30">
        <v>277.53448275860001</v>
      </c>
      <c r="AL30" t="s">
        <v>425</v>
      </c>
      <c r="AM30">
        <v>409</v>
      </c>
      <c r="AN30">
        <v>295</v>
      </c>
      <c r="AO30">
        <v>251.60338983049999</v>
      </c>
      <c r="AP30">
        <v>83</v>
      </c>
      <c r="AQ30">
        <v>415.28915662650002</v>
      </c>
      <c r="AR30">
        <v>104</v>
      </c>
      <c r="AS30">
        <v>132.32692307689999</v>
      </c>
      <c r="AT30">
        <v>9</v>
      </c>
      <c r="AU30">
        <v>227.3333333333</v>
      </c>
      <c r="AX30">
        <v>1</v>
      </c>
      <c r="AY30">
        <v>12</v>
      </c>
    </row>
    <row r="31" spans="6:51" x14ac:dyDescent="0.2">
      <c r="F31" t="s">
        <v>25</v>
      </c>
      <c r="G31">
        <v>18016</v>
      </c>
      <c r="H31">
        <v>15989</v>
      </c>
      <c r="I31">
        <v>529.67702795670004</v>
      </c>
      <c r="J31">
        <v>936</v>
      </c>
      <c r="K31">
        <v>833.40384615380003</v>
      </c>
      <c r="L31">
        <v>1080</v>
      </c>
      <c r="M31">
        <v>331.74351851850003</v>
      </c>
      <c r="N31">
        <v>910</v>
      </c>
      <c r="O31">
        <v>355.73649393609998</v>
      </c>
      <c r="R31">
        <v>37</v>
      </c>
      <c r="S31">
        <v>353.64864864859999</v>
      </c>
      <c r="V31" t="s">
        <v>381</v>
      </c>
      <c r="W31">
        <v>19006</v>
      </c>
      <c r="X31">
        <v>16286</v>
      </c>
      <c r="Y31">
        <v>526.51799091240002</v>
      </c>
      <c r="Z31">
        <v>1179</v>
      </c>
      <c r="AA31">
        <v>787.49703138250004</v>
      </c>
      <c r="AB31">
        <v>1210</v>
      </c>
      <c r="AC31">
        <v>359.09669421490003</v>
      </c>
      <c r="AD31">
        <v>955</v>
      </c>
      <c r="AE31">
        <v>355.93277310920001</v>
      </c>
      <c r="AF31">
        <v>520</v>
      </c>
      <c r="AG31">
        <v>166.35838150289999</v>
      </c>
      <c r="AH31">
        <v>35</v>
      </c>
      <c r="AI31">
        <v>348.4857142857</v>
      </c>
      <c r="AL31" t="s">
        <v>381</v>
      </c>
      <c r="AM31">
        <v>238</v>
      </c>
      <c r="AN31">
        <v>157</v>
      </c>
      <c r="AO31">
        <v>239.00636942680001</v>
      </c>
      <c r="AP31">
        <v>73</v>
      </c>
      <c r="AQ31">
        <v>439.75342465749998</v>
      </c>
      <c r="AR31">
        <v>63</v>
      </c>
      <c r="AS31">
        <v>173.80952380950001</v>
      </c>
      <c r="AT31">
        <v>18</v>
      </c>
      <c r="AU31">
        <v>370.7222222222</v>
      </c>
    </row>
    <row r="32" spans="6:51" x14ac:dyDescent="0.2">
      <c r="F32" t="s">
        <v>39</v>
      </c>
      <c r="G32">
        <v>13055</v>
      </c>
      <c r="H32">
        <v>10532</v>
      </c>
      <c r="I32">
        <v>407.51001804200001</v>
      </c>
      <c r="J32">
        <v>481</v>
      </c>
      <c r="K32">
        <v>713.16216216220005</v>
      </c>
      <c r="L32">
        <v>1625</v>
      </c>
      <c r="M32">
        <v>487.5483076923</v>
      </c>
      <c r="N32">
        <v>863</v>
      </c>
      <c r="O32">
        <v>552.92352259560005</v>
      </c>
      <c r="R32">
        <v>35</v>
      </c>
      <c r="S32">
        <v>409.5428571429</v>
      </c>
      <c r="V32" t="s">
        <v>393</v>
      </c>
      <c r="W32">
        <v>3261</v>
      </c>
      <c r="X32">
        <v>2083</v>
      </c>
      <c r="Y32">
        <v>396.0758521363</v>
      </c>
      <c r="Z32">
        <v>407</v>
      </c>
      <c r="AA32">
        <v>517.53071253070004</v>
      </c>
      <c r="AB32">
        <v>571</v>
      </c>
      <c r="AC32">
        <v>512.58669001750002</v>
      </c>
      <c r="AD32">
        <v>475</v>
      </c>
      <c r="AE32">
        <v>641.91578947369999</v>
      </c>
      <c r="AF32">
        <v>118</v>
      </c>
      <c r="AG32">
        <v>168.2542372881</v>
      </c>
      <c r="AH32">
        <v>14</v>
      </c>
      <c r="AI32">
        <v>539.07142857140002</v>
      </c>
      <c r="AL32" t="s">
        <v>393</v>
      </c>
      <c r="AM32">
        <v>108</v>
      </c>
      <c r="AN32">
        <v>77</v>
      </c>
      <c r="AO32">
        <v>418.90909090909997</v>
      </c>
      <c r="AP32">
        <v>15</v>
      </c>
      <c r="AQ32">
        <v>560.06666666670003</v>
      </c>
      <c r="AR32">
        <v>30</v>
      </c>
      <c r="AS32">
        <v>272.2</v>
      </c>
      <c r="AT32">
        <v>1</v>
      </c>
      <c r="AU32">
        <v>253</v>
      </c>
    </row>
    <row r="33" spans="6:51" x14ac:dyDescent="0.2">
      <c r="F33" t="s">
        <v>72</v>
      </c>
      <c r="G33">
        <v>4937</v>
      </c>
      <c r="H33">
        <v>2352</v>
      </c>
      <c r="I33">
        <v>348.25521054870001</v>
      </c>
      <c r="J33">
        <v>514</v>
      </c>
      <c r="K33">
        <v>543.266536965</v>
      </c>
      <c r="L33">
        <v>1721</v>
      </c>
      <c r="M33">
        <v>677.1272515979</v>
      </c>
      <c r="N33">
        <v>858</v>
      </c>
      <c r="O33">
        <v>785.22027972030003</v>
      </c>
      <c r="R33">
        <v>6</v>
      </c>
      <c r="S33">
        <v>426.8333333333</v>
      </c>
      <c r="V33" t="s">
        <v>384</v>
      </c>
      <c r="W33">
        <v>7364</v>
      </c>
      <c r="X33">
        <v>4798</v>
      </c>
      <c r="Y33">
        <v>276.82430179239998</v>
      </c>
      <c r="Z33">
        <v>475</v>
      </c>
      <c r="AA33">
        <v>495.52842105259998</v>
      </c>
      <c r="AB33">
        <v>1520</v>
      </c>
      <c r="AC33">
        <v>331.60921052629999</v>
      </c>
      <c r="AD33">
        <v>697</v>
      </c>
      <c r="AE33">
        <v>430.5781922525</v>
      </c>
      <c r="AF33">
        <v>343</v>
      </c>
      <c r="AG33">
        <v>199.26822157429999</v>
      </c>
      <c r="AH33">
        <v>6</v>
      </c>
      <c r="AI33">
        <v>375.1666666667</v>
      </c>
      <c r="AL33" t="s">
        <v>384</v>
      </c>
      <c r="AM33">
        <v>241</v>
      </c>
      <c r="AN33">
        <v>175</v>
      </c>
      <c r="AO33">
        <v>334.81714285710001</v>
      </c>
      <c r="AP33">
        <v>17</v>
      </c>
      <c r="AQ33">
        <v>477.1176470588</v>
      </c>
      <c r="AR33">
        <v>58</v>
      </c>
      <c r="AS33">
        <v>293.24137931029998</v>
      </c>
      <c r="AT33">
        <v>8</v>
      </c>
      <c r="AU33">
        <v>403.125</v>
      </c>
    </row>
    <row r="34" spans="6:51" x14ac:dyDescent="0.2">
      <c r="F34" t="s">
        <v>58</v>
      </c>
      <c r="G34">
        <v>6855</v>
      </c>
      <c r="H34">
        <v>4681</v>
      </c>
      <c r="I34">
        <v>265.80260628069999</v>
      </c>
      <c r="J34">
        <v>459</v>
      </c>
      <c r="K34">
        <v>478.7603485839</v>
      </c>
      <c r="L34">
        <v>1468</v>
      </c>
      <c r="M34">
        <v>306.92234332430002</v>
      </c>
      <c r="N34">
        <v>700</v>
      </c>
      <c r="O34">
        <v>428.02142857140001</v>
      </c>
      <c r="R34">
        <v>6</v>
      </c>
      <c r="S34">
        <v>375.1666666667</v>
      </c>
      <c r="V34" t="s">
        <v>427</v>
      </c>
      <c r="W34">
        <v>5126</v>
      </c>
      <c r="X34">
        <v>2330</v>
      </c>
      <c r="Y34">
        <v>347.27866036929998</v>
      </c>
      <c r="Z34">
        <v>494</v>
      </c>
      <c r="AA34">
        <v>527.90890688260004</v>
      </c>
      <c r="AB34">
        <v>1687</v>
      </c>
      <c r="AC34">
        <v>674.46235921749997</v>
      </c>
      <c r="AD34">
        <v>832</v>
      </c>
      <c r="AE34">
        <v>778.74399038460001</v>
      </c>
      <c r="AF34">
        <v>271</v>
      </c>
      <c r="AG34">
        <v>190.41697416970001</v>
      </c>
      <c r="AH34">
        <v>6</v>
      </c>
      <c r="AI34">
        <v>426.8333333333</v>
      </c>
      <c r="AL34" t="s">
        <v>427</v>
      </c>
      <c r="AM34">
        <v>87</v>
      </c>
      <c r="AN34">
        <v>52</v>
      </c>
      <c r="AO34">
        <v>216.8461538462</v>
      </c>
      <c r="AP34">
        <v>14</v>
      </c>
      <c r="AQ34">
        <v>334.85714285709997</v>
      </c>
      <c r="AR34">
        <v>27</v>
      </c>
      <c r="AS34">
        <v>145.1851851852</v>
      </c>
      <c r="AT34">
        <v>8</v>
      </c>
      <c r="AU34">
        <v>148.75</v>
      </c>
    </row>
    <row r="35" spans="6:51" x14ac:dyDescent="0.2">
      <c r="F35" t="s">
        <v>53</v>
      </c>
      <c r="G35">
        <v>3000</v>
      </c>
      <c r="H35">
        <v>1976</v>
      </c>
      <c r="I35">
        <v>387.10728744940002</v>
      </c>
      <c r="J35">
        <v>403</v>
      </c>
      <c r="K35">
        <v>516.03225806449996</v>
      </c>
      <c r="L35">
        <v>546</v>
      </c>
      <c r="M35">
        <v>494.65018315020001</v>
      </c>
      <c r="N35">
        <v>465</v>
      </c>
      <c r="O35">
        <v>629.13118279570006</v>
      </c>
      <c r="R35">
        <v>13</v>
      </c>
      <c r="S35">
        <v>565.07692307690002</v>
      </c>
      <c r="V35" t="s">
        <v>383</v>
      </c>
      <c r="W35">
        <v>13330</v>
      </c>
      <c r="X35">
        <v>10411</v>
      </c>
      <c r="Y35">
        <v>408.6666666667</v>
      </c>
      <c r="Z35">
        <v>495</v>
      </c>
      <c r="AA35">
        <v>703.30505050509998</v>
      </c>
      <c r="AB35">
        <v>1663</v>
      </c>
      <c r="AC35">
        <v>487.82381238729999</v>
      </c>
      <c r="AD35">
        <v>852</v>
      </c>
      <c r="AE35">
        <v>544.78990610330004</v>
      </c>
      <c r="AF35">
        <v>370</v>
      </c>
      <c r="AG35">
        <v>158.3468834688</v>
      </c>
      <c r="AH35">
        <v>34</v>
      </c>
      <c r="AI35">
        <v>415.6764705882</v>
      </c>
      <c r="AL35" t="s">
        <v>383</v>
      </c>
      <c r="AM35">
        <v>154</v>
      </c>
      <c r="AN35">
        <v>112</v>
      </c>
      <c r="AO35">
        <v>228.375</v>
      </c>
      <c r="AP35">
        <v>29</v>
      </c>
      <c r="AQ35">
        <v>382.44827586209999</v>
      </c>
      <c r="AR35">
        <v>35</v>
      </c>
      <c r="AS35">
        <v>203.25714285710001</v>
      </c>
      <c r="AT35">
        <v>7</v>
      </c>
      <c r="AU35">
        <v>272.28571428570001</v>
      </c>
    </row>
    <row r="36" spans="6:51" x14ac:dyDescent="0.2">
      <c r="F36" t="s">
        <v>57</v>
      </c>
      <c r="G36">
        <v>9396</v>
      </c>
      <c r="H36">
        <v>4546</v>
      </c>
      <c r="I36">
        <v>252.91441144109999</v>
      </c>
      <c r="J36">
        <v>657</v>
      </c>
      <c r="K36">
        <v>539.26788432269996</v>
      </c>
      <c r="L36">
        <v>3678</v>
      </c>
      <c r="M36">
        <v>601.93012506800005</v>
      </c>
      <c r="N36">
        <v>1161</v>
      </c>
      <c r="O36">
        <v>459.11293103449998</v>
      </c>
      <c r="R36">
        <v>11</v>
      </c>
      <c r="S36">
        <v>638.81818181819995</v>
      </c>
      <c r="V36" t="s">
        <v>380</v>
      </c>
      <c r="W36">
        <v>89507</v>
      </c>
      <c r="X36">
        <v>67503</v>
      </c>
      <c r="Y36">
        <v>436.30797949570001</v>
      </c>
      <c r="Z36">
        <v>5981</v>
      </c>
      <c r="AA36">
        <v>652.33405784989998</v>
      </c>
      <c r="AB36">
        <v>11415</v>
      </c>
      <c r="AC36">
        <v>498.21883486640002</v>
      </c>
      <c r="AD36">
        <v>7276</v>
      </c>
      <c r="AE36">
        <v>464.26773927390002</v>
      </c>
      <c r="AF36">
        <v>3149</v>
      </c>
      <c r="AG36">
        <v>172.56053384180001</v>
      </c>
      <c r="AH36">
        <v>164</v>
      </c>
      <c r="AI36">
        <v>376.90853658539999</v>
      </c>
      <c r="AL36" t="s">
        <v>380</v>
      </c>
      <c r="AM36">
        <v>1484</v>
      </c>
      <c r="AN36">
        <v>1047</v>
      </c>
      <c r="AO36">
        <v>295.48137535820001</v>
      </c>
      <c r="AP36">
        <v>251</v>
      </c>
      <c r="AQ36">
        <v>432.65737051790001</v>
      </c>
      <c r="AR36">
        <v>377</v>
      </c>
      <c r="AS36">
        <v>213.3899204244</v>
      </c>
      <c r="AT36">
        <v>59</v>
      </c>
      <c r="AU36">
        <v>296.47457627120002</v>
      </c>
      <c r="AX36">
        <v>1</v>
      </c>
      <c r="AY36">
        <v>12</v>
      </c>
    </row>
    <row r="37" spans="6:51" x14ac:dyDescent="0.2">
      <c r="F37" t="s">
        <v>77</v>
      </c>
      <c r="G37">
        <v>29811</v>
      </c>
      <c r="H37">
        <v>26644</v>
      </c>
      <c r="I37">
        <v>459.8559792808</v>
      </c>
      <c r="J37">
        <v>1826</v>
      </c>
      <c r="K37">
        <v>728.4633077766</v>
      </c>
      <c r="L37">
        <v>847</v>
      </c>
      <c r="M37">
        <v>179.95395513579999</v>
      </c>
      <c r="N37">
        <v>2264</v>
      </c>
      <c r="O37">
        <v>321.84363957599999</v>
      </c>
      <c r="R37">
        <v>56</v>
      </c>
      <c r="S37">
        <v>263.60714285709997</v>
      </c>
      <c r="V37" t="s">
        <v>406</v>
      </c>
      <c r="W37">
        <v>570</v>
      </c>
      <c r="X37">
        <v>283</v>
      </c>
      <c r="Y37">
        <v>144.03886925800001</v>
      </c>
      <c r="Z37">
        <v>231</v>
      </c>
      <c r="AA37">
        <v>225.9307359307</v>
      </c>
      <c r="AB37">
        <v>128</v>
      </c>
      <c r="AC37">
        <v>183.265625</v>
      </c>
      <c r="AD37">
        <v>96</v>
      </c>
      <c r="AE37">
        <v>230.2083333333</v>
      </c>
      <c r="AF37">
        <v>53</v>
      </c>
      <c r="AG37">
        <v>193.9811320755</v>
      </c>
      <c r="AH37">
        <v>10</v>
      </c>
      <c r="AI37">
        <v>289.3</v>
      </c>
      <c r="AL37" t="s">
        <v>406</v>
      </c>
      <c r="AM37">
        <v>16</v>
      </c>
      <c r="AN37">
        <v>12</v>
      </c>
      <c r="AO37">
        <v>106.5</v>
      </c>
      <c r="AP37">
        <v>7</v>
      </c>
      <c r="AQ37">
        <v>201</v>
      </c>
      <c r="AR37">
        <v>3</v>
      </c>
      <c r="AS37">
        <v>124</v>
      </c>
      <c r="AT37">
        <v>1</v>
      </c>
      <c r="AU37">
        <v>201</v>
      </c>
    </row>
    <row r="38" spans="6:51" x14ac:dyDescent="0.2">
      <c r="F38" t="s">
        <v>380</v>
      </c>
      <c r="G38">
        <v>85070</v>
      </c>
      <c r="H38">
        <v>66720</v>
      </c>
      <c r="I38">
        <v>434.52547403130001</v>
      </c>
      <c r="J38">
        <v>5276</v>
      </c>
      <c r="K38">
        <v>666.13362395750005</v>
      </c>
      <c r="L38">
        <v>10965</v>
      </c>
      <c r="M38">
        <v>492.73561331510001</v>
      </c>
      <c r="N38">
        <v>7221</v>
      </c>
      <c r="O38">
        <v>460.9853124567</v>
      </c>
      <c r="R38">
        <v>164</v>
      </c>
      <c r="S38">
        <v>374.18292682930002</v>
      </c>
      <c r="V38" t="s">
        <v>410</v>
      </c>
      <c r="W38">
        <v>41895</v>
      </c>
      <c r="X38">
        <v>29879</v>
      </c>
      <c r="Y38">
        <v>462.33090130189998</v>
      </c>
      <c r="Z38">
        <v>2630</v>
      </c>
      <c r="AA38">
        <v>650.57566539920003</v>
      </c>
      <c r="AB38">
        <v>8625</v>
      </c>
      <c r="AC38">
        <v>687.65878260869999</v>
      </c>
      <c r="AD38">
        <v>2043</v>
      </c>
      <c r="AE38">
        <v>528.25073457389999</v>
      </c>
      <c r="AF38">
        <v>1273</v>
      </c>
      <c r="AG38">
        <v>181.35113904159999</v>
      </c>
      <c r="AH38">
        <v>75</v>
      </c>
      <c r="AI38">
        <v>553.85333333330004</v>
      </c>
      <c r="AL38" t="s">
        <v>410</v>
      </c>
      <c r="AM38">
        <v>314</v>
      </c>
      <c r="AN38">
        <v>225</v>
      </c>
      <c r="AO38">
        <v>227.87111111109999</v>
      </c>
      <c r="AP38">
        <v>131</v>
      </c>
      <c r="AQ38">
        <v>297.38931297710002</v>
      </c>
      <c r="AR38">
        <v>78</v>
      </c>
      <c r="AS38">
        <v>265.57692307690002</v>
      </c>
      <c r="AT38">
        <v>11</v>
      </c>
      <c r="AU38">
        <v>294.45454545450002</v>
      </c>
    </row>
    <row r="39" spans="6:51" x14ac:dyDescent="0.2">
      <c r="F39" t="s">
        <v>79</v>
      </c>
      <c r="G39">
        <v>20221</v>
      </c>
      <c r="H39">
        <v>15642</v>
      </c>
      <c r="I39">
        <v>408.24274389459998</v>
      </c>
      <c r="J39">
        <v>1007</v>
      </c>
      <c r="K39">
        <v>751.19463753720004</v>
      </c>
      <c r="L39">
        <v>3688</v>
      </c>
      <c r="M39">
        <v>670.72532537960001</v>
      </c>
      <c r="N39">
        <v>841</v>
      </c>
      <c r="O39">
        <v>409.20927467299998</v>
      </c>
      <c r="R39">
        <v>50</v>
      </c>
      <c r="S39">
        <v>499.36</v>
      </c>
      <c r="V39" t="s">
        <v>418</v>
      </c>
      <c r="W39">
        <v>323</v>
      </c>
      <c r="X39">
        <v>156</v>
      </c>
      <c r="Y39">
        <v>206.99358974360001</v>
      </c>
      <c r="Z39">
        <v>148</v>
      </c>
      <c r="AA39">
        <v>192.2837837838</v>
      </c>
      <c r="AB39">
        <v>97</v>
      </c>
      <c r="AC39">
        <v>228.50515463919999</v>
      </c>
      <c r="AD39">
        <v>47</v>
      </c>
      <c r="AE39">
        <v>378</v>
      </c>
      <c r="AF39">
        <v>21</v>
      </c>
      <c r="AG39">
        <v>343.6666666667</v>
      </c>
      <c r="AH39">
        <v>2</v>
      </c>
      <c r="AI39">
        <v>688.5</v>
      </c>
      <c r="AL39" t="s">
        <v>418</v>
      </c>
      <c r="AM39">
        <v>4</v>
      </c>
      <c r="AN39">
        <v>3</v>
      </c>
      <c r="AO39">
        <v>62.666666666700003</v>
      </c>
      <c r="AP39">
        <v>1</v>
      </c>
      <c r="AQ39">
        <v>291</v>
      </c>
      <c r="AR39">
        <v>1</v>
      </c>
      <c r="AS39">
        <v>74</v>
      </c>
    </row>
    <row r="40" spans="6:51" x14ac:dyDescent="0.2">
      <c r="F40" t="s">
        <v>40</v>
      </c>
      <c r="G40">
        <v>6618</v>
      </c>
      <c r="H40">
        <v>4023</v>
      </c>
      <c r="I40">
        <v>280.25205070840002</v>
      </c>
      <c r="J40">
        <v>226</v>
      </c>
      <c r="K40">
        <v>518.10176991150001</v>
      </c>
      <c r="L40">
        <v>2209</v>
      </c>
      <c r="M40">
        <v>787.83703033050006</v>
      </c>
      <c r="N40">
        <v>373</v>
      </c>
      <c r="O40">
        <v>382.42359249330002</v>
      </c>
      <c r="R40">
        <v>13</v>
      </c>
      <c r="S40">
        <v>443.69230769230001</v>
      </c>
      <c r="V40" t="s">
        <v>421</v>
      </c>
      <c r="W40">
        <v>222</v>
      </c>
      <c r="X40">
        <v>100</v>
      </c>
      <c r="Y40">
        <v>279.64999999999998</v>
      </c>
      <c r="Z40">
        <v>56</v>
      </c>
      <c r="AA40">
        <v>208.1428571429</v>
      </c>
      <c r="AB40">
        <v>71</v>
      </c>
      <c r="AC40">
        <v>283.01408450700001</v>
      </c>
      <c r="AD40">
        <v>24</v>
      </c>
      <c r="AE40">
        <v>387.8333333333</v>
      </c>
      <c r="AF40">
        <v>26</v>
      </c>
      <c r="AG40">
        <v>180.73076923080001</v>
      </c>
      <c r="AH40">
        <v>1</v>
      </c>
      <c r="AI40">
        <v>488</v>
      </c>
      <c r="AL40" t="s">
        <v>421</v>
      </c>
      <c r="AM40">
        <v>2</v>
      </c>
      <c r="AP40">
        <v>2</v>
      </c>
      <c r="AQ40">
        <v>418</v>
      </c>
      <c r="AR40">
        <v>2</v>
      </c>
      <c r="AS40">
        <v>327</v>
      </c>
    </row>
    <row r="41" spans="6:51" x14ac:dyDescent="0.2">
      <c r="F41" t="s">
        <v>46</v>
      </c>
      <c r="G41">
        <v>19766</v>
      </c>
      <c r="H41">
        <v>13639</v>
      </c>
      <c r="I41">
        <v>525.47917583219999</v>
      </c>
      <c r="J41">
        <v>1122</v>
      </c>
      <c r="K41">
        <v>639.13279857400005</v>
      </c>
      <c r="L41">
        <v>4905</v>
      </c>
      <c r="M41">
        <v>709.91804281350005</v>
      </c>
      <c r="N41">
        <v>1199</v>
      </c>
      <c r="O41">
        <v>630.8397328881</v>
      </c>
      <c r="R41">
        <v>23</v>
      </c>
      <c r="S41">
        <v>692.34782608700004</v>
      </c>
      <c r="V41" t="s">
        <v>411</v>
      </c>
      <c r="W41">
        <v>5328</v>
      </c>
      <c r="X41">
        <v>4105</v>
      </c>
      <c r="Y41">
        <v>454.75980511569998</v>
      </c>
      <c r="Z41">
        <v>232</v>
      </c>
      <c r="AA41">
        <v>913.00431034480005</v>
      </c>
      <c r="AB41">
        <v>559</v>
      </c>
      <c r="AC41">
        <v>259.7030411449</v>
      </c>
      <c r="AD41">
        <v>463</v>
      </c>
      <c r="AE41">
        <v>582.29373650110006</v>
      </c>
      <c r="AF41">
        <v>194</v>
      </c>
      <c r="AG41">
        <v>170.29381443299999</v>
      </c>
      <c r="AH41">
        <v>7</v>
      </c>
      <c r="AI41">
        <v>271.28571428570001</v>
      </c>
      <c r="AL41" t="s">
        <v>411</v>
      </c>
      <c r="AM41">
        <v>148</v>
      </c>
      <c r="AN41">
        <v>106</v>
      </c>
      <c r="AO41">
        <v>350.60377358490001</v>
      </c>
      <c r="AP41">
        <v>18</v>
      </c>
      <c r="AQ41">
        <v>625.5</v>
      </c>
      <c r="AR41">
        <v>40</v>
      </c>
      <c r="AS41">
        <v>267.27499999999998</v>
      </c>
      <c r="AT41">
        <v>2</v>
      </c>
      <c r="AU41">
        <v>66</v>
      </c>
    </row>
    <row r="42" spans="6:51" x14ac:dyDescent="0.2">
      <c r="F42" t="s">
        <v>49</v>
      </c>
      <c r="G42">
        <v>4665</v>
      </c>
      <c r="H42">
        <v>3064</v>
      </c>
      <c r="I42">
        <v>320.37108355089998</v>
      </c>
      <c r="J42">
        <v>333</v>
      </c>
      <c r="K42">
        <v>506.42042042039998</v>
      </c>
      <c r="L42">
        <v>1138</v>
      </c>
      <c r="M42">
        <v>350.12917398949998</v>
      </c>
      <c r="N42">
        <v>457</v>
      </c>
      <c r="O42">
        <v>531.73522975929995</v>
      </c>
      <c r="R42">
        <v>6</v>
      </c>
      <c r="S42">
        <v>732.33333333329995</v>
      </c>
      <c r="V42" t="s">
        <v>403</v>
      </c>
      <c r="W42">
        <v>6816</v>
      </c>
      <c r="X42">
        <v>4108</v>
      </c>
      <c r="Y42">
        <v>288.55160662119999</v>
      </c>
      <c r="Z42">
        <v>254</v>
      </c>
      <c r="AA42">
        <v>511.68503937010001</v>
      </c>
      <c r="AB42">
        <v>2103</v>
      </c>
      <c r="AC42">
        <v>771.4869234427</v>
      </c>
      <c r="AD42">
        <v>361</v>
      </c>
      <c r="AE42">
        <v>400.09972299169999</v>
      </c>
      <c r="AF42">
        <v>232</v>
      </c>
      <c r="AG42">
        <v>194.18103448279999</v>
      </c>
      <c r="AH42">
        <v>12</v>
      </c>
      <c r="AI42">
        <v>440</v>
      </c>
      <c r="AL42" t="s">
        <v>403</v>
      </c>
      <c r="AM42">
        <v>63</v>
      </c>
      <c r="AN42">
        <v>41</v>
      </c>
      <c r="AO42">
        <v>180.0731707317</v>
      </c>
      <c r="AP42">
        <v>26</v>
      </c>
      <c r="AQ42">
        <v>288.65384615379998</v>
      </c>
      <c r="AR42">
        <v>20</v>
      </c>
      <c r="AS42">
        <v>117.05</v>
      </c>
      <c r="AT42">
        <v>2</v>
      </c>
      <c r="AU42">
        <v>467.5</v>
      </c>
    </row>
    <row r="43" spans="6:51" x14ac:dyDescent="0.2">
      <c r="F43" t="s">
        <v>36</v>
      </c>
      <c r="G43">
        <v>268</v>
      </c>
      <c r="H43">
        <v>184</v>
      </c>
      <c r="I43">
        <v>385.23369565220003</v>
      </c>
      <c r="J43">
        <v>97</v>
      </c>
      <c r="K43">
        <v>337.87628865980003</v>
      </c>
      <c r="L43">
        <v>58</v>
      </c>
      <c r="M43">
        <v>190.2068965517</v>
      </c>
      <c r="N43">
        <v>26</v>
      </c>
      <c r="O43">
        <v>339.80769230769999</v>
      </c>
      <c r="V43" t="s">
        <v>412</v>
      </c>
      <c r="W43">
        <v>4406</v>
      </c>
      <c r="X43">
        <v>2940</v>
      </c>
      <c r="Y43">
        <v>209.243877551</v>
      </c>
      <c r="Z43">
        <v>658</v>
      </c>
      <c r="AA43">
        <v>312.30851063829999</v>
      </c>
      <c r="AB43">
        <v>847</v>
      </c>
      <c r="AC43">
        <v>223.681227863</v>
      </c>
      <c r="AD43">
        <v>364</v>
      </c>
      <c r="AE43">
        <v>284.3746556474</v>
      </c>
      <c r="AF43">
        <v>253</v>
      </c>
      <c r="AG43">
        <v>166.80632411069999</v>
      </c>
      <c r="AH43">
        <v>2</v>
      </c>
      <c r="AI43">
        <v>88</v>
      </c>
      <c r="AL43" t="s">
        <v>412</v>
      </c>
      <c r="AM43">
        <v>87</v>
      </c>
      <c r="AN43">
        <v>63</v>
      </c>
      <c r="AO43">
        <v>155.61904761900001</v>
      </c>
      <c r="AP43">
        <v>37</v>
      </c>
      <c r="AQ43">
        <v>221.40540540539999</v>
      </c>
      <c r="AR43">
        <v>20</v>
      </c>
      <c r="AS43">
        <v>89.7</v>
      </c>
      <c r="AT43">
        <v>4</v>
      </c>
      <c r="AU43">
        <v>286.25</v>
      </c>
    </row>
    <row r="44" spans="6:51" x14ac:dyDescent="0.2">
      <c r="F44" t="s">
        <v>27</v>
      </c>
      <c r="G44">
        <v>4041</v>
      </c>
      <c r="H44">
        <v>2859</v>
      </c>
      <c r="I44">
        <v>198.71668415529999</v>
      </c>
      <c r="J44">
        <v>657</v>
      </c>
      <c r="K44">
        <v>307.898021309</v>
      </c>
      <c r="L44">
        <v>804</v>
      </c>
      <c r="M44">
        <v>203.53855721389999</v>
      </c>
      <c r="N44">
        <v>376</v>
      </c>
      <c r="O44">
        <v>280.25333333330002</v>
      </c>
      <c r="R44">
        <v>2</v>
      </c>
      <c r="S44">
        <v>88</v>
      </c>
      <c r="V44" t="s">
        <v>387</v>
      </c>
      <c r="W44">
        <v>6041</v>
      </c>
      <c r="X44">
        <v>4977</v>
      </c>
      <c r="Y44">
        <v>454.47880249150001</v>
      </c>
      <c r="Z44">
        <v>366</v>
      </c>
      <c r="AA44">
        <v>681.32786885250005</v>
      </c>
      <c r="AB44">
        <v>552</v>
      </c>
      <c r="AC44">
        <v>383.24818840580002</v>
      </c>
      <c r="AD44">
        <v>311</v>
      </c>
      <c r="AE44">
        <v>442.72668810290003</v>
      </c>
      <c r="AF44">
        <v>178</v>
      </c>
      <c r="AG44">
        <v>179.73033707869999</v>
      </c>
      <c r="AH44">
        <v>23</v>
      </c>
      <c r="AI44">
        <v>456.86956521740001</v>
      </c>
      <c r="AL44" t="s">
        <v>387</v>
      </c>
      <c r="AM44">
        <v>174</v>
      </c>
      <c r="AN44">
        <v>128</v>
      </c>
      <c r="AO44">
        <v>372.375</v>
      </c>
      <c r="AP44">
        <v>15</v>
      </c>
      <c r="AQ44">
        <v>665.8</v>
      </c>
      <c r="AR44">
        <v>43</v>
      </c>
      <c r="AS44">
        <v>343.62790697669999</v>
      </c>
      <c r="AT44">
        <v>3</v>
      </c>
      <c r="AU44">
        <v>500</v>
      </c>
    </row>
    <row r="45" spans="6:51" x14ac:dyDescent="0.2">
      <c r="F45" t="s">
        <v>51</v>
      </c>
      <c r="G45">
        <v>5265</v>
      </c>
      <c r="H45">
        <v>4232</v>
      </c>
      <c r="I45">
        <v>457.62287334590002</v>
      </c>
      <c r="J45">
        <v>244</v>
      </c>
      <c r="K45">
        <v>929.22540983609997</v>
      </c>
      <c r="L45">
        <v>552</v>
      </c>
      <c r="M45">
        <v>242.9112318841</v>
      </c>
      <c r="N45">
        <v>474</v>
      </c>
      <c r="O45">
        <v>595.25105485229994</v>
      </c>
      <c r="R45">
        <v>7</v>
      </c>
      <c r="S45">
        <v>349.28571428570001</v>
      </c>
      <c r="V45" t="s">
        <v>389</v>
      </c>
      <c r="W45">
        <v>4930</v>
      </c>
      <c r="X45">
        <v>3122</v>
      </c>
      <c r="Y45">
        <v>327.77514413839998</v>
      </c>
      <c r="Z45">
        <v>332</v>
      </c>
      <c r="AA45">
        <v>517.62349397590003</v>
      </c>
      <c r="AB45">
        <v>1163</v>
      </c>
      <c r="AC45">
        <v>360.34737747209999</v>
      </c>
      <c r="AD45">
        <v>463</v>
      </c>
      <c r="AE45">
        <v>526.61987041040004</v>
      </c>
      <c r="AF45">
        <v>176</v>
      </c>
      <c r="AG45">
        <v>222.07386363640001</v>
      </c>
      <c r="AH45">
        <v>6</v>
      </c>
      <c r="AI45">
        <v>732.33333333329995</v>
      </c>
      <c r="AL45" t="s">
        <v>389</v>
      </c>
      <c r="AM45">
        <v>153</v>
      </c>
      <c r="AN45">
        <v>107</v>
      </c>
      <c r="AO45">
        <v>350.53271028040001</v>
      </c>
      <c r="AP45">
        <v>9</v>
      </c>
      <c r="AQ45">
        <v>262</v>
      </c>
      <c r="AR45">
        <v>45</v>
      </c>
      <c r="AS45">
        <v>363.15555555560002</v>
      </c>
      <c r="AT45">
        <v>1</v>
      </c>
      <c r="AU45">
        <v>443</v>
      </c>
    </row>
    <row r="46" spans="6:51" x14ac:dyDescent="0.2">
      <c r="F46" t="s">
        <v>59</v>
      </c>
      <c r="G46">
        <v>5884</v>
      </c>
      <c r="H46">
        <v>4996</v>
      </c>
      <c r="I46">
        <v>458.64611689349999</v>
      </c>
      <c r="J46">
        <v>353</v>
      </c>
      <c r="K46">
        <v>677.33994334279998</v>
      </c>
      <c r="L46">
        <v>555</v>
      </c>
      <c r="M46">
        <v>382.55495495500003</v>
      </c>
      <c r="N46">
        <v>309</v>
      </c>
      <c r="O46">
        <v>447.47249190939999</v>
      </c>
      <c r="R46">
        <v>24</v>
      </c>
      <c r="S46">
        <v>442.5416666667</v>
      </c>
      <c r="V46" t="s">
        <v>385</v>
      </c>
      <c r="W46">
        <v>70531</v>
      </c>
      <c r="X46">
        <v>49670</v>
      </c>
      <c r="Y46">
        <v>420.12472317290002</v>
      </c>
      <c r="Z46">
        <v>4907</v>
      </c>
      <c r="AA46">
        <v>564.87038923989996</v>
      </c>
      <c r="AB46">
        <v>14145</v>
      </c>
      <c r="AC46">
        <v>606.89148108869995</v>
      </c>
      <c r="AD46">
        <v>4172</v>
      </c>
      <c r="AE46">
        <v>486.00503597120002</v>
      </c>
      <c r="AF46">
        <v>2406</v>
      </c>
      <c r="AG46">
        <v>184.71446384039999</v>
      </c>
      <c r="AH46">
        <v>138</v>
      </c>
      <c r="AI46">
        <v>496.76811594200001</v>
      </c>
      <c r="AL46" t="s">
        <v>385</v>
      </c>
      <c r="AM46">
        <v>961</v>
      </c>
      <c r="AN46">
        <v>685</v>
      </c>
      <c r="AO46">
        <v>280.6700729927</v>
      </c>
      <c r="AP46">
        <v>246</v>
      </c>
      <c r="AQ46">
        <v>328.42682926830003</v>
      </c>
      <c r="AR46">
        <v>252</v>
      </c>
      <c r="AS46">
        <v>268.88492063490003</v>
      </c>
      <c r="AT46">
        <v>24</v>
      </c>
      <c r="AU46">
        <v>316.4583333333</v>
      </c>
    </row>
    <row r="47" spans="6:51" x14ac:dyDescent="0.2">
      <c r="F47" t="s">
        <v>181</v>
      </c>
      <c r="G47">
        <v>359</v>
      </c>
      <c r="H47">
        <v>224</v>
      </c>
      <c r="I47">
        <v>295.75</v>
      </c>
      <c r="J47">
        <v>186</v>
      </c>
      <c r="K47">
        <v>301.19892473120001</v>
      </c>
      <c r="L47">
        <v>86</v>
      </c>
      <c r="M47">
        <v>171.43023255809999</v>
      </c>
      <c r="N47">
        <v>47</v>
      </c>
      <c r="O47">
        <v>382.4680851064</v>
      </c>
      <c r="R47">
        <v>2</v>
      </c>
      <c r="S47">
        <v>688.5</v>
      </c>
      <c r="V47" t="s">
        <v>416</v>
      </c>
      <c r="W47">
        <v>480</v>
      </c>
      <c r="X47">
        <v>362</v>
      </c>
      <c r="Y47">
        <v>249.10220994479999</v>
      </c>
      <c r="Z47">
        <v>24</v>
      </c>
      <c r="AA47">
        <v>639.54166666670005</v>
      </c>
      <c r="AB47">
        <v>32</v>
      </c>
      <c r="AC47">
        <v>474.5625</v>
      </c>
      <c r="AD47">
        <v>70</v>
      </c>
      <c r="AE47">
        <v>295.57142857140002</v>
      </c>
      <c r="AF47">
        <v>11</v>
      </c>
      <c r="AG47">
        <v>301</v>
      </c>
      <c r="AH47">
        <v>5</v>
      </c>
      <c r="AI47">
        <v>344.4</v>
      </c>
      <c r="AL47" t="s">
        <v>416</v>
      </c>
      <c r="AM47">
        <v>22</v>
      </c>
      <c r="AN47">
        <v>17</v>
      </c>
      <c r="AO47">
        <v>156.1764705882</v>
      </c>
      <c r="AP47">
        <v>5</v>
      </c>
      <c r="AQ47">
        <v>230.2</v>
      </c>
      <c r="AR47">
        <v>5</v>
      </c>
      <c r="AS47">
        <v>47</v>
      </c>
    </row>
    <row r="48" spans="6:51" x14ac:dyDescent="0.2">
      <c r="F48" t="s">
        <v>70</v>
      </c>
      <c r="G48">
        <v>864</v>
      </c>
      <c r="H48">
        <v>658</v>
      </c>
      <c r="I48">
        <v>375.22948328270002</v>
      </c>
      <c r="J48">
        <v>488</v>
      </c>
      <c r="K48">
        <v>330.0389344262</v>
      </c>
      <c r="L48">
        <v>106</v>
      </c>
      <c r="M48">
        <v>137.54716981129999</v>
      </c>
      <c r="N48">
        <v>91</v>
      </c>
      <c r="O48">
        <v>205.4065934066</v>
      </c>
      <c r="R48">
        <v>9</v>
      </c>
      <c r="S48">
        <v>218.2222222222</v>
      </c>
      <c r="V48" t="s">
        <v>417</v>
      </c>
      <c r="W48">
        <v>117</v>
      </c>
      <c r="X48">
        <v>81</v>
      </c>
      <c r="Y48">
        <v>154.6666666667</v>
      </c>
      <c r="Z48">
        <v>31</v>
      </c>
      <c r="AA48">
        <v>195.03225806450001</v>
      </c>
      <c r="AB48">
        <v>7</v>
      </c>
      <c r="AC48">
        <v>383.57142857140002</v>
      </c>
      <c r="AD48">
        <v>23</v>
      </c>
      <c r="AE48">
        <v>397.65217391300001</v>
      </c>
      <c r="AF48">
        <v>5</v>
      </c>
      <c r="AG48">
        <v>104.8</v>
      </c>
      <c r="AH48">
        <v>1</v>
      </c>
      <c r="AI48">
        <v>318</v>
      </c>
      <c r="AL48" t="s">
        <v>417</v>
      </c>
      <c r="AM48">
        <v>9</v>
      </c>
      <c r="AN48">
        <v>7</v>
      </c>
      <c r="AO48">
        <v>203.8571428571</v>
      </c>
      <c r="AP48">
        <v>2</v>
      </c>
      <c r="AQ48">
        <v>280</v>
      </c>
      <c r="AR48">
        <v>1</v>
      </c>
      <c r="AS48">
        <v>88</v>
      </c>
      <c r="AT48">
        <v>1</v>
      </c>
      <c r="AU48">
        <v>758</v>
      </c>
    </row>
    <row r="49" spans="6:51" x14ac:dyDescent="0.2">
      <c r="F49" t="s">
        <v>385</v>
      </c>
      <c r="G49">
        <v>67951</v>
      </c>
      <c r="H49">
        <v>49521</v>
      </c>
      <c r="I49">
        <v>420.87051696280002</v>
      </c>
      <c r="J49">
        <v>4713</v>
      </c>
      <c r="K49">
        <v>568.05983450029998</v>
      </c>
      <c r="L49">
        <v>14101</v>
      </c>
      <c r="M49">
        <v>613.07474647189997</v>
      </c>
      <c r="N49">
        <v>4193</v>
      </c>
      <c r="O49">
        <v>490.70722977809999</v>
      </c>
      <c r="R49">
        <v>136</v>
      </c>
      <c r="S49">
        <v>497.33088235290001</v>
      </c>
      <c r="V49" t="s">
        <v>423</v>
      </c>
      <c r="W49">
        <v>637</v>
      </c>
      <c r="X49">
        <v>386</v>
      </c>
      <c r="Y49">
        <v>355.5725388601</v>
      </c>
      <c r="Z49">
        <v>43</v>
      </c>
      <c r="AA49">
        <v>542.88372093019996</v>
      </c>
      <c r="AB49">
        <v>142</v>
      </c>
      <c r="AC49">
        <v>442.68309859150003</v>
      </c>
      <c r="AD49">
        <v>78</v>
      </c>
      <c r="AE49">
        <v>631.61538461539999</v>
      </c>
      <c r="AF49">
        <v>26</v>
      </c>
      <c r="AG49">
        <v>195.30769230769999</v>
      </c>
      <c r="AH49">
        <v>5</v>
      </c>
      <c r="AI49">
        <v>474.4</v>
      </c>
      <c r="AL49" t="s">
        <v>423</v>
      </c>
      <c r="AM49">
        <v>13</v>
      </c>
      <c r="AN49">
        <v>13</v>
      </c>
      <c r="AO49">
        <v>256.61538461539999</v>
      </c>
      <c r="AP49">
        <v>3</v>
      </c>
      <c r="AQ49">
        <v>372.6666666667</v>
      </c>
    </row>
    <row r="50" spans="6:51" x14ac:dyDescent="0.2">
      <c r="F50" t="s">
        <v>212</v>
      </c>
      <c r="G50">
        <v>1109</v>
      </c>
      <c r="H50">
        <v>791</v>
      </c>
      <c r="I50">
        <v>179.5663716814</v>
      </c>
      <c r="J50">
        <v>482</v>
      </c>
      <c r="K50">
        <v>259.734439834</v>
      </c>
      <c r="L50">
        <v>274</v>
      </c>
      <c r="M50">
        <v>157.5</v>
      </c>
      <c r="N50">
        <v>44</v>
      </c>
      <c r="O50">
        <v>272.8181818182</v>
      </c>
      <c r="V50" t="s">
        <v>376</v>
      </c>
      <c r="W50">
        <v>5725</v>
      </c>
      <c r="X50">
        <v>4644</v>
      </c>
      <c r="Y50">
        <v>554.60788113700005</v>
      </c>
      <c r="Z50">
        <v>434</v>
      </c>
      <c r="AA50">
        <v>948.69585253460002</v>
      </c>
      <c r="AB50">
        <v>626</v>
      </c>
      <c r="AC50">
        <v>723.74121405749997</v>
      </c>
      <c r="AD50">
        <v>315</v>
      </c>
      <c r="AE50">
        <v>628.65396825400001</v>
      </c>
      <c r="AF50">
        <v>129</v>
      </c>
      <c r="AG50">
        <v>126.3410852713</v>
      </c>
      <c r="AH50">
        <v>11</v>
      </c>
      <c r="AI50">
        <v>633.63636363640001</v>
      </c>
      <c r="AL50" t="s">
        <v>376</v>
      </c>
      <c r="AM50">
        <v>59</v>
      </c>
      <c r="AN50">
        <v>45</v>
      </c>
      <c r="AO50">
        <v>204.3333333333</v>
      </c>
      <c r="AP50">
        <v>19</v>
      </c>
      <c r="AQ50">
        <v>424.10526315790003</v>
      </c>
      <c r="AR50">
        <v>9</v>
      </c>
      <c r="AS50">
        <v>195.6666666667</v>
      </c>
      <c r="AT50">
        <v>5</v>
      </c>
      <c r="AU50">
        <v>309.2</v>
      </c>
    </row>
    <row r="51" spans="6:51" x14ac:dyDescent="0.2">
      <c r="F51" t="s">
        <v>209</v>
      </c>
      <c r="G51">
        <v>2383</v>
      </c>
      <c r="H51">
        <v>1724</v>
      </c>
      <c r="I51">
        <v>369.53364269140002</v>
      </c>
      <c r="J51">
        <v>197</v>
      </c>
      <c r="K51">
        <v>591.70050761419998</v>
      </c>
      <c r="L51">
        <v>609</v>
      </c>
      <c r="M51">
        <v>330.40394088670001</v>
      </c>
      <c r="N51">
        <v>50</v>
      </c>
      <c r="O51">
        <v>394.82</v>
      </c>
      <c r="V51" t="s">
        <v>60</v>
      </c>
      <c r="W51">
        <v>5411</v>
      </c>
      <c r="X51">
        <v>3685</v>
      </c>
      <c r="Y51">
        <v>249.44857530530001</v>
      </c>
      <c r="Z51">
        <v>430</v>
      </c>
      <c r="AA51">
        <v>353.49767441860001</v>
      </c>
      <c r="AB51">
        <v>921</v>
      </c>
      <c r="AC51">
        <v>287.85993485339998</v>
      </c>
      <c r="AD51">
        <v>537</v>
      </c>
      <c r="AE51">
        <v>604.94589552239995</v>
      </c>
      <c r="AF51">
        <v>257</v>
      </c>
      <c r="AG51">
        <v>175.02334630350001</v>
      </c>
      <c r="AH51">
        <v>11</v>
      </c>
      <c r="AI51">
        <v>724</v>
      </c>
      <c r="AL51" t="s">
        <v>60</v>
      </c>
      <c r="AM51">
        <v>160</v>
      </c>
      <c r="AN51">
        <v>118</v>
      </c>
      <c r="AO51">
        <v>218.8644067797</v>
      </c>
      <c r="AP51">
        <v>46</v>
      </c>
      <c r="AQ51">
        <v>391.78260869569999</v>
      </c>
      <c r="AR51">
        <v>34</v>
      </c>
      <c r="AS51">
        <v>173</v>
      </c>
      <c r="AT51">
        <v>8</v>
      </c>
      <c r="AU51">
        <v>267.875</v>
      </c>
    </row>
    <row r="52" spans="6:51" x14ac:dyDescent="0.2">
      <c r="F52" t="s">
        <v>210</v>
      </c>
      <c r="G52">
        <v>1972</v>
      </c>
      <c r="H52">
        <v>1422</v>
      </c>
      <c r="I52">
        <v>221.7601969058</v>
      </c>
      <c r="J52">
        <v>514</v>
      </c>
      <c r="K52">
        <v>382.45719844360002</v>
      </c>
      <c r="L52">
        <v>445</v>
      </c>
      <c r="M52">
        <v>155.15955056179999</v>
      </c>
      <c r="N52">
        <v>104</v>
      </c>
      <c r="O52">
        <v>319</v>
      </c>
      <c r="R52">
        <v>1</v>
      </c>
      <c r="S52">
        <v>12</v>
      </c>
      <c r="V52" t="s">
        <v>378</v>
      </c>
      <c r="W52">
        <v>15248</v>
      </c>
      <c r="X52">
        <v>10822</v>
      </c>
      <c r="Y52">
        <v>382.95148771020001</v>
      </c>
      <c r="Z52">
        <v>588</v>
      </c>
      <c r="AA52">
        <v>758.26530612240003</v>
      </c>
      <c r="AB52">
        <v>3425</v>
      </c>
      <c r="AC52">
        <v>725.05430656930002</v>
      </c>
      <c r="AD52">
        <v>622</v>
      </c>
      <c r="AE52">
        <v>478.30064308679999</v>
      </c>
      <c r="AF52">
        <v>377</v>
      </c>
      <c r="AG52">
        <v>144.14588859419999</v>
      </c>
      <c r="AH52">
        <v>2</v>
      </c>
      <c r="AI52">
        <v>292</v>
      </c>
      <c r="AL52" t="s">
        <v>378</v>
      </c>
      <c r="AM52">
        <v>119</v>
      </c>
      <c r="AN52">
        <v>94</v>
      </c>
      <c r="AO52">
        <v>208.8723404255</v>
      </c>
      <c r="AP52">
        <v>40</v>
      </c>
      <c r="AQ52">
        <v>356.92500000000001</v>
      </c>
      <c r="AR52">
        <v>16</v>
      </c>
      <c r="AS52">
        <v>203.8125</v>
      </c>
      <c r="AT52">
        <v>9</v>
      </c>
      <c r="AU52">
        <v>339.2222222222</v>
      </c>
    </row>
    <row r="53" spans="6:51" x14ac:dyDescent="0.2">
      <c r="F53" t="s">
        <v>462</v>
      </c>
      <c r="G53">
        <v>5464</v>
      </c>
      <c r="H53">
        <v>3937</v>
      </c>
      <c r="I53">
        <v>277.99237998479998</v>
      </c>
      <c r="J53">
        <v>1193</v>
      </c>
      <c r="K53">
        <v>367.42665549039998</v>
      </c>
      <c r="L53">
        <v>1328</v>
      </c>
      <c r="M53">
        <v>236.0067771084</v>
      </c>
      <c r="N53">
        <v>198</v>
      </c>
      <c r="O53">
        <v>327.88383838380003</v>
      </c>
      <c r="R53">
        <v>1</v>
      </c>
      <c r="S53">
        <v>12</v>
      </c>
      <c r="V53" t="s">
        <v>374</v>
      </c>
      <c r="W53">
        <v>3850</v>
      </c>
      <c r="X53">
        <v>2518</v>
      </c>
      <c r="Y53">
        <v>329.1119936458</v>
      </c>
      <c r="Z53">
        <v>419</v>
      </c>
      <c r="AA53">
        <v>397.97613365159998</v>
      </c>
      <c r="AB53">
        <v>606</v>
      </c>
      <c r="AC53">
        <v>242.18811881190001</v>
      </c>
      <c r="AD53">
        <v>571</v>
      </c>
      <c r="AE53">
        <v>559.56392294219995</v>
      </c>
      <c r="AF53">
        <v>137</v>
      </c>
      <c r="AG53">
        <v>209.94160583940001</v>
      </c>
      <c r="AH53">
        <v>18</v>
      </c>
      <c r="AI53">
        <v>572.55555555559999</v>
      </c>
      <c r="AL53" t="s">
        <v>374</v>
      </c>
      <c r="AM53">
        <v>135</v>
      </c>
      <c r="AN53">
        <v>91</v>
      </c>
      <c r="AO53">
        <v>218.31868131869999</v>
      </c>
      <c r="AP53">
        <v>35</v>
      </c>
      <c r="AQ53">
        <v>305.60000000000002</v>
      </c>
      <c r="AR53">
        <v>35</v>
      </c>
      <c r="AS53">
        <v>160.65714285710001</v>
      </c>
      <c r="AT53">
        <v>9</v>
      </c>
      <c r="AU53">
        <v>252.44444444440001</v>
      </c>
    </row>
    <row r="54" spans="6:51" x14ac:dyDescent="0.2">
      <c r="F54" t="s">
        <v>78</v>
      </c>
      <c r="G54">
        <v>1016</v>
      </c>
      <c r="H54">
        <v>832</v>
      </c>
      <c r="I54">
        <v>465.70913461539999</v>
      </c>
      <c r="J54">
        <v>57</v>
      </c>
      <c r="K54">
        <v>712</v>
      </c>
      <c r="L54">
        <v>22</v>
      </c>
      <c r="M54">
        <v>236.36363636359999</v>
      </c>
      <c r="N54">
        <v>157</v>
      </c>
      <c r="O54">
        <v>417.78980891719999</v>
      </c>
      <c r="R54">
        <v>5</v>
      </c>
      <c r="S54">
        <v>344.4</v>
      </c>
      <c r="V54" t="s">
        <v>373</v>
      </c>
      <c r="W54">
        <v>1373</v>
      </c>
      <c r="X54">
        <v>884</v>
      </c>
      <c r="Y54">
        <v>215.27488687779999</v>
      </c>
      <c r="Z54">
        <v>112</v>
      </c>
      <c r="AA54">
        <v>292.78571428570001</v>
      </c>
      <c r="AB54">
        <v>261</v>
      </c>
      <c r="AC54">
        <v>218.6819923372</v>
      </c>
      <c r="AD54">
        <v>147</v>
      </c>
      <c r="AE54">
        <v>286.31972789119999</v>
      </c>
      <c r="AF54">
        <v>78</v>
      </c>
      <c r="AG54">
        <v>144.12820512819999</v>
      </c>
      <c r="AH54">
        <v>3</v>
      </c>
      <c r="AI54">
        <v>203.6666666667</v>
      </c>
      <c r="AL54" t="s">
        <v>373</v>
      </c>
      <c r="AM54">
        <v>36</v>
      </c>
      <c r="AN54">
        <v>27</v>
      </c>
      <c r="AO54">
        <v>193.85185185189999</v>
      </c>
      <c r="AP54">
        <v>12</v>
      </c>
      <c r="AQ54">
        <v>357</v>
      </c>
      <c r="AR54">
        <v>8</v>
      </c>
      <c r="AS54">
        <v>153.125</v>
      </c>
      <c r="AT54">
        <v>1</v>
      </c>
      <c r="AU54">
        <v>221</v>
      </c>
    </row>
    <row r="55" spans="6:51" x14ac:dyDescent="0.2">
      <c r="F55" t="s">
        <v>35</v>
      </c>
      <c r="G55">
        <v>3178</v>
      </c>
      <c r="H55">
        <v>1934</v>
      </c>
      <c r="I55">
        <v>464.27521986549999</v>
      </c>
      <c r="J55">
        <v>241</v>
      </c>
      <c r="K55">
        <v>503.76763485480001</v>
      </c>
      <c r="L55">
        <v>915</v>
      </c>
      <c r="M55">
        <v>486.14644808740002</v>
      </c>
      <c r="N55">
        <v>306</v>
      </c>
      <c r="O55">
        <v>608.9183006536</v>
      </c>
      <c r="R55">
        <v>23</v>
      </c>
      <c r="S55">
        <v>474.26086956519998</v>
      </c>
      <c r="V55" t="s">
        <v>375</v>
      </c>
      <c r="W55">
        <v>7288</v>
      </c>
      <c r="X55">
        <v>5132</v>
      </c>
      <c r="Y55">
        <v>397.59197194080002</v>
      </c>
      <c r="Z55">
        <v>505</v>
      </c>
      <c r="AA55">
        <v>517.13267326729999</v>
      </c>
      <c r="AB55">
        <v>919</v>
      </c>
      <c r="AC55">
        <v>400.68552774760002</v>
      </c>
      <c r="AD55">
        <v>927</v>
      </c>
      <c r="AE55">
        <v>697.33117583600006</v>
      </c>
      <c r="AF55">
        <v>279</v>
      </c>
      <c r="AG55">
        <v>198.41218637989999</v>
      </c>
      <c r="AH55">
        <v>31</v>
      </c>
      <c r="AI55">
        <v>535.70967741940001</v>
      </c>
      <c r="AL55" t="s">
        <v>375</v>
      </c>
      <c r="AM55">
        <v>182</v>
      </c>
      <c r="AN55">
        <v>132</v>
      </c>
      <c r="AO55">
        <v>196.89393939390001</v>
      </c>
      <c r="AP55">
        <v>47</v>
      </c>
      <c r="AQ55">
        <v>362.63829787229997</v>
      </c>
      <c r="AR55">
        <v>36</v>
      </c>
      <c r="AS55">
        <v>146.9166666667</v>
      </c>
      <c r="AT55">
        <v>14</v>
      </c>
      <c r="AU55">
        <v>520.35714285710003</v>
      </c>
    </row>
    <row r="56" spans="6:51" x14ac:dyDescent="0.2">
      <c r="F56" t="s">
        <v>61</v>
      </c>
      <c r="G56">
        <v>2544</v>
      </c>
      <c r="H56">
        <v>1844</v>
      </c>
      <c r="I56">
        <v>362.92028199570001</v>
      </c>
      <c r="J56">
        <v>316</v>
      </c>
      <c r="K56">
        <v>417.82594936710001</v>
      </c>
      <c r="L56">
        <v>286</v>
      </c>
      <c r="M56">
        <v>78.968531468500004</v>
      </c>
      <c r="N56">
        <v>405</v>
      </c>
      <c r="O56">
        <v>501.08641975310002</v>
      </c>
      <c r="R56">
        <v>9</v>
      </c>
      <c r="S56">
        <v>550.11111111109994</v>
      </c>
      <c r="V56" t="s">
        <v>372</v>
      </c>
      <c r="W56">
        <v>269</v>
      </c>
      <c r="X56">
        <v>150</v>
      </c>
      <c r="Y56">
        <v>157.81333333329999</v>
      </c>
      <c r="Z56">
        <v>84</v>
      </c>
      <c r="AA56">
        <v>180.51190476190001</v>
      </c>
      <c r="AB56">
        <v>55</v>
      </c>
      <c r="AC56">
        <v>164.30909090910001</v>
      </c>
      <c r="AD56">
        <v>29</v>
      </c>
      <c r="AE56">
        <v>189.55172413790001</v>
      </c>
      <c r="AF56">
        <v>34</v>
      </c>
      <c r="AG56">
        <v>169.26470588239999</v>
      </c>
      <c r="AH56">
        <v>1</v>
      </c>
      <c r="AI56">
        <v>243</v>
      </c>
      <c r="AL56" t="s">
        <v>372</v>
      </c>
      <c r="AM56">
        <v>18</v>
      </c>
      <c r="AN56">
        <v>12</v>
      </c>
      <c r="AO56">
        <v>146.75</v>
      </c>
      <c r="AP56">
        <v>2</v>
      </c>
      <c r="AQ56">
        <v>555.5</v>
      </c>
      <c r="AR56">
        <v>5</v>
      </c>
      <c r="AS56">
        <v>147.19999999999999</v>
      </c>
      <c r="AT56">
        <v>1</v>
      </c>
      <c r="AU56">
        <v>207</v>
      </c>
    </row>
    <row r="57" spans="6:51" x14ac:dyDescent="0.2">
      <c r="F57" t="s">
        <v>24</v>
      </c>
      <c r="G57">
        <v>2090</v>
      </c>
      <c r="H57">
        <v>1276</v>
      </c>
      <c r="I57">
        <v>258.29153605020002</v>
      </c>
      <c r="J57">
        <v>382</v>
      </c>
      <c r="K57">
        <v>317.06806282719998</v>
      </c>
      <c r="L57">
        <v>585</v>
      </c>
      <c r="M57">
        <v>319.73846153850002</v>
      </c>
      <c r="N57">
        <v>217</v>
      </c>
      <c r="O57">
        <v>564.85253456220005</v>
      </c>
      <c r="R57">
        <v>12</v>
      </c>
      <c r="S57">
        <v>768.66666666670005</v>
      </c>
      <c r="V57" t="s">
        <v>371</v>
      </c>
      <c r="W57">
        <v>3337</v>
      </c>
      <c r="X57">
        <v>1920</v>
      </c>
      <c r="Y57">
        <v>435.6175091193</v>
      </c>
      <c r="Z57">
        <v>305</v>
      </c>
      <c r="AA57">
        <v>451.64590163930001</v>
      </c>
      <c r="AB57">
        <v>927</v>
      </c>
      <c r="AC57">
        <v>462.94174757280001</v>
      </c>
      <c r="AD57">
        <v>311</v>
      </c>
      <c r="AE57">
        <v>576.32154340839998</v>
      </c>
      <c r="AF57">
        <v>155</v>
      </c>
      <c r="AG57">
        <v>171.81935483870001</v>
      </c>
      <c r="AH57">
        <v>24</v>
      </c>
      <c r="AI57">
        <v>404.5833333333</v>
      </c>
      <c r="AL57" t="s">
        <v>371</v>
      </c>
      <c r="AM57">
        <v>79</v>
      </c>
      <c r="AN57">
        <v>59</v>
      </c>
      <c r="AO57">
        <v>210.38983050850001</v>
      </c>
      <c r="AP57">
        <v>22</v>
      </c>
      <c r="AQ57">
        <v>311.54545454549998</v>
      </c>
      <c r="AR57">
        <v>18</v>
      </c>
      <c r="AS57">
        <v>157.1666666667</v>
      </c>
      <c r="AT57">
        <v>2</v>
      </c>
      <c r="AU57">
        <v>334.5</v>
      </c>
    </row>
    <row r="58" spans="6:51" x14ac:dyDescent="0.2">
      <c r="F58" t="s">
        <v>69</v>
      </c>
      <c r="G58">
        <v>15117</v>
      </c>
      <c r="H58">
        <v>10967</v>
      </c>
      <c r="I58">
        <v>369.94693170419998</v>
      </c>
      <c r="J58">
        <v>561</v>
      </c>
      <c r="K58">
        <v>755.40641711230001</v>
      </c>
      <c r="L58">
        <v>3622</v>
      </c>
      <c r="M58">
        <v>731.78879072339998</v>
      </c>
      <c r="N58">
        <v>526</v>
      </c>
      <c r="O58">
        <v>411.78136882130002</v>
      </c>
      <c r="R58">
        <v>2</v>
      </c>
      <c r="S58">
        <v>292</v>
      </c>
      <c r="V58" t="s">
        <v>415</v>
      </c>
      <c r="W58">
        <v>602</v>
      </c>
      <c r="X58">
        <v>481</v>
      </c>
      <c r="Y58">
        <v>226.87733887729999</v>
      </c>
      <c r="Z58">
        <v>55</v>
      </c>
      <c r="AA58">
        <v>447.34545454549999</v>
      </c>
      <c r="AB58">
        <v>47</v>
      </c>
      <c r="AC58">
        <v>218.44680851059999</v>
      </c>
      <c r="AD58">
        <v>40</v>
      </c>
      <c r="AE58">
        <v>235.625</v>
      </c>
      <c r="AF58">
        <v>31</v>
      </c>
      <c r="AG58">
        <v>177.4838709677</v>
      </c>
      <c r="AH58">
        <v>3</v>
      </c>
      <c r="AI58">
        <v>761.33333333329995</v>
      </c>
      <c r="AL58" t="s">
        <v>415</v>
      </c>
      <c r="AM58">
        <v>10</v>
      </c>
      <c r="AN58">
        <v>8</v>
      </c>
      <c r="AO58">
        <v>135.5</v>
      </c>
      <c r="AP58">
        <v>1</v>
      </c>
      <c r="AQ58">
        <v>596</v>
      </c>
      <c r="AR58">
        <v>2</v>
      </c>
      <c r="AS58">
        <v>98.5</v>
      </c>
    </row>
    <row r="59" spans="6:51" x14ac:dyDescent="0.2">
      <c r="F59" t="s">
        <v>44</v>
      </c>
      <c r="G59">
        <v>1305</v>
      </c>
      <c r="H59">
        <v>901</v>
      </c>
      <c r="I59">
        <v>249.7957824639</v>
      </c>
      <c r="J59">
        <v>125</v>
      </c>
      <c r="K59">
        <v>384.56</v>
      </c>
      <c r="L59">
        <v>261</v>
      </c>
      <c r="M59">
        <v>201.39463601529999</v>
      </c>
      <c r="N59">
        <v>140</v>
      </c>
      <c r="O59">
        <v>281.35714285709997</v>
      </c>
      <c r="R59">
        <v>3</v>
      </c>
      <c r="S59">
        <v>203.6666666667</v>
      </c>
      <c r="V59" t="s">
        <v>379</v>
      </c>
      <c r="W59">
        <v>2411</v>
      </c>
      <c r="X59">
        <v>1639</v>
      </c>
      <c r="Y59">
        <v>349.9938987187</v>
      </c>
      <c r="Z59">
        <v>251</v>
      </c>
      <c r="AA59">
        <v>426.82071713149998</v>
      </c>
      <c r="AB59">
        <v>124</v>
      </c>
      <c r="AC59">
        <v>301.04838709680001</v>
      </c>
      <c r="AD59">
        <v>516</v>
      </c>
      <c r="AE59">
        <v>541.83106796120001</v>
      </c>
      <c r="AF59">
        <v>118</v>
      </c>
      <c r="AG59">
        <v>199.83898305080001</v>
      </c>
      <c r="AH59">
        <v>14</v>
      </c>
      <c r="AI59">
        <v>508.5</v>
      </c>
      <c r="AL59" t="s">
        <v>379</v>
      </c>
      <c r="AM59">
        <v>51</v>
      </c>
      <c r="AN59">
        <v>38</v>
      </c>
      <c r="AO59">
        <v>254.81578947369999</v>
      </c>
      <c r="AP59">
        <v>9</v>
      </c>
      <c r="AQ59">
        <v>296.3333333333</v>
      </c>
      <c r="AR59">
        <v>12</v>
      </c>
      <c r="AS59">
        <v>151.9166666667</v>
      </c>
      <c r="AV59">
        <v>1</v>
      </c>
      <c r="AW59">
        <v>292</v>
      </c>
    </row>
    <row r="60" spans="6:51" x14ac:dyDescent="0.2">
      <c r="F60" t="s">
        <v>60</v>
      </c>
      <c r="G60">
        <v>3352</v>
      </c>
      <c r="H60">
        <v>2674</v>
      </c>
      <c r="I60">
        <v>270.39827973069998</v>
      </c>
      <c r="J60">
        <v>259</v>
      </c>
      <c r="K60">
        <v>624.95366795370001</v>
      </c>
      <c r="L60">
        <v>343</v>
      </c>
      <c r="M60">
        <v>193.19241982509999</v>
      </c>
      <c r="N60">
        <v>334</v>
      </c>
      <c r="O60">
        <v>633.66766467069999</v>
      </c>
      <c r="R60">
        <v>1</v>
      </c>
      <c r="S60">
        <v>75</v>
      </c>
      <c r="V60" t="s">
        <v>382</v>
      </c>
      <c r="W60">
        <v>9468</v>
      </c>
      <c r="X60">
        <v>6843</v>
      </c>
      <c r="Y60">
        <v>258.14291977200003</v>
      </c>
      <c r="Z60">
        <v>915</v>
      </c>
      <c r="AA60">
        <v>440.33989071040003</v>
      </c>
      <c r="AB60">
        <v>1243</v>
      </c>
      <c r="AC60">
        <v>211.4143201931</v>
      </c>
      <c r="AD60">
        <v>834</v>
      </c>
      <c r="AE60">
        <v>355.43764988010003</v>
      </c>
      <c r="AF60">
        <v>530</v>
      </c>
      <c r="AG60">
        <v>178.13207547170001</v>
      </c>
      <c r="AH60">
        <v>18</v>
      </c>
      <c r="AI60">
        <v>205.1111111111</v>
      </c>
      <c r="AL60" t="s">
        <v>382</v>
      </c>
      <c r="AM60">
        <v>158</v>
      </c>
      <c r="AN60">
        <v>115</v>
      </c>
      <c r="AO60">
        <v>204.23478260869999</v>
      </c>
      <c r="AP60">
        <v>55</v>
      </c>
      <c r="AQ60">
        <v>386.78181818180002</v>
      </c>
      <c r="AR60">
        <v>32</v>
      </c>
      <c r="AS60">
        <v>133.875</v>
      </c>
      <c r="AT60">
        <v>11</v>
      </c>
      <c r="AU60">
        <v>258.72727272729998</v>
      </c>
    </row>
    <row r="61" spans="6:51" x14ac:dyDescent="0.2">
      <c r="F61" t="s">
        <v>33</v>
      </c>
      <c r="G61">
        <v>5219</v>
      </c>
      <c r="H61">
        <v>4262</v>
      </c>
      <c r="I61">
        <v>562.98920694510002</v>
      </c>
      <c r="J61">
        <v>358</v>
      </c>
      <c r="K61">
        <v>994.39385474860001</v>
      </c>
      <c r="L61">
        <v>616</v>
      </c>
      <c r="M61">
        <v>754.91558441560005</v>
      </c>
      <c r="N61">
        <v>329</v>
      </c>
      <c r="O61">
        <v>644.91158536590001</v>
      </c>
      <c r="R61">
        <v>12</v>
      </c>
      <c r="S61">
        <v>639.25</v>
      </c>
      <c r="V61" t="s">
        <v>414</v>
      </c>
      <c r="W61">
        <v>592</v>
      </c>
      <c r="X61">
        <v>396</v>
      </c>
      <c r="Y61">
        <v>420.404040404</v>
      </c>
      <c r="Z61">
        <v>26</v>
      </c>
      <c r="AA61">
        <v>632.57692307690002</v>
      </c>
      <c r="AB61">
        <v>137</v>
      </c>
      <c r="AC61">
        <v>718.67153284669996</v>
      </c>
      <c r="AD61">
        <v>34</v>
      </c>
      <c r="AE61">
        <v>525.1764705882</v>
      </c>
      <c r="AF61">
        <v>25</v>
      </c>
      <c r="AG61">
        <v>116.8</v>
      </c>
      <c r="AL61" t="s">
        <v>414</v>
      </c>
      <c r="AM61">
        <v>8</v>
      </c>
      <c r="AN61">
        <v>4</v>
      </c>
      <c r="AO61">
        <v>211.25</v>
      </c>
      <c r="AP61">
        <v>7</v>
      </c>
      <c r="AQ61">
        <v>348.42857142859998</v>
      </c>
      <c r="AR61">
        <v>3</v>
      </c>
      <c r="AS61">
        <v>203.3333333333</v>
      </c>
      <c r="AT61">
        <v>1</v>
      </c>
      <c r="AU61">
        <v>200</v>
      </c>
    </row>
    <row r="62" spans="6:51" x14ac:dyDescent="0.2">
      <c r="F62" t="s">
        <v>47</v>
      </c>
      <c r="G62">
        <v>2290</v>
      </c>
      <c r="H62">
        <v>1669</v>
      </c>
      <c r="I62">
        <v>346.48412222889999</v>
      </c>
      <c r="J62">
        <v>286</v>
      </c>
      <c r="K62">
        <v>422.17832167829999</v>
      </c>
      <c r="L62">
        <v>96</v>
      </c>
      <c r="M62">
        <v>227.1354166667</v>
      </c>
      <c r="N62">
        <v>510</v>
      </c>
      <c r="O62">
        <v>527.3123772102</v>
      </c>
      <c r="R62">
        <v>15</v>
      </c>
      <c r="S62">
        <v>481</v>
      </c>
      <c r="V62" t="s">
        <v>369</v>
      </c>
      <c r="W62">
        <v>56808</v>
      </c>
      <c r="X62">
        <v>39943</v>
      </c>
      <c r="Y62">
        <v>360.86983626260002</v>
      </c>
      <c r="Z62">
        <v>4222</v>
      </c>
      <c r="AA62">
        <v>525.59024159169996</v>
      </c>
      <c r="AB62">
        <v>9472</v>
      </c>
      <c r="AC62">
        <v>496.33899915540002</v>
      </c>
      <c r="AD62">
        <v>5054</v>
      </c>
      <c r="AE62">
        <v>533.33333333329995</v>
      </c>
      <c r="AF62">
        <v>2192</v>
      </c>
      <c r="AG62">
        <v>172.7627737226</v>
      </c>
      <c r="AH62">
        <v>147</v>
      </c>
      <c r="AI62">
        <v>479.6054421769</v>
      </c>
      <c r="AL62" t="s">
        <v>369</v>
      </c>
      <c r="AM62">
        <v>1059</v>
      </c>
      <c r="AN62">
        <v>780</v>
      </c>
      <c r="AO62">
        <v>208.25256410259999</v>
      </c>
      <c r="AP62">
        <v>305</v>
      </c>
      <c r="AQ62">
        <v>361.14754098359998</v>
      </c>
      <c r="AR62">
        <v>216</v>
      </c>
      <c r="AS62">
        <v>156.68055555559999</v>
      </c>
      <c r="AT62">
        <v>62</v>
      </c>
      <c r="AU62">
        <v>341.93548387099997</v>
      </c>
      <c r="AV62">
        <v>1</v>
      </c>
      <c r="AW62">
        <v>292</v>
      </c>
    </row>
    <row r="63" spans="6:51" x14ac:dyDescent="0.2">
      <c r="F63" t="s">
        <v>54</v>
      </c>
      <c r="G63">
        <v>596</v>
      </c>
      <c r="H63">
        <v>510</v>
      </c>
      <c r="I63">
        <v>239.71960784309999</v>
      </c>
      <c r="J63">
        <v>71</v>
      </c>
      <c r="K63">
        <v>481.88732394369998</v>
      </c>
      <c r="L63">
        <v>40</v>
      </c>
      <c r="M63">
        <v>72.025000000000006</v>
      </c>
      <c r="N63">
        <v>44</v>
      </c>
      <c r="O63">
        <v>189.0227272727</v>
      </c>
      <c r="R63">
        <v>2</v>
      </c>
      <c r="S63">
        <v>406.5</v>
      </c>
      <c r="V63" t="s">
        <v>698</v>
      </c>
      <c r="W63">
        <v>314241</v>
      </c>
      <c r="X63">
        <v>229591</v>
      </c>
      <c r="Y63">
        <v>408.00887692520001</v>
      </c>
      <c r="Z63">
        <v>24518</v>
      </c>
      <c r="AA63">
        <v>550.5080349131</v>
      </c>
      <c r="AB63">
        <v>50526</v>
      </c>
      <c r="AC63">
        <v>550.2861497051</v>
      </c>
      <c r="AD63">
        <v>22488</v>
      </c>
      <c r="AE63">
        <v>508.45449288259999</v>
      </c>
      <c r="AF63">
        <v>10991</v>
      </c>
      <c r="AG63">
        <v>176.13367913370001</v>
      </c>
      <c r="AH63">
        <v>645</v>
      </c>
      <c r="AI63">
        <v>441.86666666669998</v>
      </c>
      <c r="AL63" t="s">
        <v>698</v>
      </c>
      <c r="AM63">
        <v>5466</v>
      </c>
      <c r="AN63">
        <v>3937</v>
      </c>
      <c r="AO63">
        <v>277.99237998479998</v>
      </c>
      <c r="AP63">
        <v>1193</v>
      </c>
      <c r="AQ63">
        <v>367.42665549039998</v>
      </c>
      <c r="AR63">
        <v>1328</v>
      </c>
      <c r="AS63">
        <v>236.0067771084</v>
      </c>
      <c r="AT63">
        <v>198</v>
      </c>
      <c r="AU63">
        <v>327.88383838380003</v>
      </c>
      <c r="AV63">
        <v>2</v>
      </c>
      <c r="AW63">
        <v>200</v>
      </c>
      <c r="AX63">
        <v>1</v>
      </c>
      <c r="AY63">
        <v>12</v>
      </c>
    </row>
    <row r="64" spans="6:51" x14ac:dyDescent="0.2">
      <c r="F64" t="s">
        <v>65</v>
      </c>
      <c r="G64">
        <v>4970</v>
      </c>
      <c r="H64">
        <v>4030</v>
      </c>
      <c r="I64">
        <v>548.63945409430005</v>
      </c>
      <c r="J64">
        <v>139</v>
      </c>
      <c r="K64">
        <v>1092.2158273381001</v>
      </c>
      <c r="L64">
        <v>138</v>
      </c>
      <c r="M64">
        <v>633.3985507246</v>
      </c>
      <c r="N64">
        <v>793</v>
      </c>
      <c r="O64">
        <v>903.13493064310001</v>
      </c>
      <c r="R64">
        <v>9</v>
      </c>
      <c r="S64">
        <v>681.44444444440001</v>
      </c>
    </row>
    <row r="65" spans="6:19" x14ac:dyDescent="0.2">
      <c r="F65" t="s">
        <v>67</v>
      </c>
      <c r="G65">
        <v>769</v>
      </c>
      <c r="H65">
        <v>536</v>
      </c>
      <c r="I65">
        <v>525.75186567159994</v>
      </c>
      <c r="J65">
        <v>219</v>
      </c>
      <c r="K65">
        <v>400.70319634700002</v>
      </c>
      <c r="L65">
        <v>84</v>
      </c>
      <c r="M65">
        <v>148.78571428570001</v>
      </c>
      <c r="N65">
        <v>146</v>
      </c>
      <c r="O65">
        <v>675.52739726029995</v>
      </c>
      <c r="R65">
        <v>3</v>
      </c>
      <c r="S65">
        <v>172</v>
      </c>
    </row>
    <row r="66" spans="6:19" x14ac:dyDescent="0.2">
      <c r="F66" t="s">
        <v>82</v>
      </c>
      <c r="G66">
        <v>160</v>
      </c>
      <c r="H66">
        <v>36</v>
      </c>
      <c r="I66">
        <v>1029.0277777778001</v>
      </c>
      <c r="J66">
        <v>6</v>
      </c>
      <c r="K66">
        <v>1616.8333333333001</v>
      </c>
      <c r="L66">
        <v>55</v>
      </c>
      <c r="M66">
        <v>761.90909090909997</v>
      </c>
      <c r="N66">
        <v>65</v>
      </c>
      <c r="O66">
        <v>614.4</v>
      </c>
      <c r="R66">
        <v>4</v>
      </c>
      <c r="S66">
        <v>457.5</v>
      </c>
    </row>
    <row r="67" spans="6:19" x14ac:dyDescent="0.2">
      <c r="F67" t="s">
        <v>63</v>
      </c>
      <c r="G67">
        <v>5830</v>
      </c>
      <c r="H67">
        <v>3912</v>
      </c>
      <c r="I67">
        <v>287.60966257669998</v>
      </c>
      <c r="J67">
        <v>563</v>
      </c>
      <c r="K67">
        <v>373.36944937829998</v>
      </c>
      <c r="L67">
        <v>1227</v>
      </c>
      <c r="M67">
        <v>361.13039934800003</v>
      </c>
      <c r="N67">
        <v>658</v>
      </c>
      <c r="O67">
        <v>615.63829787229997</v>
      </c>
      <c r="R67">
        <v>33</v>
      </c>
      <c r="S67">
        <v>503.21212121209999</v>
      </c>
    </row>
    <row r="68" spans="6:19" x14ac:dyDescent="0.2">
      <c r="F68" t="s">
        <v>430</v>
      </c>
      <c r="G68">
        <v>30</v>
      </c>
      <c r="H68">
        <v>10</v>
      </c>
      <c r="I68">
        <v>539.4</v>
      </c>
      <c r="J68">
        <v>2</v>
      </c>
      <c r="K68">
        <v>618.5</v>
      </c>
      <c r="L68">
        <v>6</v>
      </c>
      <c r="M68">
        <v>952.66666666670005</v>
      </c>
      <c r="N68">
        <v>12</v>
      </c>
      <c r="O68">
        <v>379.0833333333</v>
      </c>
      <c r="R68">
        <v>2</v>
      </c>
      <c r="S68">
        <v>436.5</v>
      </c>
    </row>
    <row r="69" spans="6:19" x14ac:dyDescent="0.2">
      <c r="F69" t="s">
        <v>83</v>
      </c>
      <c r="G69">
        <v>8593</v>
      </c>
      <c r="H69">
        <v>6617</v>
      </c>
      <c r="I69">
        <v>242.2640169261</v>
      </c>
      <c r="J69">
        <v>879</v>
      </c>
      <c r="K69">
        <v>426.0568828214</v>
      </c>
      <c r="L69">
        <v>1143</v>
      </c>
      <c r="M69">
        <v>153.0472440945</v>
      </c>
      <c r="N69">
        <v>817</v>
      </c>
      <c r="O69">
        <v>344.01346389230002</v>
      </c>
      <c r="R69">
        <v>16</v>
      </c>
      <c r="S69">
        <v>219.875</v>
      </c>
    </row>
    <row r="70" spans="6:19" x14ac:dyDescent="0.2">
      <c r="F70" t="s">
        <v>135</v>
      </c>
      <c r="G70">
        <v>195</v>
      </c>
      <c r="H70">
        <v>163</v>
      </c>
      <c r="I70">
        <v>445.36809815949999</v>
      </c>
      <c r="J70">
        <v>61</v>
      </c>
      <c r="K70">
        <v>570.75409836070003</v>
      </c>
      <c r="L70">
        <v>4</v>
      </c>
      <c r="M70">
        <v>582.75</v>
      </c>
      <c r="N70">
        <v>27</v>
      </c>
      <c r="O70">
        <v>426.3333333333</v>
      </c>
      <c r="R70">
        <v>1</v>
      </c>
      <c r="S70">
        <v>318</v>
      </c>
    </row>
    <row r="71" spans="6:19" x14ac:dyDescent="0.2">
      <c r="F71" t="s">
        <v>369</v>
      </c>
      <c r="G71">
        <v>57254</v>
      </c>
      <c r="H71">
        <v>42173</v>
      </c>
      <c r="I71">
        <v>372.87965948969997</v>
      </c>
      <c r="J71">
        <v>4525</v>
      </c>
      <c r="K71">
        <v>536.98298342539999</v>
      </c>
      <c r="L71">
        <v>9443</v>
      </c>
      <c r="M71">
        <v>496.30805887960003</v>
      </c>
      <c r="N71">
        <v>5486</v>
      </c>
      <c r="O71">
        <v>563.50747629470004</v>
      </c>
      <c r="R71">
        <v>152</v>
      </c>
      <c r="S71">
        <v>484</v>
      </c>
    </row>
    <row r="72" spans="6:19" x14ac:dyDescent="0.2">
      <c r="F72" t="s">
        <v>698</v>
      </c>
      <c r="G72">
        <v>319707</v>
      </c>
      <c r="H72">
        <v>233528</v>
      </c>
      <c r="I72">
        <v>405.81689012980002</v>
      </c>
      <c r="J72">
        <v>25711</v>
      </c>
      <c r="K72">
        <v>542.01299054879996</v>
      </c>
      <c r="L72">
        <v>51854</v>
      </c>
      <c r="M72">
        <v>542.23733945310005</v>
      </c>
      <c r="N72">
        <v>22686</v>
      </c>
      <c r="O72">
        <v>506.87794338129999</v>
      </c>
      <c r="P72">
        <v>10993</v>
      </c>
      <c r="Q72">
        <v>176.13802201799999</v>
      </c>
      <c r="R72">
        <v>646</v>
      </c>
      <c r="S72">
        <v>441.2012383901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494</v>
      </c>
      <c r="B1" t="s">
        <v>366</v>
      </c>
      <c r="C1" t="s">
        <v>493</v>
      </c>
      <c r="D1" t="s">
        <v>495</v>
      </c>
      <c r="E1" t="s">
        <v>496</v>
      </c>
      <c r="F1" t="s">
        <v>497</v>
      </c>
      <c r="G1" t="s">
        <v>498</v>
      </c>
      <c r="H1" t="s">
        <v>499</v>
      </c>
      <c r="I1" t="s">
        <v>500</v>
      </c>
      <c r="J1" t="s">
        <v>501</v>
      </c>
      <c r="K1" t="s">
        <v>502</v>
      </c>
      <c r="L1" t="s">
        <v>367</v>
      </c>
      <c r="M1" t="s">
        <v>503</v>
      </c>
      <c r="N1" t="s">
        <v>504</v>
      </c>
      <c r="O1" t="s">
        <v>505</v>
      </c>
      <c r="P1" t="s">
        <v>506</v>
      </c>
      <c r="Q1" t="s">
        <v>507</v>
      </c>
      <c r="R1" t="s">
        <v>678</v>
      </c>
    </row>
    <row r="2" spans="1:18" x14ac:dyDescent="0.2">
      <c r="A2">
        <v>1</v>
      </c>
      <c r="B2">
        <v>-99</v>
      </c>
      <c r="C2" t="s">
        <v>437</v>
      </c>
      <c r="D2" t="s">
        <v>698</v>
      </c>
      <c r="E2" t="s">
        <v>437</v>
      </c>
      <c r="F2" t="s">
        <v>698</v>
      </c>
      <c r="G2" t="s">
        <v>437</v>
      </c>
      <c r="H2" t="s">
        <v>6</v>
      </c>
      <c r="I2">
        <v>-99</v>
      </c>
      <c r="J2">
        <v>1</v>
      </c>
      <c r="K2" t="s">
        <v>6</v>
      </c>
      <c r="L2">
        <v>-99</v>
      </c>
      <c r="M2" t="s">
        <v>654</v>
      </c>
      <c r="N2" t="s">
        <v>654</v>
      </c>
      <c r="O2">
        <v>-99</v>
      </c>
      <c r="P2">
        <v>-99</v>
      </c>
      <c r="Q2">
        <v>1</v>
      </c>
      <c r="R2" t="s">
        <v>654</v>
      </c>
    </row>
    <row r="3" spans="1:18" x14ac:dyDescent="0.2">
      <c r="A3">
        <v>2</v>
      </c>
      <c r="B3">
        <v>-99</v>
      </c>
      <c r="C3" t="s">
        <v>438</v>
      </c>
      <c r="D3" t="s">
        <v>6</v>
      </c>
      <c r="E3" t="s">
        <v>438</v>
      </c>
      <c r="F3" t="s">
        <v>1035</v>
      </c>
      <c r="G3" t="s">
        <v>437</v>
      </c>
      <c r="H3" t="s">
        <v>6</v>
      </c>
      <c r="I3">
        <v>-99</v>
      </c>
      <c r="J3">
        <v>1</v>
      </c>
      <c r="K3" t="s">
        <v>6</v>
      </c>
      <c r="L3">
        <v>-99</v>
      </c>
      <c r="M3" t="s">
        <v>654</v>
      </c>
      <c r="N3" t="s">
        <v>654</v>
      </c>
      <c r="O3">
        <v>-99</v>
      </c>
      <c r="P3">
        <v>-99</v>
      </c>
      <c r="Q3">
        <v>1</v>
      </c>
      <c r="R3" t="s">
        <v>654</v>
      </c>
    </row>
    <row r="4" spans="1:18" x14ac:dyDescent="0.2">
      <c r="A4">
        <v>3</v>
      </c>
      <c r="B4">
        <v>-99</v>
      </c>
      <c r="C4" t="s">
        <v>655</v>
      </c>
      <c r="D4" t="s">
        <v>6</v>
      </c>
      <c r="E4" t="s">
        <v>655</v>
      </c>
      <c r="F4" t="s">
        <v>1037</v>
      </c>
      <c r="G4" t="s">
        <v>437</v>
      </c>
      <c r="H4" t="s">
        <v>6</v>
      </c>
      <c r="I4">
        <v>-99</v>
      </c>
      <c r="J4">
        <v>1</v>
      </c>
      <c r="K4" t="s">
        <v>6</v>
      </c>
      <c r="L4">
        <v>-99</v>
      </c>
      <c r="M4" t="s">
        <v>654</v>
      </c>
      <c r="N4" t="s">
        <v>654</v>
      </c>
      <c r="O4">
        <v>-99</v>
      </c>
      <c r="P4">
        <v>-99</v>
      </c>
      <c r="Q4">
        <v>1</v>
      </c>
      <c r="R4" t="s">
        <v>208</v>
      </c>
    </row>
    <row r="5" spans="1:18" x14ac:dyDescent="0.2">
      <c r="A5">
        <v>4</v>
      </c>
      <c r="B5">
        <v>-99</v>
      </c>
      <c r="C5" t="s">
        <v>439</v>
      </c>
      <c r="D5" t="s">
        <v>6</v>
      </c>
      <c r="E5" t="s">
        <v>439</v>
      </c>
      <c r="F5" t="s">
        <v>1043</v>
      </c>
      <c r="G5" t="s">
        <v>437</v>
      </c>
      <c r="H5" t="s">
        <v>6</v>
      </c>
      <c r="I5">
        <v>-99</v>
      </c>
      <c r="J5">
        <v>1</v>
      </c>
      <c r="K5" t="s">
        <v>6</v>
      </c>
      <c r="L5">
        <v>-99</v>
      </c>
      <c r="M5" t="s">
        <v>654</v>
      </c>
      <c r="N5" t="s">
        <v>654</v>
      </c>
      <c r="O5">
        <v>-99</v>
      </c>
      <c r="P5">
        <v>-99</v>
      </c>
      <c r="Q5">
        <v>1</v>
      </c>
      <c r="R5" t="s">
        <v>683</v>
      </c>
    </row>
    <row r="6" spans="1:18" x14ac:dyDescent="0.2">
      <c r="A6">
        <v>5</v>
      </c>
      <c r="B6">
        <v>-99</v>
      </c>
      <c r="C6" t="s">
        <v>440</v>
      </c>
      <c r="D6" t="s">
        <v>6</v>
      </c>
      <c r="E6" t="s">
        <v>440</v>
      </c>
      <c r="F6" t="s">
        <v>695</v>
      </c>
      <c r="G6" t="s">
        <v>437</v>
      </c>
      <c r="H6" t="s">
        <v>6</v>
      </c>
      <c r="I6">
        <v>-99</v>
      </c>
      <c r="J6">
        <v>1</v>
      </c>
      <c r="K6" t="s">
        <v>6</v>
      </c>
      <c r="L6">
        <v>-99</v>
      </c>
      <c r="M6" t="s">
        <v>654</v>
      </c>
      <c r="N6" t="s">
        <v>654</v>
      </c>
      <c r="O6">
        <v>-99</v>
      </c>
      <c r="P6">
        <v>-99</v>
      </c>
      <c r="Q6">
        <v>1</v>
      </c>
      <c r="R6" t="s">
        <v>679</v>
      </c>
    </row>
    <row r="7" spans="1:18" x14ac:dyDescent="0.2">
      <c r="A7">
        <v>6</v>
      </c>
      <c r="B7">
        <v>-99</v>
      </c>
      <c r="C7" t="s">
        <v>441</v>
      </c>
      <c r="D7" t="s">
        <v>6</v>
      </c>
      <c r="E7" t="s">
        <v>441</v>
      </c>
      <c r="F7" t="s">
        <v>1038</v>
      </c>
      <c r="G7" t="s">
        <v>437</v>
      </c>
      <c r="H7" t="s">
        <v>6</v>
      </c>
      <c r="I7">
        <v>-99</v>
      </c>
      <c r="J7">
        <v>1</v>
      </c>
      <c r="K7" t="s">
        <v>6</v>
      </c>
      <c r="L7">
        <v>-99</v>
      </c>
      <c r="M7" t="s">
        <v>654</v>
      </c>
      <c r="N7" t="s">
        <v>654</v>
      </c>
      <c r="O7">
        <v>-99</v>
      </c>
      <c r="P7">
        <v>-99</v>
      </c>
      <c r="Q7">
        <v>1</v>
      </c>
      <c r="R7" t="s">
        <v>680</v>
      </c>
    </row>
    <row r="8" spans="1:18" x14ac:dyDescent="0.2">
      <c r="A8">
        <v>7</v>
      </c>
      <c r="B8">
        <v>-99</v>
      </c>
      <c r="C8" t="s">
        <v>442</v>
      </c>
      <c r="D8" t="s">
        <v>6</v>
      </c>
      <c r="E8" t="s">
        <v>442</v>
      </c>
      <c r="F8" t="s">
        <v>1044</v>
      </c>
      <c r="G8" t="s">
        <v>437</v>
      </c>
      <c r="H8" t="s">
        <v>6</v>
      </c>
      <c r="I8">
        <v>-99</v>
      </c>
      <c r="J8">
        <v>1</v>
      </c>
      <c r="K8" t="s">
        <v>6</v>
      </c>
      <c r="L8">
        <v>-99</v>
      </c>
      <c r="M8" t="s">
        <v>654</v>
      </c>
      <c r="N8" t="s">
        <v>654</v>
      </c>
      <c r="O8">
        <v>-99</v>
      </c>
      <c r="P8">
        <v>-99</v>
      </c>
      <c r="Q8">
        <v>1</v>
      </c>
      <c r="R8" t="s">
        <v>681</v>
      </c>
    </row>
    <row r="9" spans="1:18" x14ac:dyDescent="0.2">
      <c r="A9">
        <v>8</v>
      </c>
      <c r="B9">
        <v>-99</v>
      </c>
      <c r="C9" t="s">
        <v>443</v>
      </c>
      <c r="D9" t="s">
        <v>6</v>
      </c>
      <c r="E9" t="s">
        <v>443</v>
      </c>
      <c r="F9" t="s">
        <v>1045</v>
      </c>
      <c r="G9" t="s">
        <v>437</v>
      </c>
      <c r="H9" t="s">
        <v>6</v>
      </c>
      <c r="I9">
        <v>-99</v>
      </c>
      <c r="J9">
        <v>1</v>
      </c>
      <c r="K9" t="s">
        <v>6</v>
      </c>
      <c r="L9">
        <v>-99</v>
      </c>
      <c r="M9" t="s">
        <v>654</v>
      </c>
      <c r="N9" t="s">
        <v>654</v>
      </c>
      <c r="O9">
        <v>-99</v>
      </c>
      <c r="P9">
        <v>-99</v>
      </c>
      <c r="Q9">
        <v>1</v>
      </c>
      <c r="R9" t="s">
        <v>398</v>
      </c>
    </row>
    <row r="10" spans="1:18" x14ac:dyDescent="0.2">
      <c r="A10">
        <v>9</v>
      </c>
      <c r="B10">
        <v>-99</v>
      </c>
      <c r="C10" t="s">
        <v>444</v>
      </c>
      <c r="D10" t="s">
        <v>6</v>
      </c>
      <c r="E10" t="s">
        <v>444</v>
      </c>
      <c r="F10" t="s">
        <v>1046</v>
      </c>
      <c r="G10" t="s">
        <v>437</v>
      </c>
      <c r="H10" t="s">
        <v>6</v>
      </c>
      <c r="I10">
        <v>-99</v>
      </c>
      <c r="J10">
        <v>1</v>
      </c>
      <c r="K10" t="s">
        <v>6</v>
      </c>
      <c r="L10">
        <v>-99</v>
      </c>
      <c r="M10" t="s">
        <v>654</v>
      </c>
      <c r="N10" t="s">
        <v>654</v>
      </c>
      <c r="O10">
        <v>-99</v>
      </c>
      <c r="P10">
        <v>-99</v>
      </c>
      <c r="Q10">
        <v>1</v>
      </c>
      <c r="R10" t="s">
        <v>684</v>
      </c>
    </row>
    <row r="11" spans="1:18" x14ac:dyDescent="0.2">
      <c r="A11">
        <v>10</v>
      </c>
      <c r="B11">
        <v>-99</v>
      </c>
      <c r="C11" t="s">
        <v>445</v>
      </c>
      <c r="D11" t="s">
        <v>6</v>
      </c>
      <c r="E11" t="s">
        <v>445</v>
      </c>
      <c r="F11" t="s">
        <v>1047</v>
      </c>
      <c r="G11" t="s">
        <v>437</v>
      </c>
      <c r="H11" t="s">
        <v>6</v>
      </c>
      <c r="I11">
        <v>-99</v>
      </c>
      <c r="J11">
        <v>1</v>
      </c>
      <c r="K11" t="s">
        <v>6</v>
      </c>
      <c r="L11">
        <v>-99</v>
      </c>
      <c r="M11" t="s">
        <v>654</v>
      </c>
      <c r="N11" t="s">
        <v>654</v>
      </c>
      <c r="O11">
        <v>-99</v>
      </c>
      <c r="P11">
        <v>-99</v>
      </c>
      <c r="Q11">
        <v>1</v>
      </c>
      <c r="R11" t="s">
        <v>654</v>
      </c>
    </row>
    <row r="12" spans="1:18" x14ac:dyDescent="0.2">
      <c r="A12">
        <v>11</v>
      </c>
      <c r="B12">
        <v>-99</v>
      </c>
      <c r="C12" t="s">
        <v>447</v>
      </c>
      <c r="D12" t="s">
        <v>508</v>
      </c>
      <c r="E12" t="s">
        <v>656</v>
      </c>
      <c r="F12" t="s">
        <v>129</v>
      </c>
      <c r="G12" t="s">
        <v>656</v>
      </c>
      <c r="H12" t="s">
        <v>370</v>
      </c>
      <c r="I12">
        <v>-99</v>
      </c>
      <c r="J12">
        <v>-99</v>
      </c>
      <c r="K12" t="s">
        <v>654</v>
      </c>
      <c r="L12">
        <v>-99</v>
      </c>
      <c r="M12" t="s">
        <v>654</v>
      </c>
      <c r="N12" t="s">
        <v>654</v>
      </c>
      <c r="O12">
        <v>-99</v>
      </c>
      <c r="P12">
        <v>-99</v>
      </c>
      <c r="Q12">
        <v>2</v>
      </c>
      <c r="R12" t="s">
        <v>654</v>
      </c>
    </row>
    <row r="13" spans="1:18" x14ac:dyDescent="0.2">
      <c r="A13">
        <v>12</v>
      </c>
      <c r="B13">
        <v>-99</v>
      </c>
      <c r="C13" t="s">
        <v>449</v>
      </c>
      <c r="D13" t="s">
        <v>508</v>
      </c>
      <c r="E13" t="s">
        <v>657</v>
      </c>
      <c r="F13" t="s">
        <v>130</v>
      </c>
      <c r="G13" t="s">
        <v>657</v>
      </c>
      <c r="H13" t="s">
        <v>377</v>
      </c>
      <c r="I13">
        <v>-99</v>
      </c>
      <c r="J13">
        <v>-99</v>
      </c>
      <c r="K13" t="s">
        <v>654</v>
      </c>
      <c r="L13">
        <v>-99</v>
      </c>
      <c r="M13" t="s">
        <v>654</v>
      </c>
      <c r="N13" t="s">
        <v>654</v>
      </c>
      <c r="O13">
        <v>-99</v>
      </c>
      <c r="P13">
        <v>-99</v>
      </c>
      <c r="Q13">
        <v>2</v>
      </c>
      <c r="R13" t="s">
        <v>654</v>
      </c>
    </row>
    <row r="14" spans="1:18" x14ac:dyDescent="0.2">
      <c r="A14">
        <v>13</v>
      </c>
      <c r="B14">
        <v>-99</v>
      </c>
      <c r="C14" t="s">
        <v>452</v>
      </c>
      <c r="D14" t="s">
        <v>508</v>
      </c>
      <c r="E14" t="s">
        <v>658</v>
      </c>
      <c r="F14" t="s">
        <v>131</v>
      </c>
      <c r="G14" t="s">
        <v>658</v>
      </c>
      <c r="H14" t="s">
        <v>386</v>
      </c>
      <c r="I14">
        <v>-99</v>
      </c>
      <c r="J14">
        <v>-99</v>
      </c>
      <c r="K14" t="s">
        <v>654</v>
      </c>
      <c r="L14">
        <v>-99</v>
      </c>
      <c r="M14" t="s">
        <v>654</v>
      </c>
      <c r="N14" t="s">
        <v>654</v>
      </c>
      <c r="O14">
        <v>-99</v>
      </c>
      <c r="P14">
        <v>-99</v>
      </c>
      <c r="Q14">
        <v>2</v>
      </c>
      <c r="R14" t="s">
        <v>654</v>
      </c>
    </row>
    <row r="15" spans="1:18" x14ac:dyDescent="0.2">
      <c r="A15">
        <v>14</v>
      </c>
      <c r="B15">
        <v>-99</v>
      </c>
      <c r="C15" t="s">
        <v>659</v>
      </c>
      <c r="D15" t="s">
        <v>508</v>
      </c>
      <c r="E15" t="s">
        <v>660</v>
      </c>
      <c r="F15" t="s">
        <v>132</v>
      </c>
      <c r="G15" t="s">
        <v>660</v>
      </c>
      <c r="H15" t="s">
        <v>402</v>
      </c>
      <c r="I15">
        <v>-99</v>
      </c>
      <c r="J15">
        <v>-99</v>
      </c>
      <c r="K15" t="s">
        <v>654</v>
      </c>
      <c r="L15">
        <v>-99</v>
      </c>
      <c r="M15" t="s">
        <v>654</v>
      </c>
      <c r="N15" t="s">
        <v>654</v>
      </c>
      <c r="O15">
        <v>-99</v>
      </c>
      <c r="P15">
        <v>-99</v>
      </c>
      <c r="Q15">
        <v>2</v>
      </c>
      <c r="R15" t="s">
        <v>654</v>
      </c>
    </row>
    <row r="16" spans="1:18" x14ac:dyDescent="0.2">
      <c r="A16">
        <v>15</v>
      </c>
      <c r="B16">
        <v>-99</v>
      </c>
      <c r="C16" t="s">
        <v>662</v>
      </c>
      <c r="D16" t="s">
        <v>429</v>
      </c>
      <c r="E16" t="s">
        <v>662</v>
      </c>
      <c r="F16" t="s">
        <v>429</v>
      </c>
      <c r="G16" t="s">
        <v>654</v>
      </c>
      <c r="H16" t="s">
        <v>654</v>
      </c>
      <c r="I16">
        <v>-99</v>
      </c>
      <c r="J16">
        <v>30</v>
      </c>
      <c r="K16" t="s">
        <v>369</v>
      </c>
      <c r="L16">
        <v>-99</v>
      </c>
      <c r="M16" t="s">
        <v>654</v>
      </c>
      <c r="N16" t="s">
        <v>654</v>
      </c>
      <c r="O16">
        <v>-99</v>
      </c>
      <c r="P16">
        <v>-99</v>
      </c>
      <c r="Q16">
        <v>3</v>
      </c>
      <c r="R16" t="s">
        <v>654</v>
      </c>
    </row>
    <row r="17" spans="1:18" x14ac:dyDescent="0.2">
      <c r="A17">
        <v>16</v>
      </c>
      <c r="B17">
        <v>-99</v>
      </c>
      <c r="C17" t="s">
        <v>661</v>
      </c>
      <c r="D17" t="s">
        <v>435</v>
      </c>
      <c r="E17" t="s">
        <v>661</v>
      </c>
      <c r="F17" t="s">
        <v>435</v>
      </c>
      <c r="G17" t="s">
        <v>654</v>
      </c>
      <c r="H17" t="s">
        <v>654</v>
      </c>
      <c r="I17">
        <v>-99</v>
      </c>
      <c r="J17">
        <v>31</v>
      </c>
      <c r="K17" t="s">
        <v>380</v>
      </c>
      <c r="L17">
        <v>-99</v>
      </c>
      <c r="M17" t="s">
        <v>654</v>
      </c>
      <c r="N17" t="s">
        <v>654</v>
      </c>
      <c r="O17">
        <v>-99</v>
      </c>
      <c r="P17">
        <v>-99</v>
      </c>
      <c r="Q17">
        <v>3</v>
      </c>
      <c r="R17" t="s">
        <v>654</v>
      </c>
    </row>
    <row r="18" spans="1:18" x14ac:dyDescent="0.2">
      <c r="A18">
        <v>17</v>
      </c>
      <c r="B18">
        <v>-99</v>
      </c>
      <c r="C18" t="s">
        <v>663</v>
      </c>
      <c r="D18" t="s">
        <v>433</v>
      </c>
      <c r="E18" t="s">
        <v>663</v>
      </c>
      <c r="F18" t="s">
        <v>433</v>
      </c>
      <c r="G18" t="s">
        <v>654</v>
      </c>
      <c r="H18" t="s">
        <v>654</v>
      </c>
      <c r="I18">
        <v>-99</v>
      </c>
      <c r="J18">
        <v>32</v>
      </c>
      <c r="K18" t="s">
        <v>390</v>
      </c>
      <c r="L18">
        <v>-99</v>
      </c>
      <c r="M18" t="s">
        <v>654</v>
      </c>
      <c r="N18" t="s">
        <v>654</v>
      </c>
      <c r="O18">
        <v>-99</v>
      </c>
      <c r="P18">
        <v>-99</v>
      </c>
      <c r="Q18">
        <v>3</v>
      </c>
      <c r="R18" t="s">
        <v>654</v>
      </c>
    </row>
    <row r="19" spans="1:18" x14ac:dyDescent="0.2">
      <c r="A19">
        <v>18</v>
      </c>
      <c r="B19">
        <v>-99</v>
      </c>
      <c r="C19" t="s">
        <v>664</v>
      </c>
      <c r="D19" t="s">
        <v>432</v>
      </c>
      <c r="E19" t="s">
        <v>664</v>
      </c>
      <c r="F19" t="s">
        <v>432</v>
      </c>
      <c r="G19" t="s">
        <v>654</v>
      </c>
      <c r="H19" t="s">
        <v>654</v>
      </c>
      <c r="I19">
        <v>-99</v>
      </c>
      <c r="J19">
        <v>33</v>
      </c>
      <c r="K19" t="s">
        <v>385</v>
      </c>
      <c r="L19">
        <v>-99</v>
      </c>
      <c r="M19" t="s">
        <v>654</v>
      </c>
      <c r="N19" t="s">
        <v>654</v>
      </c>
      <c r="O19">
        <v>-99</v>
      </c>
      <c r="P19">
        <v>-99</v>
      </c>
      <c r="Q19">
        <v>3</v>
      </c>
      <c r="R19" t="s">
        <v>654</v>
      </c>
    </row>
    <row r="20" spans="1:18" x14ac:dyDescent="0.2">
      <c r="A20">
        <v>19</v>
      </c>
      <c r="B20">
        <v>-99</v>
      </c>
      <c r="C20" t="s">
        <v>665</v>
      </c>
      <c r="D20" t="s">
        <v>434</v>
      </c>
      <c r="E20" t="s">
        <v>665</v>
      </c>
      <c r="F20" t="s">
        <v>434</v>
      </c>
      <c r="G20" t="s">
        <v>654</v>
      </c>
      <c r="H20" t="s">
        <v>654</v>
      </c>
      <c r="I20">
        <v>-99</v>
      </c>
      <c r="J20">
        <v>34</v>
      </c>
      <c r="K20" t="s">
        <v>404</v>
      </c>
      <c r="L20">
        <v>-99</v>
      </c>
      <c r="M20" t="s">
        <v>654</v>
      </c>
      <c r="N20" t="s">
        <v>654</v>
      </c>
      <c r="O20">
        <v>-99</v>
      </c>
      <c r="P20">
        <v>-99</v>
      </c>
      <c r="Q20">
        <v>3</v>
      </c>
      <c r="R20" t="s">
        <v>654</v>
      </c>
    </row>
    <row r="21" spans="1:18" x14ac:dyDescent="0.2">
      <c r="A21">
        <v>20</v>
      </c>
      <c r="B21">
        <v>1</v>
      </c>
      <c r="C21" t="s">
        <v>667</v>
      </c>
      <c r="D21" t="s">
        <v>368</v>
      </c>
      <c r="E21" t="s">
        <v>667</v>
      </c>
      <c r="F21" t="s">
        <v>509</v>
      </c>
      <c r="G21" t="s">
        <v>668</v>
      </c>
      <c r="H21" t="s">
        <v>8</v>
      </c>
      <c r="I21">
        <v>-99</v>
      </c>
      <c r="J21">
        <v>35</v>
      </c>
      <c r="K21" t="s">
        <v>8</v>
      </c>
      <c r="L21">
        <v>8240</v>
      </c>
      <c r="M21" t="s">
        <v>510</v>
      </c>
      <c r="N21" t="s">
        <v>654</v>
      </c>
      <c r="O21">
        <v>1</v>
      </c>
      <c r="P21">
        <v>2</v>
      </c>
      <c r="Q21">
        <v>-99</v>
      </c>
      <c r="R21" t="s">
        <v>654</v>
      </c>
    </row>
    <row r="22" spans="1:18" x14ac:dyDescent="0.2">
      <c r="A22">
        <v>21</v>
      </c>
      <c r="B22">
        <v>8</v>
      </c>
      <c r="C22" t="s">
        <v>136</v>
      </c>
      <c r="D22" t="s">
        <v>35</v>
      </c>
      <c r="E22" t="s">
        <v>511</v>
      </c>
      <c r="F22" t="s">
        <v>512</v>
      </c>
      <c r="G22" t="s">
        <v>656</v>
      </c>
      <c r="H22" t="s">
        <v>370</v>
      </c>
      <c r="I22">
        <v>380</v>
      </c>
      <c r="J22">
        <v>30</v>
      </c>
      <c r="K22" t="s">
        <v>369</v>
      </c>
      <c r="L22">
        <v>8233</v>
      </c>
      <c r="M22" t="s">
        <v>325</v>
      </c>
      <c r="N22" t="s">
        <v>371</v>
      </c>
      <c r="O22">
        <v>1</v>
      </c>
      <c r="P22">
        <v>2</v>
      </c>
      <c r="Q22">
        <v>-99</v>
      </c>
      <c r="R22" t="s">
        <v>682</v>
      </c>
    </row>
    <row r="23" spans="1:18" x14ac:dyDescent="0.2">
      <c r="A23">
        <v>22</v>
      </c>
      <c r="B23">
        <v>9</v>
      </c>
      <c r="C23" t="s">
        <v>137</v>
      </c>
      <c r="D23" t="s">
        <v>67</v>
      </c>
      <c r="E23" t="s">
        <v>513</v>
      </c>
      <c r="F23" t="s">
        <v>514</v>
      </c>
      <c r="G23" t="s">
        <v>656</v>
      </c>
      <c r="H23" t="s">
        <v>370</v>
      </c>
      <c r="I23">
        <v>380</v>
      </c>
      <c r="J23">
        <v>30</v>
      </c>
      <c r="K23" t="s">
        <v>369</v>
      </c>
      <c r="L23">
        <v>8235</v>
      </c>
      <c r="M23" t="s">
        <v>360</v>
      </c>
      <c r="N23" t="s">
        <v>372</v>
      </c>
      <c r="O23">
        <v>1</v>
      </c>
      <c r="P23">
        <v>1</v>
      </c>
      <c r="Q23">
        <v>-99</v>
      </c>
      <c r="R23" t="s">
        <v>682</v>
      </c>
    </row>
    <row r="24" spans="1:18" x14ac:dyDescent="0.2">
      <c r="A24">
        <v>23</v>
      </c>
      <c r="B24">
        <v>-99</v>
      </c>
      <c r="C24" t="s">
        <v>137</v>
      </c>
      <c r="D24" t="s">
        <v>67</v>
      </c>
      <c r="E24" t="s">
        <v>515</v>
      </c>
      <c r="F24" t="s">
        <v>516</v>
      </c>
      <c r="G24" t="s">
        <v>656</v>
      </c>
      <c r="H24" t="s">
        <v>370</v>
      </c>
      <c r="I24">
        <v>380</v>
      </c>
      <c r="J24">
        <v>30</v>
      </c>
      <c r="K24" t="s">
        <v>369</v>
      </c>
      <c r="L24">
        <v>8235</v>
      </c>
      <c r="M24" t="s">
        <v>360</v>
      </c>
      <c r="N24" t="s">
        <v>372</v>
      </c>
      <c r="O24">
        <v>-99</v>
      </c>
      <c r="P24">
        <v>1</v>
      </c>
      <c r="Q24">
        <v>-99</v>
      </c>
      <c r="R24" t="s">
        <v>398</v>
      </c>
    </row>
    <row r="25" spans="1:18" x14ac:dyDescent="0.2">
      <c r="A25">
        <v>24</v>
      </c>
      <c r="B25">
        <v>10</v>
      </c>
      <c r="C25" t="s">
        <v>138</v>
      </c>
      <c r="D25" t="s">
        <v>60</v>
      </c>
      <c r="E25" t="s">
        <v>517</v>
      </c>
      <c r="F25" t="s">
        <v>518</v>
      </c>
      <c r="G25" t="s">
        <v>656</v>
      </c>
      <c r="H25" t="s">
        <v>370</v>
      </c>
      <c r="I25">
        <v>380</v>
      </c>
      <c r="J25">
        <v>30</v>
      </c>
      <c r="K25" t="s">
        <v>369</v>
      </c>
      <c r="L25">
        <v>8237</v>
      </c>
      <c r="M25" t="s">
        <v>335</v>
      </c>
      <c r="N25" t="s">
        <v>60</v>
      </c>
      <c r="O25">
        <v>1</v>
      </c>
      <c r="P25">
        <v>2</v>
      </c>
      <c r="Q25">
        <v>-99</v>
      </c>
      <c r="R25" t="s">
        <v>682</v>
      </c>
    </row>
    <row r="26" spans="1:18" x14ac:dyDescent="0.2">
      <c r="A26">
        <v>25</v>
      </c>
      <c r="B26">
        <v>11</v>
      </c>
      <c r="C26" t="s">
        <v>139</v>
      </c>
      <c r="D26" t="s">
        <v>24</v>
      </c>
      <c r="E26" t="s">
        <v>519</v>
      </c>
      <c r="F26" t="s">
        <v>520</v>
      </c>
      <c r="G26" t="s">
        <v>656</v>
      </c>
      <c r="H26" t="s">
        <v>370</v>
      </c>
      <c r="I26">
        <v>380</v>
      </c>
      <c r="J26">
        <v>30</v>
      </c>
      <c r="K26" t="s">
        <v>369</v>
      </c>
      <c r="L26">
        <v>8238</v>
      </c>
      <c r="M26" t="s">
        <v>335</v>
      </c>
      <c r="N26" t="s">
        <v>60</v>
      </c>
      <c r="O26">
        <v>1</v>
      </c>
      <c r="P26">
        <v>2</v>
      </c>
      <c r="Q26">
        <v>-99</v>
      </c>
      <c r="R26" t="s">
        <v>682</v>
      </c>
    </row>
    <row r="27" spans="1:18" x14ac:dyDescent="0.2">
      <c r="A27">
        <v>26</v>
      </c>
      <c r="B27">
        <v>12</v>
      </c>
      <c r="C27" t="s">
        <v>140</v>
      </c>
      <c r="D27" t="s">
        <v>44</v>
      </c>
      <c r="E27" t="s">
        <v>521</v>
      </c>
      <c r="F27" t="s">
        <v>522</v>
      </c>
      <c r="G27" t="s">
        <v>656</v>
      </c>
      <c r="H27" t="s">
        <v>370</v>
      </c>
      <c r="I27">
        <v>380</v>
      </c>
      <c r="J27">
        <v>30</v>
      </c>
      <c r="K27" t="s">
        <v>369</v>
      </c>
      <c r="L27">
        <v>8239</v>
      </c>
      <c r="M27" t="s">
        <v>353</v>
      </c>
      <c r="N27" t="s">
        <v>373</v>
      </c>
      <c r="O27">
        <v>1</v>
      </c>
      <c r="P27">
        <v>2</v>
      </c>
      <c r="Q27">
        <v>-99</v>
      </c>
      <c r="R27" t="s">
        <v>682</v>
      </c>
    </row>
    <row r="28" spans="1:18" x14ac:dyDescent="0.2">
      <c r="A28">
        <v>27</v>
      </c>
      <c r="B28">
        <v>13</v>
      </c>
      <c r="C28" t="s">
        <v>141</v>
      </c>
      <c r="D28" t="s">
        <v>61</v>
      </c>
      <c r="E28" t="s">
        <v>523</v>
      </c>
      <c r="F28" t="s">
        <v>524</v>
      </c>
      <c r="G28" t="s">
        <v>656</v>
      </c>
      <c r="H28" t="s">
        <v>370</v>
      </c>
      <c r="I28">
        <v>380</v>
      </c>
      <c r="J28">
        <v>30</v>
      </c>
      <c r="K28" t="s">
        <v>369</v>
      </c>
      <c r="L28">
        <v>8241</v>
      </c>
      <c r="M28" t="s">
        <v>357</v>
      </c>
      <c r="N28" t="s">
        <v>374</v>
      </c>
      <c r="O28">
        <v>1</v>
      </c>
      <c r="P28">
        <v>2</v>
      </c>
      <c r="Q28">
        <v>-99</v>
      </c>
      <c r="R28" t="s">
        <v>682</v>
      </c>
    </row>
    <row r="29" spans="1:18" x14ac:dyDescent="0.2">
      <c r="A29">
        <v>28</v>
      </c>
      <c r="B29">
        <v>14</v>
      </c>
      <c r="C29" t="s">
        <v>99</v>
      </c>
      <c r="D29" t="s">
        <v>63</v>
      </c>
      <c r="E29" t="s">
        <v>525</v>
      </c>
      <c r="F29" t="s">
        <v>526</v>
      </c>
      <c r="G29" t="s">
        <v>656</v>
      </c>
      <c r="H29" t="s">
        <v>370</v>
      </c>
      <c r="I29">
        <v>380</v>
      </c>
      <c r="J29">
        <v>30</v>
      </c>
      <c r="K29" t="s">
        <v>369</v>
      </c>
      <c r="L29">
        <v>8242</v>
      </c>
      <c r="M29" t="s">
        <v>347</v>
      </c>
      <c r="N29" t="s">
        <v>375</v>
      </c>
      <c r="O29">
        <v>1</v>
      </c>
      <c r="P29">
        <v>1</v>
      </c>
      <c r="Q29">
        <v>-99</v>
      </c>
      <c r="R29" t="s">
        <v>682</v>
      </c>
    </row>
    <row r="30" spans="1:18" x14ac:dyDescent="0.2">
      <c r="A30">
        <v>29</v>
      </c>
      <c r="B30">
        <v>-99</v>
      </c>
      <c r="C30" t="s">
        <v>99</v>
      </c>
      <c r="D30" t="s">
        <v>63</v>
      </c>
      <c r="E30" t="s">
        <v>527</v>
      </c>
      <c r="F30" t="s">
        <v>210</v>
      </c>
      <c r="G30" t="s">
        <v>656</v>
      </c>
      <c r="H30" t="s">
        <v>370</v>
      </c>
      <c r="I30">
        <v>380</v>
      </c>
      <c r="J30">
        <v>30</v>
      </c>
      <c r="K30" t="s">
        <v>369</v>
      </c>
      <c r="L30">
        <v>8242</v>
      </c>
      <c r="M30" t="s">
        <v>347</v>
      </c>
      <c r="N30" t="s">
        <v>375</v>
      </c>
      <c r="O30">
        <v>-99</v>
      </c>
      <c r="P30">
        <v>1</v>
      </c>
      <c r="Q30">
        <v>-99</v>
      </c>
      <c r="R30" t="s">
        <v>208</v>
      </c>
    </row>
    <row r="31" spans="1:18" x14ac:dyDescent="0.2">
      <c r="A31">
        <v>30</v>
      </c>
      <c r="B31">
        <v>15</v>
      </c>
      <c r="C31" t="s">
        <v>142</v>
      </c>
      <c r="D31" t="s">
        <v>65</v>
      </c>
      <c r="E31" t="s">
        <v>528</v>
      </c>
      <c r="F31" t="s">
        <v>529</v>
      </c>
      <c r="G31" t="s">
        <v>656</v>
      </c>
      <c r="H31" t="s">
        <v>370</v>
      </c>
      <c r="I31">
        <v>380</v>
      </c>
      <c r="J31">
        <v>30</v>
      </c>
      <c r="K31" t="s">
        <v>369</v>
      </c>
      <c r="L31">
        <v>8243</v>
      </c>
      <c r="M31" t="s">
        <v>347</v>
      </c>
      <c r="N31" t="s">
        <v>375</v>
      </c>
      <c r="O31">
        <v>1</v>
      </c>
      <c r="P31">
        <v>1</v>
      </c>
      <c r="Q31">
        <v>-99</v>
      </c>
      <c r="R31" t="s">
        <v>682</v>
      </c>
    </row>
    <row r="32" spans="1:18" x14ac:dyDescent="0.2">
      <c r="A32">
        <v>31</v>
      </c>
      <c r="B32">
        <v>-99</v>
      </c>
      <c r="C32" t="s">
        <v>142</v>
      </c>
      <c r="D32" t="s">
        <v>65</v>
      </c>
      <c r="E32" t="s">
        <v>530</v>
      </c>
      <c r="F32" t="s">
        <v>531</v>
      </c>
      <c r="G32" t="s">
        <v>656</v>
      </c>
      <c r="H32" t="s">
        <v>370</v>
      </c>
      <c r="I32">
        <v>380</v>
      </c>
      <c r="J32">
        <v>30</v>
      </c>
      <c r="K32" t="s">
        <v>369</v>
      </c>
      <c r="L32">
        <v>8243</v>
      </c>
      <c r="M32" t="s">
        <v>347</v>
      </c>
      <c r="N32" t="s">
        <v>375</v>
      </c>
      <c r="O32">
        <v>-99</v>
      </c>
      <c r="P32">
        <v>1</v>
      </c>
      <c r="Q32">
        <v>-99</v>
      </c>
      <c r="R32" t="s">
        <v>681</v>
      </c>
    </row>
    <row r="33" spans="1:18" x14ac:dyDescent="0.2">
      <c r="A33">
        <v>32</v>
      </c>
      <c r="B33">
        <v>16</v>
      </c>
      <c r="C33" t="s">
        <v>143</v>
      </c>
      <c r="D33" t="s">
        <v>33</v>
      </c>
      <c r="E33" t="s">
        <v>532</v>
      </c>
      <c r="F33" t="s">
        <v>533</v>
      </c>
      <c r="G33" t="s">
        <v>656</v>
      </c>
      <c r="H33" t="s">
        <v>370</v>
      </c>
      <c r="I33">
        <v>380</v>
      </c>
      <c r="J33">
        <v>30</v>
      </c>
      <c r="K33" t="s">
        <v>369</v>
      </c>
      <c r="L33">
        <v>8244</v>
      </c>
      <c r="M33" t="s">
        <v>342</v>
      </c>
      <c r="N33" t="s">
        <v>376</v>
      </c>
      <c r="O33">
        <v>1</v>
      </c>
      <c r="P33">
        <v>2</v>
      </c>
      <c r="Q33">
        <v>-99</v>
      </c>
      <c r="R33" t="s">
        <v>682</v>
      </c>
    </row>
    <row r="34" spans="1:18" x14ac:dyDescent="0.2">
      <c r="A34">
        <v>33</v>
      </c>
      <c r="B34">
        <v>23</v>
      </c>
      <c r="C34" t="s">
        <v>103</v>
      </c>
      <c r="D34" t="s">
        <v>69</v>
      </c>
      <c r="E34" t="s">
        <v>534</v>
      </c>
      <c r="F34" t="s">
        <v>535</v>
      </c>
      <c r="G34" t="s">
        <v>657</v>
      </c>
      <c r="H34" t="s">
        <v>377</v>
      </c>
      <c r="I34">
        <v>381</v>
      </c>
      <c r="J34">
        <v>30</v>
      </c>
      <c r="K34" t="s">
        <v>369</v>
      </c>
      <c r="L34">
        <v>8245</v>
      </c>
      <c r="M34" t="s">
        <v>321</v>
      </c>
      <c r="N34" t="s">
        <v>378</v>
      </c>
      <c r="O34">
        <v>1</v>
      </c>
      <c r="P34">
        <v>2</v>
      </c>
      <c r="Q34">
        <v>-99</v>
      </c>
      <c r="R34" t="s">
        <v>682</v>
      </c>
    </row>
    <row r="35" spans="1:18" x14ac:dyDescent="0.2">
      <c r="A35">
        <v>34</v>
      </c>
      <c r="B35">
        <v>24</v>
      </c>
      <c r="C35" t="s">
        <v>144</v>
      </c>
      <c r="D35" t="s">
        <v>47</v>
      </c>
      <c r="E35" t="s">
        <v>536</v>
      </c>
      <c r="F35" t="s">
        <v>537</v>
      </c>
      <c r="G35" t="s">
        <v>657</v>
      </c>
      <c r="H35" t="s">
        <v>377</v>
      </c>
      <c r="I35">
        <v>381</v>
      </c>
      <c r="J35">
        <v>30</v>
      </c>
      <c r="K35" t="s">
        <v>369</v>
      </c>
      <c r="L35">
        <v>8246</v>
      </c>
      <c r="M35" t="s">
        <v>337</v>
      </c>
      <c r="N35" t="s">
        <v>379</v>
      </c>
      <c r="O35">
        <v>1</v>
      </c>
      <c r="P35">
        <v>2</v>
      </c>
      <c r="Q35">
        <v>-99</v>
      </c>
      <c r="R35" t="s">
        <v>682</v>
      </c>
    </row>
    <row r="36" spans="1:18" x14ac:dyDescent="0.2">
      <c r="A36">
        <v>35</v>
      </c>
      <c r="B36">
        <v>30</v>
      </c>
      <c r="C36" t="s">
        <v>145</v>
      </c>
      <c r="D36" t="s">
        <v>25</v>
      </c>
      <c r="E36" t="s">
        <v>538</v>
      </c>
      <c r="F36" t="s">
        <v>539</v>
      </c>
      <c r="G36" t="s">
        <v>657</v>
      </c>
      <c r="H36" t="s">
        <v>377</v>
      </c>
      <c r="I36">
        <v>381</v>
      </c>
      <c r="J36">
        <v>31</v>
      </c>
      <c r="K36" t="s">
        <v>380</v>
      </c>
      <c r="L36">
        <v>8247</v>
      </c>
      <c r="M36" t="s">
        <v>362</v>
      </c>
      <c r="N36" t="s">
        <v>381</v>
      </c>
      <c r="O36">
        <v>1</v>
      </c>
      <c r="P36">
        <v>2</v>
      </c>
      <c r="Q36">
        <v>-99</v>
      </c>
      <c r="R36" t="s">
        <v>682</v>
      </c>
    </row>
    <row r="37" spans="1:18" x14ac:dyDescent="0.2">
      <c r="A37">
        <v>36</v>
      </c>
      <c r="B37">
        <v>194</v>
      </c>
      <c r="C37" t="s">
        <v>146</v>
      </c>
      <c r="D37" t="s">
        <v>77</v>
      </c>
      <c r="E37" t="s">
        <v>540</v>
      </c>
      <c r="F37" t="s">
        <v>541</v>
      </c>
      <c r="G37" t="s">
        <v>657</v>
      </c>
      <c r="H37" t="s">
        <v>377</v>
      </c>
      <c r="I37">
        <v>381</v>
      </c>
      <c r="J37">
        <v>31</v>
      </c>
      <c r="K37" t="s">
        <v>380</v>
      </c>
      <c r="L37">
        <v>8248</v>
      </c>
      <c r="M37" t="s">
        <v>317</v>
      </c>
      <c r="N37" t="s">
        <v>425</v>
      </c>
      <c r="O37">
        <v>1</v>
      </c>
      <c r="P37">
        <v>2</v>
      </c>
      <c r="Q37">
        <v>-99</v>
      </c>
      <c r="R37" t="s">
        <v>682</v>
      </c>
    </row>
    <row r="38" spans="1:18" x14ac:dyDescent="0.2">
      <c r="A38">
        <v>37</v>
      </c>
      <c r="B38">
        <v>34</v>
      </c>
      <c r="C38" t="s">
        <v>147</v>
      </c>
      <c r="D38" t="s">
        <v>83</v>
      </c>
      <c r="E38" t="s">
        <v>542</v>
      </c>
      <c r="F38" t="s">
        <v>543</v>
      </c>
      <c r="G38" t="s">
        <v>657</v>
      </c>
      <c r="H38" t="s">
        <v>377</v>
      </c>
      <c r="I38">
        <v>381</v>
      </c>
      <c r="J38">
        <v>30</v>
      </c>
      <c r="K38" t="s">
        <v>369</v>
      </c>
      <c r="L38">
        <v>8249</v>
      </c>
      <c r="M38" t="s">
        <v>348</v>
      </c>
      <c r="N38" t="s">
        <v>382</v>
      </c>
      <c r="O38">
        <v>1</v>
      </c>
      <c r="P38">
        <v>1</v>
      </c>
      <c r="Q38">
        <v>-99</v>
      </c>
      <c r="R38" t="s">
        <v>682</v>
      </c>
    </row>
    <row r="39" spans="1:18" x14ac:dyDescent="0.2">
      <c r="A39">
        <v>38</v>
      </c>
      <c r="B39">
        <v>-99</v>
      </c>
      <c r="C39" t="s">
        <v>147</v>
      </c>
      <c r="D39" t="s">
        <v>83</v>
      </c>
      <c r="E39" t="s">
        <v>544</v>
      </c>
      <c r="F39" t="s">
        <v>213</v>
      </c>
      <c r="G39" t="s">
        <v>657</v>
      </c>
      <c r="H39" t="s">
        <v>377</v>
      </c>
      <c r="I39">
        <v>381</v>
      </c>
      <c r="J39">
        <v>30</v>
      </c>
      <c r="K39" t="s">
        <v>369</v>
      </c>
      <c r="L39">
        <v>8249</v>
      </c>
      <c r="M39" t="s">
        <v>348</v>
      </c>
      <c r="N39" t="s">
        <v>382</v>
      </c>
      <c r="O39">
        <v>-99</v>
      </c>
      <c r="P39">
        <v>1</v>
      </c>
      <c r="Q39">
        <v>-99</v>
      </c>
      <c r="R39" t="s">
        <v>679</v>
      </c>
    </row>
    <row r="40" spans="1:18" x14ac:dyDescent="0.2">
      <c r="A40">
        <v>39</v>
      </c>
      <c r="B40">
        <v>-99</v>
      </c>
      <c r="C40" t="s">
        <v>147</v>
      </c>
      <c r="D40" t="s">
        <v>83</v>
      </c>
      <c r="E40" t="s">
        <v>545</v>
      </c>
      <c r="F40" t="s">
        <v>957</v>
      </c>
      <c r="G40" t="s">
        <v>657</v>
      </c>
      <c r="H40" t="s">
        <v>377</v>
      </c>
      <c r="I40">
        <v>381</v>
      </c>
      <c r="J40">
        <v>30</v>
      </c>
      <c r="K40" t="s">
        <v>369</v>
      </c>
      <c r="L40">
        <v>8249</v>
      </c>
      <c r="M40" t="s">
        <v>348</v>
      </c>
      <c r="N40" t="s">
        <v>382</v>
      </c>
      <c r="O40">
        <v>-99</v>
      </c>
      <c r="P40">
        <v>1</v>
      </c>
      <c r="Q40">
        <v>-99</v>
      </c>
      <c r="R40" t="s">
        <v>680</v>
      </c>
    </row>
    <row r="41" spans="1:18" x14ac:dyDescent="0.2">
      <c r="A41">
        <v>40</v>
      </c>
      <c r="B41">
        <v>35</v>
      </c>
      <c r="C41" t="s">
        <v>148</v>
      </c>
      <c r="D41" t="s">
        <v>39</v>
      </c>
      <c r="E41" t="s">
        <v>546</v>
      </c>
      <c r="F41" t="s">
        <v>547</v>
      </c>
      <c r="G41" t="s">
        <v>657</v>
      </c>
      <c r="H41" t="s">
        <v>377</v>
      </c>
      <c r="I41">
        <v>381</v>
      </c>
      <c r="J41">
        <v>31</v>
      </c>
      <c r="K41" t="s">
        <v>380</v>
      </c>
      <c r="L41">
        <v>8250</v>
      </c>
      <c r="M41" t="s">
        <v>340</v>
      </c>
      <c r="N41" t="s">
        <v>383</v>
      </c>
      <c r="O41">
        <v>1</v>
      </c>
      <c r="P41">
        <v>2</v>
      </c>
      <c r="Q41">
        <v>-99</v>
      </c>
      <c r="R41" t="s">
        <v>682</v>
      </c>
    </row>
    <row r="42" spans="1:18" x14ac:dyDescent="0.2">
      <c r="A42">
        <v>41</v>
      </c>
      <c r="B42">
        <v>36</v>
      </c>
      <c r="C42" t="s">
        <v>91</v>
      </c>
      <c r="D42" t="s">
        <v>58</v>
      </c>
      <c r="E42" t="s">
        <v>548</v>
      </c>
      <c r="F42" t="s">
        <v>549</v>
      </c>
      <c r="G42" t="s">
        <v>657</v>
      </c>
      <c r="H42" t="s">
        <v>377</v>
      </c>
      <c r="I42">
        <v>381</v>
      </c>
      <c r="J42">
        <v>31</v>
      </c>
      <c r="K42" t="s">
        <v>380</v>
      </c>
      <c r="L42">
        <v>8251</v>
      </c>
      <c r="M42" t="s">
        <v>343</v>
      </c>
      <c r="N42" t="s">
        <v>384</v>
      </c>
      <c r="O42">
        <v>1</v>
      </c>
      <c r="P42">
        <v>2</v>
      </c>
      <c r="Q42">
        <v>-99</v>
      </c>
      <c r="R42" t="s">
        <v>682</v>
      </c>
    </row>
    <row r="43" spans="1:18" x14ac:dyDescent="0.2">
      <c r="A43">
        <v>42</v>
      </c>
      <c r="B43">
        <v>37</v>
      </c>
      <c r="C43" t="s">
        <v>149</v>
      </c>
      <c r="D43" t="s">
        <v>59</v>
      </c>
      <c r="E43" t="s">
        <v>550</v>
      </c>
      <c r="F43" t="s">
        <v>551</v>
      </c>
      <c r="G43" t="s">
        <v>658</v>
      </c>
      <c r="H43" t="s">
        <v>386</v>
      </c>
      <c r="I43">
        <v>382</v>
      </c>
      <c r="J43">
        <v>33</v>
      </c>
      <c r="K43" t="s">
        <v>385</v>
      </c>
      <c r="L43">
        <v>8252</v>
      </c>
      <c r="M43" t="s">
        <v>320</v>
      </c>
      <c r="N43" t="s">
        <v>387</v>
      </c>
      <c r="O43">
        <v>1</v>
      </c>
      <c r="P43">
        <v>2</v>
      </c>
      <c r="Q43">
        <v>-99</v>
      </c>
      <c r="R43" t="s">
        <v>682</v>
      </c>
    </row>
    <row r="44" spans="1:18" x14ac:dyDescent="0.2">
      <c r="A44">
        <v>43</v>
      </c>
      <c r="B44">
        <v>38</v>
      </c>
      <c r="C44" t="s">
        <v>150</v>
      </c>
      <c r="D44" t="s">
        <v>57</v>
      </c>
      <c r="E44" t="s">
        <v>552</v>
      </c>
      <c r="F44" t="s">
        <v>553</v>
      </c>
      <c r="G44" t="s">
        <v>657</v>
      </c>
      <c r="H44" t="s">
        <v>377</v>
      </c>
      <c r="I44">
        <v>381</v>
      </c>
      <c r="J44">
        <v>31</v>
      </c>
      <c r="K44" t="s">
        <v>380</v>
      </c>
      <c r="L44">
        <v>8253</v>
      </c>
      <c r="M44" t="s">
        <v>354</v>
      </c>
      <c r="N44" t="s">
        <v>388</v>
      </c>
      <c r="O44">
        <v>1</v>
      </c>
      <c r="P44">
        <v>2</v>
      </c>
      <c r="Q44">
        <v>-99</v>
      </c>
      <c r="R44" t="s">
        <v>682</v>
      </c>
    </row>
    <row r="45" spans="1:18" x14ac:dyDescent="0.2">
      <c r="A45">
        <v>44</v>
      </c>
      <c r="B45">
        <v>39</v>
      </c>
      <c r="C45" t="s">
        <v>151</v>
      </c>
      <c r="D45" t="s">
        <v>49</v>
      </c>
      <c r="E45" t="s">
        <v>554</v>
      </c>
      <c r="F45" t="s">
        <v>555</v>
      </c>
      <c r="G45" t="s">
        <v>657</v>
      </c>
      <c r="H45" t="s">
        <v>377</v>
      </c>
      <c r="I45">
        <v>381</v>
      </c>
      <c r="J45">
        <v>33</v>
      </c>
      <c r="K45" t="s">
        <v>385</v>
      </c>
      <c r="L45">
        <v>8254</v>
      </c>
      <c r="M45" t="s">
        <v>355</v>
      </c>
      <c r="N45" t="s">
        <v>389</v>
      </c>
      <c r="O45">
        <v>1</v>
      </c>
      <c r="P45">
        <v>1</v>
      </c>
      <c r="Q45">
        <v>-99</v>
      </c>
      <c r="R45" t="s">
        <v>682</v>
      </c>
    </row>
    <row r="46" spans="1:18" x14ac:dyDescent="0.2">
      <c r="A46">
        <v>45</v>
      </c>
      <c r="B46">
        <v>-99</v>
      </c>
      <c r="C46" t="s">
        <v>151</v>
      </c>
      <c r="D46" t="s">
        <v>49</v>
      </c>
      <c r="E46" t="s">
        <v>556</v>
      </c>
      <c r="F46" t="s">
        <v>557</v>
      </c>
      <c r="G46" t="s">
        <v>657</v>
      </c>
      <c r="H46" t="s">
        <v>377</v>
      </c>
      <c r="I46">
        <v>381</v>
      </c>
      <c r="J46">
        <v>33</v>
      </c>
      <c r="K46" t="s">
        <v>385</v>
      </c>
      <c r="L46">
        <v>8254</v>
      </c>
      <c r="M46" t="s">
        <v>355</v>
      </c>
      <c r="N46" t="s">
        <v>389</v>
      </c>
      <c r="O46">
        <v>-99</v>
      </c>
      <c r="P46">
        <v>1</v>
      </c>
      <c r="Q46">
        <v>-99</v>
      </c>
      <c r="R46" t="s">
        <v>683</v>
      </c>
    </row>
    <row r="47" spans="1:18" x14ac:dyDescent="0.2">
      <c r="A47">
        <v>46</v>
      </c>
      <c r="B47">
        <v>52</v>
      </c>
      <c r="C47" t="s">
        <v>152</v>
      </c>
      <c r="D47" t="s">
        <v>38</v>
      </c>
      <c r="E47" t="s">
        <v>558</v>
      </c>
      <c r="F47" t="s">
        <v>559</v>
      </c>
      <c r="G47" t="s">
        <v>656</v>
      </c>
      <c r="H47" t="s">
        <v>370</v>
      </c>
      <c r="I47">
        <v>380</v>
      </c>
      <c r="J47">
        <v>32</v>
      </c>
      <c r="K47" t="s">
        <v>390</v>
      </c>
      <c r="L47">
        <v>8255</v>
      </c>
      <c r="M47" t="s">
        <v>356</v>
      </c>
      <c r="N47" t="s">
        <v>391</v>
      </c>
      <c r="O47">
        <v>1</v>
      </c>
      <c r="P47">
        <v>2</v>
      </c>
      <c r="Q47">
        <v>-99</v>
      </c>
      <c r="R47" t="s">
        <v>682</v>
      </c>
    </row>
    <row r="48" spans="1:18" x14ac:dyDescent="0.2">
      <c r="A48">
        <v>47</v>
      </c>
      <c r="B48">
        <v>53</v>
      </c>
      <c r="C48" t="s">
        <v>153</v>
      </c>
      <c r="D48" t="s">
        <v>48</v>
      </c>
      <c r="E48" t="s">
        <v>560</v>
      </c>
      <c r="F48" t="s">
        <v>561</v>
      </c>
      <c r="G48" t="s">
        <v>656</v>
      </c>
      <c r="H48" t="s">
        <v>370</v>
      </c>
      <c r="I48">
        <v>380</v>
      </c>
      <c r="J48">
        <v>32</v>
      </c>
      <c r="K48" t="s">
        <v>390</v>
      </c>
      <c r="L48">
        <v>8256</v>
      </c>
      <c r="M48" t="s">
        <v>330</v>
      </c>
      <c r="N48" t="s">
        <v>392</v>
      </c>
      <c r="O48">
        <v>1</v>
      </c>
      <c r="P48">
        <v>2</v>
      </c>
      <c r="Q48">
        <v>-99</v>
      </c>
      <c r="R48" t="s">
        <v>682</v>
      </c>
    </row>
    <row r="49" spans="1:18" x14ac:dyDescent="0.2">
      <c r="A49">
        <v>48</v>
      </c>
      <c r="B49">
        <v>54</v>
      </c>
      <c r="C49" t="s">
        <v>154</v>
      </c>
      <c r="D49" t="s">
        <v>53</v>
      </c>
      <c r="E49" t="s">
        <v>562</v>
      </c>
      <c r="F49" t="s">
        <v>563</v>
      </c>
      <c r="G49" t="s">
        <v>657</v>
      </c>
      <c r="H49" t="s">
        <v>377</v>
      </c>
      <c r="I49">
        <v>381</v>
      </c>
      <c r="J49">
        <v>31</v>
      </c>
      <c r="K49" t="s">
        <v>380</v>
      </c>
      <c r="L49">
        <v>8257</v>
      </c>
      <c r="M49" t="s">
        <v>336</v>
      </c>
      <c r="N49" t="s">
        <v>393</v>
      </c>
      <c r="O49">
        <v>1</v>
      </c>
      <c r="P49">
        <v>1</v>
      </c>
      <c r="Q49">
        <v>-99</v>
      </c>
      <c r="R49" t="s">
        <v>682</v>
      </c>
    </row>
    <row r="50" spans="1:18" x14ac:dyDescent="0.2">
      <c r="A50">
        <v>49</v>
      </c>
      <c r="B50">
        <v>-99</v>
      </c>
      <c r="C50" t="s">
        <v>154</v>
      </c>
      <c r="D50" t="s">
        <v>53</v>
      </c>
      <c r="E50" t="s">
        <v>564</v>
      </c>
      <c r="F50" t="s">
        <v>565</v>
      </c>
      <c r="G50" t="s">
        <v>657</v>
      </c>
      <c r="H50" t="s">
        <v>377</v>
      </c>
      <c r="I50">
        <v>381</v>
      </c>
      <c r="J50">
        <v>31</v>
      </c>
      <c r="K50" t="s">
        <v>380</v>
      </c>
      <c r="L50">
        <v>8257</v>
      </c>
      <c r="M50" t="s">
        <v>336</v>
      </c>
      <c r="N50" t="s">
        <v>393</v>
      </c>
      <c r="O50">
        <v>-99</v>
      </c>
      <c r="P50">
        <v>1</v>
      </c>
      <c r="Q50">
        <v>-99</v>
      </c>
      <c r="R50" t="s">
        <v>684</v>
      </c>
    </row>
    <row r="51" spans="1:18" x14ac:dyDescent="0.2">
      <c r="A51">
        <v>50</v>
      </c>
      <c r="B51">
        <v>55</v>
      </c>
      <c r="C51" t="s">
        <v>155</v>
      </c>
      <c r="D51" t="s">
        <v>37</v>
      </c>
      <c r="E51" t="s">
        <v>566</v>
      </c>
      <c r="F51" t="s">
        <v>567</v>
      </c>
      <c r="G51" t="s">
        <v>658</v>
      </c>
      <c r="H51" t="s">
        <v>386</v>
      </c>
      <c r="I51">
        <v>382</v>
      </c>
      <c r="J51">
        <v>32</v>
      </c>
      <c r="K51" t="s">
        <v>390</v>
      </c>
      <c r="L51">
        <v>8258</v>
      </c>
      <c r="M51" t="s">
        <v>349</v>
      </c>
      <c r="N51" t="s">
        <v>394</v>
      </c>
      <c r="O51">
        <v>1</v>
      </c>
      <c r="P51">
        <v>2</v>
      </c>
      <c r="Q51">
        <v>-99</v>
      </c>
      <c r="R51" t="s">
        <v>682</v>
      </c>
    </row>
    <row r="52" spans="1:18" x14ac:dyDescent="0.2">
      <c r="A52">
        <v>51</v>
      </c>
      <c r="B52">
        <v>56</v>
      </c>
      <c r="C52" t="s">
        <v>156</v>
      </c>
      <c r="D52" t="s">
        <v>42</v>
      </c>
      <c r="E52" t="s">
        <v>568</v>
      </c>
      <c r="F52" t="s">
        <v>569</v>
      </c>
      <c r="G52" t="s">
        <v>656</v>
      </c>
      <c r="H52" t="s">
        <v>370</v>
      </c>
      <c r="I52">
        <v>380</v>
      </c>
      <c r="J52">
        <v>32</v>
      </c>
      <c r="K52" t="s">
        <v>390</v>
      </c>
      <c r="L52">
        <v>8259</v>
      </c>
      <c r="M52" t="s">
        <v>326</v>
      </c>
      <c r="N52" t="s">
        <v>395</v>
      </c>
      <c r="O52">
        <v>1</v>
      </c>
      <c r="P52">
        <v>2</v>
      </c>
      <c r="Q52">
        <v>-99</v>
      </c>
      <c r="R52" t="s">
        <v>682</v>
      </c>
    </row>
    <row r="53" spans="1:18" x14ac:dyDescent="0.2">
      <c r="A53">
        <v>52</v>
      </c>
      <c r="B53">
        <v>57</v>
      </c>
      <c r="C53" t="s">
        <v>157</v>
      </c>
      <c r="D53" t="s">
        <v>56</v>
      </c>
      <c r="E53" t="s">
        <v>570</v>
      </c>
      <c r="F53" t="s">
        <v>571</v>
      </c>
      <c r="G53" t="s">
        <v>658</v>
      </c>
      <c r="H53" t="s">
        <v>386</v>
      </c>
      <c r="I53">
        <v>382</v>
      </c>
      <c r="J53">
        <v>32</v>
      </c>
      <c r="K53" t="s">
        <v>390</v>
      </c>
      <c r="L53">
        <v>8260</v>
      </c>
      <c r="M53" t="s">
        <v>316</v>
      </c>
      <c r="N53" t="s">
        <v>396</v>
      </c>
      <c r="O53">
        <v>1</v>
      </c>
      <c r="P53">
        <v>1</v>
      </c>
      <c r="Q53">
        <v>-99</v>
      </c>
      <c r="R53" t="s">
        <v>682</v>
      </c>
    </row>
    <row r="54" spans="1:18" x14ac:dyDescent="0.2">
      <c r="A54">
        <v>53</v>
      </c>
      <c r="B54">
        <v>-99</v>
      </c>
      <c r="C54" t="s">
        <v>157</v>
      </c>
      <c r="D54" t="s">
        <v>56</v>
      </c>
      <c r="E54" t="s">
        <v>572</v>
      </c>
      <c r="F54" t="s">
        <v>209</v>
      </c>
      <c r="G54" t="s">
        <v>658</v>
      </c>
      <c r="H54" t="s">
        <v>386</v>
      </c>
      <c r="I54">
        <v>382</v>
      </c>
      <c r="J54">
        <v>32</v>
      </c>
      <c r="K54" t="s">
        <v>390</v>
      </c>
      <c r="L54">
        <v>8260</v>
      </c>
      <c r="M54" t="s">
        <v>316</v>
      </c>
      <c r="N54" t="s">
        <v>396</v>
      </c>
      <c r="O54">
        <v>-99</v>
      </c>
      <c r="P54">
        <v>1</v>
      </c>
      <c r="Q54">
        <v>-99</v>
      </c>
      <c r="R54" t="s">
        <v>208</v>
      </c>
    </row>
    <row r="55" spans="1:18" x14ac:dyDescent="0.2">
      <c r="A55">
        <v>54</v>
      </c>
      <c r="B55">
        <v>58</v>
      </c>
      <c r="C55" t="s">
        <v>158</v>
      </c>
      <c r="D55" t="s">
        <v>75</v>
      </c>
      <c r="E55" t="s">
        <v>573</v>
      </c>
      <c r="F55" t="s">
        <v>574</v>
      </c>
      <c r="G55" t="s">
        <v>658</v>
      </c>
      <c r="H55" t="s">
        <v>386</v>
      </c>
      <c r="I55">
        <v>382</v>
      </c>
      <c r="J55">
        <v>32</v>
      </c>
      <c r="K55" t="s">
        <v>390</v>
      </c>
      <c r="L55">
        <v>8261</v>
      </c>
      <c r="M55" t="s">
        <v>339</v>
      </c>
      <c r="N55" t="s">
        <v>397</v>
      </c>
      <c r="O55">
        <v>1</v>
      </c>
      <c r="P55">
        <v>2</v>
      </c>
      <c r="Q55">
        <v>-99</v>
      </c>
      <c r="R55" t="s">
        <v>682</v>
      </c>
    </row>
    <row r="56" spans="1:18" x14ac:dyDescent="0.2">
      <c r="A56">
        <v>55</v>
      </c>
      <c r="B56">
        <v>59</v>
      </c>
      <c r="C56" t="s">
        <v>159</v>
      </c>
      <c r="D56" t="s">
        <v>41</v>
      </c>
      <c r="E56" t="s">
        <v>575</v>
      </c>
      <c r="F56" t="s">
        <v>576</v>
      </c>
      <c r="G56" t="s">
        <v>658</v>
      </c>
      <c r="H56" t="s">
        <v>386</v>
      </c>
      <c r="I56">
        <v>382</v>
      </c>
      <c r="J56">
        <v>32</v>
      </c>
      <c r="K56" t="s">
        <v>390</v>
      </c>
      <c r="L56">
        <v>8262</v>
      </c>
      <c r="M56" t="s">
        <v>363</v>
      </c>
      <c r="N56" t="s">
        <v>399</v>
      </c>
      <c r="O56">
        <v>1</v>
      </c>
      <c r="P56">
        <v>2</v>
      </c>
      <c r="Q56">
        <v>-99</v>
      </c>
      <c r="R56" t="s">
        <v>682</v>
      </c>
    </row>
    <row r="57" spans="1:18" x14ac:dyDescent="0.2">
      <c r="A57">
        <v>56</v>
      </c>
      <c r="B57">
        <v>60</v>
      </c>
      <c r="C57" t="s">
        <v>160</v>
      </c>
      <c r="D57" t="s">
        <v>50</v>
      </c>
      <c r="E57" t="s">
        <v>577</v>
      </c>
      <c r="F57" t="s">
        <v>578</v>
      </c>
      <c r="G57" t="s">
        <v>658</v>
      </c>
      <c r="H57" t="s">
        <v>386</v>
      </c>
      <c r="I57">
        <v>382</v>
      </c>
      <c r="J57">
        <v>32</v>
      </c>
      <c r="K57" t="s">
        <v>390</v>
      </c>
      <c r="L57">
        <v>8263</v>
      </c>
      <c r="M57" t="s">
        <v>322</v>
      </c>
      <c r="N57" t="s">
        <v>400</v>
      </c>
      <c r="O57">
        <v>1</v>
      </c>
      <c r="P57">
        <v>2</v>
      </c>
      <c r="Q57">
        <v>-99</v>
      </c>
      <c r="R57" t="s">
        <v>682</v>
      </c>
    </row>
    <row r="58" spans="1:18" x14ac:dyDescent="0.2">
      <c r="A58">
        <v>57</v>
      </c>
      <c r="B58">
        <v>84</v>
      </c>
      <c r="C58" t="s">
        <v>161</v>
      </c>
      <c r="D58" t="s">
        <v>76</v>
      </c>
      <c r="E58" t="s">
        <v>579</v>
      </c>
      <c r="F58" t="s">
        <v>580</v>
      </c>
      <c r="G58" t="s">
        <v>658</v>
      </c>
      <c r="H58" t="s">
        <v>386</v>
      </c>
      <c r="I58">
        <v>382</v>
      </c>
      <c r="J58">
        <v>32</v>
      </c>
      <c r="K58" t="s">
        <v>390</v>
      </c>
      <c r="L58">
        <v>8264</v>
      </c>
      <c r="M58" t="s">
        <v>333</v>
      </c>
      <c r="N58" t="s">
        <v>401</v>
      </c>
      <c r="O58">
        <v>1</v>
      </c>
      <c r="P58">
        <v>1</v>
      </c>
      <c r="Q58">
        <v>-99</v>
      </c>
      <c r="R58" t="s">
        <v>682</v>
      </c>
    </row>
    <row r="59" spans="1:18" x14ac:dyDescent="0.2">
      <c r="A59">
        <v>58</v>
      </c>
      <c r="B59">
        <v>-99</v>
      </c>
      <c r="C59" t="s">
        <v>161</v>
      </c>
      <c r="D59" t="s">
        <v>76</v>
      </c>
      <c r="E59" t="s">
        <v>581</v>
      </c>
      <c r="F59" t="s">
        <v>491</v>
      </c>
      <c r="G59" t="s">
        <v>658</v>
      </c>
      <c r="H59" t="s">
        <v>386</v>
      </c>
      <c r="I59">
        <v>382</v>
      </c>
      <c r="J59">
        <v>32</v>
      </c>
      <c r="K59" t="s">
        <v>390</v>
      </c>
      <c r="L59">
        <v>8264</v>
      </c>
      <c r="M59" t="s">
        <v>333</v>
      </c>
      <c r="N59" t="s">
        <v>401</v>
      </c>
      <c r="O59">
        <v>-99</v>
      </c>
      <c r="P59">
        <v>1</v>
      </c>
      <c r="Q59">
        <v>-99</v>
      </c>
      <c r="R59" t="s">
        <v>654</v>
      </c>
    </row>
    <row r="60" spans="1:18" x14ac:dyDescent="0.2">
      <c r="A60">
        <v>59</v>
      </c>
      <c r="B60">
        <v>-99</v>
      </c>
      <c r="C60" t="s">
        <v>161</v>
      </c>
      <c r="D60" t="s">
        <v>76</v>
      </c>
      <c r="E60" t="s">
        <v>582</v>
      </c>
      <c r="F60" t="s">
        <v>212</v>
      </c>
      <c r="G60" t="s">
        <v>658</v>
      </c>
      <c r="H60" t="s">
        <v>386</v>
      </c>
      <c r="I60">
        <v>382</v>
      </c>
      <c r="J60">
        <v>32</v>
      </c>
      <c r="K60" t="s">
        <v>390</v>
      </c>
      <c r="L60">
        <v>8264</v>
      </c>
      <c r="M60" t="s">
        <v>333</v>
      </c>
      <c r="N60" t="s">
        <v>401</v>
      </c>
      <c r="O60">
        <v>-99</v>
      </c>
      <c r="P60">
        <v>1</v>
      </c>
      <c r="Q60">
        <v>-99</v>
      </c>
      <c r="R60" t="s">
        <v>208</v>
      </c>
    </row>
    <row r="61" spans="1:18" x14ac:dyDescent="0.2">
      <c r="A61">
        <v>60</v>
      </c>
      <c r="B61">
        <v>100</v>
      </c>
      <c r="C61" t="s">
        <v>162</v>
      </c>
      <c r="D61" t="s">
        <v>40</v>
      </c>
      <c r="E61" t="s">
        <v>583</v>
      </c>
      <c r="F61" t="s">
        <v>584</v>
      </c>
      <c r="G61" t="s">
        <v>660</v>
      </c>
      <c r="H61" t="s">
        <v>402</v>
      </c>
      <c r="I61">
        <v>383</v>
      </c>
      <c r="J61">
        <v>33</v>
      </c>
      <c r="K61" t="s">
        <v>385</v>
      </c>
      <c r="L61">
        <v>8268</v>
      </c>
      <c r="M61" t="s">
        <v>350</v>
      </c>
      <c r="N61" t="s">
        <v>403</v>
      </c>
      <c r="O61">
        <v>1</v>
      </c>
      <c r="P61">
        <v>2</v>
      </c>
      <c r="Q61">
        <v>-99</v>
      </c>
      <c r="R61" t="s">
        <v>682</v>
      </c>
    </row>
    <row r="62" spans="1:18" x14ac:dyDescent="0.2">
      <c r="A62">
        <v>61</v>
      </c>
      <c r="B62">
        <v>101</v>
      </c>
      <c r="C62" t="s">
        <v>163</v>
      </c>
      <c r="D62" t="s">
        <v>31</v>
      </c>
      <c r="E62" t="s">
        <v>585</v>
      </c>
      <c r="F62" t="s">
        <v>586</v>
      </c>
      <c r="G62" t="s">
        <v>660</v>
      </c>
      <c r="H62" t="s">
        <v>402</v>
      </c>
      <c r="I62">
        <v>383</v>
      </c>
      <c r="J62">
        <v>34</v>
      </c>
      <c r="K62" t="s">
        <v>404</v>
      </c>
      <c r="L62">
        <v>8269</v>
      </c>
      <c r="M62" t="s">
        <v>318</v>
      </c>
      <c r="N62" t="s">
        <v>405</v>
      </c>
      <c r="O62">
        <v>1</v>
      </c>
      <c r="P62">
        <v>2</v>
      </c>
      <c r="Q62">
        <v>-99</v>
      </c>
      <c r="R62" t="s">
        <v>682</v>
      </c>
    </row>
    <row r="63" spans="1:18" x14ac:dyDescent="0.2">
      <c r="A63">
        <v>62</v>
      </c>
      <c r="B63">
        <v>102</v>
      </c>
      <c r="C63" t="s">
        <v>164</v>
      </c>
      <c r="D63" t="s">
        <v>70</v>
      </c>
      <c r="E63" t="s">
        <v>587</v>
      </c>
      <c r="F63" t="s">
        <v>588</v>
      </c>
      <c r="G63" t="s">
        <v>660</v>
      </c>
      <c r="H63" t="s">
        <v>402</v>
      </c>
      <c r="I63">
        <v>383</v>
      </c>
      <c r="J63">
        <v>33</v>
      </c>
      <c r="K63" t="s">
        <v>385</v>
      </c>
      <c r="L63">
        <v>8270</v>
      </c>
      <c r="M63" t="s">
        <v>344</v>
      </c>
      <c r="N63" t="s">
        <v>406</v>
      </c>
      <c r="O63">
        <v>1</v>
      </c>
      <c r="P63">
        <v>1</v>
      </c>
      <c r="Q63">
        <v>-99</v>
      </c>
      <c r="R63" t="s">
        <v>682</v>
      </c>
    </row>
    <row r="64" spans="1:18" x14ac:dyDescent="0.2">
      <c r="A64">
        <v>63</v>
      </c>
      <c r="B64">
        <v>-99</v>
      </c>
      <c r="C64" t="s">
        <v>164</v>
      </c>
      <c r="D64" t="s">
        <v>70</v>
      </c>
      <c r="E64" t="s">
        <v>589</v>
      </c>
      <c r="F64" t="s">
        <v>211</v>
      </c>
      <c r="G64" t="s">
        <v>660</v>
      </c>
      <c r="H64" t="s">
        <v>402</v>
      </c>
      <c r="I64">
        <v>383</v>
      </c>
      <c r="J64">
        <v>33</v>
      </c>
      <c r="K64" t="s">
        <v>385</v>
      </c>
      <c r="L64">
        <v>8270</v>
      </c>
      <c r="M64" t="s">
        <v>344</v>
      </c>
      <c r="N64" t="s">
        <v>406</v>
      </c>
      <c r="O64">
        <v>-99</v>
      </c>
      <c r="P64">
        <v>1</v>
      </c>
      <c r="Q64">
        <v>-99</v>
      </c>
      <c r="R64" t="s">
        <v>679</v>
      </c>
    </row>
    <row r="65" spans="1:18" x14ac:dyDescent="0.2">
      <c r="A65">
        <v>64</v>
      </c>
      <c r="B65">
        <v>103</v>
      </c>
      <c r="C65" t="s">
        <v>165</v>
      </c>
      <c r="D65" t="s">
        <v>62</v>
      </c>
      <c r="E65" t="s">
        <v>590</v>
      </c>
      <c r="F65" t="s">
        <v>591</v>
      </c>
      <c r="G65" t="s">
        <v>660</v>
      </c>
      <c r="H65" t="s">
        <v>402</v>
      </c>
      <c r="I65">
        <v>383</v>
      </c>
      <c r="J65">
        <v>34</v>
      </c>
      <c r="K65" t="s">
        <v>404</v>
      </c>
      <c r="L65">
        <v>8272</v>
      </c>
      <c r="M65" t="s">
        <v>332</v>
      </c>
      <c r="N65" t="s">
        <v>407</v>
      </c>
      <c r="O65">
        <v>1</v>
      </c>
      <c r="P65">
        <v>2</v>
      </c>
      <c r="Q65">
        <v>-99</v>
      </c>
      <c r="R65" t="s">
        <v>682</v>
      </c>
    </row>
    <row r="66" spans="1:18" x14ac:dyDescent="0.2">
      <c r="A66">
        <v>65</v>
      </c>
      <c r="B66">
        <v>104</v>
      </c>
      <c r="C66" t="s">
        <v>166</v>
      </c>
      <c r="D66" t="s">
        <v>52</v>
      </c>
      <c r="E66" t="s">
        <v>592</v>
      </c>
      <c r="F66" t="s">
        <v>593</v>
      </c>
      <c r="G66" t="s">
        <v>660</v>
      </c>
      <c r="H66" t="s">
        <v>402</v>
      </c>
      <c r="I66">
        <v>383</v>
      </c>
      <c r="J66">
        <v>34</v>
      </c>
      <c r="K66" t="s">
        <v>404</v>
      </c>
      <c r="L66">
        <v>8221</v>
      </c>
      <c r="M66" t="s">
        <v>332</v>
      </c>
      <c r="N66" t="s">
        <v>407</v>
      </c>
      <c r="O66">
        <v>1</v>
      </c>
      <c r="P66">
        <v>2</v>
      </c>
      <c r="Q66">
        <v>-99</v>
      </c>
      <c r="R66" t="s">
        <v>682</v>
      </c>
    </row>
    <row r="67" spans="1:18" x14ac:dyDescent="0.2">
      <c r="A67">
        <v>66</v>
      </c>
      <c r="B67">
        <v>196</v>
      </c>
      <c r="C67" t="s">
        <v>167</v>
      </c>
      <c r="D67" t="s">
        <v>64</v>
      </c>
      <c r="E67" t="s">
        <v>594</v>
      </c>
      <c r="F67" t="s">
        <v>595</v>
      </c>
      <c r="G67" t="s">
        <v>660</v>
      </c>
      <c r="H67" t="s">
        <v>402</v>
      </c>
      <c r="I67">
        <v>383</v>
      </c>
      <c r="J67">
        <v>34</v>
      </c>
      <c r="K67" t="s">
        <v>404</v>
      </c>
      <c r="L67">
        <v>8202</v>
      </c>
      <c r="M67" t="s">
        <v>345</v>
      </c>
      <c r="N67" t="s">
        <v>426</v>
      </c>
      <c r="O67">
        <v>1</v>
      </c>
      <c r="P67">
        <v>2</v>
      </c>
      <c r="Q67">
        <v>-99</v>
      </c>
      <c r="R67" t="s">
        <v>682</v>
      </c>
    </row>
    <row r="68" spans="1:18" x14ac:dyDescent="0.2">
      <c r="A68">
        <v>67</v>
      </c>
      <c r="B68">
        <v>110</v>
      </c>
      <c r="C68" t="s">
        <v>168</v>
      </c>
      <c r="D68" t="s">
        <v>73</v>
      </c>
      <c r="E68" t="s">
        <v>596</v>
      </c>
      <c r="F68" t="s">
        <v>597</v>
      </c>
      <c r="G68" t="s">
        <v>660</v>
      </c>
      <c r="H68" t="s">
        <v>402</v>
      </c>
      <c r="I68">
        <v>383</v>
      </c>
      <c r="J68">
        <v>34</v>
      </c>
      <c r="K68" t="s">
        <v>404</v>
      </c>
      <c r="L68">
        <v>8203</v>
      </c>
      <c r="M68" t="s">
        <v>329</v>
      </c>
      <c r="N68" t="s">
        <v>80</v>
      </c>
      <c r="O68">
        <v>1</v>
      </c>
      <c r="P68">
        <v>1</v>
      </c>
      <c r="Q68">
        <v>-99</v>
      </c>
      <c r="R68" t="s">
        <v>682</v>
      </c>
    </row>
    <row r="69" spans="1:18" x14ac:dyDescent="0.2">
      <c r="A69">
        <v>68</v>
      </c>
      <c r="B69">
        <v>-99</v>
      </c>
      <c r="C69" t="s">
        <v>168</v>
      </c>
      <c r="D69" t="s">
        <v>73</v>
      </c>
      <c r="E69" t="s">
        <v>598</v>
      </c>
      <c r="F69" t="s">
        <v>599</v>
      </c>
      <c r="G69" t="s">
        <v>660</v>
      </c>
      <c r="H69" t="s">
        <v>402</v>
      </c>
      <c r="I69">
        <v>383</v>
      </c>
      <c r="J69">
        <v>34</v>
      </c>
      <c r="K69" t="s">
        <v>404</v>
      </c>
      <c r="L69">
        <v>8203</v>
      </c>
      <c r="M69" t="s">
        <v>329</v>
      </c>
      <c r="N69" t="s">
        <v>80</v>
      </c>
      <c r="O69">
        <v>-99</v>
      </c>
      <c r="P69">
        <v>1</v>
      </c>
      <c r="Q69">
        <v>-99</v>
      </c>
      <c r="R69" t="s">
        <v>398</v>
      </c>
    </row>
    <row r="70" spans="1:18" x14ac:dyDescent="0.2">
      <c r="A70">
        <v>69</v>
      </c>
      <c r="B70">
        <v>111</v>
      </c>
      <c r="C70" t="s">
        <v>169</v>
      </c>
      <c r="D70" t="s">
        <v>34</v>
      </c>
      <c r="E70" t="s">
        <v>600</v>
      </c>
      <c r="F70" t="s">
        <v>601</v>
      </c>
      <c r="G70" t="s">
        <v>660</v>
      </c>
      <c r="H70" t="s">
        <v>402</v>
      </c>
      <c r="I70">
        <v>383</v>
      </c>
      <c r="J70">
        <v>34</v>
      </c>
      <c r="K70" t="s">
        <v>404</v>
      </c>
      <c r="L70">
        <v>8204</v>
      </c>
      <c r="M70" t="s">
        <v>334</v>
      </c>
      <c r="N70" t="s">
        <v>408</v>
      </c>
      <c r="O70">
        <v>1</v>
      </c>
      <c r="P70">
        <v>2</v>
      </c>
      <c r="Q70">
        <v>-99</v>
      </c>
      <c r="R70" t="s">
        <v>682</v>
      </c>
    </row>
    <row r="71" spans="1:18" x14ac:dyDescent="0.2">
      <c r="A71">
        <v>70</v>
      </c>
      <c r="B71">
        <v>112</v>
      </c>
      <c r="C71" t="s">
        <v>170</v>
      </c>
      <c r="D71" t="s">
        <v>66</v>
      </c>
      <c r="E71" t="s">
        <v>602</v>
      </c>
      <c r="F71" t="s">
        <v>603</v>
      </c>
      <c r="G71" t="s">
        <v>660</v>
      </c>
      <c r="H71" t="s">
        <v>402</v>
      </c>
      <c r="I71">
        <v>383</v>
      </c>
      <c r="J71">
        <v>34</v>
      </c>
      <c r="K71" t="s">
        <v>404</v>
      </c>
      <c r="L71">
        <v>8205</v>
      </c>
      <c r="M71" t="s">
        <v>351</v>
      </c>
      <c r="N71" t="s">
        <v>409</v>
      </c>
      <c r="O71">
        <v>1</v>
      </c>
      <c r="P71">
        <v>2</v>
      </c>
      <c r="Q71">
        <v>-99</v>
      </c>
      <c r="R71" t="s">
        <v>682</v>
      </c>
    </row>
    <row r="72" spans="1:18" x14ac:dyDescent="0.2">
      <c r="A72">
        <v>71</v>
      </c>
      <c r="B72">
        <v>113</v>
      </c>
      <c r="C72" t="s">
        <v>171</v>
      </c>
      <c r="D72" t="s">
        <v>79</v>
      </c>
      <c r="E72" t="s">
        <v>604</v>
      </c>
      <c r="F72" t="s">
        <v>605</v>
      </c>
      <c r="G72" t="s">
        <v>658</v>
      </c>
      <c r="H72" t="s">
        <v>386</v>
      </c>
      <c r="I72">
        <v>382</v>
      </c>
      <c r="J72">
        <v>33</v>
      </c>
      <c r="K72" t="s">
        <v>385</v>
      </c>
      <c r="L72">
        <v>8206</v>
      </c>
      <c r="M72" t="s">
        <v>327</v>
      </c>
      <c r="N72" t="s">
        <v>410</v>
      </c>
      <c r="O72">
        <v>1</v>
      </c>
      <c r="P72">
        <v>2</v>
      </c>
      <c r="Q72">
        <v>-99</v>
      </c>
      <c r="R72" t="s">
        <v>682</v>
      </c>
    </row>
    <row r="73" spans="1:18" x14ac:dyDescent="0.2">
      <c r="A73">
        <v>72</v>
      </c>
      <c r="B73">
        <v>114</v>
      </c>
      <c r="C73" t="s">
        <v>172</v>
      </c>
      <c r="D73" t="s">
        <v>51</v>
      </c>
      <c r="E73" t="s">
        <v>606</v>
      </c>
      <c r="F73" t="s">
        <v>607</v>
      </c>
      <c r="G73" t="s">
        <v>658</v>
      </c>
      <c r="H73" t="s">
        <v>386</v>
      </c>
      <c r="I73">
        <v>382</v>
      </c>
      <c r="J73">
        <v>33</v>
      </c>
      <c r="K73" t="s">
        <v>385</v>
      </c>
      <c r="L73">
        <v>8207</v>
      </c>
      <c r="M73" t="s">
        <v>315</v>
      </c>
      <c r="N73" t="s">
        <v>411</v>
      </c>
      <c r="O73">
        <v>1</v>
      </c>
      <c r="P73">
        <v>2</v>
      </c>
      <c r="Q73">
        <v>-99</v>
      </c>
      <c r="R73" t="s">
        <v>682</v>
      </c>
    </row>
    <row r="74" spans="1:18" x14ac:dyDescent="0.2">
      <c r="A74">
        <v>73</v>
      </c>
      <c r="B74">
        <v>115</v>
      </c>
      <c r="C74" t="s">
        <v>173</v>
      </c>
      <c r="D74" t="s">
        <v>27</v>
      </c>
      <c r="E74" t="s">
        <v>608</v>
      </c>
      <c r="F74" t="s">
        <v>609</v>
      </c>
      <c r="G74" t="s">
        <v>658</v>
      </c>
      <c r="H74" t="s">
        <v>386</v>
      </c>
      <c r="I74">
        <v>382</v>
      </c>
      <c r="J74">
        <v>33</v>
      </c>
      <c r="K74" t="s">
        <v>385</v>
      </c>
      <c r="L74">
        <v>8208</v>
      </c>
      <c r="M74" t="s">
        <v>338</v>
      </c>
      <c r="N74" t="s">
        <v>412</v>
      </c>
      <c r="O74">
        <v>1</v>
      </c>
      <c r="P74">
        <v>2</v>
      </c>
      <c r="Q74">
        <v>-99</v>
      </c>
      <c r="R74" t="s">
        <v>682</v>
      </c>
    </row>
    <row r="75" spans="1:18" x14ac:dyDescent="0.2">
      <c r="A75">
        <v>74</v>
      </c>
      <c r="B75">
        <v>116</v>
      </c>
      <c r="C75" t="s">
        <v>174</v>
      </c>
      <c r="D75" t="s">
        <v>68</v>
      </c>
      <c r="E75" t="s">
        <v>610</v>
      </c>
      <c r="F75" t="s">
        <v>611</v>
      </c>
      <c r="G75" t="s">
        <v>660</v>
      </c>
      <c r="H75" t="s">
        <v>402</v>
      </c>
      <c r="I75">
        <v>383</v>
      </c>
      <c r="J75">
        <v>34</v>
      </c>
      <c r="K75" t="s">
        <v>404</v>
      </c>
      <c r="L75">
        <v>8210</v>
      </c>
      <c r="M75" t="s">
        <v>328</v>
      </c>
      <c r="N75" t="s">
        <v>413</v>
      </c>
      <c r="O75">
        <v>1</v>
      </c>
      <c r="P75">
        <v>2</v>
      </c>
      <c r="Q75">
        <v>-99</v>
      </c>
      <c r="R75" t="s">
        <v>682</v>
      </c>
    </row>
    <row r="76" spans="1:18" x14ac:dyDescent="0.2">
      <c r="A76">
        <v>75</v>
      </c>
      <c r="B76">
        <v>197</v>
      </c>
      <c r="C76" t="s">
        <v>175</v>
      </c>
      <c r="D76" t="s">
        <v>72</v>
      </c>
      <c r="E76" t="s">
        <v>612</v>
      </c>
      <c r="F76" t="s">
        <v>613</v>
      </c>
      <c r="G76" t="s">
        <v>657</v>
      </c>
      <c r="H76" t="s">
        <v>377</v>
      </c>
      <c r="I76">
        <v>381</v>
      </c>
      <c r="J76">
        <v>31</v>
      </c>
      <c r="K76" t="s">
        <v>380</v>
      </c>
      <c r="L76">
        <v>8211</v>
      </c>
      <c r="M76" t="s">
        <v>331</v>
      </c>
      <c r="N76" t="s">
        <v>427</v>
      </c>
      <c r="O76">
        <v>1</v>
      </c>
      <c r="P76">
        <v>2</v>
      </c>
      <c r="Q76">
        <v>-99</v>
      </c>
      <c r="R76" t="s">
        <v>682</v>
      </c>
    </row>
    <row r="77" spans="1:18" x14ac:dyDescent="0.2">
      <c r="A77">
        <v>76</v>
      </c>
      <c r="B77">
        <v>119</v>
      </c>
      <c r="C77" t="s">
        <v>176</v>
      </c>
      <c r="D77" t="s">
        <v>55</v>
      </c>
      <c r="E77" t="s">
        <v>614</v>
      </c>
      <c r="F77" t="s">
        <v>615</v>
      </c>
      <c r="G77" t="s">
        <v>660</v>
      </c>
      <c r="H77" t="s">
        <v>402</v>
      </c>
      <c r="I77">
        <v>383</v>
      </c>
      <c r="J77">
        <v>34</v>
      </c>
      <c r="K77" t="s">
        <v>404</v>
      </c>
      <c r="L77">
        <v>8223</v>
      </c>
      <c r="M77" t="s">
        <v>616</v>
      </c>
      <c r="N77" t="s">
        <v>617</v>
      </c>
      <c r="O77">
        <v>1</v>
      </c>
      <c r="P77">
        <v>2</v>
      </c>
      <c r="Q77">
        <v>-99</v>
      </c>
      <c r="R77" t="s">
        <v>682</v>
      </c>
    </row>
    <row r="78" spans="1:18" x14ac:dyDescent="0.2">
      <c r="A78">
        <v>77</v>
      </c>
      <c r="B78">
        <v>131</v>
      </c>
      <c r="C78" t="s">
        <v>177</v>
      </c>
      <c r="D78" t="s">
        <v>46</v>
      </c>
      <c r="E78" t="s">
        <v>618</v>
      </c>
      <c r="F78" t="s">
        <v>619</v>
      </c>
      <c r="G78" t="s">
        <v>658</v>
      </c>
      <c r="H78" t="s">
        <v>386</v>
      </c>
      <c r="I78">
        <v>382</v>
      </c>
      <c r="J78">
        <v>33</v>
      </c>
      <c r="K78" t="s">
        <v>385</v>
      </c>
      <c r="L78">
        <v>8226</v>
      </c>
      <c r="M78" t="s">
        <v>327</v>
      </c>
      <c r="N78" t="s">
        <v>410</v>
      </c>
      <c r="O78">
        <v>1</v>
      </c>
      <c r="P78">
        <v>2</v>
      </c>
      <c r="Q78">
        <v>-99</v>
      </c>
      <c r="R78" t="s">
        <v>682</v>
      </c>
    </row>
    <row r="79" spans="1:18" x14ac:dyDescent="0.2">
      <c r="A79">
        <v>78</v>
      </c>
      <c r="B79">
        <v>132</v>
      </c>
      <c r="C79" t="s">
        <v>669</v>
      </c>
      <c r="D79" t="s">
        <v>430</v>
      </c>
      <c r="E79" t="s">
        <v>620</v>
      </c>
      <c r="F79" t="s">
        <v>670</v>
      </c>
      <c r="G79" t="s">
        <v>657</v>
      </c>
      <c r="H79" t="s">
        <v>377</v>
      </c>
      <c r="I79">
        <v>381</v>
      </c>
      <c r="J79">
        <v>30</v>
      </c>
      <c r="K79" t="s">
        <v>369</v>
      </c>
      <c r="L79">
        <v>8229</v>
      </c>
      <c r="M79" t="s">
        <v>346</v>
      </c>
      <c r="N79" t="s">
        <v>414</v>
      </c>
      <c r="O79">
        <v>1</v>
      </c>
      <c r="P79">
        <v>2</v>
      </c>
      <c r="Q79">
        <v>-99</v>
      </c>
      <c r="R79" t="s">
        <v>682</v>
      </c>
    </row>
    <row r="80" spans="1:18" x14ac:dyDescent="0.2">
      <c r="A80">
        <v>79</v>
      </c>
      <c r="B80">
        <v>143</v>
      </c>
      <c r="C80" t="s">
        <v>178</v>
      </c>
      <c r="D80" t="s">
        <v>54</v>
      </c>
      <c r="E80" t="s">
        <v>621</v>
      </c>
      <c r="F80" t="s">
        <v>622</v>
      </c>
      <c r="G80" t="s">
        <v>656</v>
      </c>
      <c r="H80" t="s">
        <v>370</v>
      </c>
      <c r="I80">
        <v>380</v>
      </c>
      <c r="J80">
        <v>30</v>
      </c>
      <c r="K80" t="s">
        <v>369</v>
      </c>
      <c r="L80">
        <v>8230</v>
      </c>
      <c r="M80" t="s">
        <v>359</v>
      </c>
      <c r="N80" t="s">
        <v>415</v>
      </c>
      <c r="O80">
        <v>1</v>
      </c>
      <c r="P80">
        <v>2</v>
      </c>
      <c r="Q80">
        <v>-99</v>
      </c>
      <c r="R80" t="s">
        <v>682</v>
      </c>
    </row>
    <row r="81" spans="1:18" x14ac:dyDescent="0.2">
      <c r="A81">
        <v>80</v>
      </c>
      <c r="B81">
        <v>144</v>
      </c>
      <c r="C81" t="s">
        <v>671</v>
      </c>
      <c r="D81" t="s">
        <v>489</v>
      </c>
      <c r="E81" t="s">
        <v>671</v>
      </c>
      <c r="F81" t="s">
        <v>489</v>
      </c>
      <c r="G81" t="s">
        <v>668</v>
      </c>
      <c r="H81" t="s">
        <v>8</v>
      </c>
      <c r="I81">
        <v>-99</v>
      </c>
      <c r="J81">
        <v>35</v>
      </c>
      <c r="K81" t="s">
        <v>8</v>
      </c>
      <c r="L81">
        <v>8215</v>
      </c>
      <c r="M81" t="s">
        <v>339</v>
      </c>
      <c r="N81" t="s">
        <v>397</v>
      </c>
      <c r="O81">
        <v>1</v>
      </c>
      <c r="P81">
        <v>2</v>
      </c>
      <c r="Q81">
        <v>-99</v>
      </c>
      <c r="R81" t="s">
        <v>654</v>
      </c>
    </row>
    <row r="82" spans="1:18" x14ac:dyDescent="0.2">
      <c r="A82">
        <v>81</v>
      </c>
      <c r="B82">
        <v>145</v>
      </c>
      <c r="C82" t="s">
        <v>179</v>
      </c>
      <c r="D82" t="s">
        <v>71</v>
      </c>
      <c r="E82" t="s">
        <v>623</v>
      </c>
      <c r="F82" t="s">
        <v>624</v>
      </c>
      <c r="G82" t="s">
        <v>660</v>
      </c>
      <c r="H82" t="s">
        <v>402</v>
      </c>
      <c r="I82">
        <v>383</v>
      </c>
      <c r="J82">
        <v>34</v>
      </c>
      <c r="K82" t="s">
        <v>404</v>
      </c>
      <c r="L82">
        <v>8231</v>
      </c>
      <c r="M82" t="s">
        <v>332</v>
      </c>
      <c r="N82" t="s">
        <v>407</v>
      </c>
      <c r="O82">
        <v>1</v>
      </c>
      <c r="P82">
        <v>1</v>
      </c>
      <c r="Q82">
        <v>-99</v>
      </c>
      <c r="R82" t="s">
        <v>682</v>
      </c>
    </row>
    <row r="83" spans="1:18" x14ac:dyDescent="0.2">
      <c r="A83">
        <v>82</v>
      </c>
      <c r="B83">
        <v>-99</v>
      </c>
      <c r="C83" t="s">
        <v>179</v>
      </c>
      <c r="D83" t="s">
        <v>71</v>
      </c>
      <c r="E83" t="s">
        <v>625</v>
      </c>
      <c r="F83" t="s">
        <v>956</v>
      </c>
      <c r="G83" t="s">
        <v>660</v>
      </c>
      <c r="H83" t="s">
        <v>402</v>
      </c>
      <c r="I83">
        <v>383</v>
      </c>
      <c r="J83">
        <v>34</v>
      </c>
      <c r="K83" t="s">
        <v>404</v>
      </c>
      <c r="L83">
        <v>8231</v>
      </c>
      <c r="M83" t="s">
        <v>332</v>
      </c>
      <c r="N83" t="s">
        <v>407</v>
      </c>
      <c r="O83">
        <v>-99</v>
      </c>
      <c r="P83">
        <v>1</v>
      </c>
      <c r="Q83">
        <v>-99</v>
      </c>
      <c r="R83" t="s">
        <v>680</v>
      </c>
    </row>
    <row r="84" spans="1:18" x14ac:dyDescent="0.2">
      <c r="A84">
        <v>83</v>
      </c>
      <c r="B84">
        <v>151</v>
      </c>
      <c r="C84" t="s">
        <v>672</v>
      </c>
      <c r="D84" t="s">
        <v>1056</v>
      </c>
      <c r="E84" t="s">
        <v>672</v>
      </c>
      <c r="F84" t="s">
        <v>490</v>
      </c>
      <c r="G84" t="s">
        <v>668</v>
      </c>
      <c r="H84" t="s">
        <v>8</v>
      </c>
      <c r="I84">
        <v>380</v>
      </c>
      <c r="J84">
        <v>35</v>
      </c>
      <c r="K84" t="s">
        <v>8</v>
      </c>
      <c r="L84">
        <v>3180155</v>
      </c>
      <c r="M84" t="s">
        <v>346</v>
      </c>
      <c r="N84" t="s">
        <v>414</v>
      </c>
      <c r="O84">
        <v>1</v>
      </c>
      <c r="P84">
        <v>2</v>
      </c>
      <c r="Q84">
        <v>-99</v>
      </c>
      <c r="R84" t="s">
        <v>654</v>
      </c>
    </row>
    <row r="85" spans="1:18" x14ac:dyDescent="0.2">
      <c r="A85">
        <v>84</v>
      </c>
      <c r="B85">
        <v>152</v>
      </c>
      <c r="C85" t="s">
        <v>180</v>
      </c>
      <c r="D85" t="s">
        <v>78</v>
      </c>
      <c r="E85" t="s">
        <v>626</v>
      </c>
      <c r="F85" t="s">
        <v>627</v>
      </c>
      <c r="G85" t="s">
        <v>656</v>
      </c>
      <c r="H85" t="s">
        <v>370</v>
      </c>
      <c r="I85">
        <v>380</v>
      </c>
      <c r="J85">
        <v>30</v>
      </c>
      <c r="K85" t="s">
        <v>369</v>
      </c>
      <c r="L85">
        <v>8234</v>
      </c>
      <c r="M85" t="s">
        <v>352</v>
      </c>
      <c r="N85" t="s">
        <v>416</v>
      </c>
      <c r="O85">
        <v>1</v>
      </c>
      <c r="P85">
        <v>2</v>
      </c>
      <c r="Q85">
        <v>-99</v>
      </c>
      <c r="R85" t="s">
        <v>682</v>
      </c>
    </row>
    <row r="86" spans="1:18" x14ac:dyDescent="0.2">
      <c r="A86">
        <v>85</v>
      </c>
      <c r="B86">
        <v>153</v>
      </c>
      <c r="C86" t="s">
        <v>89</v>
      </c>
      <c r="D86" t="s">
        <v>135</v>
      </c>
      <c r="E86" t="s">
        <v>628</v>
      </c>
      <c r="F86" t="s">
        <v>629</v>
      </c>
      <c r="G86" t="s">
        <v>656</v>
      </c>
      <c r="H86" t="s">
        <v>370</v>
      </c>
      <c r="I86">
        <v>380</v>
      </c>
      <c r="J86">
        <v>30</v>
      </c>
      <c r="K86" t="s">
        <v>369</v>
      </c>
      <c r="L86">
        <v>8236</v>
      </c>
      <c r="M86" t="s">
        <v>365</v>
      </c>
      <c r="N86" t="s">
        <v>417</v>
      </c>
      <c r="O86">
        <v>1</v>
      </c>
      <c r="P86">
        <v>2</v>
      </c>
      <c r="Q86">
        <v>-99</v>
      </c>
      <c r="R86" t="s">
        <v>682</v>
      </c>
    </row>
    <row r="87" spans="1:18" x14ac:dyDescent="0.2">
      <c r="A87">
        <v>86</v>
      </c>
      <c r="B87">
        <v>154</v>
      </c>
      <c r="C87" t="s">
        <v>182</v>
      </c>
      <c r="D87" t="s">
        <v>181</v>
      </c>
      <c r="E87" t="s">
        <v>630</v>
      </c>
      <c r="F87" t="s">
        <v>631</v>
      </c>
      <c r="G87" t="s">
        <v>660</v>
      </c>
      <c r="H87" t="s">
        <v>402</v>
      </c>
      <c r="I87">
        <v>383</v>
      </c>
      <c r="J87">
        <v>33</v>
      </c>
      <c r="K87" t="s">
        <v>385</v>
      </c>
      <c r="L87">
        <v>8265</v>
      </c>
      <c r="M87" t="s">
        <v>358</v>
      </c>
      <c r="N87" t="s">
        <v>418</v>
      </c>
      <c r="O87">
        <v>1</v>
      </c>
      <c r="P87">
        <v>2</v>
      </c>
      <c r="Q87">
        <v>-99</v>
      </c>
      <c r="R87" t="s">
        <v>682</v>
      </c>
    </row>
    <row r="88" spans="1:18" x14ac:dyDescent="0.2">
      <c r="A88">
        <v>87</v>
      </c>
      <c r="B88">
        <v>155</v>
      </c>
      <c r="C88" t="s">
        <v>183</v>
      </c>
      <c r="D88" t="s">
        <v>43</v>
      </c>
      <c r="E88" t="s">
        <v>632</v>
      </c>
      <c r="F88" t="s">
        <v>633</v>
      </c>
      <c r="G88" t="s">
        <v>658</v>
      </c>
      <c r="H88" t="s">
        <v>386</v>
      </c>
      <c r="I88">
        <v>382</v>
      </c>
      <c r="J88">
        <v>32</v>
      </c>
      <c r="K88" t="s">
        <v>390</v>
      </c>
      <c r="L88">
        <v>8266</v>
      </c>
      <c r="M88" t="s">
        <v>323</v>
      </c>
      <c r="N88" t="s">
        <v>419</v>
      </c>
      <c r="O88">
        <v>1</v>
      </c>
      <c r="P88">
        <v>2</v>
      </c>
      <c r="Q88">
        <v>-99</v>
      </c>
      <c r="R88" t="s">
        <v>682</v>
      </c>
    </row>
    <row r="89" spans="1:18" x14ac:dyDescent="0.2">
      <c r="A89">
        <v>88</v>
      </c>
      <c r="B89">
        <v>156</v>
      </c>
      <c r="C89" t="s">
        <v>184</v>
      </c>
      <c r="D89" t="s">
        <v>74</v>
      </c>
      <c r="E89" t="s">
        <v>634</v>
      </c>
      <c r="F89" t="s">
        <v>635</v>
      </c>
      <c r="G89" t="s">
        <v>658</v>
      </c>
      <c r="H89" t="s">
        <v>386</v>
      </c>
      <c r="I89">
        <v>382</v>
      </c>
      <c r="J89">
        <v>32</v>
      </c>
      <c r="K89" t="s">
        <v>390</v>
      </c>
      <c r="L89">
        <v>8267</v>
      </c>
      <c r="M89" t="s">
        <v>341</v>
      </c>
      <c r="N89" t="s">
        <v>420</v>
      </c>
      <c r="O89">
        <v>1</v>
      </c>
      <c r="P89">
        <v>2</v>
      </c>
      <c r="Q89">
        <v>-99</v>
      </c>
      <c r="R89" t="s">
        <v>682</v>
      </c>
    </row>
    <row r="90" spans="1:18" x14ac:dyDescent="0.2">
      <c r="A90">
        <v>89</v>
      </c>
      <c r="B90">
        <v>157</v>
      </c>
      <c r="C90" t="s">
        <v>673</v>
      </c>
      <c r="D90" t="s">
        <v>36</v>
      </c>
      <c r="E90" t="s">
        <v>636</v>
      </c>
      <c r="F90" t="s">
        <v>637</v>
      </c>
      <c r="G90" t="s">
        <v>660</v>
      </c>
      <c r="H90" t="s">
        <v>402</v>
      </c>
      <c r="I90">
        <v>383</v>
      </c>
      <c r="J90">
        <v>33</v>
      </c>
      <c r="K90" t="s">
        <v>385</v>
      </c>
      <c r="L90">
        <v>8271</v>
      </c>
      <c r="M90" t="s">
        <v>319</v>
      </c>
      <c r="N90" t="s">
        <v>421</v>
      </c>
      <c r="O90">
        <v>1</v>
      </c>
      <c r="P90">
        <v>2</v>
      </c>
      <c r="Q90">
        <v>-99</v>
      </c>
      <c r="R90" t="s">
        <v>682</v>
      </c>
    </row>
    <row r="91" spans="1:18" x14ac:dyDescent="0.2">
      <c r="A91">
        <v>90</v>
      </c>
      <c r="B91">
        <v>158</v>
      </c>
      <c r="C91" t="s">
        <v>185</v>
      </c>
      <c r="D91" t="s">
        <v>81</v>
      </c>
      <c r="E91" t="s">
        <v>638</v>
      </c>
      <c r="F91" t="s">
        <v>639</v>
      </c>
      <c r="G91" t="s">
        <v>658</v>
      </c>
      <c r="H91" t="s">
        <v>386</v>
      </c>
      <c r="I91">
        <v>382</v>
      </c>
      <c r="J91">
        <v>32</v>
      </c>
      <c r="K91" t="s">
        <v>390</v>
      </c>
      <c r="L91">
        <v>8209</v>
      </c>
      <c r="M91" t="s">
        <v>364</v>
      </c>
      <c r="N91" t="s">
        <v>422</v>
      </c>
      <c r="O91">
        <v>1</v>
      </c>
      <c r="P91">
        <v>2</v>
      </c>
      <c r="Q91">
        <v>-99</v>
      </c>
      <c r="R91" t="s">
        <v>682</v>
      </c>
    </row>
    <row r="92" spans="1:18" x14ac:dyDescent="0.2">
      <c r="A92">
        <v>91</v>
      </c>
      <c r="B92">
        <v>198</v>
      </c>
      <c r="C92" t="s">
        <v>186</v>
      </c>
      <c r="D92" t="s">
        <v>45</v>
      </c>
      <c r="E92" t="s">
        <v>640</v>
      </c>
      <c r="F92" t="s">
        <v>641</v>
      </c>
      <c r="G92" t="s">
        <v>660</v>
      </c>
      <c r="H92" t="s">
        <v>402</v>
      </c>
      <c r="I92">
        <v>383</v>
      </c>
      <c r="J92">
        <v>34</v>
      </c>
      <c r="K92" t="s">
        <v>404</v>
      </c>
      <c r="L92">
        <v>8224</v>
      </c>
      <c r="M92" t="s">
        <v>361</v>
      </c>
      <c r="N92" t="s">
        <v>428</v>
      </c>
      <c r="O92">
        <v>1</v>
      </c>
      <c r="P92">
        <v>2</v>
      </c>
      <c r="Q92">
        <v>-99</v>
      </c>
      <c r="R92" t="s">
        <v>682</v>
      </c>
    </row>
    <row r="93" spans="1:18" x14ac:dyDescent="0.2">
      <c r="A93">
        <v>92</v>
      </c>
      <c r="B93">
        <v>161</v>
      </c>
      <c r="C93" t="s">
        <v>187</v>
      </c>
      <c r="D93" t="s">
        <v>82</v>
      </c>
      <c r="E93" t="s">
        <v>642</v>
      </c>
      <c r="F93" t="s">
        <v>643</v>
      </c>
      <c r="G93" t="s">
        <v>656</v>
      </c>
      <c r="H93" t="s">
        <v>370</v>
      </c>
      <c r="I93">
        <v>380</v>
      </c>
      <c r="J93">
        <v>30</v>
      </c>
      <c r="K93" t="s">
        <v>369</v>
      </c>
      <c r="L93">
        <v>8225</v>
      </c>
      <c r="M93" t="s">
        <v>324</v>
      </c>
      <c r="N93" t="s">
        <v>423</v>
      </c>
      <c r="O93">
        <v>1</v>
      </c>
      <c r="P93">
        <v>2</v>
      </c>
      <c r="Q93">
        <v>-99</v>
      </c>
      <c r="R93" t="s">
        <v>682</v>
      </c>
    </row>
    <row r="94" spans="1:18" x14ac:dyDescent="0.2">
      <c r="A94">
        <v>93</v>
      </c>
      <c r="B94">
        <v>162</v>
      </c>
      <c r="C94" t="s">
        <v>188</v>
      </c>
      <c r="D94" t="s">
        <v>32</v>
      </c>
      <c r="E94" t="s">
        <v>644</v>
      </c>
      <c r="F94" t="s">
        <v>645</v>
      </c>
      <c r="G94" t="s">
        <v>660</v>
      </c>
      <c r="H94" t="s">
        <v>402</v>
      </c>
      <c r="I94">
        <v>383</v>
      </c>
      <c r="J94">
        <v>34</v>
      </c>
      <c r="K94" t="s">
        <v>404</v>
      </c>
      <c r="L94">
        <v>8227</v>
      </c>
      <c r="M94" t="s">
        <v>477</v>
      </c>
      <c r="N94" t="s">
        <v>424</v>
      </c>
      <c r="O94">
        <v>1</v>
      </c>
      <c r="P94">
        <v>2</v>
      </c>
      <c r="Q94">
        <v>-99</v>
      </c>
      <c r="R94" t="s">
        <v>682</v>
      </c>
    </row>
    <row r="95" spans="1:18" x14ac:dyDescent="0.2">
      <c r="A95">
        <v>94</v>
      </c>
      <c r="B95">
        <v>-99</v>
      </c>
      <c r="C95" t="s">
        <v>674</v>
      </c>
      <c r="D95" t="s">
        <v>8</v>
      </c>
      <c r="E95" t="s">
        <v>675</v>
      </c>
      <c r="F95" t="s">
        <v>224</v>
      </c>
      <c r="G95" t="s">
        <v>654</v>
      </c>
      <c r="H95" t="s">
        <v>8</v>
      </c>
      <c r="I95">
        <v>-99</v>
      </c>
      <c r="J95">
        <v>-99</v>
      </c>
      <c r="K95" t="s">
        <v>8</v>
      </c>
      <c r="L95">
        <v>-99</v>
      </c>
      <c r="M95" t="s">
        <v>654</v>
      </c>
      <c r="N95" t="s">
        <v>654</v>
      </c>
      <c r="O95">
        <v>-99</v>
      </c>
      <c r="P95">
        <v>-99</v>
      </c>
      <c r="Q95">
        <v>-99</v>
      </c>
      <c r="R95" t="s">
        <v>208</v>
      </c>
    </row>
    <row r="96" spans="1:18" x14ac:dyDescent="0.2">
      <c r="A96">
        <v>95</v>
      </c>
      <c r="B96">
        <v>-99</v>
      </c>
      <c r="C96" t="s">
        <v>674</v>
      </c>
      <c r="D96" t="s">
        <v>8</v>
      </c>
      <c r="E96" t="s">
        <v>676</v>
      </c>
      <c r="F96" t="s">
        <v>308</v>
      </c>
      <c r="G96" t="s">
        <v>654</v>
      </c>
      <c r="H96" t="s">
        <v>8</v>
      </c>
      <c r="I96">
        <v>-99</v>
      </c>
      <c r="J96">
        <v>-99</v>
      </c>
      <c r="K96" t="s">
        <v>8</v>
      </c>
      <c r="L96">
        <v>-99</v>
      </c>
      <c r="M96" t="s">
        <v>654</v>
      </c>
      <c r="N96" t="s">
        <v>654</v>
      </c>
      <c r="O96">
        <v>-99</v>
      </c>
      <c r="P96">
        <v>-99</v>
      </c>
      <c r="Q96">
        <v>-99</v>
      </c>
      <c r="R96" t="s">
        <v>679</v>
      </c>
    </row>
    <row r="97" spans="1:18" x14ac:dyDescent="0.2">
      <c r="A97">
        <v>96</v>
      </c>
      <c r="B97">
        <v>-99</v>
      </c>
      <c r="C97" t="s">
        <v>674</v>
      </c>
      <c r="D97" t="s">
        <v>8</v>
      </c>
      <c r="E97" t="s">
        <v>677</v>
      </c>
      <c r="F97" t="s">
        <v>307</v>
      </c>
      <c r="G97" t="s">
        <v>654</v>
      </c>
      <c r="H97" t="s">
        <v>8</v>
      </c>
      <c r="I97">
        <v>-99</v>
      </c>
      <c r="J97">
        <v>-99</v>
      </c>
      <c r="K97" t="s">
        <v>8</v>
      </c>
      <c r="L97">
        <v>-99</v>
      </c>
      <c r="M97" t="s">
        <v>654</v>
      </c>
      <c r="N97" t="s">
        <v>654</v>
      </c>
      <c r="O97">
        <v>-99</v>
      </c>
      <c r="P97">
        <v>-99</v>
      </c>
      <c r="Q97">
        <v>-99</v>
      </c>
      <c r="R97" t="s">
        <v>680</v>
      </c>
    </row>
    <row r="98" spans="1:18" x14ac:dyDescent="0.2">
      <c r="A98">
        <v>97</v>
      </c>
      <c r="B98">
        <v>-99</v>
      </c>
      <c r="C98" t="s">
        <v>666</v>
      </c>
      <c r="D98" t="s">
        <v>1055</v>
      </c>
      <c r="E98" t="s">
        <v>666</v>
      </c>
      <c r="F98" t="s">
        <v>1055</v>
      </c>
      <c r="G98" t="s">
        <v>654</v>
      </c>
      <c r="H98" t="s">
        <v>654</v>
      </c>
      <c r="I98">
        <v>-99</v>
      </c>
      <c r="J98">
        <v>35</v>
      </c>
      <c r="K98" t="s">
        <v>8</v>
      </c>
      <c r="L98">
        <v>-99</v>
      </c>
      <c r="M98" t="s">
        <v>654</v>
      </c>
      <c r="N98" t="s">
        <v>654</v>
      </c>
      <c r="O98">
        <v>-99</v>
      </c>
      <c r="P98">
        <v>-99</v>
      </c>
      <c r="Q98">
        <v>3</v>
      </c>
      <c r="R98" t="s">
        <v>654</v>
      </c>
    </row>
    <row r="99" spans="1:18" x14ac:dyDescent="0.2">
      <c r="A99">
        <v>98</v>
      </c>
      <c r="B99">
        <v>-99</v>
      </c>
      <c r="C99" t="s">
        <v>674</v>
      </c>
      <c r="D99" t="s">
        <v>8</v>
      </c>
      <c r="E99" t="s">
        <v>685</v>
      </c>
      <c r="F99" t="s">
        <v>686</v>
      </c>
      <c r="G99" t="s">
        <v>654</v>
      </c>
      <c r="H99" t="s">
        <v>8</v>
      </c>
      <c r="I99">
        <v>-99</v>
      </c>
      <c r="J99">
        <v>-99</v>
      </c>
      <c r="K99" t="s">
        <v>8</v>
      </c>
      <c r="L99">
        <v>-99</v>
      </c>
      <c r="M99" t="s">
        <v>654</v>
      </c>
      <c r="N99" t="s">
        <v>654</v>
      </c>
      <c r="O99">
        <v>-99</v>
      </c>
      <c r="P99">
        <v>-99</v>
      </c>
      <c r="Q99">
        <v>-99</v>
      </c>
      <c r="R99" t="s">
        <v>682</v>
      </c>
    </row>
    <row r="100" spans="1:18" x14ac:dyDescent="0.2">
      <c r="A100">
        <v>99</v>
      </c>
      <c r="B100">
        <v>250</v>
      </c>
      <c r="C100" t="s">
        <v>654</v>
      </c>
      <c r="D100" t="s">
        <v>32</v>
      </c>
      <c r="E100" t="s">
        <v>721</v>
      </c>
      <c r="F100" t="s">
        <v>687</v>
      </c>
      <c r="G100" t="s">
        <v>654</v>
      </c>
      <c r="H100" t="s">
        <v>402</v>
      </c>
      <c r="I100">
        <v>-99</v>
      </c>
      <c r="J100">
        <v>-99</v>
      </c>
      <c r="K100" t="s">
        <v>404</v>
      </c>
      <c r="L100">
        <v>-99</v>
      </c>
      <c r="M100" t="s">
        <v>654</v>
      </c>
      <c r="N100" t="s">
        <v>654</v>
      </c>
      <c r="O100">
        <v>-99</v>
      </c>
      <c r="P100">
        <v>-99</v>
      </c>
      <c r="Q100">
        <v>-99</v>
      </c>
      <c r="R100" t="s">
        <v>688</v>
      </c>
    </row>
    <row r="101" spans="1:18" x14ac:dyDescent="0.2">
      <c r="A101">
        <v>100</v>
      </c>
      <c r="B101">
        <v>256</v>
      </c>
      <c r="C101" t="s">
        <v>654</v>
      </c>
      <c r="D101" t="s">
        <v>212</v>
      </c>
      <c r="E101" t="s">
        <v>722</v>
      </c>
      <c r="F101" t="s">
        <v>689</v>
      </c>
      <c r="G101" t="s">
        <v>654</v>
      </c>
      <c r="H101" t="s">
        <v>386</v>
      </c>
      <c r="I101">
        <v>-99</v>
      </c>
      <c r="J101">
        <v>-99</v>
      </c>
      <c r="K101" t="s">
        <v>390</v>
      </c>
      <c r="L101">
        <v>-99</v>
      </c>
      <c r="M101" t="s">
        <v>654</v>
      </c>
      <c r="N101" t="s">
        <v>654</v>
      </c>
      <c r="O101">
        <v>-99</v>
      </c>
      <c r="P101">
        <v>-99</v>
      </c>
      <c r="Q101">
        <v>-99</v>
      </c>
      <c r="R101" t="s">
        <v>688</v>
      </c>
    </row>
    <row r="102" spans="1:18" x14ac:dyDescent="0.2">
      <c r="A102">
        <v>101</v>
      </c>
      <c r="B102">
        <v>257</v>
      </c>
      <c r="C102" t="s">
        <v>654</v>
      </c>
      <c r="D102" t="s">
        <v>209</v>
      </c>
      <c r="E102" t="s">
        <v>723</v>
      </c>
      <c r="F102" t="s">
        <v>690</v>
      </c>
      <c r="G102" t="s">
        <v>654</v>
      </c>
      <c r="H102" t="s">
        <v>386</v>
      </c>
      <c r="I102">
        <v>-99</v>
      </c>
      <c r="J102">
        <v>-99</v>
      </c>
      <c r="K102" t="s">
        <v>390</v>
      </c>
      <c r="L102">
        <v>-99</v>
      </c>
      <c r="M102" t="s">
        <v>654</v>
      </c>
      <c r="N102" t="s">
        <v>654</v>
      </c>
      <c r="O102">
        <v>-99</v>
      </c>
      <c r="P102">
        <v>-99</v>
      </c>
      <c r="Q102">
        <v>-99</v>
      </c>
      <c r="R102" t="s">
        <v>688</v>
      </c>
    </row>
    <row r="103" spans="1:18" x14ac:dyDescent="0.2">
      <c r="A103">
        <v>102</v>
      </c>
      <c r="B103">
        <v>258</v>
      </c>
      <c r="C103" t="s">
        <v>654</v>
      </c>
      <c r="D103" t="s">
        <v>210</v>
      </c>
      <c r="E103" t="s">
        <v>724</v>
      </c>
      <c r="F103" t="s">
        <v>691</v>
      </c>
      <c r="G103" t="s">
        <v>654</v>
      </c>
      <c r="H103" t="s">
        <v>370</v>
      </c>
      <c r="I103">
        <v>-99</v>
      </c>
      <c r="J103">
        <v>-99</v>
      </c>
      <c r="K103" t="s">
        <v>369</v>
      </c>
      <c r="L103">
        <v>-99</v>
      </c>
      <c r="M103" t="s">
        <v>654</v>
      </c>
      <c r="N103" t="s">
        <v>654</v>
      </c>
      <c r="O103">
        <v>-99</v>
      </c>
      <c r="P103">
        <v>-99</v>
      </c>
      <c r="Q103">
        <v>-99</v>
      </c>
      <c r="R103" t="s">
        <v>688</v>
      </c>
    </row>
    <row r="104" spans="1:18" x14ac:dyDescent="0.2">
      <c r="A104">
        <v>103</v>
      </c>
      <c r="B104">
        <v>259</v>
      </c>
      <c r="C104" t="s">
        <v>654</v>
      </c>
      <c r="D104" t="s">
        <v>135</v>
      </c>
      <c r="E104" t="s">
        <v>725</v>
      </c>
      <c r="F104" t="s">
        <v>692</v>
      </c>
      <c r="G104" t="s">
        <v>654</v>
      </c>
      <c r="H104" t="s">
        <v>370</v>
      </c>
      <c r="I104">
        <v>-99</v>
      </c>
      <c r="J104">
        <v>-99</v>
      </c>
      <c r="K104" t="s">
        <v>369</v>
      </c>
      <c r="L104">
        <v>-99</v>
      </c>
      <c r="M104" t="s">
        <v>654</v>
      </c>
      <c r="N104" t="s">
        <v>654</v>
      </c>
      <c r="O104">
        <v>-99</v>
      </c>
      <c r="P104">
        <v>-99</v>
      </c>
      <c r="Q104">
        <v>-99</v>
      </c>
      <c r="R104" t="s">
        <v>688</v>
      </c>
    </row>
    <row r="105" spans="1:18" x14ac:dyDescent="0.2">
      <c r="A105">
        <v>104</v>
      </c>
      <c r="B105">
        <v>260</v>
      </c>
      <c r="C105" t="s">
        <v>654</v>
      </c>
      <c r="D105" t="s">
        <v>46</v>
      </c>
      <c r="E105" t="s">
        <v>726</v>
      </c>
      <c r="F105" t="s">
        <v>693</v>
      </c>
      <c r="G105" t="s">
        <v>654</v>
      </c>
      <c r="H105" t="s">
        <v>386</v>
      </c>
      <c r="I105">
        <v>-99</v>
      </c>
      <c r="J105">
        <v>-99</v>
      </c>
      <c r="K105" t="s">
        <v>385</v>
      </c>
      <c r="L105">
        <v>-99</v>
      </c>
      <c r="M105" t="s">
        <v>654</v>
      </c>
      <c r="N105" t="s">
        <v>654</v>
      </c>
      <c r="O105">
        <v>-99</v>
      </c>
      <c r="P105">
        <v>-99</v>
      </c>
      <c r="Q105">
        <v>-99</v>
      </c>
      <c r="R105" t="s">
        <v>688</v>
      </c>
    </row>
    <row r="106" spans="1:18" x14ac:dyDescent="0.2">
      <c r="A106">
        <v>105</v>
      </c>
      <c r="B106">
        <v>261</v>
      </c>
      <c r="C106" t="s">
        <v>654</v>
      </c>
      <c r="D106" t="s">
        <v>65</v>
      </c>
      <c r="E106" t="s">
        <v>727</v>
      </c>
      <c r="F106" t="s">
        <v>694</v>
      </c>
      <c r="G106" t="s">
        <v>654</v>
      </c>
      <c r="H106" t="s">
        <v>370</v>
      </c>
      <c r="I106">
        <v>-99</v>
      </c>
      <c r="J106">
        <v>-99</v>
      </c>
      <c r="K106" t="s">
        <v>369</v>
      </c>
      <c r="L106">
        <v>-99</v>
      </c>
      <c r="M106" t="s">
        <v>654</v>
      </c>
      <c r="N106" t="s">
        <v>654</v>
      </c>
      <c r="O106">
        <v>-99</v>
      </c>
      <c r="P106">
        <v>-99</v>
      </c>
      <c r="Q106">
        <v>-99</v>
      </c>
      <c r="R106" t="s">
        <v>688</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463</v>
      </c>
      <c r="B1" t="s">
        <v>457</v>
      </c>
      <c r="C1" t="s">
        <v>464</v>
      </c>
      <c r="D1" t="s">
        <v>465</v>
      </c>
      <c r="E1" t="s">
        <v>492</v>
      </c>
    </row>
    <row r="2" spans="1:5" x14ac:dyDescent="0.2">
      <c r="A2" t="s">
        <v>325</v>
      </c>
      <c r="B2" t="s">
        <v>371</v>
      </c>
      <c r="C2" t="s">
        <v>371</v>
      </c>
      <c r="D2" t="s">
        <v>466</v>
      </c>
      <c r="E2" t="s">
        <v>369</v>
      </c>
    </row>
    <row r="3" spans="1:5" x14ac:dyDescent="0.2">
      <c r="A3" t="s">
        <v>357</v>
      </c>
      <c r="B3" t="s">
        <v>374</v>
      </c>
      <c r="C3" t="s">
        <v>374</v>
      </c>
      <c r="D3" t="s">
        <v>466</v>
      </c>
      <c r="E3" t="s">
        <v>369</v>
      </c>
    </row>
    <row r="4" spans="1:5" x14ac:dyDescent="0.2">
      <c r="A4" t="s">
        <v>352</v>
      </c>
      <c r="B4" t="s">
        <v>416</v>
      </c>
      <c r="C4" t="s">
        <v>416</v>
      </c>
      <c r="D4" t="s">
        <v>466</v>
      </c>
      <c r="E4" t="s">
        <v>369</v>
      </c>
    </row>
    <row r="5" spans="1:5" x14ac:dyDescent="0.2">
      <c r="A5" t="s">
        <v>331</v>
      </c>
      <c r="B5" t="s">
        <v>427</v>
      </c>
      <c r="C5" t="s">
        <v>427</v>
      </c>
      <c r="D5" t="s">
        <v>467</v>
      </c>
      <c r="E5" t="s">
        <v>380</v>
      </c>
    </row>
    <row r="6" spans="1:5" x14ac:dyDescent="0.2">
      <c r="A6" t="s">
        <v>355</v>
      </c>
      <c r="B6" t="s">
        <v>389</v>
      </c>
      <c r="C6" t="s">
        <v>389</v>
      </c>
      <c r="D6" t="s">
        <v>467</v>
      </c>
      <c r="E6" t="s">
        <v>385</v>
      </c>
    </row>
    <row r="7" spans="1:5" x14ac:dyDescent="0.2">
      <c r="A7" t="s">
        <v>358</v>
      </c>
      <c r="B7" t="s">
        <v>418</v>
      </c>
      <c r="C7" t="s">
        <v>418</v>
      </c>
      <c r="D7" t="s">
        <v>469</v>
      </c>
      <c r="E7" t="s">
        <v>385</v>
      </c>
    </row>
    <row r="8" spans="1:5" x14ac:dyDescent="0.2">
      <c r="A8" t="s">
        <v>333</v>
      </c>
      <c r="B8" t="s">
        <v>401</v>
      </c>
      <c r="C8" t="s">
        <v>401</v>
      </c>
      <c r="D8" t="s">
        <v>470</v>
      </c>
      <c r="E8" t="s">
        <v>390</v>
      </c>
    </row>
    <row r="9" spans="1:5" x14ac:dyDescent="0.2">
      <c r="A9" t="s">
        <v>350</v>
      </c>
      <c r="B9" t="s">
        <v>403</v>
      </c>
      <c r="C9" t="s">
        <v>403</v>
      </c>
      <c r="D9" t="s">
        <v>469</v>
      </c>
      <c r="E9" t="s">
        <v>385</v>
      </c>
    </row>
    <row r="10" spans="1:5" x14ac:dyDescent="0.2">
      <c r="A10" t="s">
        <v>478</v>
      </c>
      <c r="B10" t="s">
        <v>479</v>
      </c>
      <c r="C10" t="s">
        <v>309</v>
      </c>
      <c r="D10" t="s">
        <v>454</v>
      </c>
      <c r="E10" t="s">
        <v>8</v>
      </c>
    </row>
    <row r="11" spans="1:5" x14ac:dyDescent="0.2">
      <c r="A11" t="s">
        <v>359</v>
      </c>
      <c r="B11" t="s">
        <v>415</v>
      </c>
      <c r="C11" t="s">
        <v>415</v>
      </c>
      <c r="D11" t="s">
        <v>466</v>
      </c>
      <c r="E11" t="s">
        <v>369</v>
      </c>
    </row>
    <row r="12" spans="1:5" x14ac:dyDescent="0.2">
      <c r="A12" t="s">
        <v>337</v>
      </c>
      <c r="B12" t="s">
        <v>379</v>
      </c>
      <c r="C12" t="s">
        <v>379</v>
      </c>
      <c r="D12" t="s">
        <v>467</v>
      </c>
      <c r="E12" t="s">
        <v>369</v>
      </c>
    </row>
    <row r="13" spans="1:5" x14ac:dyDescent="0.2">
      <c r="A13" t="s">
        <v>342</v>
      </c>
      <c r="B13" t="s">
        <v>376</v>
      </c>
      <c r="C13" t="s">
        <v>376</v>
      </c>
      <c r="D13" t="s">
        <v>466</v>
      </c>
      <c r="E13" t="s">
        <v>369</v>
      </c>
    </row>
    <row r="14" spans="1:5" x14ac:dyDescent="0.2">
      <c r="A14" t="s">
        <v>340</v>
      </c>
      <c r="B14" t="s">
        <v>383</v>
      </c>
      <c r="C14" t="s">
        <v>383</v>
      </c>
      <c r="D14" t="s">
        <v>467</v>
      </c>
      <c r="E14" t="s">
        <v>380</v>
      </c>
    </row>
    <row r="15" spans="1:5" x14ac:dyDescent="0.2">
      <c r="A15" t="s">
        <v>330</v>
      </c>
      <c r="B15" t="s">
        <v>392</v>
      </c>
      <c r="C15" t="s">
        <v>392</v>
      </c>
      <c r="D15" t="s">
        <v>466</v>
      </c>
      <c r="E15" t="s">
        <v>390</v>
      </c>
    </row>
    <row r="16" spans="1:5" x14ac:dyDescent="0.2">
      <c r="A16" t="s">
        <v>344</v>
      </c>
      <c r="B16" t="s">
        <v>406</v>
      </c>
      <c r="C16" t="s">
        <v>406</v>
      </c>
      <c r="D16" t="s">
        <v>469</v>
      </c>
      <c r="E16" t="s">
        <v>385</v>
      </c>
    </row>
    <row r="17" spans="1:5" x14ac:dyDescent="0.2">
      <c r="A17" t="s">
        <v>480</v>
      </c>
      <c r="B17" t="s">
        <v>481</v>
      </c>
      <c r="C17" t="s">
        <v>309</v>
      </c>
      <c r="D17" t="s">
        <v>454</v>
      </c>
      <c r="E17" t="s">
        <v>8</v>
      </c>
    </row>
    <row r="18" spans="1:5" x14ac:dyDescent="0.2">
      <c r="A18" t="s">
        <v>356</v>
      </c>
      <c r="B18" t="s">
        <v>391</v>
      </c>
      <c r="C18" t="s">
        <v>391</v>
      </c>
      <c r="D18" t="s">
        <v>466</v>
      </c>
      <c r="E18" t="s">
        <v>390</v>
      </c>
    </row>
    <row r="19" spans="1:5" x14ac:dyDescent="0.2">
      <c r="A19" t="s">
        <v>349</v>
      </c>
      <c r="B19" t="s">
        <v>394</v>
      </c>
      <c r="C19" t="s">
        <v>394</v>
      </c>
      <c r="D19" t="s">
        <v>470</v>
      </c>
      <c r="E19" t="s">
        <v>390</v>
      </c>
    </row>
    <row r="20" spans="1:5" x14ac:dyDescent="0.2">
      <c r="A20" t="s">
        <v>339</v>
      </c>
      <c r="B20" t="s">
        <v>397</v>
      </c>
      <c r="C20" t="s">
        <v>397</v>
      </c>
      <c r="D20" t="s">
        <v>470</v>
      </c>
      <c r="E20" t="s">
        <v>390</v>
      </c>
    </row>
    <row r="21" spans="1:5" x14ac:dyDescent="0.2">
      <c r="A21" t="s">
        <v>364</v>
      </c>
      <c r="B21" t="s">
        <v>422</v>
      </c>
      <c r="C21" t="s">
        <v>422</v>
      </c>
      <c r="D21" t="s">
        <v>470</v>
      </c>
      <c r="E21" t="s">
        <v>390</v>
      </c>
    </row>
    <row r="22" spans="1:5" x14ac:dyDescent="0.2">
      <c r="A22" t="s">
        <v>335</v>
      </c>
      <c r="B22" t="s">
        <v>60</v>
      </c>
      <c r="C22" t="s">
        <v>60</v>
      </c>
      <c r="D22" t="s">
        <v>466</v>
      </c>
      <c r="E22" t="s">
        <v>369</v>
      </c>
    </row>
    <row r="23" spans="1:5" x14ac:dyDescent="0.2">
      <c r="A23" t="s">
        <v>348</v>
      </c>
      <c r="B23" t="s">
        <v>382</v>
      </c>
      <c r="C23" t="s">
        <v>382</v>
      </c>
      <c r="D23" t="s">
        <v>309</v>
      </c>
      <c r="E23" t="s">
        <v>369</v>
      </c>
    </row>
    <row r="24" spans="1:5" x14ac:dyDescent="0.2">
      <c r="A24" t="s">
        <v>343</v>
      </c>
      <c r="B24" t="s">
        <v>384</v>
      </c>
      <c r="C24" t="s">
        <v>384</v>
      </c>
      <c r="D24" t="s">
        <v>467</v>
      </c>
      <c r="E24" t="s">
        <v>380</v>
      </c>
    </row>
    <row r="25" spans="1:5" x14ac:dyDescent="0.2">
      <c r="A25" t="s">
        <v>341</v>
      </c>
      <c r="B25" t="s">
        <v>420</v>
      </c>
      <c r="C25" t="s">
        <v>420</v>
      </c>
      <c r="D25" t="s">
        <v>470</v>
      </c>
      <c r="E25" t="s">
        <v>390</v>
      </c>
    </row>
    <row r="26" spans="1:5" x14ac:dyDescent="0.2">
      <c r="A26" t="s">
        <v>318</v>
      </c>
      <c r="B26" t="s">
        <v>405</v>
      </c>
      <c r="C26" t="s">
        <v>405</v>
      </c>
      <c r="D26" t="s">
        <v>469</v>
      </c>
      <c r="E26" t="s">
        <v>404</v>
      </c>
    </row>
    <row r="27" spans="1:5" x14ac:dyDescent="0.2">
      <c r="A27" t="s">
        <v>319</v>
      </c>
      <c r="B27" t="s">
        <v>421</v>
      </c>
      <c r="C27" t="s">
        <v>421</v>
      </c>
      <c r="D27" t="s">
        <v>469</v>
      </c>
      <c r="E27" t="s">
        <v>385</v>
      </c>
    </row>
    <row r="28" spans="1:5" x14ac:dyDescent="0.2">
      <c r="A28" t="s">
        <v>353</v>
      </c>
      <c r="B28" t="s">
        <v>373</v>
      </c>
      <c r="C28" t="s">
        <v>373</v>
      </c>
      <c r="D28" t="s">
        <v>466</v>
      </c>
      <c r="E28" t="s">
        <v>369</v>
      </c>
    </row>
    <row r="29" spans="1:5" x14ac:dyDescent="0.2">
      <c r="A29" t="s">
        <v>468</v>
      </c>
      <c r="B29" t="s">
        <v>454</v>
      </c>
      <c r="C29" t="s">
        <v>309</v>
      </c>
      <c r="D29" t="s">
        <v>454</v>
      </c>
      <c r="E29" t="s">
        <v>8</v>
      </c>
    </row>
    <row r="30" spans="1:5" x14ac:dyDescent="0.2">
      <c r="A30" t="s">
        <v>365</v>
      </c>
      <c r="B30" t="s">
        <v>417</v>
      </c>
      <c r="C30" t="s">
        <v>417</v>
      </c>
      <c r="D30" t="s">
        <v>466</v>
      </c>
      <c r="E30" t="s">
        <v>369</v>
      </c>
    </row>
    <row r="31" spans="1:5" x14ac:dyDescent="0.2">
      <c r="A31" t="s">
        <v>346</v>
      </c>
      <c r="B31" t="s">
        <v>414</v>
      </c>
      <c r="C31" t="s">
        <v>414</v>
      </c>
      <c r="D31" t="s">
        <v>309</v>
      </c>
      <c r="E31" t="s">
        <v>369</v>
      </c>
    </row>
    <row r="32" spans="1:5" x14ac:dyDescent="0.2">
      <c r="A32" t="s">
        <v>326</v>
      </c>
      <c r="B32" t="s">
        <v>395</v>
      </c>
      <c r="C32" t="s">
        <v>395</v>
      </c>
      <c r="D32" t="s">
        <v>466</v>
      </c>
      <c r="E32" t="s">
        <v>390</v>
      </c>
    </row>
    <row r="33" spans="1:5" x14ac:dyDescent="0.2">
      <c r="A33" t="s">
        <v>323</v>
      </c>
      <c r="B33" t="s">
        <v>419</v>
      </c>
      <c r="C33" t="s">
        <v>419</v>
      </c>
      <c r="D33" t="s">
        <v>470</v>
      </c>
      <c r="E33" t="s">
        <v>390</v>
      </c>
    </row>
    <row r="34" spans="1:5" x14ac:dyDescent="0.2">
      <c r="A34" t="s">
        <v>345</v>
      </c>
      <c r="B34" t="s">
        <v>426</v>
      </c>
      <c r="C34" t="s">
        <v>426</v>
      </c>
      <c r="D34" t="s">
        <v>469</v>
      </c>
      <c r="E34" t="s">
        <v>404</v>
      </c>
    </row>
    <row r="35" spans="1:5" x14ac:dyDescent="0.2">
      <c r="A35" t="s">
        <v>334</v>
      </c>
      <c r="B35" t="s">
        <v>408</v>
      </c>
      <c r="C35" t="s">
        <v>408</v>
      </c>
      <c r="D35" t="s">
        <v>469</v>
      </c>
      <c r="E35" t="s">
        <v>404</v>
      </c>
    </row>
    <row r="36" spans="1:5" x14ac:dyDescent="0.2">
      <c r="A36" t="s">
        <v>361</v>
      </c>
      <c r="B36" t="s">
        <v>428</v>
      </c>
      <c r="C36" t="s">
        <v>428</v>
      </c>
      <c r="D36" t="s">
        <v>469</v>
      </c>
      <c r="E36" t="s">
        <v>404</v>
      </c>
    </row>
    <row r="37" spans="1:5" x14ac:dyDescent="0.2">
      <c r="A37" t="s">
        <v>477</v>
      </c>
      <c r="B37" t="s">
        <v>424</v>
      </c>
      <c r="C37" t="s">
        <v>424</v>
      </c>
      <c r="D37" t="s">
        <v>469</v>
      </c>
      <c r="E37" t="s">
        <v>404</v>
      </c>
    </row>
    <row r="38" spans="1:5" x14ac:dyDescent="0.2">
      <c r="A38" t="s">
        <v>475</v>
      </c>
      <c r="B38" t="s">
        <v>476</v>
      </c>
      <c r="C38" t="s">
        <v>309</v>
      </c>
      <c r="D38" t="s">
        <v>454</v>
      </c>
      <c r="E38" t="s">
        <v>8</v>
      </c>
    </row>
    <row r="39" spans="1:5" x14ac:dyDescent="0.2">
      <c r="A39" t="s">
        <v>351</v>
      </c>
      <c r="B39" t="s">
        <v>409</v>
      </c>
      <c r="C39" t="s">
        <v>409</v>
      </c>
      <c r="D39" t="s">
        <v>469</v>
      </c>
      <c r="E39" t="s">
        <v>404</v>
      </c>
    </row>
    <row r="40" spans="1:5" x14ac:dyDescent="0.2">
      <c r="A40" t="s">
        <v>484</v>
      </c>
      <c r="B40" t="s">
        <v>485</v>
      </c>
      <c r="C40" t="s">
        <v>309</v>
      </c>
      <c r="D40" t="s">
        <v>454</v>
      </c>
      <c r="E40" t="s">
        <v>8</v>
      </c>
    </row>
    <row r="41" spans="1:5" x14ac:dyDescent="0.2">
      <c r="A41" t="s">
        <v>471</v>
      </c>
      <c r="B41" t="s">
        <v>472</v>
      </c>
      <c r="C41" t="s">
        <v>309</v>
      </c>
      <c r="D41" t="s">
        <v>454</v>
      </c>
      <c r="E41" t="s">
        <v>8</v>
      </c>
    </row>
    <row r="42" spans="1:5" x14ac:dyDescent="0.2">
      <c r="A42" t="s">
        <v>360</v>
      </c>
      <c r="B42" t="s">
        <v>372</v>
      </c>
      <c r="C42" t="s">
        <v>372</v>
      </c>
      <c r="D42" t="s">
        <v>466</v>
      </c>
      <c r="E42" t="s">
        <v>369</v>
      </c>
    </row>
    <row r="43" spans="1:5" x14ac:dyDescent="0.2">
      <c r="A43" t="s">
        <v>321</v>
      </c>
      <c r="B43" t="s">
        <v>378</v>
      </c>
      <c r="C43" t="s">
        <v>378</v>
      </c>
      <c r="D43" t="s">
        <v>467</v>
      </c>
      <c r="E43" t="s">
        <v>369</v>
      </c>
    </row>
    <row r="44" spans="1:5" x14ac:dyDescent="0.2">
      <c r="A44" t="s">
        <v>324</v>
      </c>
      <c r="B44" t="s">
        <v>423</v>
      </c>
      <c r="C44" t="s">
        <v>423</v>
      </c>
      <c r="D44" t="s">
        <v>466</v>
      </c>
      <c r="E44" t="s">
        <v>369</v>
      </c>
    </row>
    <row r="45" spans="1:5" x14ac:dyDescent="0.2">
      <c r="A45" t="s">
        <v>354</v>
      </c>
      <c r="B45" t="s">
        <v>388</v>
      </c>
      <c r="C45" t="s">
        <v>388</v>
      </c>
      <c r="D45" t="s">
        <v>467</v>
      </c>
      <c r="E45" t="s">
        <v>380</v>
      </c>
    </row>
    <row r="46" spans="1:5" x14ac:dyDescent="0.2">
      <c r="A46" t="s">
        <v>336</v>
      </c>
      <c r="B46" t="s">
        <v>393</v>
      </c>
      <c r="C46" t="s">
        <v>393</v>
      </c>
      <c r="D46" t="s">
        <v>467</v>
      </c>
      <c r="E46" t="s">
        <v>380</v>
      </c>
    </row>
    <row r="47" spans="1:5" x14ac:dyDescent="0.2">
      <c r="A47" t="s">
        <v>363</v>
      </c>
      <c r="B47" t="s">
        <v>399</v>
      </c>
      <c r="C47" t="s">
        <v>399</v>
      </c>
      <c r="D47" t="s">
        <v>470</v>
      </c>
      <c r="E47" t="s">
        <v>390</v>
      </c>
    </row>
    <row r="48" spans="1:5" x14ac:dyDescent="0.2">
      <c r="A48" t="s">
        <v>338</v>
      </c>
      <c r="B48" t="s">
        <v>412</v>
      </c>
      <c r="C48" t="s">
        <v>412</v>
      </c>
      <c r="D48" t="s">
        <v>470</v>
      </c>
      <c r="E48" t="s">
        <v>385</v>
      </c>
    </row>
    <row r="49" spans="1:5" x14ac:dyDescent="0.2">
      <c r="A49" t="s">
        <v>327</v>
      </c>
      <c r="B49" t="s">
        <v>410</v>
      </c>
      <c r="C49" t="s">
        <v>410</v>
      </c>
      <c r="D49" t="s">
        <v>470</v>
      </c>
      <c r="E49" t="s">
        <v>385</v>
      </c>
    </row>
    <row r="50" spans="1:5" x14ac:dyDescent="0.2">
      <c r="A50" t="s">
        <v>332</v>
      </c>
      <c r="B50" t="s">
        <v>407</v>
      </c>
      <c r="C50" t="s">
        <v>407</v>
      </c>
      <c r="D50" t="s">
        <v>469</v>
      </c>
      <c r="E50" t="s">
        <v>404</v>
      </c>
    </row>
    <row r="51" spans="1:5" x14ac:dyDescent="0.2">
      <c r="A51" t="s">
        <v>320</v>
      </c>
      <c r="B51" t="s">
        <v>387</v>
      </c>
      <c r="C51" t="s">
        <v>387</v>
      </c>
      <c r="D51" t="s">
        <v>470</v>
      </c>
      <c r="E51" t="s">
        <v>385</v>
      </c>
    </row>
    <row r="52" spans="1:5" x14ac:dyDescent="0.2">
      <c r="A52" t="s">
        <v>473</v>
      </c>
      <c r="B52" t="s">
        <v>474</v>
      </c>
      <c r="C52" t="s">
        <v>309</v>
      </c>
      <c r="D52" t="s">
        <v>454</v>
      </c>
      <c r="E52" t="s">
        <v>8</v>
      </c>
    </row>
    <row r="53" spans="1:5" x14ac:dyDescent="0.2">
      <c r="A53" t="s">
        <v>482</v>
      </c>
      <c r="B53" t="s">
        <v>483</v>
      </c>
      <c r="C53" t="s">
        <v>309</v>
      </c>
      <c r="D53" t="s">
        <v>454</v>
      </c>
      <c r="E53" t="s">
        <v>8</v>
      </c>
    </row>
    <row r="54" spans="1:5" x14ac:dyDescent="0.2">
      <c r="A54" t="s">
        <v>347</v>
      </c>
      <c r="B54" t="s">
        <v>375</v>
      </c>
      <c r="C54" t="s">
        <v>375</v>
      </c>
      <c r="D54" t="s">
        <v>466</v>
      </c>
      <c r="E54" t="s">
        <v>369</v>
      </c>
    </row>
    <row r="55" spans="1:5" x14ac:dyDescent="0.2">
      <c r="A55" t="s">
        <v>362</v>
      </c>
      <c r="B55" t="s">
        <v>381</v>
      </c>
      <c r="C55" t="s">
        <v>381</v>
      </c>
      <c r="D55" t="s">
        <v>467</v>
      </c>
      <c r="E55" t="s">
        <v>380</v>
      </c>
    </row>
    <row r="56" spans="1:5" x14ac:dyDescent="0.2">
      <c r="A56" t="s">
        <v>317</v>
      </c>
      <c r="B56" t="s">
        <v>425</v>
      </c>
      <c r="C56" t="s">
        <v>425</v>
      </c>
      <c r="D56" t="s">
        <v>467</v>
      </c>
      <c r="E56" t="s">
        <v>380</v>
      </c>
    </row>
    <row r="57" spans="1:5" x14ac:dyDescent="0.2">
      <c r="A57" t="s">
        <v>316</v>
      </c>
      <c r="B57" t="s">
        <v>396</v>
      </c>
      <c r="C57" t="s">
        <v>396</v>
      </c>
      <c r="D57" t="s">
        <v>470</v>
      </c>
      <c r="E57" t="s">
        <v>390</v>
      </c>
    </row>
    <row r="58" spans="1:5" x14ac:dyDescent="0.2">
      <c r="A58" t="s">
        <v>322</v>
      </c>
      <c r="B58" t="s">
        <v>400</v>
      </c>
      <c r="C58" t="s">
        <v>400</v>
      </c>
      <c r="D58" t="s">
        <v>470</v>
      </c>
      <c r="E58" t="s">
        <v>390</v>
      </c>
    </row>
    <row r="59" spans="1:5" x14ac:dyDescent="0.2">
      <c r="A59" t="s">
        <v>328</v>
      </c>
      <c r="B59" t="s">
        <v>413</v>
      </c>
      <c r="C59" t="s">
        <v>413</v>
      </c>
      <c r="D59" t="s">
        <v>469</v>
      </c>
      <c r="E59" t="s">
        <v>404</v>
      </c>
    </row>
    <row r="60" spans="1:5" x14ac:dyDescent="0.2">
      <c r="A60" t="s">
        <v>315</v>
      </c>
      <c r="B60" t="s">
        <v>411</v>
      </c>
      <c r="C60" t="s">
        <v>411</v>
      </c>
      <c r="D60" t="s">
        <v>470</v>
      </c>
      <c r="E60" t="s">
        <v>385</v>
      </c>
    </row>
    <row r="61" spans="1:5" x14ac:dyDescent="0.2">
      <c r="A61" t="s">
        <v>329</v>
      </c>
      <c r="B61" t="s">
        <v>80</v>
      </c>
      <c r="C61" t="s">
        <v>80</v>
      </c>
      <c r="D61" t="s">
        <v>469</v>
      </c>
      <c r="E61" t="s">
        <v>404</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1034</v>
      </c>
      <c r="C2" t="s">
        <v>437</v>
      </c>
      <c r="D2" t="s">
        <v>438</v>
      </c>
      <c r="E2" t="s">
        <v>439</v>
      </c>
      <c r="F2" t="s">
        <v>440</v>
      </c>
      <c r="G2" t="s">
        <v>441</v>
      </c>
      <c r="H2" t="s">
        <v>442</v>
      </c>
      <c r="I2" t="s">
        <v>443</v>
      </c>
      <c r="J2" t="s">
        <v>444</v>
      </c>
      <c r="K2" t="s">
        <v>445</v>
      </c>
      <c r="L2" t="s">
        <v>446</v>
      </c>
      <c r="M2" t="s">
        <v>447</v>
      </c>
      <c r="N2" t="s">
        <v>448</v>
      </c>
      <c r="O2" t="s">
        <v>449</v>
      </c>
      <c r="P2" t="s">
        <v>450</v>
      </c>
      <c r="Q2" t="s">
        <v>452</v>
      </c>
    </row>
    <row r="3" spans="2:33" x14ac:dyDescent="0.2">
      <c r="B3" t="s">
        <v>385</v>
      </c>
      <c r="C3" t="s">
        <v>411</v>
      </c>
      <c r="D3" t="s">
        <v>403</v>
      </c>
      <c r="E3" t="s">
        <v>387</v>
      </c>
      <c r="F3" t="s">
        <v>389</v>
      </c>
      <c r="G3" t="s">
        <v>418</v>
      </c>
      <c r="H3" t="s">
        <v>412</v>
      </c>
      <c r="I3" t="s">
        <v>410</v>
      </c>
      <c r="J3" t="s">
        <v>406</v>
      </c>
      <c r="K3" t="s">
        <v>421</v>
      </c>
      <c r="L3" t="s">
        <v>451</v>
      </c>
      <c r="M3" t="s">
        <v>451</v>
      </c>
      <c r="N3" t="s">
        <v>451</v>
      </c>
      <c r="O3" t="s">
        <v>451</v>
      </c>
      <c r="P3" t="s">
        <v>451</v>
      </c>
      <c r="Q3" t="s">
        <v>451</v>
      </c>
      <c r="S3" s="14" t="s">
        <v>411</v>
      </c>
      <c r="T3" s="14" t="s">
        <v>403</v>
      </c>
      <c r="U3" s="14" t="s">
        <v>387</v>
      </c>
      <c r="V3" s="14" t="s">
        <v>389</v>
      </c>
      <c r="W3" s="14" t="s">
        <v>418</v>
      </c>
      <c r="X3" s="14" t="s">
        <v>412</v>
      </c>
      <c r="Y3" s="14" t="s">
        <v>410</v>
      </c>
      <c r="Z3" s="14" t="s">
        <v>406</v>
      </c>
      <c r="AA3" s="14" t="s">
        <v>421</v>
      </c>
      <c r="AB3" s="14"/>
      <c r="AC3" s="14"/>
      <c r="AD3" s="14"/>
      <c r="AE3" s="14"/>
      <c r="AF3" s="15"/>
      <c r="AG3" s="15"/>
    </row>
    <row r="4" spans="2:33" x14ac:dyDescent="0.2">
      <c r="B4" t="s">
        <v>390</v>
      </c>
      <c r="C4" t="s">
        <v>394</v>
      </c>
      <c r="D4" t="s">
        <v>392</v>
      </c>
      <c r="E4" t="s">
        <v>399</v>
      </c>
      <c r="F4" t="s">
        <v>422</v>
      </c>
      <c r="G4" t="s">
        <v>395</v>
      </c>
      <c r="H4" t="s">
        <v>401</v>
      </c>
      <c r="I4" t="s">
        <v>397</v>
      </c>
      <c r="J4" t="s">
        <v>400</v>
      </c>
      <c r="K4" t="s">
        <v>419</v>
      </c>
      <c r="L4" t="s">
        <v>391</v>
      </c>
      <c r="M4" t="s">
        <v>420</v>
      </c>
      <c r="N4" t="s">
        <v>396</v>
      </c>
      <c r="O4" t="s">
        <v>451</v>
      </c>
      <c r="P4" t="s">
        <v>451</v>
      </c>
      <c r="Q4" t="s">
        <v>451</v>
      </c>
      <c r="S4" s="14" t="s">
        <v>394</v>
      </c>
      <c r="T4" s="14" t="s">
        <v>392</v>
      </c>
      <c r="U4" s="14" t="s">
        <v>399</v>
      </c>
      <c r="V4" s="14" t="s">
        <v>422</v>
      </c>
      <c r="W4" s="14" t="s">
        <v>395</v>
      </c>
      <c r="X4" s="14" t="s">
        <v>401</v>
      </c>
      <c r="Y4" s="14" t="s">
        <v>397</v>
      </c>
      <c r="Z4" s="14" t="s">
        <v>400</v>
      </c>
      <c r="AA4" s="14" t="s">
        <v>419</v>
      </c>
      <c r="AB4" s="14" t="s">
        <v>391</v>
      </c>
      <c r="AC4" s="14" t="s">
        <v>420</v>
      </c>
      <c r="AD4" s="14" t="s">
        <v>396</v>
      </c>
      <c r="AE4" s="14"/>
      <c r="AF4" s="15"/>
      <c r="AG4" s="15"/>
    </row>
    <row r="5" spans="2:33" x14ac:dyDescent="0.2">
      <c r="B5" t="s">
        <v>369</v>
      </c>
      <c r="C5" t="s">
        <v>373</v>
      </c>
      <c r="D5" t="s">
        <v>423</v>
      </c>
      <c r="E5" t="s">
        <v>414</v>
      </c>
      <c r="F5" t="s">
        <v>416</v>
      </c>
      <c r="G5" t="s">
        <v>376</v>
      </c>
      <c r="H5" t="s">
        <v>371</v>
      </c>
      <c r="I5" t="s">
        <v>415</v>
      </c>
      <c r="J5" t="s">
        <v>374</v>
      </c>
      <c r="K5" t="s">
        <v>60</v>
      </c>
      <c r="L5" t="s">
        <v>382</v>
      </c>
      <c r="M5" t="s">
        <v>375</v>
      </c>
      <c r="N5" t="s">
        <v>372</v>
      </c>
      <c r="O5" t="s">
        <v>417</v>
      </c>
      <c r="P5" t="s">
        <v>378</v>
      </c>
      <c r="Q5" t="s">
        <v>379</v>
      </c>
      <c r="S5" s="14" t="s">
        <v>373</v>
      </c>
      <c r="T5" s="14" t="s">
        <v>423</v>
      </c>
      <c r="U5" s="14" t="s">
        <v>414</v>
      </c>
      <c r="V5" s="14" t="s">
        <v>416</v>
      </c>
      <c r="W5" s="14" t="s">
        <v>376</v>
      </c>
      <c r="X5" s="14" t="s">
        <v>371</v>
      </c>
      <c r="Y5" s="14" t="s">
        <v>415</v>
      </c>
      <c r="Z5" s="14" t="s">
        <v>374</v>
      </c>
      <c r="AA5" s="14" t="s">
        <v>60</v>
      </c>
      <c r="AB5" s="14" t="s">
        <v>382</v>
      </c>
      <c r="AC5" s="14" t="s">
        <v>375</v>
      </c>
      <c r="AD5" s="14" t="s">
        <v>372</v>
      </c>
      <c r="AE5" s="14" t="s">
        <v>417</v>
      </c>
      <c r="AF5" s="15" t="s">
        <v>378</v>
      </c>
      <c r="AG5" s="15" t="s">
        <v>379</v>
      </c>
    </row>
    <row r="6" spans="2:33" x14ac:dyDescent="0.2">
      <c r="B6" t="s">
        <v>404</v>
      </c>
      <c r="C6" t="s">
        <v>424</v>
      </c>
      <c r="D6" t="s">
        <v>426</v>
      </c>
      <c r="E6" t="s">
        <v>407</v>
      </c>
      <c r="F6" t="s">
        <v>428</v>
      </c>
      <c r="G6" t="s">
        <v>408</v>
      </c>
      <c r="H6" t="s">
        <v>413</v>
      </c>
      <c r="I6" t="s">
        <v>405</v>
      </c>
      <c r="J6" t="s">
        <v>409</v>
      </c>
      <c r="K6" t="s">
        <v>80</v>
      </c>
      <c r="L6" t="s">
        <v>451</v>
      </c>
      <c r="M6" t="s">
        <v>451</v>
      </c>
      <c r="N6" t="s">
        <v>451</v>
      </c>
      <c r="O6" t="s">
        <v>451</v>
      </c>
      <c r="P6" t="s">
        <v>451</v>
      </c>
      <c r="Q6" t="s">
        <v>451</v>
      </c>
      <c r="S6" s="14" t="s">
        <v>424</v>
      </c>
      <c r="T6" s="14" t="s">
        <v>426</v>
      </c>
      <c r="U6" s="14" t="s">
        <v>407</v>
      </c>
      <c r="V6" s="14" t="s">
        <v>428</v>
      </c>
      <c r="W6" s="14" t="s">
        <v>408</v>
      </c>
      <c r="X6" s="14" t="s">
        <v>413</v>
      </c>
      <c r="Y6" s="14" t="s">
        <v>405</v>
      </c>
      <c r="Z6" s="14" t="s">
        <v>409</v>
      </c>
      <c r="AA6" s="14" t="s">
        <v>80</v>
      </c>
      <c r="AB6" s="14"/>
      <c r="AC6" s="14"/>
      <c r="AD6" s="14"/>
      <c r="AE6" s="14"/>
      <c r="AF6" s="15"/>
      <c r="AG6" s="15"/>
    </row>
    <row r="7" spans="2:33" x14ac:dyDescent="0.2">
      <c r="B7" t="s">
        <v>380</v>
      </c>
      <c r="C7" t="s">
        <v>388</v>
      </c>
      <c r="D7" t="s">
        <v>425</v>
      </c>
      <c r="E7" t="s">
        <v>381</v>
      </c>
      <c r="F7" t="s">
        <v>393</v>
      </c>
      <c r="G7" t="s">
        <v>427</v>
      </c>
      <c r="H7" t="s">
        <v>383</v>
      </c>
      <c r="I7" t="s">
        <v>384</v>
      </c>
      <c r="J7" t="s">
        <v>451</v>
      </c>
      <c r="K7" t="s">
        <v>451</v>
      </c>
      <c r="L7" t="s">
        <v>451</v>
      </c>
      <c r="M7" t="s">
        <v>451</v>
      </c>
      <c r="N7" t="s">
        <v>451</v>
      </c>
      <c r="O7" t="s">
        <v>451</v>
      </c>
      <c r="P7" t="s">
        <v>451</v>
      </c>
      <c r="Q7" t="s">
        <v>451</v>
      </c>
      <c r="S7" s="14" t="s">
        <v>388</v>
      </c>
      <c r="T7" s="14" t="s">
        <v>425</v>
      </c>
      <c r="U7" s="14" t="s">
        <v>381</v>
      </c>
      <c r="V7" s="14" t="s">
        <v>393</v>
      </c>
      <c r="W7" s="14" t="s">
        <v>427</v>
      </c>
      <c r="X7" s="14" t="s">
        <v>383</v>
      </c>
      <c r="Y7" s="14" t="s">
        <v>384</v>
      </c>
      <c r="Z7" s="14"/>
      <c r="AA7" s="14"/>
      <c r="AB7" s="14"/>
      <c r="AC7" s="14"/>
      <c r="AD7" s="14"/>
      <c r="AE7" s="14"/>
      <c r="AF7" s="15"/>
      <c r="AG7" s="15"/>
    </row>
    <row r="8" spans="2:33" x14ac:dyDescent="0.2">
      <c r="B8" t="s">
        <v>8</v>
      </c>
      <c r="C8" t="s">
        <v>8</v>
      </c>
      <c r="D8" t="s">
        <v>451</v>
      </c>
      <c r="E8" t="s">
        <v>451</v>
      </c>
      <c r="F8" t="s">
        <v>451</v>
      </c>
      <c r="G8" t="s">
        <v>451</v>
      </c>
      <c r="H8" t="s">
        <v>451</v>
      </c>
      <c r="I8" t="s">
        <v>451</v>
      </c>
      <c r="J8" t="s">
        <v>451</v>
      </c>
      <c r="K8" t="s">
        <v>451</v>
      </c>
      <c r="L8" t="s">
        <v>451</v>
      </c>
      <c r="M8" t="s">
        <v>451</v>
      </c>
      <c r="N8" t="s">
        <v>451</v>
      </c>
      <c r="O8" t="s">
        <v>451</v>
      </c>
      <c r="P8" t="s">
        <v>451</v>
      </c>
      <c r="Q8" t="s">
        <v>451</v>
      </c>
      <c r="S8" s="16" t="s">
        <v>8</v>
      </c>
      <c r="T8" s="16"/>
      <c r="U8" s="16"/>
      <c r="V8" s="16"/>
      <c r="W8" s="16"/>
      <c r="X8" s="16"/>
      <c r="Y8" s="16"/>
      <c r="Z8" s="16"/>
      <c r="AA8" s="16"/>
      <c r="AB8" s="16"/>
      <c r="AC8" s="16"/>
      <c r="AD8" s="16"/>
      <c r="AE8" s="16"/>
      <c r="AF8" s="17"/>
      <c r="AG8" s="17"/>
    </row>
    <row r="10" spans="2:33" x14ac:dyDescent="0.2">
      <c r="B10" t="s">
        <v>436</v>
      </c>
      <c r="C10" t="s">
        <v>437</v>
      </c>
      <c r="D10" t="s">
        <v>438</v>
      </c>
      <c r="E10" t="s">
        <v>439</v>
      </c>
      <c r="F10" t="s">
        <v>440</v>
      </c>
      <c r="G10" t="s">
        <v>441</v>
      </c>
      <c r="H10" t="s">
        <v>442</v>
      </c>
      <c r="I10" t="s">
        <v>443</v>
      </c>
      <c r="J10" t="s">
        <v>444</v>
      </c>
      <c r="K10" t="s">
        <v>445</v>
      </c>
      <c r="L10" t="s">
        <v>446</v>
      </c>
      <c r="M10" t="s">
        <v>447</v>
      </c>
      <c r="N10" t="s">
        <v>448</v>
      </c>
      <c r="O10" t="s">
        <v>449</v>
      </c>
      <c r="P10" t="s">
        <v>450</v>
      </c>
      <c r="Q10" t="s">
        <v>452</v>
      </c>
      <c r="R10" t="s">
        <v>453</v>
      </c>
    </row>
    <row r="11" spans="2:33" x14ac:dyDescent="0.2">
      <c r="B11" t="s">
        <v>385</v>
      </c>
      <c r="C11" t="s">
        <v>637</v>
      </c>
      <c r="D11" t="s">
        <v>584</v>
      </c>
      <c r="E11" t="s">
        <v>631</v>
      </c>
      <c r="F11" t="s">
        <v>619</v>
      </c>
      <c r="G11" t="s">
        <v>555</v>
      </c>
      <c r="H11" t="s">
        <v>607</v>
      </c>
      <c r="I11" t="s">
        <v>609</v>
      </c>
      <c r="J11" t="s">
        <v>551</v>
      </c>
      <c r="K11" t="s">
        <v>588</v>
      </c>
      <c r="L11" t="s">
        <v>605</v>
      </c>
      <c r="M11" t="s">
        <v>451</v>
      </c>
      <c r="N11" t="s">
        <v>451</v>
      </c>
      <c r="O11" t="s">
        <v>451</v>
      </c>
      <c r="P11" t="s">
        <v>451</v>
      </c>
      <c r="Q11" t="s">
        <v>451</v>
      </c>
      <c r="R11" t="s">
        <v>451</v>
      </c>
    </row>
    <row r="12" spans="2:33" x14ac:dyDescent="0.2">
      <c r="B12" t="s">
        <v>390</v>
      </c>
      <c r="C12" t="s">
        <v>567</v>
      </c>
      <c r="D12" t="s">
        <v>559</v>
      </c>
      <c r="E12" t="s">
        <v>576</v>
      </c>
      <c r="F12" t="s">
        <v>569</v>
      </c>
      <c r="G12" t="s">
        <v>633</v>
      </c>
      <c r="H12" t="s">
        <v>561</v>
      </c>
      <c r="I12" t="s">
        <v>578</v>
      </c>
      <c r="J12" t="s">
        <v>571</v>
      </c>
      <c r="K12" t="s">
        <v>635</v>
      </c>
      <c r="L12" t="s">
        <v>574</v>
      </c>
      <c r="M12" t="s">
        <v>580</v>
      </c>
      <c r="N12" t="s">
        <v>639</v>
      </c>
      <c r="O12" t="s">
        <v>451</v>
      </c>
      <c r="P12" t="s">
        <v>451</v>
      </c>
      <c r="Q12" t="s">
        <v>451</v>
      </c>
      <c r="R12" t="s">
        <v>451</v>
      </c>
    </row>
    <row r="13" spans="2:33" x14ac:dyDescent="0.2">
      <c r="B13" t="s">
        <v>369</v>
      </c>
      <c r="C13" t="s">
        <v>533</v>
      </c>
      <c r="D13" t="s">
        <v>512</v>
      </c>
      <c r="E13" t="s">
        <v>520</v>
      </c>
      <c r="F13" t="s">
        <v>522</v>
      </c>
      <c r="G13" t="s">
        <v>537</v>
      </c>
      <c r="H13" t="s">
        <v>622</v>
      </c>
      <c r="I13" t="s">
        <v>518</v>
      </c>
      <c r="J13" t="s">
        <v>524</v>
      </c>
      <c r="K13" t="s">
        <v>526</v>
      </c>
      <c r="L13" t="s">
        <v>529</v>
      </c>
      <c r="M13" t="s">
        <v>514</v>
      </c>
      <c r="N13" t="s">
        <v>535</v>
      </c>
      <c r="O13" t="s">
        <v>627</v>
      </c>
      <c r="P13" t="s">
        <v>629</v>
      </c>
      <c r="Q13" t="s">
        <v>643</v>
      </c>
      <c r="R13" t="s">
        <v>543</v>
      </c>
    </row>
    <row r="14" spans="2:33" x14ac:dyDescent="0.2">
      <c r="B14" t="s">
        <v>404</v>
      </c>
      <c r="C14" t="s">
        <v>586</v>
      </c>
      <c r="D14" t="s">
        <v>645</v>
      </c>
      <c r="E14" t="s">
        <v>601</v>
      </c>
      <c r="F14" t="s">
        <v>641</v>
      </c>
      <c r="G14" t="s">
        <v>593</v>
      </c>
      <c r="H14" t="s">
        <v>615</v>
      </c>
      <c r="I14" t="s">
        <v>591</v>
      </c>
      <c r="J14" t="s">
        <v>595</v>
      </c>
      <c r="K14" t="s">
        <v>603</v>
      </c>
      <c r="L14" t="s">
        <v>611</v>
      </c>
      <c r="M14" t="s">
        <v>624</v>
      </c>
      <c r="N14" t="s">
        <v>597</v>
      </c>
      <c r="O14" t="s">
        <v>451</v>
      </c>
      <c r="P14" t="s">
        <v>451</v>
      </c>
      <c r="Q14" t="s">
        <v>451</v>
      </c>
      <c r="R14" t="s">
        <v>451</v>
      </c>
    </row>
    <row r="15" spans="2:33" x14ac:dyDescent="0.2">
      <c r="B15" t="s">
        <v>380</v>
      </c>
      <c r="C15" t="s">
        <v>539</v>
      </c>
      <c r="D15" t="s">
        <v>547</v>
      </c>
      <c r="E15" t="s">
        <v>563</v>
      </c>
      <c r="F15" t="s">
        <v>553</v>
      </c>
      <c r="G15" t="s">
        <v>549</v>
      </c>
      <c r="H15" t="s">
        <v>613</v>
      </c>
      <c r="I15" t="s">
        <v>541</v>
      </c>
      <c r="J15" t="s">
        <v>451</v>
      </c>
      <c r="K15" t="s">
        <v>451</v>
      </c>
      <c r="L15" t="s">
        <v>451</v>
      </c>
      <c r="M15" t="s">
        <v>451</v>
      </c>
      <c r="N15" t="s">
        <v>451</v>
      </c>
      <c r="O15" t="s">
        <v>451</v>
      </c>
      <c r="P15" t="s">
        <v>451</v>
      </c>
      <c r="Q15" t="s">
        <v>451</v>
      </c>
      <c r="R15" t="s">
        <v>451</v>
      </c>
    </row>
    <row r="16" spans="2:33" x14ac:dyDescent="0.2">
      <c r="B16" t="s">
        <v>8</v>
      </c>
      <c r="C16" t="s">
        <v>451</v>
      </c>
      <c r="D16" t="s">
        <v>451</v>
      </c>
      <c r="E16" t="s">
        <v>451</v>
      </c>
      <c r="F16" t="s">
        <v>451</v>
      </c>
      <c r="G16" t="s">
        <v>451</v>
      </c>
      <c r="H16" t="s">
        <v>451</v>
      </c>
      <c r="I16" t="s">
        <v>451</v>
      </c>
      <c r="J16" t="s">
        <v>451</v>
      </c>
      <c r="K16" t="s">
        <v>451</v>
      </c>
      <c r="L16" t="s">
        <v>451</v>
      </c>
      <c r="M16" t="s">
        <v>451</v>
      </c>
      <c r="N16" t="s">
        <v>451</v>
      </c>
      <c r="O16" t="s">
        <v>451</v>
      </c>
      <c r="P16" t="s">
        <v>451</v>
      </c>
      <c r="Q16" t="s">
        <v>451</v>
      </c>
      <c r="R16" t="s">
        <v>451</v>
      </c>
    </row>
    <row r="19" spans="2:4" x14ac:dyDescent="0.2">
      <c r="B19" t="s">
        <v>973</v>
      </c>
      <c r="C19" t="s">
        <v>974</v>
      </c>
      <c r="D19" t="s">
        <v>975</v>
      </c>
    </row>
    <row r="20" spans="2:4" x14ac:dyDescent="0.2">
      <c r="B20" s="151">
        <v>42553</v>
      </c>
      <c r="C20">
        <v>24290</v>
      </c>
      <c r="D20">
        <v>7</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Normal="10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1" t="s">
        <v>978</v>
      </c>
      <c r="C2" s="312"/>
      <c r="D2" s="312"/>
      <c r="E2" s="312"/>
      <c r="F2" s="312"/>
      <c r="G2" s="313"/>
      <c r="H2" s="135" t="s">
        <v>5</v>
      </c>
      <c r="I2" s="136" t="s">
        <v>2</v>
      </c>
      <c r="J2" s="136" t="s">
        <v>228</v>
      </c>
      <c r="K2" s="134"/>
    </row>
    <row r="3" spans="1:11" ht="59.25" customHeight="1" x14ac:dyDescent="0.2">
      <c r="A3" s="130"/>
      <c r="B3" s="314"/>
      <c r="C3" s="315"/>
      <c r="D3" s="315"/>
      <c r="E3" s="315"/>
      <c r="F3" s="315"/>
      <c r="G3" s="315"/>
      <c r="H3" s="307">
        <f>SUM(H5,H10)</f>
        <v>371153</v>
      </c>
      <c r="I3" s="307">
        <f>SUM(I5,I10)</f>
        <v>74374</v>
      </c>
      <c r="J3" s="309">
        <f>ROUND(I3/H3,5)</f>
        <v>0.20039000000000001</v>
      </c>
      <c r="K3" s="134"/>
    </row>
    <row r="4" spans="1:11" ht="33" customHeight="1" thickBot="1" x14ac:dyDescent="0.25">
      <c r="A4" s="130"/>
      <c r="B4" s="318" t="str">
        <f>"As of: "&amp;TEXT(INDEX(MMWR_DATES[],1,1),"MMMM DD, YYYY")</f>
        <v>As of: July 02, 2016</v>
      </c>
      <c r="C4" s="319"/>
      <c r="D4" s="319"/>
      <c r="E4" s="319"/>
      <c r="F4" s="319"/>
      <c r="G4" s="320"/>
      <c r="H4" s="308"/>
      <c r="I4" s="308"/>
      <c r="J4" s="310"/>
      <c r="K4" s="137"/>
    </row>
    <row r="5" spans="1:11" ht="16.5" customHeight="1" thickBot="1" x14ac:dyDescent="0.25">
      <c r="A5" s="130"/>
      <c r="B5" s="316" t="s">
        <v>233</v>
      </c>
      <c r="C5" s="317"/>
      <c r="D5" s="317"/>
      <c r="E5" s="317"/>
      <c r="F5" s="317"/>
      <c r="G5" s="138" t="s">
        <v>244</v>
      </c>
      <c r="H5" s="158">
        <f>SUM(H6:H9)</f>
        <v>135997</v>
      </c>
      <c r="I5" s="158">
        <f>SUM(I6:I9)</f>
        <v>31332</v>
      </c>
      <c r="J5" s="159">
        <f t="shared" ref="J5:J15" si="0">IF(H5=0, 0,I5/H5)</f>
        <v>0.23038743501694892</v>
      </c>
      <c r="K5" s="134"/>
    </row>
    <row r="6" spans="1:11" ht="16.5" customHeight="1" x14ac:dyDescent="0.2">
      <c r="A6" s="130"/>
      <c r="B6" s="321" t="s">
        <v>16</v>
      </c>
      <c r="C6" s="322"/>
      <c r="D6" s="322"/>
      <c r="E6" s="322"/>
      <c r="F6" s="322"/>
      <c r="G6" s="139" t="s">
        <v>190</v>
      </c>
      <c r="H6" s="160">
        <f>IFERROR(VLOOKUP(MID($G6,4,3),MMWR_TRAD_AGG_NATIONAL[],2,0),0)</f>
        <v>35657</v>
      </c>
      <c r="I6" s="160">
        <f>IFERROR(VLOOKUP(MID($G6,4,3),MMWR_TRAD_AGG_NATIONAL[],3,0),0)</f>
        <v>9881</v>
      </c>
      <c r="J6" s="161">
        <f t="shared" si="0"/>
        <v>0.27711248843144404</v>
      </c>
      <c r="K6" s="134"/>
    </row>
    <row r="7" spans="1:11" ht="16.5" customHeight="1" x14ac:dyDescent="0.2">
      <c r="A7" s="130"/>
      <c r="B7" s="323" t="s">
        <v>0</v>
      </c>
      <c r="C7" s="324"/>
      <c r="D7" s="324"/>
      <c r="E7" s="324"/>
      <c r="F7" s="324"/>
      <c r="G7" s="140" t="s">
        <v>191</v>
      </c>
      <c r="H7" s="160">
        <f>IFERROR(VLOOKUP(MID($G7,4,3),MMWR_TRAD_AGG_NATIONAL[],2,0),0)</f>
        <v>82083</v>
      </c>
      <c r="I7" s="160">
        <f>IFERROR(VLOOKUP(MID($G7,4,3),MMWR_TRAD_AGG_NATIONAL[],3,0),0)</f>
        <v>19015</v>
      </c>
      <c r="J7" s="161">
        <f t="shared" si="0"/>
        <v>0.23165576306908861</v>
      </c>
      <c r="K7" s="134"/>
    </row>
    <row r="8" spans="1:11" ht="16.5" customHeight="1" x14ac:dyDescent="0.2">
      <c r="A8" s="130"/>
      <c r="B8" s="325" t="s">
        <v>234</v>
      </c>
      <c r="C8" s="326"/>
      <c r="D8" s="326"/>
      <c r="E8" s="326"/>
      <c r="F8" s="326"/>
      <c r="G8" s="141" t="s">
        <v>193</v>
      </c>
      <c r="H8" s="160">
        <f>IFERROR(VLOOKUP(MID($G8,4,3),MMWR_TRAD_AGG_NATIONAL[],2,0),0)</f>
        <v>7612</v>
      </c>
      <c r="I8" s="160">
        <f>IFERROR(VLOOKUP(MID($G8,4,3),MMWR_TRAD_AGG_NATIONAL[],3,0),0)</f>
        <v>582</v>
      </c>
      <c r="J8" s="161">
        <f t="shared" si="0"/>
        <v>7.6458223857067784E-2</v>
      </c>
      <c r="K8" s="134"/>
    </row>
    <row r="9" spans="1:11" ht="16.5" customHeight="1" thickBot="1" x14ac:dyDescent="0.25">
      <c r="A9" s="130"/>
      <c r="B9" s="327" t="s">
        <v>17</v>
      </c>
      <c r="C9" s="328"/>
      <c r="D9" s="328"/>
      <c r="E9" s="328"/>
      <c r="F9" s="328"/>
      <c r="G9" s="140" t="s">
        <v>195</v>
      </c>
      <c r="H9" s="160">
        <f>IFERROR(VLOOKUP(MID($G9,4,3),MMWR_TRAD_AGG_NATIONAL[],2,0),0)</f>
        <v>10645</v>
      </c>
      <c r="I9" s="160">
        <f>IFERROR(VLOOKUP(MID($G9,4,3),MMWR_TRAD_AGG_NATIONAL[],3,0),0)</f>
        <v>1854</v>
      </c>
      <c r="J9" s="161">
        <f t="shared" si="0"/>
        <v>0.17416627524659464</v>
      </c>
      <c r="K9" s="134"/>
    </row>
    <row r="10" spans="1:11" ht="17.25" thickBot="1" x14ac:dyDescent="0.25">
      <c r="A10" s="130"/>
      <c r="B10" s="316" t="s">
        <v>1</v>
      </c>
      <c r="C10" s="317"/>
      <c r="D10" s="317"/>
      <c r="E10" s="317"/>
      <c r="F10" s="317"/>
      <c r="G10" s="138" t="s">
        <v>244</v>
      </c>
      <c r="H10" s="158">
        <f>SUM(H11:H18)</f>
        <v>235156</v>
      </c>
      <c r="I10" s="158">
        <f>SUM(I11:I18)</f>
        <v>43042</v>
      </c>
      <c r="J10" s="159">
        <f t="shared" si="0"/>
        <v>0.18303594209801152</v>
      </c>
      <c r="K10" s="134"/>
    </row>
    <row r="11" spans="1:11" ht="16.5" customHeight="1" x14ac:dyDescent="0.2">
      <c r="A11" s="130"/>
      <c r="B11" s="321" t="s">
        <v>199</v>
      </c>
      <c r="C11" s="322"/>
      <c r="D11" s="322"/>
      <c r="E11" s="322"/>
      <c r="F11" s="322"/>
      <c r="G11" s="142" t="s">
        <v>194</v>
      </c>
      <c r="H11" s="162">
        <f>IFERROR(VLOOKUP(MID($G11,4,3),MMWR_TRAD_AGG_NATIONAL[],2,0),0)</f>
        <v>8726</v>
      </c>
      <c r="I11" s="160">
        <f>IFERROR(VLOOKUP(MID($G11,4,3),MMWR_TRAD_AGG_NATIONAL[],3,0),0)</f>
        <v>553</v>
      </c>
      <c r="J11" s="161">
        <f t="shared" si="0"/>
        <v>6.3373825349530136E-2</v>
      </c>
      <c r="K11" s="134"/>
    </row>
    <row r="12" spans="1:11" ht="16.5" customHeight="1" x14ac:dyDescent="0.2">
      <c r="A12" s="130"/>
      <c r="B12" s="323" t="s">
        <v>18</v>
      </c>
      <c r="C12" s="324"/>
      <c r="D12" s="324"/>
      <c r="E12" s="324"/>
      <c r="F12" s="324"/>
      <c r="G12" s="143" t="s">
        <v>192</v>
      </c>
      <c r="H12" s="163">
        <f>IFERROR(VLOOKUP(MID($G12,4,3),MMWR_TRAD_AGG_NATIONAL[],2,0),0)</f>
        <v>208774</v>
      </c>
      <c r="I12" s="160">
        <f>IFERROR(VLOOKUP(MID($G12,4,3),MMWR_TRAD_AGG_NATIONAL[],3,0),0)</f>
        <v>39670</v>
      </c>
      <c r="J12" s="161">
        <f t="shared" si="0"/>
        <v>0.19001408221330243</v>
      </c>
      <c r="K12" s="134"/>
    </row>
    <row r="13" spans="1:11" ht="16.5" customHeight="1" x14ac:dyDescent="0.2">
      <c r="A13" s="130"/>
      <c r="B13" s="323" t="s">
        <v>14</v>
      </c>
      <c r="C13" s="324"/>
      <c r="D13" s="324"/>
      <c r="E13" s="324"/>
      <c r="F13" s="324"/>
      <c r="G13" s="143" t="s">
        <v>196</v>
      </c>
      <c r="H13" s="163">
        <f>IFERROR(VLOOKUP(MID($G13,4,3),MMWR_TRAD_AGG_NATIONAL[],2,0),0)</f>
        <v>16985</v>
      </c>
      <c r="I13" s="160">
        <f>IFERROR(VLOOKUP(MID($G13,4,3),MMWR_TRAD_AGG_NATIONAL[],3,0),0)</f>
        <v>2706</v>
      </c>
      <c r="J13" s="161">
        <f t="shared" si="0"/>
        <v>0.15931704445098616</v>
      </c>
      <c r="K13" s="134"/>
    </row>
    <row r="14" spans="1:11" ht="16.5" customHeight="1" x14ac:dyDescent="0.2">
      <c r="A14" s="130"/>
      <c r="B14" s="325" t="s">
        <v>19</v>
      </c>
      <c r="C14" s="326"/>
      <c r="D14" s="326"/>
      <c r="E14" s="326"/>
      <c r="F14" s="326"/>
      <c r="G14" s="142" t="s">
        <v>197</v>
      </c>
      <c r="H14" s="163">
        <f>IFERROR(VLOOKUP(MID($G14,4,3),MMWR_TRAD_AGG_NATIONAL[],2,0),0)</f>
        <v>416</v>
      </c>
      <c r="I14" s="160">
        <f>IFERROR(VLOOKUP(MID($G14,4,3),MMWR_TRAD_AGG_NATIONAL[],3,0),0)</f>
        <v>37</v>
      </c>
      <c r="J14" s="161">
        <f t="shared" si="0"/>
        <v>8.8942307692307696E-2</v>
      </c>
      <c r="K14" s="134"/>
    </row>
    <row r="15" spans="1:11" ht="16.5" customHeight="1" x14ac:dyDescent="0.2">
      <c r="A15" s="130"/>
      <c r="B15" s="325" t="s">
        <v>84</v>
      </c>
      <c r="C15" s="326"/>
      <c r="D15" s="326"/>
      <c r="E15" s="326"/>
      <c r="F15" s="326"/>
      <c r="G15" s="142" t="s">
        <v>200</v>
      </c>
      <c r="H15" s="163">
        <f>IFERROR(VLOOKUP(MID($G15,4,3),MMWR_TRAD_AGG_NATIONAL[],2,0),0)</f>
        <v>9</v>
      </c>
      <c r="I15" s="160">
        <f>IFERROR(VLOOKUP(MID($G15,4,3),MMWR_TRAD_AGG_NATIONAL[],3,0),0)</f>
        <v>5</v>
      </c>
      <c r="J15" s="161">
        <f t="shared" si="0"/>
        <v>0.55555555555555558</v>
      </c>
      <c r="K15" s="134"/>
    </row>
    <row r="16" spans="1:11" ht="15" x14ac:dyDescent="0.2">
      <c r="A16" s="130"/>
      <c r="B16" s="325" t="s">
        <v>85</v>
      </c>
      <c r="C16" s="326"/>
      <c r="D16" s="326"/>
      <c r="E16" s="326"/>
      <c r="F16" s="326"/>
      <c r="G16" s="142" t="s">
        <v>201</v>
      </c>
      <c r="H16" s="163">
        <f>IFERROR(VLOOKUP(MID($G16,4,3),MMWR_TRAD_AGG_NATIONAL[],2,0),0)</f>
        <v>0</v>
      </c>
      <c r="I16" s="160">
        <f>IFERROR(VLOOKUP(MID($G16,4,3),MMWR_TRAD_AGG_NATIONAL[],3,0),0)</f>
        <v>0</v>
      </c>
      <c r="J16" s="161">
        <f>IF(H16=0, 0,I16/H16)</f>
        <v>0</v>
      </c>
      <c r="K16" s="134"/>
    </row>
    <row r="17" spans="1:11" ht="16.5" customHeight="1" x14ac:dyDescent="0.2">
      <c r="A17" s="130"/>
      <c r="B17" s="325" t="s">
        <v>87</v>
      </c>
      <c r="C17" s="326"/>
      <c r="D17" s="326"/>
      <c r="E17" s="326"/>
      <c r="F17" s="326"/>
      <c r="G17" s="142" t="s">
        <v>202</v>
      </c>
      <c r="H17" s="163">
        <f>IFERROR(VLOOKUP(MID($G17,4,3),MMWR_TRAD_AGG_NATIONAL[],2,0),0)</f>
        <v>12</v>
      </c>
      <c r="I17" s="160">
        <f>IFERROR(VLOOKUP(MID($G17,4,3),MMWR_TRAD_AGG_NATIONAL[],3,0),0)</f>
        <v>0</v>
      </c>
      <c r="J17" s="161">
        <f>IF(H17=0, 0,I17/H17)</f>
        <v>0</v>
      </c>
      <c r="K17" s="134"/>
    </row>
    <row r="18" spans="1:11" ht="16.5" customHeight="1" thickBot="1" x14ac:dyDescent="0.25">
      <c r="A18" s="130"/>
      <c r="B18" s="327" t="s">
        <v>86</v>
      </c>
      <c r="C18" s="328"/>
      <c r="D18" s="328"/>
      <c r="E18" s="328"/>
      <c r="F18" s="328"/>
      <c r="G18" s="142" t="s">
        <v>203</v>
      </c>
      <c r="H18" s="164">
        <f>IFERROR(VLOOKUP(MID($G18,4,3),MMWR_TRAD_AGG_NATIONAL[],2,0),0)</f>
        <v>234</v>
      </c>
      <c r="I18" s="160">
        <f>IFERROR(VLOOKUP(MID($G18,4,3),MMWR_TRAD_AGG_NATIONAL[],3,0),0)</f>
        <v>71</v>
      </c>
      <c r="J18" s="165">
        <f>IF(H18=0, 0,I18/H18)</f>
        <v>0.3034188034188034</v>
      </c>
      <c r="K18" s="134"/>
    </row>
    <row r="19" spans="1:11" ht="16.5" customHeight="1" x14ac:dyDescent="0.2">
      <c r="A19" s="130"/>
      <c r="B19" s="332" t="s">
        <v>969</v>
      </c>
      <c r="C19" s="333"/>
      <c r="D19" s="333"/>
      <c r="E19" s="333"/>
      <c r="F19" s="333"/>
      <c r="G19" s="333"/>
      <c r="H19" s="333"/>
      <c r="I19" s="333"/>
      <c r="J19" s="334"/>
      <c r="K19" s="134"/>
    </row>
    <row r="20" spans="1:11" ht="36" customHeight="1" thickBot="1" x14ac:dyDescent="0.25">
      <c r="A20" s="130"/>
      <c r="B20" s="335"/>
      <c r="C20" s="336"/>
      <c r="D20" s="336"/>
      <c r="E20" s="336"/>
      <c r="F20" s="336"/>
      <c r="G20" s="336"/>
      <c r="H20" s="336"/>
      <c r="I20" s="336"/>
      <c r="J20" s="337"/>
      <c r="K20" s="134"/>
    </row>
    <row r="21" spans="1:11" ht="36" customHeight="1" x14ac:dyDescent="0.2">
      <c r="A21" s="130"/>
      <c r="B21" s="284" t="s">
        <v>960</v>
      </c>
      <c r="C21" s="285"/>
      <c r="D21" s="286"/>
      <c r="E21" s="284" t="s">
        <v>961</v>
      </c>
      <c r="F21" s="285"/>
      <c r="G21" s="286"/>
      <c r="H21" s="284" t="s">
        <v>962</v>
      </c>
      <c r="I21" s="285"/>
      <c r="J21" s="286"/>
      <c r="K21" s="134"/>
    </row>
    <row r="22" spans="1:11" ht="29.25" customHeight="1" thickBot="1" x14ac:dyDescent="0.25">
      <c r="A22" s="130"/>
      <c r="B22" s="287"/>
      <c r="C22" s="288"/>
      <c r="D22" s="289"/>
      <c r="E22" s="287"/>
      <c r="F22" s="288"/>
      <c r="G22" s="289"/>
      <c r="H22" s="287"/>
      <c r="I22" s="288"/>
      <c r="J22" s="289"/>
      <c r="K22" s="134"/>
    </row>
    <row r="23" spans="1:11" ht="36" customHeight="1" x14ac:dyDescent="0.35">
      <c r="A23" s="130"/>
      <c r="B23" s="284" t="s">
        <v>954</v>
      </c>
      <c r="C23" s="285"/>
      <c r="D23" s="286"/>
      <c r="E23" s="284" t="s">
        <v>955</v>
      </c>
      <c r="F23" s="285"/>
      <c r="G23" s="286"/>
      <c r="H23" s="144"/>
      <c r="I23" s="144"/>
      <c r="J23" s="144"/>
      <c r="K23" s="134"/>
    </row>
    <row r="24" spans="1:11" ht="29.25" customHeight="1" thickBot="1" x14ac:dyDescent="0.4">
      <c r="A24" s="130"/>
      <c r="B24" s="287"/>
      <c r="C24" s="288"/>
      <c r="D24" s="289"/>
      <c r="E24" s="287"/>
      <c r="F24" s="288"/>
      <c r="G24" s="289"/>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05"/>
      <c r="D26" s="305"/>
      <c r="E26" s="305"/>
      <c r="F26" s="306"/>
      <c r="G26" s="263" t="s">
        <v>1062</v>
      </c>
      <c r="H26" s="263" t="s">
        <v>1063</v>
      </c>
      <c r="I26" s="263" t="s">
        <v>1060</v>
      </c>
      <c r="J26" s="264" t="s">
        <v>28</v>
      </c>
      <c r="K26" s="134"/>
    </row>
    <row r="27" spans="1:11" ht="16.5" customHeight="1" x14ac:dyDescent="0.2">
      <c r="A27" s="130"/>
      <c r="B27" s="302" t="s">
        <v>963</v>
      </c>
      <c r="C27" s="303"/>
      <c r="D27" s="303"/>
      <c r="E27" s="303"/>
      <c r="F27" s="304"/>
      <c r="G27" s="256">
        <v>8930</v>
      </c>
      <c r="H27" s="256">
        <v>8373</v>
      </c>
      <c r="I27" s="256">
        <v>557</v>
      </c>
      <c r="J27" s="260">
        <v>6.7000000000000004E-2</v>
      </c>
      <c r="K27" s="134"/>
    </row>
    <row r="28" spans="1:11" ht="15.75" customHeight="1" x14ac:dyDescent="0.2">
      <c r="A28" s="130"/>
      <c r="B28" s="290" t="s">
        <v>24</v>
      </c>
      <c r="C28" s="291"/>
      <c r="D28" s="291"/>
      <c r="E28" s="291"/>
      <c r="F28" s="292"/>
      <c r="G28" s="257">
        <v>2416</v>
      </c>
      <c r="H28" s="257">
        <v>2024</v>
      </c>
      <c r="I28" s="257">
        <v>392</v>
      </c>
      <c r="J28" s="253">
        <v>0.19400000000000001</v>
      </c>
      <c r="K28" s="134"/>
    </row>
    <row r="29" spans="1:11" ht="15.75" customHeight="1" x14ac:dyDescent="0.2">
      <c r="A29" s="130"/>
      <c r="B29" s="293" t="s">
        <v>25</v>
      </c>
      <c r="C29" s="294"/>
      <c r="D29" s="294"/>
      <c r="E29" s="294"/>
      <c r="F29" s="295"/>
      <c r="G29" s="258">
        <v>1105</v>
      </c>
      <c r="H29" s="258">
        <v>999</v>
      </c>
      <c r="I29" s="258">
        <v>106</v>
      </c>
      <c r="J29" s="254">
        <v>0.106</v>
      </c>
      <c r="K29" s="134"/>
    </row>
    <row r="30" spans="1:11" ht="15" x14ac:dyDescent="0.2">
      <c r="A30" s="130"/>
      <c r="B30" s="296" t="s">
        <v>26</v>
      </c>
      <c r="C30" s="297"/>
      <c r="D30" s="297"/>
      <c r="E30" s="297"/>
      <c r="F30" s="298"/>
      <c r="G30" s="258">
        <v>1955</v>
      </c>
      <c r="H30" s="258">
        <v>2159</v>
      </c>
      <c r="I30" s="258">
        <v>-204</v>
      </c>
      <c r="J30" s="254">
        <v>-9.4E-2</v>
      </c>
      <c r="K30" s="134"/>
    </row>
    <row r="31" spans="1:11" ht="15" x14ac:dyDescent="0.2">
      <c r="A31" s="130"/>
      <c r="B31" s="299" t="s">
        <v>27</v>
      </c>
      <c r="C31" s="300"/>
      <c r="D31" s="300"/>
      <c r="E31" s="300"/>
      <c r="F31" s="301"/>
      <c r="G31" s="259">
        <v>3454</v>
      </c>
      <c r="H31" s="259">
        <v>3191</v>
      </c>
      <c r="I31" s="259">
        <v>263</v>
      </c>
      <c r="J31" s="255">
        <v>8.2000000000000003E-2</v>
      </c>
      <c r="K31" s="134"/>
    </row>
    <row r="32" spans="1:11" ht="16.5" customHeight="1" x14ac:dyDescent="0.2">
      <c r="A32" s="130"/>
      <c r="B32" s="302" t="s">
        <v>235</v>
      </c>
      <c r="C32" s="303"/>
      <c r="D32" s="303"/>
      <c r="E32" s="303"/>
      <c r="F32" s="304"/>
      <c r="G32" s="256">
        <v>54735</v>
      </c>
      <c r="H32" s="256">
        <v>52765</v>
      </c>
      <c r="I32" s="256">
        <v>1970</v>
      </c>
      <c r="J32" s="260">
        <v>3.6999999999999998E-2</v>
      </c>
      <c r="K32" s="134"/>
    </row>
    <row r="33" spans="1:11" ht="15" x14ac:dyDescent="0.2">
      <c r="A33" s="130"/>
      <c r="B33" s="290" t="s">
        <v>24</v>
      </c>
      <c r="C33" s="291"/>
      <c r="D33" s="291"/>
      <c r="E33" s="291"/>
      <c r="F33" s="292"/>
      <c r="G33" s="265">
        <v>10598</v>
      </c>
      <c r="H33" s="265">
        <v>12074</v>
      </c>
      <c r="I33" s="258">
        <v>-1476</v>
      </c>
      <c r="J33" s="253">
        <v>-0.122</v>
      </c>
      <c r="K33" s="134"/>
    </row>
    <row r="34" spans="1:11" ht="15" x14ac:dyDescent="0.2">
      <c r="A34" s="130"/>
      <c r="B34" s="293" t="s">
        <v>25</v>
      </c>
      <c r="C34" s="294"/>
      <c r="D34" s="294"/>
      <c r="E34" s="294"/>
      <c r="F34" s="295"/>
      <c r="G34" s="265">
        <v>6745</v>
      </c>
      <c r="H34" s="265">
        <v>6000</v>
      </c>
      <c r="I34" s="258">
        <v>745</v>
      </c>
      <c r="J34" s="254">
        <v>0.124</v>
      </c>
      <c r="K34" s="134"/>
    </row>
    <row r="35" spans="1:11" ht="15" x14ac:dyDescent="0.2">
      <c r="A35" s="130"/>
      <c r="B35" s="296" t="s">
        <v>26</v>
      </c>
      <c r="C35" s="297"/>
      <c r="D35" s="297"/>
      <c r="E35" s="297"/>
      <c r="F35" s="298"/>
      <c r="G35" s="265">
        <v>17530</v>
      </c>
      <c r="H35" s="265">
        <v>16461</v>
      </c>
      <c r="I35" s="258">
        <v>1069</v>
      </c>
      <c r="J35" s="254">
        <v>6.5000000000000002E-2</v>
      </c>
      <c r="K35" s="134"/>
    </row>
    <row r="36" spans="1:11" ht="15.75" thickBot="1" x14ac:dyDescent="0.25">
      <c r="A36" s="130"/>
      <c r="B36" s="338" t="s">
        <v>27</v>
      </c>
      <c r="C36" s="339"/>
      <c r="D36" s="339"/>
      <c r="E36" s="339"/>
      <c r="F36" s="340"/>
      <c r="G36" s="265">
        <v>19862</v>
      </c>
      <c r="H36" s="265">
        <v>18230</v>
      </c>
      <c r="I36" s="258">
        <v>1632</v>
      </c>
      <c r="J36" s="254">
        <v>0.09</v>
      </c>
      <c r="K36" s="134"/>
    </row>
    <row r="37" spans="1:11" ht="15.75" customHeight="1" thickBot="1" x14ac:dyDescent="0.25">
      <c r="A37" s="130"/>
      <c r="B37" s="329" t="s">
        <v>968</v>
      </c>
      <c r="C37" s="330"/>
      <c r="D37" s="330"/>
      <c r="E37" s="330"/>
      <c r="F37" s="330"/>
      <c r="G37" s="330"/>
      <c r="H37" s="330"/>
      <c r="I37" s="330"/>
      <c r="J37" s="33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80" zoomScaleNormal="8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6" t="s">
        <v>295</v>
      </c>
      <c r="D2" s="357"/>
      <c r="E2" s="357"/>
      <c r="F2" s="357"/>
      <c r="G2" s="357"/>
      <c r="H2" s="357"/>
      <c r="I2" s="357"/>
      <c r="J2" s="357"/>
      <c r="K2" s="358"/>
      <c r="L2" s="356" t="s">
        <v>300</v>
      </c>
      <c r="M2" s="357"/>
      <c r="N2" s="357"/>
      <c r="O2" s="358"/>
      <c r="P2" s="28"/>
    </row>
    <row r="3" spans="1:16" ht="24" customHeight="1" thickBot="1" x14ac:dyDescent="0.4">
      <c r="A3" s="25"/>
      <c r="B3" s="29"/>
      <c r="C3" s="359"/>
      <c r="D3" s="360"/>
      <c r="E3" s="360"/>
      <c r="F3" s="360"/>
      <c r="G3" s="360"/>
      <c r="H3" s="360"/>
      <c r="I3" s="360"/>
      <c r="J3" s="360"/>
      <c r="K3" s="361"/>
      <c r="L3" s="359" t="str">
        <f>Transformation!B4</f>
        <v>As of: July 02, 2016</v>
      </c>
      <c r="M3" s="360"/>
      <c r="N3" s="360"/>
      <c r="O3" s="361"/>
      <c r="P3" s="28"/>
    </row>
    <row r="4" spans="1:16" ht="51.75" customHeight="1" thickBot="1" x14ac:dyDescent="0.35">
      <c r="A4" s="30"/>
      <c r="B4" s="246" t="s">
        <v>455</v>
      </c>
      <c r="C4" s="362" t="s">
        <v>304</v>
      </c>
      <c r="D4" s="363"/>
      <c r="E4" s="363"/>
      <c r="F4" s="363"/>
      <c r="G4" s="363"/>
      <c r="H4" s="363"/>
      <c r="I4" s="363"/>
      <c r="J4" s="363"/>
      <c r="K4" s="363"/>
      <c r="L4" s="363"/>
      <c r="M4" s="363"/>
      <c r="N4" s="363"/>
      <c r="O4" s="364"/>
      <c r="P4" s="28"/>
    </row>
    <row r="5" spans="1:16" ht="27" customHeight="1" thickBot="1" x14ac:dyDescent="0.25">
      <c r="A5" s="30"/>
      <c r="B5" s="26"/>
      <c r="C5" s="365" t="s">
        <v>1041</v>
      </c>
      <c r="D5" s="366"/>
      <c r="E5" s="366"/>
      <c r="F5" s="366"/>
      <c r="G5" s="366"/>
      <c r="H5" s="366"/>
      <c r="I5" s="366"/>
      <c r="J5" s="366"/>
      <c r="K5" s="366"/>
      <c r="L5" s="366"/>
      <c r="M5" s="366"/>
      <c r="N5" s="366"/>
      <c r="O5" s="367"/>
      <c r="P5" s="28"/>
    </row>
    <row r="6" spans="1:16" ht="55.5" customHeight="1" x14ac:dyDescent="0.2">
      <c r="A6" s="30"/>
      <c r="B6" s="31"/>
      <c r="C6" s="32" t="s">
        <v>190</v>
      </c>
      <c r="D6" s="368" t="s">
        <v>16</v>
      </c>
      <c r="E6" s="369"/>
      <c r="F6" s="33" t="s">
        <v>193</v>
      </c>
      <c r="G6" s="368" t="s">
        <v>198</v>
      </c>
      <c r="H6" s="370"/>
      <c r="I6" s="33" t="s">
        <v>196</v>
      </c>
      <c r="J6" s="374" t="s">
        <v>14</v>
      </c>
      <c r="K6" s="375"/>
      <c r="L6" s="33" t="s">
        <v>201</v>
      </c>
      <c r="M6" s="371" t="s">
        <v>85</v>
      </c>
      <c r="N6" s="372"/>
      <c r="O6" s="373"/>
      <c r="P6" s="28"/>
    </row>
    <row r="7" spans="1:16" ht="51.75" customHeight="1" x14ac:dyDescent="0.2">
      <c r="A7" s="30"/>
      <c r="B7" s="34"/>
      <c r="C7" s="35" t="s">
        <v>191</v>
      </c>
      <c r="D7" s="344" t="s">
        <v>0</v>
      </c>
      <c r="E7" s="345"/>
      <c r="F7" s="36" t="s">
        <v>194</v>
      </c>
      <c r="G7" s="346" t="s">
        <v>199</v>
      </c>
      <c r="H7" s="346"/>
      <c r="I7" s="36" t="s">
        <v>197</v>
      </c>
      <c r="J7" s="376" t="s">
        <v>19</v>
      </c>
      <c r="K7" s="377"/>
      <c r="L7" s="36" t="s">
        <v>202</v>
      </c>
      <c r="M7" s="380" t="s">
        <v>87</v>
      </c>
      <c r="N7" s="381"/>
      <c r="O7" s="382"/>
      <c r="P7" s="28"/>
    </row>
    <row r="8" spans="1:16" ht="51.75" customHeight="1" thickBot="1" x14ac:dyDescent="0.25">
      <c r="A8" s="25"/>
      <c r="B8" s="28"/>
      <c r="C8" s="37" t="s">
        <v>192</v>
      </c>
      <c r="D8" s="347" t="s">
        <v>18</v>
      </c>
      <c r="E8" s="348"/>
      <c r="F8" s="38" t="s">
        <v>195</v>
      </c>
      <c r="G8" s="349" t="s">
        <v>17</v>
      </c>
      <c r="H8" s="349"/>
      <c r="I8" s="38" t="s">
        <v>200</v>
      </c>
      <c r="J8" s="378" t="s">
        <v>84</v>
      </c>
      <c r="K8" s="379"/>
      <c r="L8" s="38" t="s">
        <v>203</v>
      </c>
      <c r="M8" s="353" t="s">
        <v>86</v>
      </c>
      <c r="N8" s="354"/>
      <c r="O8" s="355"/>
      <c r="P8" s="28"/>
    </row>
    <row r="9" spans="1:16" x14ac:dyDescent="0.2">
      <c r="A9" s="28"/>
      <c r="B9" s="28"/>
      <c r="C9" s="39" t="s">
        <v>704</v>
      </c>
      <c r="D9" s="39" t="s">
        <v>706</v>
      </c>
      <c r="E9" s="39" t="s">
        <v>705</v>
      </c>
      <c r="F9" s="39" t="s">
        <v>708</v>
      </c>
      <c r="G9" s="39" t="s">
        <v>707</v>
      </c>
      <c r="H9" s="39" t="s">
        <v>710</v>
      </c>
      <c r="I9" s="39" t="s">
        <v>709</v>
      </c>
      <c r="J9" s="39" t="s">
        <v>920</v>
      </c>
      <c r="K9" s="39" t="s">
        <v>921</v>
      </c>
      <c r="L9" s="39" t="s">
        <v>923</v>
      </c>
      <c r="M9" s="39" t="s">
        <v>1042</v>
      </c>
      <c r="N9" s="39" t="s">
        <v>924</v>
      </c>
      <c r="O9" s="39" t="s">
        <v>925</v>
      </c>
      <c r="P9" s="28"/>
    </row>
    <row r="10" spans="1:16" ht="15.75" customHeight="1" x14ac:dyDescent="0.2">
      <c r="A10" s="25"/>
      <c r="B10" s="26"/>
      <c r="C10" s="350" t="s">
        <v>293</v>
      </c>
      <c r="D10" s="350"/>
      <c r="E10" s="350"/>
      <c r="F10" s="350"/>
      <c r="G10" s="350"/>
      <c r="H10" s="350"/>
      <c r="I10" s="350"/>
      <c r="J10" s="350"/>
      <c r="K10" s="350"/>
      <c r="L10" s="350"/>
      <c r="M10" s="350"/>
      <c r="N10" s="350"/>
      <c r="O10" s="350"/>
      <c r="P10" s="28"/>
    </row>
    <row r="11" spans="1:16" ht="32.25" customHeight="1" x14ac:dyDescent="0.2">
      <c r="A11" s="25"/>
      <c r="B11" s="26"/>
      <c r="C11" s="351" t="s">
        <v>226</v>
      </c>
      <c r="D11" s="351" t="s">
        <v>134</v>
      </c>
      <c r="E11" s="351" t="s">
        <v>227</v>
      </c>
      <c r="F11" s="351" t="s">
        <v>189</v>
      </c>
      <c r="G11" s="351" t="s">
        <v>204</v>
      </c>
      <c r="H11" s="351" t="s">
        <v>206</v>
      </c>
      <c r="I11" s="351" t="s">
        <v>207</v>
      </c>
      <c r="J11" s="385" t="s">
        <v>1053</v>
      </c>
      <c r="K11" s="385" t="s">
        <v>1054</v>
      </c>
      <c r="L11" s="383" t="s">
        <v>1051</v>
      </c>
      <c r="M11" s="384"/>
      <c r="N11" s="383" t="s">
        <v>1052</v>
      </c>
      <c r="O11" s="384"/>
      <c r="P11" s="28"/>
    </row>
    <row r="12" spans="1:16" ht="32.25" customHeight="1" x14ac:dyDescent="0.2">
      <c r="A12" s="25"/>
      <c r="B12" s="26"/>
      <c r="C12" s="352"/>
      <c r="D12" s="352"/>
      <c r="E12" s="352"/>
      <c r="F12" s="352"/>
      <c r="G12" s="352"/>
      <c r="H12" s="352"/>
      <c r="I12" s="352"/>
      <c r="J12" s="386"/>
      <c r="K12" s="386"/>
      <c r="L12" s="40" t="s">
        <v>926</v>
      </c>
      <c r="M12" s="40" t="s">
        <v>931</v>
      </c>
      <c r="N12" s="40" t="s">
        <v>926</v>
      </c>
      <c r="O12" s="40" t="s">
        <v>931</v>
      </c>
      <c r="P12" s="28"/>
    </row>
    <row r="13" spans="1:16" x14ac:dyDescent="0.2">
      <c r="A13" s="25"/>
      <c r="B13" s="41" t="s">
        <v>1049</v>
      </c>
      <c r="C13" s="154">
        <f>IF($B13=" ","",IFERROR(INDEX(MMWR_RATING_RO_ROLLUP[],MATCH($B13,MMWR_RATING_RO_ROLLUP[MMWR_RATING_RO_ROLLUP],0),MATCH(C$9,MMWR_RATING_RO_ROLLUP[#Headers],0)),"ERROR"))</f>
        <v>371153</v>
      </c>
      <c r="D13" s="155">
        <f>IF($B13=" ","",IFERROR(INDEX(MMWR_RATING_RO_ROLLUP[],MATCH($B13,MMWR_RATING_RO_ROLLUP[MMWR_RATING_RO_ROLLUP],0),MATCH(D$9,MMWR_RATING_RO_ROLLUP[#Headers],0)),"ERROR"))</f>
        <v>88.041330664200004</v>
      </c>
      <c r="E13" s="156">
        <f>IF($B13=" ","",IFERROR(INDEX(MMWR_RATING_RO_ROLLUP[],MATCH($B13,MMWR_RATING_RO_ROLLUP[MMWR_RATING_RO_ROLLUP],0),MATCH(E$9,MMWR_RATING_RO_ROLLUP[#Headers],0))/$C13,"ERROR"))</f>
        <v>0.2003863635751294</v>
      </c>
      <c r="F13" s="154">
        <f>IF($B13=" ","",IFERROR(INDEX(MMWR_RATING_RO_ROLLUP[],MATCH($B13,MMWR_RATING_RO_ROLLUP[MMWR_RATING_RO_ROLLUP],0),MATCH(F$9,MMWR_RATING_RO_ROLLUP[#Headers],0)),"ERROR"))</f>
        <v>5157</v>
      </c>
      <c r="G13" s="154">
        <f>IF($B13=" ","",IFERROR(INDEX(MMWR_RATING_RO_ROLLUP[],MATCH($B13,MMWR_RATING_RO_ROLLUP[MMWR_RATING_RO_ROLLUP],0),MATCH(G$9,MMWR_RATING_RO_ROLLUP[#Headers],0)),"ERROR"))</f>
        <v>949803</v>
      </c>
      <c r="H13" s="155">
        <f>IF($B13=" ","",IFERROR(INDEX(MMWR_RATING_RO_ROLLUP[],MATCH($B13,MMWR_RATING_RO_ROLLUP[MMWR_RATING_RO_ROLLUP],0),MATCH(H$9,MMWR_RATING_RO_ROLLUP[#Headers],0)),"ERROR"))</f>
        <v>120.0244328098</v>
      </c>
      <c r="I13" s="155">
        <f>IF($B13=" ","",IFERROR(INDEX(MMWR_RATING_RO_ROLLUP[],MATCH($B13,MMWR_RATING_RO_ROLLUP[MMWR_RATING_RO_ROLLUP],0),MATCH(I$9,MMWR_RATING_RO_ROLLUP[#Headers],0)),"ERROR"))</f>
        <v>123.36427975060001</v>
      </c>
      <c r="J13" s="42"/>
      <c r="K13" s="42"/>
      <c r="L13" s="42"/>
      <c r="M13" s="42"/>
      <c r="N13" s="42"/>
      <c r="O13" s="42"/>
      <c r="P13" s="28"/>
    </row>
    <row r="14" spans="1:16" x14ac:dyDescent="0.2">
      <c r="A14" s="25"/>
      <c r="B14" s="342" t="s">
        <v>732</v>
      </c>
      <c r="C14" s="343"/>
      <c r="D14" s="343"/>
      <c r="E14" s="343"/>
      <c r="F14" s="343"/>
      <c r="G14" s="343"/>
      <c r="H14" s="343"/>
      <c r="I14" s="343"/>
      <c r="J14" s="343"/>
      <c r="K14" s="343"/>
      <c r="L14" s="343"/>
      <c r="M14" s="343"/>
      <c r="N14" s="343"/>
      <c r="O14" s="343"/>
      <c r="P14" s="28"/>
    </row>
    <row r="15" spans="1:16" x14ac:dyDescent="0.2">
      <c r="A15" s="25"/>
      <c r="B15" s="41" t="s">
        <v>728</v>
      </c>
      <c r="C15" s="154">
        <f>IF($B15=" ","",IFERROR(INDEX(MMWR_RATING_RO_ROLLUP[],MATCH($B15,MMWR_RATING_RO_ROLLUP[MMWR_RATING_RO_ROLLUP],0),MATCH(C$9,MMWR_RATING_RO_ROLLUP[#Headers],0)),"ERROR"))</f>
        <v>325813</v>
      </c>
      <c r="D15" s="155">
        <f>IF($B15=" ","",IFERROR(INDEX(MMWR_RATING_RO_ROLLUP[],MATCH($B15,MMWR_RATING_RO_ROLLUP[MMWR_RATING_RO_ROLLUP],0),MATCH(D$9,MMWR_RATING_RO_ROLLUP[#Headers],0)),"ERROR"))</f>
        <v>90.868148293700003</v>
      </c>
      <c r="E15" s="156">
        <f>IF($B15=" ","",IFERROR(INDEX(MMWR_RATING_RO_ROLLUP[],MATCH($B15,MMWR_RATING_RO_ROLLUP[MMWR_RATING_RO_ROLLUP],0),MATCH(E$9,MMWR_RATING_RO_ROLLUP[#Headers],0))/$C15,"ERROR"))</f>
        <v>0.21171346754119694</v>
      </c>
      <c r="F15" s="154">
        <f>IF($B15=" ","",IFERROR(INDEX(MMWR_RATING_RO_ROLLUP[],MATCH($B15,MMWR_RATING_RO_ROLLUP[MMWR_RATING_RO_ROLLUP],0),MATCH(F$9,MMWR_RATING_RO_ROLLUP[#Headers],0)),"ERROR"))</f>
        <v>4543</v>
      </c>
      <c r="G15" s="154">
        <f>IF($B15=" ","",IFERROR(INDEX(MMWR_RATING_RO_ROLLUP[],MATCH($B15,MMWR_RATING_RO_ROLLUP[MMWR_RATING_RO_ROLLUP],0),MATCH(G$9,MMWR_RATING_RO_ROLLUP[#Headers],0)),"ERROR"))</f>
        <v>798323</v>
      </c>
      <c r="H15" s="155">
        <f>IF($B15=" ","",IFERROR(INDEX(MMWR_RATING_RO_ROLLUP[],MATCH($B15,MMWR_RATING_RO_ROLLUP[MMWR_RATING_RO_ROLLUP],0),MATCH(H$9,MMWR_RATING_RO_ROLLUP[#Headers],0)),"ERROR"))</f>
        <v>122.90138674879999</v>
      </c>
      <c r="I15" s="155">
        <f>IF($B15=" ","",IFERROR(INDEX(MMWR_RATING_RO_ROLLUP[],MATCH($B15,MMWR_RATING_RO_ROLLUP[MMWR_RATING_RO_ROLLUP],0),MATCH(I$9,MMWR_RATING_RO_ROLLUP[#Headers],0)),"ERROR"))</f>
        <v>128.899136064</v>
      </c>
      <c r="J15" s="157">
        <f>VLOOKUP($B$13,MMWR_ACCURACY_RO[],MATCH(J$9,MMWR_ACCURACY_RO[#Headers],0),0)</f>
        <v>0.95168781246098</v>
      </c>
      <c r="K15" s="157">
        <f>VLOOKUP($B$13,MMWR_ACCURACY_RO[],MATCH(K$9,MMWR_ACCURACY_RO[#Headers],0),0)</f>
        <v>0.86588343156635506</v>
      </c>
      <c r="L15" s="157">
        <f>VLOOKUP($B$13,MMWR_ACCURACY_RO[],MATCH(L$9,MMWR_ACCURACY_RO[#Headers],0),0)</f>
        <v>0.885974049178335</v>
      </c>
      <c r="M15" s="157">
        <f>VLOOKUP($B$13,MMWR_ACCURACY_RO[],MATCH(M$9,MMWR_ACCURACY_RO[#Headers],0),0)</f>
        <v>7.8611549572085004E-3</v>
      </c>
      <c r="N15" s="157">
        <f>VLOOKUP($B$13,MMWR_ACCURACY_RO[],MATCH(N$9,MMWR_ACCURACY_RO[#Headers],0),0)</f>
        <v>0.89787886833437702</v>
      </c>
      <c r="O15" s="157">
        <f>VLOOKUP($B$13,MMWR_ACCURACY_RO[],MATCH(O$9,MMWR_ACCURACY_RO[#Headers],0),0)</f>
        <v>1.1898620119243E-2</v>
      </c>
      <c r="P15" s="28"/>
    </row>
    <row r="16" spans="1:16" x14ac:dyDescent="0.2">
      <c r="A16" s="25"/>
      <c r="B16" s="247" t="s">
        <v>369</v>
      </c>
      <c r="C16" s="154">
        <f>IF($B16=" ","",IFERROR(INDEX(MMWR_RATING_RO_ROLLUP[],MATCH($B16,MMWR_RATING_RO_ROLLUP[MMWR_RATING_RO_ROLLUP],0),MATCH(C$9,MMWR_RATING_RO_ROLLUP[#Headers],0)),"ERROR"))</f>
        <v>19060</v>
      </c>
      <c r="D16" s="155">
        <f>IF($B16=" ","",IFERROR(INDEX(MMWR_RATING_RO_ROLLUP[],MATCH($B16,MMWR_RATING_RO_ROLLUP[MMWR_RATING_RO_ROLLUP],0),MATCH(D$9,MMWR_RATING_RO_ROLLUP[#Headers],0)),"ERROR"))</f>
        <v>103.9472717733</v>
      </c>
      <c r="E16" s="156">
        <f>IF($B16=" ","",IFERROR(INDEX(MMWR_RATING_RO_ROLLUP[],MATCH($B16,MMWR_RATING_RO_ROLLUP[MMWR_RATING_RO_ROLLUP],0),MATCH(E$9,MMWR_RATING_RO_ROLLUP[#Headers],0))/$C16,"ERROR"))</f>
        <v>0.28887722980062958</v>
      </c>
      <c r="F16" s="154">
        <f>IF($B16=" ","",IFERROR(INDEX(MMWR_RATING_RO_ROLLUP[],MATCH($B16,MMWR_RATING_RO_ROLLUP[MMWR_RATING_RO_ROLLUP],0),MATCH(F$9,MMWR_RATING_RO_ROLLUP[#Headers],0)),"ERROR"))</f>
        <v>996</v>
      </c>
      <c r="G16" s="154">
        <f>IF($B16=" ","",IFERROR(INDEX(MMWR_RATING_RO_ROLLUP[],MATCH($B16,MMWR_RATING_RO_ROLLUP[MMWR_RATING_RO_ROLLUP],0),MATCH(G$9,MMWR_RATING_RO_ROLLUP[#Headers],0)),"ERROR"))</f>
        <v>169130</v>
      </c>
      <c r="H16" s="155">
        <f>IF($B16=" ","",IFERROR(INDEX(MMWR_RATING_RO_ROLLUP[],MATCH($B16,MMWR_RATING_RO_ROLLUP[MMWR_RATING_RO_ROLLUP],0),MATCH(H$9,MMWR_RATING_RO_ROLLUP[#Headers],0)),"ERROR"))</f>
        <v>119.0040160643</v>
      </c>
      <c r="I16" s="155">
        <f>IF($B16=" ","",IFERROR(INDEX(MMWR_RATING_RO_ROLLUP[],MATCH($B16,MMWR_RATING_RO_ROLLUP[MMWR_RATING_RO_ROLLUP],0),MATCH(I$9,MMWR_RATING_RO_ROLLUP[#Headers],0)),"ERROR"))</f>
        <v>129.7546975699</v>
      </c>
      <c r="J16" s="157">
        <f>IF($B16=" ","",IFERROR(VLOOKUP($B16,MMWR_ACCURACY_RO[],MATCH(J$9,MMWR_ACCURACY_RO[#Headers],0),0),"ERROR"))</f>
        <v>0.95846293173471497</v>
      </c>
      <c r="K16" s="157">
        <f>IF($B16=" ","",IFERROR(VLOOKUP($B16,MMWR_ACCURACY_RO[],MATCH(K$9,MMWR_ACCURACY_RO[#Headers],0),0),"ERROR"))</f>
        <v>0.86841381260836104</v>
      </c>
      <c r="L16" s="157">
        <f>IF($B16=" ","",IFERROR(VLOOKUP($B16,MMWR_ACCURACY_RO[],MATCH(L$9,MMWR_ACCURACY_RO[#Headers],0),0),"ERROR"))</f>
        <v>0.87854911720371398</v>
      </c>
      <c r="M16" s="157">
        <f>IF($B16=" ","",IFERROR(VLOOKUP($B16,MMWR_ACCURACY_RO[],MATCH(M$9,MMWR_ACCURACY_RO[#Headers],0),0),"ERROR"))</f>
        <v>1.5281988631149801E-2</v>
      </c>
      <c r="N16" s="157">
        <f>IF($B16=" ","",IFERROR(VLOOKUP($B16,MMWR_ACCURACY_RO[],MATCH(N$9,MMWR_ACCURACY_RO[#Headers],0),0),"ERROR"))</f>
        <v>0.87548147611045801</v>
      </c>
      <c r="O16" s="157">
        <f>IF($B16=" ","",IFERROR(VLOOKUP($B16,MMWR_ACCURACY_RO[],MATCH(O$9,MMWR_ACCURACY_RO[#Headers],0),0),"ERROR"))</f>
        <v>3.1487582547481997E-2</v>
      </c>
      <c r="P16" s="28"/>
    </row>
    <row r="17" spans="1:16" x14ac:dyDescent="0.2">
      <c r="A17" s="25"/>
      <c r="B17" s="8" t="str">
        <f>VLOOKUP($B$16,DISTRICT_RO[],2,0)</f>
        <v>Baltimore VSC</v>
      </c>
      <c r="C17" s="154">
        <f>IF($B17=" ","",IFERROR(INDEX(MMWR_RATING_RO_ROLLUP[],MATCH($B17,MMWR_RATING_RO_ROLLUP[MMWR_RATING_RO_ROLLUP],0),MATCH(C$9,MMWR_RATING_RO_ROLLUP[#Headers],0)),"ERROR"))</f>
        <v>778</v>
      </c>
      <c r="D17" s="155">
        <f>IF($B17=" ","",IFERROR(INDEX(MMWR_RATING_RO_ROLLUP[],MATCH($B17,MMWR_RATING_RO_ROLLUP[MMWR_RATING_RO_ROLLUP],0),MATCH(D$9,MMWR_RATING_RO_ROLLUP[#Headers],0)),"ERROR"))</f>
        <v>130.67095115679999</v>
      </c>
      <c r="E17" s="156">
        <f>IF($B17=" ","",IFERROR(INDEX(MMWR_RATING_RO_ROLLUP[],MATCH($B17,MMWR_RATING_RO_ROLLUP[MMWR_RATING_RO_ROLLUP],0),MATCH(E$9,MMWR_RATING_RO_ROLLUP[#Headers],0))/$C17,"ERROR"))</f>
        <v>0.43701799485861181</v>
      </c>
      <c r="F17" s="154">
        <f>IF($B17=" ","",IFERROR(INDEX(MMWR_RATING_RO_ROLLUP[],MATCH($B17,MMWR_RATING_RO_ROLLUP[MMWR_RATING_RO_ROLLUP],0),MATCH(F$9,MMWR_RATING_RO_ROLLUP[#Headers],0)),"ERROR"))</f>
        <v>23</v>
      </c>
      <c r="G17" s="154">
        <f>IF($B17=" ","",IFERROR(INDEX(MMWR_RATING_RO_ROLLUP[],MATCH($B17,MMWR_RATING_RO_ROLLUP[MMWR_RATING_RO_ROLLUP],0),MATCH(G$9,MMWR_RATING_RO_ROLLUP[#Headers],0)),"ERROR"))</f>
        <v>6188</v>
      </c>
      <c r="H17" s="155">
        <f>IF($B17=" ","",IFERROR(INDEX(MMWR_RATING_RO_ROLLUP[],MATCH($B17,MMWR_RATING_RO_ROLLUP[MMWR_RATING_RO_ROLLUP],0),MATCH(H$9,MMWR_RATING_RO_ROLLUP[#Headers],0)),"ERROR"))</f>
        <v>122.9130434783</v>
      </c>
      <c r="I17" s="155">
        <f>IF($B17=" ","",IFERROR(INDEX(MMWR_RATING_RO_ROLLUP[],MATCH($B17,MMWR_RATING_RO_ROLLUP[MMWR_RATING_RO_ROLLUP],0),MATCH(I$9,MMWR_RATING_RO_ROLLUP[#Headers],0)),"ERROR"))</f>
        <v>142.07369101489999</v>
      </c>
      <c r="J17" s="157">
        <f>IF($B17=" ","",IFERROR(VLOOKUP($B17,MMWR_ACCURACY_RO[],MATCH(J$9,MMWR_ACCURACY_RO[#Headers],0),0),"ERROR"))</f>
        <v>0.90188566775685497</v>
      </c>
      <c r="K17" s="157">
        <f>IF($B17=" ","",IFERROR(VLOOKUP($B17,MMWR_ACCURACY_RO[],MATCH(K$9,MMWR_ACCURACY_RO[#Headers],0),0),"ERROR"))</f>
        <v>0.73347025467369298</v>
      </c>
      <c r="L17" s="157">
        <f>IF($B17=" ","",IFERROR(VLOOKUP($B17,MMWR_ACCURACY_RO[],MATCH(L$9,MMWR_ACCURACY_RO[#Headers],0),0),"ERROR"))</f>
        <v>0.81653649450434795</v>
      </c>
      <c r="M17" s="157">
        <f>IF($B17=" ","",IFERROR(VLOOKUP($B17,MMWR_ACCURACY_RO[],MATCH(M$9,MMWR_ACCURACY_RO[#Headers],0),0),"ERROR"))</f>
        <v>4.6324894365922603E-2</v>
      </c>
      <c r="N17" s="157">
        <f>IF($B17=" ","",IFERROR(VLOOKUP($B17,MMWR_ACCURACY_RO[],MATCH(N$9,MMWR_ACCURACY_RO[#Headers],0),0),"ERROR"))</f>
        <v>0.88521920558676104</v>
      </c>
      <c r="O17" s="157">
        <f>IF($B17=" ","",IFERROR(VLOOKUP($B17,MMWR_ACCURACY_RO[],MATCH(O$9,MMWR_ACCURACY_RO[#Headers],0),0),"ERROR"))</f>
        <v>4.92292310977984E-2</v>
      </c>
      <c r="P17" s="28"/>
    </row>
    <row r="18" spans="1:16" x14ac:dyDescent="0.2">
      <c r="A18" s="25"/>
      <c r="B18" s="8" t="str">
        <f>VLOOKUP($B$16,DISTRICT_RO[],3,0)</f>
        <v>Boston VSC</v>
      </c>
      <c r="C18" s="154">
        <f>IF($B18=" ","",IFERROR(INDEX(MMWR_RATING_RO_ROLLUP[],MATCH($B18,MMWR_RATING_RO_ROLLUP[MMWR_RATING_RO_ROLLUP],0),MATCH(C$9,MMWR_RATING_RO_ROLLUP[#Headers],0)),"ERROR"))</f>
        <v>785</v>
      </c>
      <c r="D18" s="155">
        <f>IF($B18=" ","",IFERROR(INDEX(MMWR_RATING_RO_ROLLUP[],MATCH($B18,MMWR_RATING_RO_ROLLUP[MMWR_RATING_RO_ROLLUP],0),MATCH(D$9,MMWR_RATING_RO_ROLLUP[#Headers],0)),"ERROR"))</f>
        <v>96.276433120999997</v>
      </c>
      <c r="E18" s="156">
        <f>IF($B18=" ","",IFERROR(INDEX(MMWR_RATING_RO_ROLLUP[],MATCH($B18,MMWR_RATING_RO_ROLLUP[MMWR_RATING_RO_ROLLUP],0),MATCH(E$9,MMWR_RATING_RO_ROLLUP[#Headers],0))/$C18,"ERROR"))</f>
        <v>0.29171974522292993</v>
      </c>
      <c r="F18" s="154">
        <f>IF($B18=" ","",IFERROR(INDEX(MMWR_RATING_RO_ROLLUP[],MATCH($B18,MMWR_RATING_RO_ROLLUP[MMWR_RATING_RO_ROLLUP],0),MATCH(F$9,MMWR_RATING_RO_ROLLUP[#Headers],0)),"ERROR"))</f>
        <v>45</v>
      </c>
      <c r="G18" s="154">
        <f>IF($B18=" ","",IFERROR(INDEX(MMWR_RATING_RO_ROLLUP[],MATCH($B18,MMWR_RATING_RO_ROLLUP[MMWR_RATING_RO_ROLLUP],0),MATCH(G$9,MMWR_RATING_RO_ROLLUP[#Headers],0)),"ERROR"))</f>
        <v>7289</v>
      </c>
      <c r="H18" s="155">
        <f>IF($B18=" ","",IFERROR(INDEX(MMWR_RATING_RO_ROLLUP[],MATCH($B18,MMWR_RATING_RO_ROLLUP[MMWR_RATING_RO_ROLLUP],0),MATCH(H$9,MMWR_RATING_RO_ROLLUP[#Headers],0)),"ERROR"))</f>
        <v>126.0444444444</v>
      </c>
      <c r="I18" s="155">
        <f>IF($B18=" ","",IFERROR(INDEX(MMWR_RATING_RO_ROLLUP[],MATCH($B18,MMWR_RATING_RO_ROLLUP[MMWR_RATING_RO_ROLLUP],0),MATCH(I$9,MMWR_RATING_RO_ROLLUP[#Headers],0)),"ERROR"))</f>
        <v>131.64027987380001</v>
      </c>
      <c r="J18" s="157">
        <f>IF($B18=" ","",IFERROR(VLOOKUP($B18,MMWR_ACCURACY_RO[],MATCH(J$9,MMWR_ACCURACY_RO[#Headers],0),0),"ERROR"))</f>
        <v>0.93814228931247201</v>
      </c>
      <c r="K18" s="157">
        <f>IF($B18=" ","",IFERROR(VLOOKUP($B18,MMWR_ACCURACY_RO[],MATCH(K$9,MMWR_ACCURACY_RO[#Headers],0),0),"ERROR"))</f>
        <v>0.80065275187492602</v>
      </c>
      <c r="L18" s="157">
        <f>IF($B18=" ","",IFERROR(VLOOKUP($B18,MMWR_ACCURACY_RO[],MATCH(L$9,MMWR_ACCURACY_RO[#Headers],0),0),"ERROR"))</f>
        <v>0.79722077464949703</v>
      </c>
      <c r="M18" s="157">
        <f>IF($B18=" ","",IFERROR(VLOOKUP($B18,MMWR_ACCURACY_RO[],MATCH(M$9,MMWR_ACCURACY_RO[#Headers],0),0),"ERROR"))</f>
        <v>6.1605731085896898E-2</v>
      </c>
      <c r="N18" s="157">
        <f>IF($B18=" ","",IFERROR(VLOOKUP($B18,MMWR_ACCURACY_RO[],MATCH(N$9,MMWR_ACCURACY_RO[#Headers],0),0),"ERROR"))</f>
        <v>0.92791149212874402</v>
      </c>
      <c r="O18" s="157">
        <f>IF($B18=" ","",IFERROR(VLOOKUP($B18,MMWR_ACCURACY_RO[],MATCH(O$9,MMWR_ACCURACY_RO[#Headers],0),0),"ERROR"))</f>
        <v>3.00411100052588E-2</v>
      </c>
      <c r="P18" s="28"/>
    </row>
    <row r="19" spans="1:16" x14ac:dyDescent="0.2">
      <c r="A19" s="25"/>
      <c r="B19" s="8" t="str">
        <f>VLOOKUP($B$16,DISTRICT_RO[],4,0)</f>
        <v>Buffalo VSC</v>
      </c>
      <c r="C19" s="154">
        <f>IF($B19=" ","",IFERROR(INDEX(MMWR_RATING_RO_ROLLUP[],MATCH($B19,MMWR_RATING_RO_ROLLUP[MMWR_RATING_RO_ROLLUP],0),MATCH(C$9,MMWR_RATING_RO_ROLLUP[#Headers],0)),"ERROR"))</f>
        <v>545</v>
      </c>
      <c r="D19" s="155">
        <f>IF($B19=" ","",IFERROR(INDEX(MMWR_RATING_RO_ROLLUP[],MATCH($B19,MMWR_RATING_RO_ROLLUP[MMWR_RATING_RO_ROLLUP],0),MATCH(D$9,MMWR_RATING_RO_ROLLUP[#Headers],0)),"ERROR"))</f>
        <v>123.2110091743</v>
      </c>
      <c r="E19" s="156">
        <f>IF($B19=" ","",IFERROR(INDEX(MMWR_RATING_RO_ROLLUP[],MATCH($B19,MMWR_RATING_RO_ROLLUP[MMWR_RATING_RO_ROLLUP],0),MATCH(E$9,MMWR_RATING_RO_ROLLUP[#Headers],0))/$C19,"ERROR"))</f>
        <v>0.42018348623853213</v>
      </c>
      <c r="F19" s="154">
        <f>IF($B19=" ","",IFERROR(INDEX(MMWR_RATING_RO_ROLLUP[],MATCH($B19,MMWR_RATING_RO_ROLLUP[MMWR_RATING_RO_ROLLUP],0),MATCH(F$9,MMWR_RATING_RO_ROLLUP[#Headers],0)),"ERROR"))</f>
        <v>28</v>
      </c>
      <c r="G19" s="154">
        <f>IF($B19=" ","",IFERROR(INDEX(MMWR_RATING_RO_ROLLUP[],MATCH($B19,MMWR_RATING_RO_ROLLUP[MMWR_RATING_RO_ROLLUP],0),MATCH(G$9,MMWR_RATING_RO_ROLLUP[#Headers],0)),"ERROR"))</f>
        <v>7911</v>
      </c>
      <c r="H19" s="155">
        <f>IF($B19=" ","",IFERROR(INDEX(MMWR_RATING_RO_ROLLUP[],MATCH($B19,MMWR_RATING_RO_ROLLUP[MMWR_RATING_RO_ROLLUP],0),MATCH(H$9,MMWR_RATING_RO_ROLLUP[#Headers],0)),"ERROR"))</f>
        <v>125.7142857143</v>
      </c>
      <c r="I19" s="155">
        <f>IF($B19=" ","",IFERROR(INDEX(MMWR_RATING_RO_ROLLUP[],MATCH($B19,MMWR_RATING_RO_ROLLUP[MMWR_RATING_RO_ROLLUP],0),MATCH(I$9,MMWR_RATING_RO_ROLLUP[#Headers],0)),"ERROR"))</f>
        <v>132.0864618885</v>
      </c>
      <c r="J19" s="157">
        <f>IF($B19=" ","",IFERROR(VLOOKUP($B19,MMWR_ACCURACY_RO[],MATCH(J$9,MMWR_ACCURACY_RO[#Headers],0),0),"ERROR"))</f>
        <v>0.95926984604583498</v>
      </c>
      <c r="K19" s="157">
        <f>IF($B19=" ","",IFERROR(VLOOKUP($B19,MMWR_ACCURACY_RO[],MATCH(K$9,MMWR_ACCURACY_RO[#Headers],0),0),"ERROR"))</f>
        <v>0.90241278623021404</v>
      </c>
      <c r="L19" s="157">
        <f>IF($B19=" ","",IFERROR(VLOOKUP($B19,MMWR_ACCURACY_RO[],MATCH(L$9,MMWR_ACCURACY_RO[#Headers],0),0),"ERROR"))</f>
        <v>0.89693203448661996</v>
      </c>
      <c r="M19" s="157">
        <f>IF($B19=" ","",IFERROR(VLOOKUP($B19,MMWR_ACCURACY_RO[],MATCH(M$9,MMWR_ACCURACY_RO[#Headers],0),0),"ERROR"))</f>
        <v>4.7920287070820203E-2</v>
      </c>
      <c r="N19" s="157">
        <f>IF($B19=" ","",IFERROR(VLOOKUP($B19,MMWR_ACCURACY_RO[],MATCH(N$9,MMWR_ACCURACY_RO[#Headers],0),0),"ERROR"))</f>
        <v>0.85459267784486603</v>
      </c>
      <c r="O19" s="157">
        <f>IF($B19=" ","",IFERROR(VLOOKUP($B19,MMWR_ACCURACY_RO[],MATCH(O$9,MMWR_ACCURACY_RO[#Headers],0),0),"ERROR"))</f>
        <v>4.93915498095788E-2</v>
      </c>
      <c r="P19" s="28"/>
    </row>
    <row r="20" spans="1:16" x14ac:dyDescent="0.2">
      <c r="A20" s="25"/>
      <c r="B20" s="8" t="str">
        <f>VLOOKUP($B$16,DISTRICT_RO[],5,0)</f>
        <v>Hartford VSC</v>
      </c>
      <c r="C20" s="154">
        <f>IF($B20=" ","",IFERROR(INDEX(MMWR_RATING_RO_ROLLUP[],MATCH($B20,MMWR_RATING_RO_ROLLUP[MMWR_RATING_RO_ROLLUP],0),MATCH(C$9,MMWR_RATING_RO_ROLLUP[#Headers],0)),"ERROR"))</f>
        <v>731</v>
      </c>
      <c r="D20" s="155">
        <f>IF($B20=" ","",IFERROR(INDEX(MMWR_RATING_RO_ROLLUP[],MATCH($B20,MMWR_RATING_RO_ROLLUP[MMWR_RATING_RO_ROLLUP],0),MATCH(D$9,MMWR_RATING_RO_ROLLUP[#Headers],0)),"ERROR"))</f>
        <v>95.900136798899993</v>
      </c>
      <c r="E20" s="156">
        <f>IF($B20=" ","",IFERROR(INDEX(MMWR_RATING_RO_ROLLUP[],MATCH($B20,MMWR_RATING_RO_ROLLUP[MMWR_RATING_RO_ROLLUP],0),MATCH(E$9,MMWR_RATING_RO_ROLLUP[#Headers],0))/$C20,"ERROR"))</f>
        <v>0.2106703146374829</v>
      </c>
      <c r="F20" s="154">
        <f>IF($B20=" ","",IFERROR(INDEX(MMWR_RATING_RO_ROLLUP[],MATCH($B20,MMWR_RATING_RO_ROLLUP[MMWR_RATING_RO_ROLLUP],0),MATCH(F$9,MMWR_RATING_RO_ROLLUP[#Headers],0)),"ERROR"))</f>
        <v>34</v>
      </c>
      <c r="G20" s="154">
        <f>IF($B20=" ","",IFERROR(INDEX(MMWR_RATING_RO_ROLLUP[],MATCH($B20,MMWR_RATING_RO_ROLLUP[MMWR_RATING_RO_ROLLUP],0),MATCH(G$9,MMWR_RATING_RO_ROLLUP[#Headers],0)),"ERROR"))</f>
        <v>7190</v>
      </c>
      <c r="H20" s="155">
        <f>IF($B20=" ","",IFERROR(INDEX(MMWR_RATING_RO_ROLLUP[],MATCH($B20,MMWR_RATING_RO_ROLLUP[MMWR_RATING_RO_ROLLUP],0),MATCH(H$9,MMWR_RATING_RO_ROLLUP[#Headers],0)),"ERROR"))</f>
        <v>123.1764705882</v>
      </c>
      <c r="I20" s="155">
        <f>IF($B20=" ","",IFERROR(INDEX(MMWR_RATING_RO_ROLLUP[],MATCH($B20,MMWR_RATING_RO_ROLLUP[MMWR_RATING_RO_ROLLUP],0),MATCH(I$9,MMWR_RATING_RO_ROLLUP[#Headers],0)),"ERROR"))</f>
        <v>126.7065368567</v>
      </c>
      <c r="J20" s="157">
        <f>IF($B20=" ","",IFERROR(VLOOKUP($B20,MMWR_ACCURACY_RO[],MATCH(J$9,MMWR_ACCURACY_RO[#Headers],0),0),"ERROR"))</f>
        <v>0.98068869165559502</v>
      </c>
      <c r="K20" s="157">
        <f>IF($B20=" ","",IFERROR(VLOOKUP($B20,MMWR_ACCURACY_RO[],MATCH(K$9,MMWR_ACCURACY_RO[#Headers],0),0),"ERROR"))</f>
        <v>0.93820256453708395</v>
      </c>
      <c r="L20" s="157">
        <f>IF($B20=" ","",IFERROR(VLOOKUP($B20,MMWR_ACCURACY_RO[],MATCH(L$9,MMWR_ACCURACY_RO[#Headers],0),0),"ERROR"))</f>
        <v>0.92779320412044497</v>
      </c>
      <c r="M20" s="157">
        <f>IF($B20=" ","",IFERROR(VLOOKUP($B20,MMWR_ACCURACY_RO[],MATCH(M$9,MMWR_ACCURACY_RO[#Headers],0),0),"ERROR"))</f>
        <v>4.4271476300910398E-2</v>
      </c>
      <c r="N20" s="157">
        <f>IF($B20=" ","",IFERROR(VLOOKUP($B20,MMWR_ACCURACY_RO[],MATCH(N$9,MMWR_ACCURACY_RO[#Headers],0),0),"ERROR"))</f>
        <v>0.94307359307359295</v>
      </c>
      <c r="O20" s="157">
        <f>IF($B20=" ","",IFERROR(VLOOKUP($B20,MMWR_ACCURACY_RO[],MATCH(O$9,MMWR_ACCURACY_RO[#Headers],0),0),"ERROR"))</f>
        <v>4.6997468949121803E-2</v>
      </c>
      <c r="P20" s="28"/>
    </row>
    <row r="21" spans="1:16" x14ac:dyDescent="0.2">
      <c r="A21" s="25"/>
      <c r="B21" s="8" t="str">
        <f>VLOOKUP($B$16,DISTRICT_RO[],6,0)</f>
        <v>Huntington VSC</v>
      </c>
      <c r="C21" s="154">
        <f>IF($B21=" ","",IFERROR(INDEX(MMWR_RATING_RO_ROLLUP[],MATCH($B21,MMWR_RATING_RO_ROLLUP[MMWR_RATING_RO_ROLLUP],0),MATCH(C$9,MMWR_RATING_RO_ROLLUP[#Headers],0)),"ERROR"))</f>
        <v>1964</v>
      </c>
      <c r="D21" s="155">
        <f>IF($B21=" ","",IFERROR(INDEX(MMWR_RATING_RO_ROLLUP[],MATCH($B21,MMWR_RATING_RO_ROLLUP[MMWR_RATING_RO_ROLLUP],0),MATCH(D$9,MMWR_RATING_RO_ROLLUP[#Headers],0)),"ERROR"))</f>
        <v>83.055498981699998</v>
      </c>
      <c r="E21" s="156">
        <f>IF($B21=" ","",IFERROR(INDEX(MMWR_RATING_RO_ROLLUP[],MATCH($B21,MMWR_RATING_RO_ROLLUP[MMWR_RATING_RO_ROLLUP],0),MATCH(E$9,MMWR_RATING_RO_ROLLUP[#Headers],0))/$C21,"ERROR"))</f>
        <v>0.20010183299389003</v>
      </c>
      <c r="F21" s="154">
        <f>IF($B21=" ","",IFERROR(INDEX(MMWR_RATING_RO_ROLLUP[],MATCH($B21,MMWR_RATING_RO_ROLLUP[MMWR_RATING_RO_ROLLUP],0),MATCH(F$9,MMWR_RATING_RO_ROLLUP[#Headers],0)),"ERROR"))</f>
        <v>89</v>
      </c>
      <c r="G21" s="154">
        <f>IF($B21=" ","",IFERROR(INDEX(MMWR_RATING_RO_ROLLUP[],MATCH($B21,MMWR_RATING_RO_ROLLUP[MMWR_RATING_RO_ROLLUP],0),MATCH(G$9,MMWR_RATING_RO_ROLLUP[#Headers],0)),"ERROR"))</f>
        <v>12467</v>
      </c>
      <c r="H21" s="155">
        <f>IF($B21=" ","",IFERROR(INDEX(MMWR_RATING_RO_ROLLUP[],MATCH($B21,MMWR_RATING_RO_ROLLUP[MMWR_RATING_RO_ROLLUP],0),MATCH(H$9,MMWR_RATING_RO_ROLLUP[#Headers],0)),"ERROR"))</f>
        <v>92.977528089900005</v>
      </c>
      <c r="I21" s="155">
        <f>IF($B21=" ","",IFERROR(INDEX(MMWR_RATING_RO_ROLLUP[],MATCH($B21,MMWR_RATING_RO_ROLLUP[MMWR_RATING_RO_ROLLUP],0),MATCH(I$9,MMWR_RATING_RO_ROLLUP[#Headers],0)),"ERROR"))</f>
        <v>128.5934868052</v>
      </c>
      <c r="J21" s="157">
        <f>IF($B21=" ","",IFERROR(VLOOKUP($B21,MMWR_ACCURACY_RO[],MATCH(J$9,MMWR_ACCURACY_RO[#Headers],0),0),"ERROR"))</f>
        <v>0.97442158530926104</v>
      </c>
      <c r="K21" s="157">
        <f>IF($B21=" ","",IFERROR(VLOOKUP($B21,MMWR_ACCURACY_RO[],MATCH(K$9,MMWR_ACCURACY_RO[#Headers],0),0),"ERROR"))</f>
        <v>0.90296513107661003</v>
      </c>
      <c r="L21" s="157">
        <f>IF($B21=" ","",IFERROR(VLOOKUP($B21,MMWR_ACCURACY_RO[],MATCH(L$9,MMWR_ACCURACY_RO[#Headers],0),0),"ERROR"))</f>
        <v>0.87672402884980405</v>
      </c>
      <c r="M21" s="157">
        <f>IF($B21=" ","",IFERROR(VLOOKUP($B21,MMWR_ACCURACY_RO[],MATCH(M$9,MMWR_ACCURACY_RO[#Headers],0),0),"ERROR"))</f>
        <v>4.8457498326536202E-2</v>
      </c>
      <c r="N21" s="157">
        <f>IF($B21=" ","",IFERROR(VLOOKUP($B21,MMWR_ACCURACY_RO[],MATCH(N$9,MMWR_ACCURACY_RO[#Headers],0),0),"ERROR"))</f>
        <v>0.89849844709711302</v>
      </c>
      <c r="O21" s="157">
        <f>IF($B21=" ","",IFERROR(VLOOKUP($B21,MMWR_ACCURACY_RO[],MATCH(O$9,MMWR_ACCURACY_RO[#Headers],0),0),"ERROR"))</f>
        <v>4.7045346468051003E-2</v>
      </c>
      <c r="P21" s="28"/>
    </row>
    <row r="22" spans="1:16" x14ac:dyDescent="0.2">
      <c r="A22" s="25"/>
      <c r="B22" s="8" t="str">
        <f>VLOOKUP($B$16,DISTRICT_RO[],7,0)</f>
        <v>Manchester VSC</v>
      </c>
      <c r="C22" s="154">
        <f>IF($B22=" ","",IFERROR(INDEX(MMWR_RATING_RO_ROLLUP[],MATCH($B22,MMWR_RATING_RO_ROLLUP[MMWR_RATING_RO_ROLLUP],0),MATCH(C$9,MMWR_RATING_RO_ROLLUP[#Headers],0)),"ERROR"))</f>
        <v>397</v>
      </c>
      <c r="D22" s="155">
        <f>IF($B22=" ","",IFERROR(INDEX(MMWR_RATING_RO_ROLLUP[],MATCH($B22,MMWR_RATING_RO_ROLLUP[MMWR_RATING_RO_ROLLUP],0),MATCH(D$9,MMWR_RATING_RO_ROLLUP[#Headers],0)),"ERROR"))</f>
        <v>104.77581863979999</v>
      </c>
      <c r="E22" s="156">
        <f>IF($B22=" ","",IFERROR(INDEX(MMWR_RATING_RO_ROLLUP[],MATCH($B22,MMWR_RATING_RO_ROLLUP[MMWR_RATING_RO_ROLLUP],0),MATCH(E$9,MMWR_RATING_RO_ROLLUP[#Headers],0))/$C22,"ERROR"))</f>
        <v>0.29219143576826195</v>
      </c>
      <c r="F22" s="154">
        <f>IF($B22=" ","",IFERROR(INDEX(MMWR_RATING_RO_ROLLUP[],MATCH($B22,MMWR_RATING_RO_ROLLUP[MMWR_RATING_RO_ROLLUP],0),MATCH(F$9,MMWR_RATING_RO_ROLLUP[#Headers],0)),"ERROR"))</f>
        <v>21</v>
      </c>
      <c r="G22" s="154">
        <f>IF($B22=" ","",IFERROR(INDEX(MMWR_RATING_RO_ROLLUP[],MATCH($B22,MMWR_RATING_RO_ROLLUP[MMWR_RATING_RO_ROLLUP],0),MATCH(G$9,MMWR_RATING_RO_ROLLUP[#Headers],0)),"ERROR"))</f>
        <v>3143</v>
      </c>
      <c r="H22" s="155">
        <f>IF($B22=" ","",IFERROR(INDEX(MMWR_RATING_RO_ROLLUP[],MATCH($B22,MMWR_RATING_RO_ROLLUP[MMWR_RATING_RO_ROLLUP],0),MATCH(H$9,MMWR_RATING_RO_ROLLUP[#Headers],0)),"ERROR"))</f>
        <v>80.523809523799997</v>
      </c>
      <c r="I22" s="155">
        <f>IF($B22=" ","",IFERROR(INDEX(MMWR_RATING_RO_ROLLUP[],MATCH($B22,MMWR_RATING_RO_ROLLUP[MMWR_RATING_RO_ROLLUP],0),MATCH(I$9,MMWR_RATING_RO_ROLLUP[#Headers],0)),"ERROR"))</f>
        <v>131.72764874320001</v>
      </c>
      <c r="J22" s="157">
        <f>IF($B22=" ","",IFERROR(VLOOKUP($B22,MMWR_ACCURACY_RO[],MATCH(J$9,MMWR_ACCURACY_RO[#Headers],0),0),"ERROR"))</f>
        <v>0.97013701421076803</v>
      </c>
      <c r="K22" s="157">
        <f>IF($B22=" ","",IFERROR(VLOOKUP($B22,MMWR_ACCURACY_RO[],MATCH(K$9,MMWR_ACCURACY_RO[#Headers],0),0),"ERROR"))</f>
        <v>0.90144452842865497</v>
      </c>
      <c r="L22" s="157">
        <f>IF($B22=" ","",IFERROR(VLOOKUP($B22,MMWR_ACCURACY_RO[],MATCH(L$9,MMWR_ACCURACY_RO[#Headers],0),0),"ERROR"))</f>
        <v>0.89876098297638596</v>
      </c>
      <c r="M22" s="157">
        <f>IF($B22=" ","",IFERROR(VLOOKUP($B22,MMWR_ACCURACY_RO[],MATCH(M$9,MMWR_ACCURACY_RO[#Headers],0),0),"ERROR"))</f>
        <v>4.4138516467842899E-2</v>
      </c>
      <c r="N22" s="157">
        <f>IF($B22=" ","",IFERROR(VLOOKUP($B22,MMWR_ACCURACY_RO[],MATCH(N$9,MMWR_ACCURACY_RO[#Headers],0),0),"ERROR"))</f>
        <v>0.87528553489206495</v>
      </c>
      <c r="O22" s="157">
        <f>IF($B22=" ","",IFERROR(VLOOKUP($B22,MMWR_ACCURACY_RO[],MATCH(O$9,MMWR_ACCURACY_RO[#Headers],0),0),"ERROR"))</f>
        <v>5.7207236605424303E-2</v>
      </c>
      <c r="P22" s="28"/>
    </row>
    <row r="23" spans="1:16" x14ac:dyDescent="0.2">
      <c r="A23" s="25"/>
      <c r="B23" s="8" t="str">
        <f>VLOOKUP($B$16,DISTRICT_RO[],8,0)</f>
        <v>New York VSC</v>
      </c>
      <c r="C23" s="154">
        <f>IF($B23=" ","",IFERROR(INDEX(MMWR_RATING_RO_ROLLUP[],MATCH($B23,MMWR_RATING_RO_ROLLUP[MMWR_RATING_RO_ROLLUP],0),MATCH(C$9,MMWR_RATING_RO_ROLLUP[#Headers],0)),"ERROR"))</f>
        <v>944</v>
      </c>
      <c r="D23" s="155">
        <f>IF($B23=" ","",IFERROR(INDEX(MMWR_RATING_RO_ROLLUP[],MATCH($B23,MMWR_RATING_RO_ROLLUP[MMWR_RATING_RO_ROLLUP],0),MATCH(D$9,MMWR_RATING_RO_ROLLUP[#Headers],0)),"ERROR"))</f>
        <v>136.8824152542</v>
      </c>
      <c r="E23" s="156">
        <f>IF($B23=" ","",IFERROR(INDEX(MMWR_RATING_RO_ROLLUP[],MATCH($B23,MMWR_RATING_RO_ROLLUP[MMWR_RATING_RO_ROLLUP],0),MATCH(E$9,MMWR_RATING_RO_ROLLUP[#Headers],0))/$C23,"ERROR"))</f>
        <v>0.40042372881355931</v>
      </c>
      <c r="F23" s="154">
        <f>IF($B23=" ","",IFERROR(INDEX(MMWR_RATING_RO_ROLLUP[],MATCH($B23,MMWR_RATING_RO_ROLLUP[MMWR_RATING_RO_ROLLUP],0),MATCH(F$9,MMWR_RATING_RO_ROLLUP[#Headers],0)),"ERROR"))</f>
        <v>57</v>
      </c>
      <c r="G23" s="154">
        <f>IF($B23=" ","",IFERROR(INDEX(MMWR_RATING_RO_ROLLUP[],MATCH($B23,MMWR_RATING_RO_ROLLUP[MMWR_RATING_RO_ROLLUP],0),MATCH(G$9,MMWR_RATING_RO_ROLLUP[#Headers],0)),"ERROR"))</f>
        <v>8716</v>
      </c>
      <c r="H23" s="155">
        <f>IF($B23=" ","",IFERROR(INDEX(MMWR_RATING_RO_ROLLUP[],MATCH($B23,MMWR_RATING_RO_ROLLUP[MMWR_RATING_RO_ROLLUP],0),MATCH(H$9,MMWR_RATING_RO_ROLLUP[#Headers],0)),"ERROR"))</f>
        <v>151.40350877189999</v>
      </c>
      <c r="I23" s="155">
        <f>IF($B23=" ","",IFERROR(INDEX(MMWR_RATING_RO_ROLLUP[],MATCH($B23,MMWR_RATING_RO_ROLLUP[MMWR_RATING_RO_ROLLUP],0),MATCH(I$9,MMWR_RATING_RO_ROLLUP[#Headers],0)),"ERROR"))</f>
        <v>131.28246902250001</v>
      </c>
      <c r="J23" s="157">
        <f>IF($B23=" ","",IFERROR(VLOOKUP($B23,MMWR_ACCURACY_RO[],MATCH(J$9,MMWR_ACCURACY_RO[#Headers],0),0),"ERROR"))</f>
        <v>0.93814788167473995</v>
      </c>
      <c r="K23" s="157">
        <f>IF($B23=" ","",IFERROR(VLOOKUP($B23,MMWR_ACCURACY_RO[],MATCH(K$9,MMWR_ACCURACY_RO[#Headers],0),0),"ERROR"))</f>
        <v>0.87274806093754798</v>
      </c>
      <c r="L23" s="157">
        <f>IF($B23=" ","",IFERROR(VLOOKUP($B23,MMWR_ACCURACY_RO[],MATCH(L$9,MMWR_ACCURACY_RO[#Headers],0),0),"ERROR"))</f>
        <v>0.87191749462785995</v>
      </c>
      <c r="M23" s="157">
        <f>IF($B23=" ","",IFERROR(VLOOKUP($B23,MMWR_ACCURACY_RO[],MATCH(M$9,MMWR_ACCURACY_RO[#Headers],0),0),"ERROR"))</f>
        <v>5.10509932455223E-2</v>
      </c>
      <c r="N23" s="157">
        <f>IF($B23=" ","",IFERROR(VLOOKUP($B23,MMWR_ACCURACY_RO[],MATCH(N$9,MMWR_ACCURACY_RO[#Headers],0),0),"ERROR"))</f>
        <v>0.91433992235894301</v>
      </c>
      <c r="O23" s="157">
        <f>IF($B23=" ","",IFERROR(VLOOKUP($B23,MMWR_ACCURACY_RO[],MATCH(O$9,MMWR_ACCURACY_RO[#Headers],0),0),"ERROR"))</f>
        <v>4.2794130526865398E-2</v>
      </c>
      <c r="P23" s="28"/>
    </row>
    <row r="24" spans="1:16" x14ac:dyDescent="0.2">
      <c r="A24" s="25"/>
      <c r="B24" s="8" t="str">
        <f>VLOOKUP($B$16,DISTRICT_RO[],9,0)</f>
        <v>Newark VSC</v>
      </c>
      <c r="C24" s="154">
        <f>IF($B24=" ","",IFERROR(INDEX(MMWR_RATING_RO_ROLLUP[],MATCH($B24,MMWR_RATING_RO_ROLLUP[MMWR_RATING_RO_ROLLUP],0),MATCH(C$9,MMWR_RATING_RO_ROLLUP[#Headers],0)),"ERROR"))</f>
        <v>659</v>
      </c>
      <c r="D24" s="155">
        <f>IF($B24=" ","",IFERROR(INDEX(MMWR_RATING_RO_ROLLUP[],MATCH($B24,MMWR_RATING_RO_ROLLUP[MMWR_RATING_RO_ROLLUP],0),MATCH(D$9,MMWR_RATING_RO_ROLLUP[#Headers],0)),"ERROR"))</f>
        <v>130.6767830046</v>
      </c>
      <c r="E24" s="156">
        <f>IF($B24=" ","",IFERROR(INDEX(MMWR_RATING_RO_ROLLUP[],MATCH($B24,MMWR_RATING_RO_ROLLUP[MMWR_RATING_RO_ROLLUP],0),MATCH(E$9,MMWR_RATING_RO_ROLLUP[#Headers],0))/$C24,"ERROR"))</f>
        <v>0.40060698027314112</v>
      </c>
      <c r="F24" s="154">
        <f>IF($B24=" ","",IFERROR(INDEX(MMWR_RATING_RO_ROLLUP[],MATCH($B24,MMWR_RATING_RO_ROLLUP[MMWR_RATING_RO_ROLLUP],0),MATCH(F$9,MMWR_RATING_RO_ROLLUP[#Headers],0)),"ERROR"))</f>
        <v>11</v>
      </c>
      <c r="G24" s="154">
        <f>IF($B24=" ","",IFERROR(INDEX(MMWR_RATING_RO_ROLLUP[],MATCH($B24,MMWR_RATING_RO_ROLLUP[MMWR_RATING_RO_ROLLUP],0),MATCH(G$9,MMWR_RATING_RO_ROLLUP[#Headers],0)),"ERROR"))</f>
        <v>4081</v>
      </c>
      <c r="H24" s="155">
        <f>IF($B24=" ","",IFERROR(INDEX(MMWR_RATING_RO_ROLLUP[],MATCH($B24,MMWR_RATING_RO_ROLLUP[MMWR_RATING_RO_ROLLUP],0),MATCH(H$9,MMWR_RATING_RO_ROLLUP[#Headers],0)),"ERROR"))</f>
        <v>162.63636363640001</v>
      </c>
      <c r="I24" s="155">
        <f>IF($B24=" ","",IFERROR(INDEX(MMWR_RATING_RO_ROLLUP[],MATCH($B24,MMWR_RATING_RO_ROLLUP[MMWR_RATING_RO_ROLLUP],0),MATCH(I$9,MMWR_RATING_RO_ROLLUP[#Headers],0)),"ERROR"))</f>
        <v>141.03332516539999</v>
      </c>
      <c r="J24" s="157">
        <f>IF($B24=" ","",IFERROR(VLOOKUP($B24,MMWR_ACCURACY_RO[],MATCH(J$9,MMWR_ACCURACY_RO[#Headers],0),0),"ERROR"))</f>
        <v>0.95214199809231503</v>
      </c>
      <c r="K24" s="157">
        <f>IF($B24=" ","",IFERROR(VLOOKUP($B24,MMWR_ACCURACY_RO[],MATCH(K$9,MMWR_ACCURACY_RO[#Headers],0),0),"ERROR"))</f>
        <v>0.89667266187050398</v>
      </c>
      <c r="L24" s="157">
        <f>IF($B24=" ","",IFERROR(VLOOKUP($B24,MMWR_ACCURACY_RO[],MATCH(L$9,MMWR_ACCURACY_RO[#Headers],0),0),"ERROR"))</f>
        <v>0.90428581260107999</v>
      </c>
      <c r="M24" s="157">
        <f>IF($B24=" ","",IFERROR(VLOOKUP($B24,MMWR_ACCURACY_RO[],MATCH(M$9,MMWR_ACCURACY_RO[#Headers],0),0),"ERROR"))</f>
        <v>3.9477569540227901E-2</v>
      </c>
      <c r="N24" s="157">
        <f>IF($B24=" ","",IFERROR(VLOOKUP($B24,MMWR_ACCURACY_RO[],MATCH(N$9,MMWR_ACCURACY_RO[#Headers],0),0),"ERROR"))</f>
        <v>0.85679246064442405</v>
      </c>
      <c r="O24" s="157">
        <f>IF($B24=" ","",IFERROR(VLOOKUP($B24,MMWR_ACCURACY_RO[],MATCH(O$9,MMWR_ACCURACY_RO[#Headers],0),0),"ERROR"))</f>
        <v>5.2328934940198801E-2</v>
      </c>
      <c r="P24" s="28"/>
    </row>
    <row r="25" spans="1:16" x14ac:dyDescent="0.2">
      <c r="A25" s="25"/>
      <c r="B25" s="8" t="str">
        <f>VLOOKUP($B$16,DISTRICT_RO[],10,0)</f>
        <v>Philadelphia VSC</v>
      </c>
      <c r="C25" s="154">
        <f>IF($B25=" ","",IFERROR(INDEX(MMWR_RATING_RO_ROLLUP[],MATCH($B25,MMWR_RATING_RO_ROLLUP[MMWR_RATING_RO_ROLLUP],0),MATCH(C$9,MMWR_RATING_RO_ROLLUP[#Headers],0)),"ERROR"))</f>
        <v>2412</v>
      </c>
      <c r="D25" s="155">
        <f>IF($B25=" ","",IFERROR(INDEX(MMWR_RATING_RO_ROLLUP[],MATCH($B25,MMWR_RATING_RO_ROLLUP[MMWR_RATING_RO_ROLLUP],0),MATCH(D$9,MMWR_RATING_RO_ROLLUP[#Headers],0)),"ERROR"))</f>
        <v>123.2823383085</v>
      </c>
      <c r="E25" s="156">
        <f>IF($B25=" ","",IFERROR(INDEX(MMWR_RATING_RO_ROLLUP[],MATCH($B25,MMWR_RATING_RO_ROLLUP[MMWR_RATING_RO_ROLLUP],0),MATCH(E$9,MMWR_RATING_RO_ROLLUP[#Headers],0))/$C25,"ERROR"))</f>
        <v>0.3536484245439469</v>
      </c>
      <c r="F25" s="154">
        <f>IF($B25=" ","",IFERROR(INDEX(MMWR_RATING_RO_ROLLUP[],MATCH($B25,MMWR_RATING_RO_ROLLUP[MMWR_RATING_RO_ROLLUP],0),MATCH(F$9,MMWR_RATING_RO_ROLLUP[#Headers],0)),"ERROR"))</f>
        <v>48</v>
      </c>
      <c r="G25" s="154">
        <f>IF($B25=" ","",IFERROR(INDEX(MMWR_RATING_RO_ROLLUP[],MATCH($B25,MMWR_RATING_RO_ROLLUP[MMWR_RATING_RO_ROLLUP],0),MATCH(G$9,MMWR_RATING_RO_ROLLUP[#Headers],0)),"ERROR"))</f>
        <v>17752</v>
      </c>
      <c r="H25" s="155">
        <f>IF($B25=" ","",IFERROR(INDEX(MMWR_RATING_RO_ROLLUP[],MATCH($B25,MMWR_RATING_RO_ROLLUP[MMWR_RATING_RO_ROLLUP],0),MATCH(H$9,MMWR_RATING_RO_ROLLUP[#Headers],0)),"ERROR"))</f>
        <v>143.4375</v>
      </c>
      <c r="I25" s="155">
        <f>IF($B25=" ","",IFERROR(INDEX(MMWR_RATING_RO_ROLLUP[],MATCH($B25,MMWR_RATING_RO_ROLLUP[MMWR_RATING_RO_ROLLUP],0),MATCH(I$9,MMWR_RATING_RO_ROLLUP[#Headers],0)),"ERROR"))</f>
        <v>146.12708427219999</v>
      </c>
      <c r="J25" s="157">
        <f>IF($B25=" ","",IFERROR(VLOOKUP($B25,MMWR_ACCURACY_RO[],MATCH(J$9,MMWR_ACCURACY_RO[#Headers],0),0),"ERROR"))</f>
        <v>0.94628007849308804</v>
      </c>
      <c r="K25" s="157">
        <f>IF($B25=" ","",IFERROR(VLOOKUP($B25,MMWR_ACCURACY_RO[],MATCH(K$9,MMWR_ACCURACY_RO[#Headers],0),0),"ERROR"))</f>
        <v>0.89027388022362897</v>
      </c>
      <c r="L25" s="157">
        <f>IF($B25=" ","",IFERROR(VLOOKUP($B25,MMWR_ACCURACY_RO[],MATCH(L$9,MMWR_ACCURACY_RO[#Headers],0),0),"ERROR"))</f>
        <v>0.90797815441669005</v>
      </c>
      <c r="M25" s="157">
        <f>IF($B25=" ","",IFERROR(VLOOKUP($B25,MMWR_ACCURACY_RO[],MATCH(M$9,MMWR_ACCURACY_RO[#Headers],0),0),"ERROR"))</f>
        <v>4.0546343801548902E-2</v>
      </c>
      <c r="N25" s="157">
        <f>IF($B25=" ","",IFERROR(VLOOKUP($B25,MMWR_ACCURACY_RO[],MATCH(N$9,MMWR_ACCURACY_RO[#Headers],0),0),"ERROR"))</f>
        <v>0.86444863285205198</v>
      </c>
      <c r="O25" s="157">
        <f>IF($B25=" ","",IFERROR(VLOOKUP($B25,MMWR_ACCURACY_RO[],MATCH(O$9,MMWR_ACCURACY_RO[#Headers],0),0),"ERROR"))</f>
        <v>5.6895880287101103E-2</v>
      </c>
      <c r="P25" s="28"/>
    </row>
    <row r="26" spans="1:16" x14ac:dyDescent="0.2">
      <c r="A26" s="25"/>
      <c r="B26" s="8" t="str">
        <f>VLOOKUP($B$16,DISTRICT_RO[],11,0)</f>
        <v>Pittsburgh VSC</v>
      </c>
      <c r="C26" s="154">
        <f>IF($B26=" ","",IFERROR(INDEX(MMWR_RATING_RO_ROLLUP[],MATCH($B26,MMWR_RATING_RO_ROLLUP[MMWR_RATING_RO_ROLLUP],0),MATCH(C$9,MMWR_RATING_RO_ROLLUP[#Headers],0)),"ERROR"))</f>
        <v>601</v>
      </c>
      <c r="D26" s="155">
        <f>IF($B26=" ","",IFERROR(INDEX(MMWR_RATING_RO_ROLLUP[],MATCH($B26,MMWR_RATING_RO_ROLLUP[MMWR_RATING_RO_ROLLUP],0),MATCH(D$9,MMWR_RATING_RO_ROLLUP[#Headers],0)),"ERROR"))</f>
        <v>150.1680532446</v>
      </c>
      <c r="E26" s="156">
        <f>IF($B26=" ","",IFERROR(INDEX(MMWR_RATING_RO_ROLLUP[],MATCH($B26,MMWR_RATING_RO_ROLLUP[MMWR_RATING_RO_ROLLUP],0),MATCH(E$9,MMWR_RATING_RO_ROLLUP[#Headers],0))/$C26,"ERROR"))</f>
        <v>0.55074875207986684</v>
      </c>
      <c r="F26" s="154">
        <f>IF($B26=" ","",IFERROR(INDEX(MMWR_RATING_RO_ROLLUP[],MATCH($B26,MMWR_RATING_RO_ROLLUP[MMWR_RATING_RO_ROLLUP],0),MATCH(F$9,MMWR_RATING_RO_ROLLUP[#Headers],0)),"ERROR"))</f>
        <v>57</v>
      </c>
      <c r="G26" s="154">
        <f>IF($B26=" ","",IFERROR(INDEX(MMWR_RATING_RO_ROLLUP[],MATCH($B26,MMWR_RATING_RO_ROLLUP[MMWR_RATING_RO_ROLLUP],0),MATCH(G$9,MMWR_RATING_RO_ROLLUP[#Headers],0)),"ERROR"))</f>
        <v>8411</v>
      </c>
      <c r="H26" s="155">
        <f>IF($B26=" ","",IFERROR(INDEX(MMWR_RATING_RO_ROLLUP[],MATCH($B26,MMWR_RATING_RO_ROLLUP[MMWR_RATING_RO_ROLLUP],0),MATCH(H$9,MMWR_RATING_RO_ROLLUP[#Headers],0)),"ERROR"))</f>
        <v>187.05263157889999</v>
      </c>
      <c r="I26" s="155">
        <f>IF($B26=" ","",IFERROR(INDEX(MMWR_RATING_RO_ROLLUP[],MATCH($B26,MMWR_RATING_RO_ROLLUP[MMWR_RATING_RO_ROLLUP],0),MATCH(I$9,MMWR_RATING_RO_ROLLUP[#Headers],0)),"ERROR"))</f>
        <v>170.86065866129999</v>
      </c>
      <c r="J26" s="157">
        <f>IF($B26=" ","",IFERROR(VLOOKUP($B26,MMWR_ACCURACY_RO[],MATCH(J$9,MMWR_ACCURACY_RO[#Headers],0),0),"ERROR"))</f>
        <v>0.95793217049462098</v>
      </c>
      <c r="K26" s="157">
        <f>IF($B26=" ","",IFERROR(VLOOKUP($B26,MMWR_ACCURACY_RO[],MATCH(K$9,MMWR_ACCURACY_RO[#Headers],0),0),"ERROR"))</f>
        <v>0.85860801647551099</v>
      </c>
      <c r="L26" s="157">
        <f>IF($B26=" ","",IFERROR(VLOOKUP($B26,MMWR_ACCURACY_RO[],MATCH(L$9,MMWR_ACCURACY_RO[#Headers],0),0),"ERROR"))</f>
        <v>0.87937727771437402</v>
      </c>
      <c r="M26" s="157">
        <f>IF($B26=" ","",IFERROR(VLOOKUP($B26,MMWR_ACCURACY_RO[],MATCH(M$9,MMWR_ACCURACY_RO[#Headers],0),0),"ERROR"))</f>
        <v>4.7506445381002002E-2</v>
      </c>
      <c r="N26" s="157">
        <f>IF($B26=" ","",IFERROR(VLOOKUP($B26,MMWR_ACCURACY_RO[],MATCH(N$9,MMWR_ACCURACY_RO[#Headers],0),0),"ERROR"))</f>
        <v>0.88973110411783196</v>
      </c>
      <c r="O26" s="157">
        <f>IF($B26=" ","",IFERROR(VLOOKUP($B26,MMWR_ACCURACY_RO[],MATCH(O$9,MMWR_ACCURACY_RO[#Headers],0),0),"ERROR"))</f>
        <v>5.6191515520256599E-2</v>
      </c>
      <c r="P26" s="28"/>
    </row>
    <row r="27" spans="1:16" x14ac:dyDescent="0.2">
      <c r="A27" s="25"/>
      <c r="B27" s="8" t="str">
        <f>VLOOKUP($B$16,DISTRICT_RO[],12,0)</f>
        <v>Providence VSC</v>
      </c>
      <c r="C27" s="154">
        <f>IF($B27=" ","",IFERROR(INDEX(MMWR_RATING_RO_ROLLUP[],MATCH($B27,MMWR_RATING_RO_ROLLUP[MMWR_RATING_RO_ROLLUP],0),MATCH(C$9,MMWR_RATING_RO_ROLLUP[#Headers],0)),"ERROR"))</f>
        <v>1514</v>
      </c>
      <c r="D27" s="155">
        <f>IF($B27=" ","",IFERROR(INDEX(MMWR_RATING_RO_ROLLUP[],MATCH($B27,MMWR_RATING_RO_ROLLUP[MMWR_RATING_RO_ROLLUP],0),MATCH(D$9,MMWR_RATING_RO_ROLLUP[#Headers],0)),"ERROR"))</f>
        <v>47.638705416100002</v>
      </c>
      <c r="E27" s="156">
        <f>IF($B27=" ","",IFERROR(INDEX(MMWR_RATING_RO_ROLLUP[],MATCH($B27,MMWR_RATING_RO_ROLLUP[MMWR_RATING_RO_ROLLUP],0),MATCH(E$9,MMWR_RATING_RO_ROLLUP[#Headers],0))/$C27,"ERROR"))</f>
        <v>8.2562747688243066E-2</v>
      </c>
      <c r="F27" s="154">
        <f>IF($B27=" ","",IFERROR(INDEX(MMWR_RATING_RO_ROLLUP[],MATCH($B27,MMWR_RATING_RO_ROLLUP[MMWR_RATING_RO_ROLLUP],0),MATCH(F$9,MMWR_RATING_RO_ROLLUP[#Headers],0)),"ERROR"))</f>
        <v>121</v>
      </c>
      <c r="G27" s="154">
        <f>IF($B27=" ","",IFERROR(INDEX(MMWR_RATING_RO_ROLLUP[],MATCH($B27,MMWR_RATING_RO_ROLLUP[MMWR_RATING_RO_ROLLUP],0),MATCH(G$9,MMWR_RATING_RO_ROLLUP[#Headers],0)),"ERROR"))</f>
        <v>19609</v>
      </c>
      <c r="H27" s="155">
        <f>IF($B27=" ","",IFERROR(INDEX(MMWR_RATING_RO_ROLLUP[],MATCH($B27,MMWR_RATING_RO_ROLLUP[MMWR_RATING_RO_ROLLUP],0),MATCH(H$9,MMWR_RATING_RO_ROLLUP[#Headers],0)),"ERROR"))</f>
        <v>55.247933884299997</v>
      </c>
      <c r="I27" s="155">
        <f>IF($B27=" ","",IFERROR(INDEX(MMWR_RATING_RO_ROLLUP[],MATCH($B27,MMWR_RATING_RO_ROLLUP[MMWR_RATING_RO_ROLLUP],0),MATCH(I$9,MMWR_RATING_RO_ROLLUP[#Headers],0)),"ERROR"))</f>
        <v>72.929318170200006</v>
      </c>
      <c r="J27" s="157">
        <f>IF($B27=" ","",IFERROR(VLOOKUP($B27,MMWR_ACCURACY_RO[],MATCH(J$9,MMWR_ACCURACY_RO[#Headers],0),0),"ERROR"))</f>
        <v>0.94296670230941904</v>
      </c>
      <c r="K27" s="157">
        <f>IF($B27=" ","",IFERROR(VLOOKUP($B27,MMWR_ACCURACY_RO[],MATCH(K$9,MMWR_ACCURACY_RO[#Headers],0),0),"ERROR"))</f>
        <v>0.85349718209980197</v>
      </c>
      <c r="L27" s="157">
        <f>IF($B27=" ","",IFERROR(VLOOKUP($B27,MMWR_ACCURACY_RO[],MATCH(L$9,MMWR_ACCURACY_RO[#Headers],0),0),"ERROR"))</f>
        <v>0.88856606333828703</v>
      </c>
      <c r="M27" s="157">
        <f>IF($B27=" ","",IFERROR(VLOOKUP($B27,MMWR_ACCURACY_RO[],MATCH(M$9,MMWR_ACCURACY_RO[#Headers],0),0),"ERROR"))</f>
        <v>5.0706483762728398E-2</v>
      </c>
      <c r="N27" s="157">
        <f>IF($B27=" ","",IFERROR(VLOOKUP($B27,MMWR_ACCURACY_RO[],MATCH(N$9,MMWR_ACCURACY_RO[#Headers],0),0),"ERROR"))</f>
        <v>0.93977915265468903</v>
      </c>
      <c r="O27" s="157">
        <f>IF($B27=" ","",IFERROR(VLOOKUP($B27,MMWR_ACCURACY_RO[],MATCH(O$9,MMWR_ACCURACY_RO[#Headers],0),0),"ERROR"))</f>
        <v>3.9216633604310797E-2</v>
      </c>
      <c r="P27" s="28"/>
    </row>
    <row r="28" spans="1:16" x14ac:dyDescent="0.2">
      <c r="A28" s="25"/>
      <c r="B28" s="8" t="str">
        <f>VLOOKUP($B$16,DISTRICT_RO[],13,0)</f>
        <v>Roanoke VSC</v>
      </c>
      <c r="C28" s="154">
        <f>IF($B28=" ","",IFERROR(INDEX(MMWR_RATING_RO_ROLLUP[],MATCH($B28,MMWR_RATING_RO_ROLLUP[MMWR_RATING_RO_ROLLUP],0),MATCH(C$9,MMWR_RATING_RO_ROLLUP[#Headers],0)),"ERROR"))</f>
        <v>2261</v>
      </c>
      <c r="D28" s="155">
        <f>IF($B28=" ","",IFERROR(INDEX(MMWR_RATING_RO_ROLLUP[],MATCH($B28,MMWR_RATING_RO_ROLLUP[MMWR_RATING_RO_ROLLUP],0),MATCH(D$9,MMWR_RATING_RO_ROLLUP[#Headers],0)),"ERROR"))</f>
        <v>105.71915081820001</v>
      </c>
      <c r="E28" s="156">
        <f>IF($B28=" ","",IFERROR(INDEX(MMWR_RATING_RO_ROLLUP[],MATCH($B28,MMWR_RATING_RO_ROLLUP[MMWR_RATING_RO_ROLLUP],0),MATCH(E$9,MMWR_RATING_RO_ROLLUP[#Headers],0))/$C28,"ERROR"))</f>
        <v>0.29544449358690844</v>
      </c>
      <c r="F28" s="154">
        <f>IF($B28=" ","",IFERROR(INDEX(MMWR_RATING_RO_ROLLUP[],MATCH($B28,MMWR_RATING_RO_ROLLUP[MMWR_RATING_RO_ROLLUP],0),MATCH(F$9,MMWR_RATING_RO_ROLLUP[#Headers],0)),"ERROR"))</f>
        <v>231</v>
      </c>
      <c r="G28" s="154">
        <f>IF($B28=" ","",IFERROR(INDEX(MMWR_RATING_RO_ROLLUP[],MATCH($B28,MMWR_RATING_RO_ROLLUP[MMWR_RATING_RO_ROLLUP],0),MATCH(G$9,MMWR_RATING_RO_ROLLUP[#Headers],0)),"ERROR"))</f>
        <v>26303</v>
      </c>
      <c r="H28" s="155">
        <f>IF($B28=" ","",IFERROR(INDEX(MMWR_RATING_RO_ROLLUP[],MATCH($B28,MMWR_RATING_RO_ROLLUP[MMWR_RATING_RO_ROLLUP],0),MATCH(H$9,MMWR_RATING_RO_ROLLUP[#Headers],0)),"ERROR"))</f>
        <v>113.17748917749999</v>
      </c>
      <c r="I28" s="155">
        <f>IF($B28=" ","",IFERROR(INDEX(MMWR_RATING_RO_ROLLUP[],MATCH($B28,MMWR_RATING_RO_ROLLUP[MMWR_RATING_RO_ROLLUP],0),MATCH(I$9,MMWR_RATING_RO_ROLLUP[#Headers],0)),"ERROR"))</f>
        <v>132.5709234688</v>
      </c>
      <c r="J28" s="157">
        <f>IF($B28=" ","",IFERROR(VLOOKUP($B28,MMWR_ACCURACY_RO[],MATCH(J$9,MMWR_ACCURACY_RO[#Headers],0),0),"ERROR"))</f>
        <v>0.94995038186049097</v>
      </c>
      <c r="K28" s="157">
        <f>IF($B28=" ","",IFERROR(VLOOKUP($B28,MMWR_ACCURACY_RO[],MATCH(K$9,MMWR_ACCURACY_RO[#Headers],0),0),"ERROR"))</f>
        <v>0.81953368490708001</v>
      </c>
      <c r="L28" s="157">
        <f>IF($B28=" ","",IFERROR(VLOOKUP($B28,MMWR_ACCURACY_RO[],MATCH(L$9,MMWR_ACCURACY_RO[#Headers],0),0),"ERROR"))</f>
        <v>0.89004359705665703</v>
      </c>
      <c r="M28" s="157">
        <f>IF($B28=" ","",IFERROR(VLOOKUP($B28,MMWR_ACCURACY_RO[],MATCH(M$9,MMWR_ACCURACY_RO[#Headers],0),0),"ERROR"))</f>
        <v>4.6643099069139E-2</v>
      </c>
      <c r="N28" s="157">
        <f>IF($B28=" ","",IFERROR(VLOOKUP($B28,MMWR_ACCURACY_RO[],MATCH(N$9,MMWR_ACCURACY_RO[#Headers],0),0),"ERROR"))</f>
        <v>0.89970755114911505</v>
      </c>
      <c r="O28" s="157">
        <f>IF($B28=" ","",IFERROR(VLOOKUP($B28,MMWR_ACCURACY_RO[],MATCH(O$9,MMWR_ACCURACY_RO[#Headers],0),0),"ERROR"))</f>
        <v>4.5651227068979901E-2</v>
      </c>
      <c r="P28" s="28"/>
    </row>
    <row r="29" spans="1:16" x14ac:dyDescent="0.2">
      <c r="A29" s="25"/>
      <c r="B29" s="8" t="str">
        <f>VLOOKUP($B$16,DISTRICT_RO[],14,0)</f>
        <v>Togus VSC</v>
      </c>
      <c r="C29" s="154">
        <f>IF($B29=" ","",IFERROR(INDEX(MMWR_RATING_RO_ROLLUP[],MATCH($B29,MMWR_RATING_RO_ROLLUP[MMWR_RATING_RO_ROLLUP],0),MATCH(C$9,MMWR_RATING_RO_ROLLUP[#Headers],0)),"ERROR"))</f>
        <v>1658</v>
      </c>
      <c r="D29" s="155">
        <f>IF($B29=" ","",IFERROR(INDEX(MMWR_RATING_RO_ROLLUP[],MATCH($B29,MMWR_RATING_RO_ROLLUP[MMWR_RATING_RO_ROLLUP],0),MATCH(D$9,MMWR_RATING_RO_ROLLUP[#Headers],0)),"ERROR"))</f>
        <v>71.622436670699997</v>
      </c>
      <c r="E29" s="156">
        <f>IF($B29=" ","",IFERROR(INDEX(MMWR_RATING_RO_ROLLUP[],MATCH($B29,MMWR_RATING_RO_ROLLUP[MMWR_RATING_RO_ROLLUP],0),MATCH(E$9,MMWR_RATING_RO_ROLLUP[#Headers],0))/$C29,"ERROR"))</f>
        <v>9.8914354644149577E-2</v>
      </c>
      <c r="F29" s="154">
        <f>IF($B29=" ","",IFERROR(INDEX(MMWR_RATING_RO_ROLLUP[],MATCH($B29,MMWR_RATING_RO_ROLLUP[MMWR_RATING_RO_ROLLUP],0),MATCH(F$9,MMWR_RATING_RO_ROLLUP[#Headers],0)),"ERROR"))</f>
        <v>84</v>
      </c>
      <c r="G29" s="154">
        <f>IF($B29=" ","",IFERROR(INDEX(MMWR_RATING_RO_ROLLUP[],MATCH($B29,MMWR_RATING_RO_ROLLUP[MMWR_RATING_RO_ROLLUP],0),MATCH(G$9,MMWR_RATING_RO_ROLLUP[#Headers],0)),"ERROR"))</f>
        <v>13084</v>
      </c>
      <c r="H29" s="155">
        <f>IF($B29=" ","",IFERROR(INDEX(MMWR_RATING_RO_ROLLUP[],MATCH($B29,MMWR_RATING_RO_ROLLUP[MMWR_RATING_RO_ROLLUP],0),MATCH(H$9,MMWR_RATING_RO_ROLLUP[#Headers],0)),"ERROR"))</f>
        <v>83.976190476200003</v>
      </c>
      <c r="I29" s="155">
        <f>IF($B29=" ","",IFERROR(INDEX(MMWR_RATING_RO_ROLLUP[],MATCH($B29,MMWR_RATING_RO_ROLLUP[MMWR_RATING_RO_ROLLUP],0),MATCH(I$9,MMWR_RATING_RO_ROLLUP[#Headers],0)),"ERROR"))</f>
        <v>128.25993579940001</v>
      </c>
      <c r="J29" s="157">
        <f>IF($B29=" ","",IFERROR(VLOOKUP($B29,MMWR_ACCURACY_RO[],MATCH(J$9,MMWR_ACCURACY_RO[#Headers],0),0),"ERROR"))</f>
        <v>0.95099421506928705</v>
      </c>
      <c r="K29" s="157">
        <f>IF($B29=" ","",IFERROR(VLOOKUP($B29,MMWR_ACCURACY_RO[],MATCH(K$9,MMWR_ACCURACY_RO[#Headers],0),0),"ERROR"))</f>
        <v>0.86820493236588803</v>
      </c>
      <c r="L29" s="157">
        <f>IF($B29=" ","",IFERROR(VLOOKUP($B29,MMWR_ACCURACY_RO[],MATCH(L$9,MMWR_ACCURACY_RO[#Headers],0),0),"ERROR"))</f>
        <v>0.882147152333979</v>
      </c>
      <c r="M29" s="157">
        <f>IF($B29=" ","",IFERROR(VLOOKUP($B29,MMWR_ACCURACY_RO[],MATCH(M$9,MMWR_ACCURACY_RO[#Headers],0),0),"ERROR"))</f>
        <v>5.0737305494407997E-2</v>
      </c>
      <c r="N29" s="157">
        <f>IF($B29=" ","",IFERROR(VLOOKUP($B29,MMWR_ACCURACY_RO[],MATCH(N$9,MMWR_ACCURACY_RO[#Headers],0),0),"ERROR"))</f>
        <v>0.94162719388572302</v>
      </c>
      <c r="O29" s="157">
        <f>IF($B29=" ","",IFERROR(VLOOKUP($B29,MMWR_ACCURACY_RO[],MATCH(O$9,MMWR_ACCURACY_RO[#Headers],0),0),"ERROR"))</f>
        <v>3.6865638105428603E-2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239</v>
      </c>
      <c r="D30" s="155">
        <f>IF($B30=" ","",IFERROR(INDEX(MMWR_RATING_RO_ROLLUP[],MATCH($B30,MMWR_RATING_RO_ROLLUP[MMWR_RATING_RO_ROLLUP],0),MATCH(D$9,MMWR_RATING_RO_ROLLUP[#Headers],0)),"ERROR"))</f>
        <v>136.36820083680001</v>
      </c>
      <c r="E30" s="156">
        <f>IF($B30=" ","",IFERROR(INDEX(MMWR_RATING_RO_ROLLUP[],MATCH($B30,MMWR_RATING_RO_ROLLUP[MMWR_RATING_RO_ROLLUP],0),MATCH(E$9,MMWR_RATING_RO_ROLLUP[#Headers],0))/$C30,"ERROR"))</f>
        <v>0.502092050209205</v>
      </c>
      <c r="F30" s="154">
        <f>IF($B30=" ","",IFERROR(INDEX(MMWR_RATING_RO_ROLLUP[],MATCH($B30,MMWR_RATING_RO_ROLLUP[MMWR_RATING_RO_ROLLUP],0),MATCH(F$9,MMWR_RATING_RO_ROLLUP[#Headers],0)),"ERROR"))</f>
        <v>15</v>
      </c>
      <c r="G30" s="154">
        <f>IF($B30=" ","",IFERROR(INDEX(MMWR_RATING_RO_ROLLUP[],MATCH($B30,MMWR_RATING_RO_ROLLUP[MMWR_RATING_RO_ROLLUP],0),MATCH(G$9,MMWR_RATING_RO_ROLLUP[#Headers],0)),"ERROR"))</f>
        <v>1680</v>
      </c>
      <c r="H30" s="155">
        <f>IF($B30=" ","",IFERROR(INDEX(MMWR_RATING_RO_ROLLUP[],MATCH($B30,MMWR_RATING_RO_ROLLUP[MMWR_RATING_RO_ROLLUP],0),MATCH(H$9,MMWR_RATING_RO_ROLLUP[#Headers],0)),"ERROR"))</f>
        <v>103.2</v>
      </c>
      <c r="I30" s="155">
        <f>IF($B30=" ","",IFERROR(INDEX(MMWR_RATING_RO_ROLLUP[],MATCH($B30,MMWR_RATING_RO_ROLLUP[MMWR_RATING_RO_ROLLUP],0),MATCH(I$9,MMWR_RATING_RO_ROLLUP[#Headers],0)),"ERROR"))</f>
        <v>141.84464285710001</v>
      </c>
      <c r="J30" s="157">
        <f>IF($B30=" ","",IFERROR(VLOOKUP($B30,MMWR_ACCURACY_RO[],MATCH(J$9,MMWR_ACCURACY_RO[#Headers],0),0),"ERROR"))</f>
        <v>0.92819112720934704</v>
      </c>
      <c r="K30" s="157">
        <f>IF($B30=" ","",IFERROR(VLOOKUP($B30,MMWR_ACCURACY_RO[],MATCH(K$9,MMWR_ACCURACY_RO[#Headers],0),0),"ERROR"))</f>
        <v>0.85756607609642799</v>
      </c>
      <c r="L30" s="157">
        <f>IF($B30=" ","",IFERROR(VLOOKUP($B30,MMWR_ACCURACY_RO[],MATCH(L$9,MMWR_ACCURACY_RO[#Headers],0),0),"ERROR"))</f>
        <v>0.86165169908625405</v>
      </c>
      <c r="M30" s="157">
        <f>IF($B30=" ","",IFERROR(VLOOKUP($B30,MMWR_ACCURACY_RO[],MATCH(M$9,MMWR_ACCURACY_RO[#Headers],0),0),"ERROR"))</f>
        <v>4.51309145133931E-2</v>
      </c>
      <c r="N30" s="157">
        <f>IF($B30=" ","",IFERROR(VLOOKUP($B30,MMWR_ACCURACY_RO[],MATCH(N$9,MMWR_ACCURACY_RO[#Headers],0),0),"ERROR"))</f>
        <v>0.89202927531595</v>
      </c>
      <c r="O30" s="157">
        <f>IF($B30=" ","",IFERROR(VLOOKUP($B30,MMWR_ACCURACY_RO[],MATCH(O$9,MMWR_ACCURACY_RO[#Headers],0),0),"ERROR"))</f>
        <v>4.4870385383623999E-2</v>
      </c>
      <c r="P30" s="28"/>
    </row>
    <row r="31" spans="1:16" x14ac:dyDescent="0.2">
      <c r="A31" s="25"/>
      <c r="B31" s="8" t="str">
        <f>VLOOKUP($B$16,DISTRICT_RO[],16,0)</f>
        <v>Wilmington VSC</v>
      </c>
      <c r="C31" s="154">
        <f>IF($B31=" ","",IFERROR(INDEX(MMWR_RATING_RO_ROLLUP[],MATCH($B31,MMWR_RATING_RO_ROLLUP[MMWR_RATING_RO_ROLLUP],0),MATCH(C$9,MMWR_RATING_RO_ROLLUP[#Headers],0)),"ERROR"))</f>
        <v>194</v>
      </c>
      <c r="D31" s="155">
        <f>IF($B31=" ","",IFERROR(INDEX(MMWR_RATING_RO_ROLLUP[],MATCH($B31,MMWR_RATING_RO_ROLLUP[MMWR_RATING_RO_ROLLUP],0),MATCH(D$9,MMWR_RATING_RO_ROLLUP[#Headers],0)),"ERROR"))</f>
        <v>116.5515463918</v>
      </c>
      <c r="E31" s="156">
        <f>IF($B31=" ","",IFERROR(INDEX(MMWR_RATING_RO_ROLLUP[],MATCH($B31,MMWR_RATING_RO_ROLLUP[MMWR_RATING_RO_ROLLUP],0),MATCH(E$9,MMWR_RATING_RO_ROLLUP[#Headers],0))/$C31,"ERROR"))</f>
        <v>0.38659793814432991</v>
      </c>
      <c r="F31" s="154">
        <f>IF($B31=" ","",IFERROR(INDEX(MMWR_RATING_RO_ROLLUP[],MATCH($B31,MMWR_RATING_RO_ROLLUP[MMWR_RATING_RO_ROLLUP],0),MATCH(F$9,MMWR_RATING_RO_ROLLUP[#Headers],0)),"ERROR"))</f>
        <v>1</v>
      </c>
      <c r="G31" s="154">
        <f>IF($B31=" ","",IFERROR(INDEX(MMWR_RATING_RO_ROLLUP[],MATCH($B31,MMWR_RATING_RO_ROLLUP[MMWR_RATING_RO_ROLLUP],0),MATCH(G$9,MMWR_RATING_RO_ROLLUP[#Headers],0)),"ERROR"))</f>
        <v>1101</v>
      </c>
      <c r="H31" s="155">
        <f>IF($B31=" ","",IFERROR(INDEX(MMWR_RATING_RO_ROLLUP[],MATCH($B31,MMWR_RATING_RO_ROLLUP[MMWR_RATING_RO_ROLLUP],0),MATCH(H$9,MMWR_RATING_RO_ROLLUP[#Headers],0)),"ERROR"))</f>
        <v>51</v>
      </c>
      <c r="I31" s="155">
        <f>IF($B31=" ","",IFERROR(INDEX(MMWR_RATING_RO_ROLLUP[],MATCH($B31,MMWR_RATING_RO_ROLLUP[MMWR_RATING_RO_ROLLUP],0),MATCH(I$9,MMWR_RATING_RO_ROLLUP[#Headers],0)),"ERROR"))</f>
        <v>126.3978201635</v>
      </c>
      <c r="J31" s="157">
        <f>IF($B31=" ","",IFERROR(VLOOKUP($B31,MMWR_ACCURACY_RO[],MATCH(J$9,MMWR_ACCURACY_RO[#Headers],0),0),"ERROR"))</f>
        <v>0.93471966306922905</v>
      </c>
      <c r="K31" s="157">
        <f>IF($B31=" ","",IFERROR(VLOOKUP($B31,MMWR_ACCURACY_RO[],MATCH(K$9,MMWR_ACCURACY_RO[#Headers],0),0),"ERROR"))</f>
        <v>0.88203017832647501</v>
      </c>
      <c r="L31" s="157">
        <f>IF($B31=" ","",IFERROR(VLOOKUP($B31,MMWR_ACCURACY_RO[],MATCH(L$9,MMWR_ACCURACY_RO[#Headers],0),0),"ERROR"))</f>
        <v>0.85926204227565595</v>
      </c>
      <c r="M31" s="157">
        <f>IF($B31=" ","",IFERROR(VLOOKUP($B31,MMWR_ACCURACY_RO[],MATCH(M$9,MMWR_ACCURACY_RO[#Headers],0),0),"ERROR"))</f>
        <v>4.8008498261212298E-2</v>
      </c>
      <c r="N31" s="157">
        <f>IF($B31=" ","",IFERROR(VLOOKUP($B31,MMWR_ACCURACY_RO[],MATCH(N$9,MMWR_ACCURACY_RO[#Headers],0),0),"ERROR"))</f>
        <v>0.918353174603175</v>
      </c>
      <c r="O31" s="157">
        <f>IF($B31=" ","",IFERROR(VLOOKUP($B31,MMWR_ACCURACY_RO[],MATCH(O$9,MMWR_ACCURACY_RO[#Headers],0),0),"ERROR"))</f>
        <v>5.0309632027787897E-2</v>
      </c>
      <c r="P31" s="28"/>
    </row>
    <row r="32" spans="1:16" x14ac:dyDescent="0.2">
      <c r="A32" s="25"/>
      <c r="B32" s="8" t="str">
        <f>VLOOKUP($B$16,DISTRICT_RO[],17,0)</f>
        <v>Winston-Salem VSC</v>
      </c>
      <c r="C32" s="154">
        <f>IF($B32=" ","",IFERROR(INDEX(MMWR_RATING_RO_ROLLUP[],MATCH($B32,MMWR_RATING_RO_ROLLUP[MMWR_RATING_RO_ROLLUP],0),MATCH(C$9,MMWR_RATING_RO_ROLLUP[#Headers],0)),"ERROR"))</f>
        <v>3378</v>
      </c>
      <c r="D32" s="155">
        <f>IF($B32=" ","",IFERROR(INDEX(MMWR_RATING_RO_ROLLUP[],MATCH($B32,MMWR_RATING_RO_ROLLUP[MMWR_RATING_RO_ROLLUP],0),MATCH(D$9,MMWR_RATING_RO_ROLLUP[#Headers],0)),"ERROR"))</f>
        <v>110.7092954411</v>
      </c>
      <c r="E32" s="156">
        <f>IF($B32=" ","",IFERROR(INDEX(MMWR_RATING_RO_ROLLUP[],MATCH($B32,MMWR_RATING_RO_ROLLUP[MMWR_RATING_RO_ROLLUP],0),MATCH(E$9,MMWR_RATING_RO_ROLLUP[#Headers],0))/$C32,"ERROR"))</f>
        <v>0.31586737714624036</v>
      </c>
      <c r="F32" s="154">
        <f>IF($B32=" ","",IFERROR(INDEX(MMWR_RATING_RO_ROLLUP[],MATCH($B32,MMWR_RATING_RO_ROLLUP[MMWR_RATING_RO_ROLLUP],0),MATCH(F$9,MMWR_RATING_RO_ROLLUP[#Headers],0)),"ERROR"))</f>
        <v>131</v>
      </c>
      <c r="G32" s="154">
        <f>IF($B32=" ","",IFERROR(INDEX(MMWR_RATING_RO_ROLLUP[],MATCH($B32,MMWR_RATING_RO_ROLLUP[MMWR_RATING_RO_ROLLUP],0),MATCH(G$9,MMWR_RATING_RO_ROLLUP[#Headers],0)),"ERROR"))</f>
        <v>24205</v>
      </c>
      <c r="H32" s="155">
        <f>IF($B32=" ","",IFERROR(INDEX(MMWR_RATING_RO_ROLLUP[],MATCH($B32,MMWR_RATING_RO_ROLLUP[MMWR_RATING_RO_ROLLUP],0),MATCH(H$9,MMWR_RATING_RO_ROLLUP[#Headers],0)),"ERROR"))</f>
        <v>174.86259541979999</v>
      </c>
      <c r="I32" s="155">
        <f>IF($B32=" ","",IFERROR(INDEX(MMWR_RATING_RO_ROLLUP[],MATCH($B32,MMWR_RATING_RO_ROLLUP[MMWR_RATING_RO_ROLLUP],0),MATCH(I$9,MMWR_RATING_RO_ROLLUP[#Headers],0)),"ERROR"))</f>
        <v>140.87630654820001</v>
      </c>
      <c r="J32" s="157">
        <f>IF($B32=" ","",IFERROR(VLOOKUP($B32,MMWR_ACCURACY_RO[],MATCH(J$9,MMWR_ACCURACY_RO[#Headers],0),0),"ERROR"))</f>
        <v>0.97516311507695497</v>
      </c>
      <c r="K32" s="157">
        <f>IF($B32=" ","",IFERROR(VLOOKUP($B32,MMWR_ACCURACY_RO[],MATCH(K$9,MMWR_ACCURACY_RO[#Headers],0),0),"ERROR"))</f>
        <v>0.89462189025807903</v>
      </c>
      <c r="L32" s="157">
        <f>IF($B32=" ","",IFERROR(VLOOKUP($B32,MMWR_ACCURACY_RO[],MATCH(L$9,MMWR_ACCURACY_RO[#Headers],0),0),"ERROR"))</f>
        <v>0.86190657684410998</v>
      </c>
      <c r="M32" s="157">
        <f>IF($B32=" ","",IFERROR(VLOOKUP($B32,MMWR_ACCURACY_RO[],MATCH(M$9,MMWR_ACCURACY_RO[#Headers],0),0),"ERROR"))</f>
        <v>4.8293107088046502E-2</v>
      </c>
      <c r="N32" s="157">
        <f>IF($B32=" ","",IFERROR(VLOOKUP($B32,MMWR_ACCURACY_RO[],MATCH(N$9,MMWR_ACCURACY_RO[#Headers],0),0),"ERROR"))</f>
        <v>0.92634233480790296</v>
      </c>
      <c r="O32" s="157">
        <f>IF($B32=" ","",IFERROR(VLOOKUP($B32,MMWR_ACCURACY_RO[],MATCH(O$9,MMWR_ACCURACY_RO[#Headers],0),0),"ERROR"))</f>
        <v>4.5502998631029898E-2</v>
      </c>
      <c r="P32" s="28"/>
    </row>
    <row r="33" spans="1:16" x14ac:dyDescent="0.2">
      <c r="A33" s="25"/>
      <c r="B33" s="342" t="s">
        <v>733</v>
      </c>
      <c r="C33" s="343"/>
      <c r="D33" s="343"/>
      <c r="E33" s="343"/>
      <c r="F33" s="343"/>
      <c r="G33" s="343"/>
      <c r="H33" s="343"/>
      <c r="I33" s="343"/>
      <c r="J33" s="343"/>
      <c r="K33" s="343"/>
      <c r="L33" s="343"/>
      <c r="M33" s="343"/>
      <c r="N33" s="343"/>
      <c r="O33" s="343"/>
      <c r="P33" s="28"/>
    </row>
    <row r="34" spans="1:16" x14ac:dyDescent="0.2">
      <c r="A34" s="25"/>
      <c r="B34" s="11" t="s">
        <v>696</v>
      </c>
      <c r="C34" s="154">
        <f>IF($B34=" ","",IFERROR(INDEX(MMWR_RATING_RO_ROLLUP[],MATCH($B34,MMWR_RATING_RO_ROLLUP[MMWR_RATING_RO_ROLLUP],0),MATCH(C$9,MMWR_RATING_RO_ROLLUP[#Headers],0)),"ERROR"))</f>
        <v>29122</v>
      </c>
      <c r="D34" s="155">
        <f>IF($B34=" ","",IFERROR(INDEX(MMWR_RATING_RO_ROLLUP[],MATCH($B34,MMWR_RATING_RO_ROLLUP[MMWR_RATING_RO_ROLLUP],0),MATCH(D$9,MMWR_RATING_RO_ROLLUP[#Headers],0)),"ERROR"))</f>
        <v>69.806469335900005</v>
      </c>
      <c r="E34" s="156">
        <f>IF($B34=" ","",IFERROR(INDEX(MMWR_RATING_RO_ROLLUP[],MATCH($B34,MMWR_RATING_RO_ROLLUP[MMWR_RATING_RO_ROLLUP],0),MATCH(E$9,MMWR_RATING_RO_ROLLUP[#Headers],0))/$C34,"ERROR"))</f>
        <v>0.112045875970057</v>
      </c>
      <c r="F34" s="154">
        <f>IF($B34=" ","",IFERROR(INDEX(MMWR_RATING_RO_ROLLUP[],MATCH($B34,MMWR_RATING_RO_ROLLUP[MMWR_RATING_RO_ROLLUP],0),MATCH(F$9,MMWR_RATING_RO_ROLLUP[#Headers],0)),"ERROR"))</f>
        <v>396</v>
      </c>
      <c r="G34" s="154">
        <f>IF($B34=" ","",IFERROR(INDEX(MMWR_RATING_RO_ROLLUP[],MATCH($B34,MMWR_RATING_RO_ROLLUP[MMWR_RATING_RO_ROLLUP],0),MATCH(G$9,MMWR_RATING_RO_ROLLUP[#Headers],0)),"ERROR"))</f>
        <v>109795</v>
      </c>
      <c r="H34" s="155">
        <f>IF($B34=" ","",IFERROR(INDEX(MMWR_RATING_RO_ROLLUP[],MATCH($B34,MMWR_RATING_RO_ROLLUP[MMWR_RATING_RO_ROLLUP],0),MATCH(H$9,MMWR_RATING_RO_ROLLUP[#Headers],0)),"ERROR"))</f>
        <v>86.545454545499993</v>
      </c>
      <c r="I34" s="155">
        <f>IF($B34=" ","",IFERROR(INDEX(MMWR_RATING_RO_ROLLUP[],MATCH($B34,MMWR_RATING_RO_ROLLUP[MMWR_RATING_RO_ROLLUP],0),MATCH(I$9,MMWR_RATING_RO_ROLLUP[#Headers],0)),"ERROR"))</f>
        <v>78.329395692000006</v>
      </c>
      <c r="J34" s="42"/>
      <c r="K34" s="262">
        <f>IF($B34=" ","",IFERROR(VLOOKUP($B34,MMWR_ACCURACY_RO[],MATCH(K$50,MMWR_ACCURACY_RO[#Headers],0),0),"ERROR"))</f>
        <v>0.98909889862257405</v>
      </c>
      <c r="L34" s="262">
        <f>IF($B34=" ","",IFERROR(VLOOKUP($B34,MMWR_ACCURACY_RO[],MATCH(L$50,MMWR_ACCURACY_RO[#Headers],0),0),"ERROR"))</f>
        <v>0.962461420830656</v>
      </c>
      <c r="M34" s="262">
        <f>IF($B34=" ","",IFERROR(VLOOKUP($B34,MMWR_ACCURACY_RO[],MATCH(M$50,MMWR_ACCURACY_RO[#Headers],0),0),"ERROR"))</f>
        <v>1.89323408092755E-2</v>
      </c>
      <c r="N34" s="262">
        <f>IF($B34=" ","",IFERROR(VLOOKUP($B34,MMWR_ACCURACY_RO[],MATCH(N$50,MMWR_ACCURACY_RO[#Headers],0),0),"ERROR"))</f>
        <v>0.96839693342882505</v>
      </c>
      <c r="O34" s="262">
        <f>IF($B34=" ","",IFERROR(VLOOKUP($B34,MMWR_ACCURACY_RO[],MATCH(O$50,MMWR_ACCURACY_RO[#Headers],0),0),"ERROR"))</f>
        <v>1.7865746849166E-2</v>
      </c>
      <c r="P34" s="28"/>
    </row>
    <row r="35" spans="1:16" x14ac:dyDescent="0.2">
      <c r="A35" s="25"/>
      <c r="B35" s="12" t="s">
        <v>210</v>
      </c>
      <c r="C35" s="154">
        <f>IF($B35=" ","",IFERROR(INDEX(MMWR_RATING_RO_ROLLUP[],MATCH($B35,MMWR_RATING_RO_ROLLUP[MMWR_RATING_RO_ROLLUP],0),MATCH(C$9,MMWR_RATING_RO_ROLLUP[#Headers],0)),"ERROR"))</f>
        <v>14463</v>
      </c>
      <c r="D35" s="155">
        <f>IF($B35=" ","",IFERROR(INDEX(MMWR_RATING_RO_ROLLUP[],MATCH($B35,MMWR_RATING_RO_ROLLUP[MMWR_RATING_RO_ROLLUP],0),MATCH(D$9,MMWR_RATING_RO_ROLLUP[#Headers],0)),"ERROR"))</f>
        <v>69.436631404300002</v>
      </c>
      <c r="E35" s="156">
        <f>IF($B35=" ","",IFERROR(INDEX(MMWR_RATING_RO_ROLLUP[],MATCH($B35,MMWR_RATING_RO_ROLLUP[MMWR_RATING_RO_ROLLUP],0),MATCH(E$9,MMWR_RATING_RO_ROLLUP[#Headers],0))/$C35,"ERROR"))</f>
        <v>0.10599460692802323</v>
      </c>
      <c r="F35" s="154">
        <f>IF($B35=" ","",IFERROR(INDEX(MMWR_RATING_RO_ROLLUP[],MATCH($B35,MMWR_RATING_RO_ROLLUP[MMWR_RATING_RO_ROLLUP],0),MATCH(F$9,MMWR_RATING_RO_ROLLUP[#Headers],0)),"ERROR"))</f>
        <v>143</v>
      </c>
      <c r="G35" s="154">
        <f>IF($B35=" ","",IFERROR(INDEX(MMWR_RATING_RO_ROLLUP[],MATCH($B35,MMWR_RATING_RO_ROLLUP[MMWR_RATING_RO_ROLLUP],0),MATCH(G$9,MMWR_RATING_RO_ROLLUP[#Headers],0)),"ERROR"))</f>
        <v>35674</v>
      </c>
      <c r="H35" s="155">
        <f>IF($B35=" ","",IFERROR(INDEX(MMWR_RATING_RO_ROLLUP[],MATCH($B35,MMWR_RATING_RO_ROLLUP[MMWR_RATING_RO_ROLLUP],0),MATCH(H$9,MMWR_RATING_RO_ROLLUP[#Headers],0)),"ERROR"))</f>
        <v>106.7062937063</v>
      </c>
      <c r="I35" s="155">
        <f>IF($B35=" ","",IFERROR(INDEX(MMWR_RATING_RO_ROLLUP[],MATCH($B35,MMWR_RATING_RO_ROLLUP[MMWR_RATING_RO_ROLLUP],0),MATCH(I$9,MMWR_RATING_RO_ROLLUP[#Headers],0)),"ERROR"))</f>
        <v>99.031367382400006</v>
      </c>
      <c r="J35" s="42"/>
      <c r="K35" s="251">
        <f>IF($B35=" ","",IFERROR(VLOOKUP($B35,MMWR_ACCURACY_RO[],MATCH(K$50,MMWR_ACCURACY_RO[#Headers],0),0),"ERROR"))</f>
        <v>1</v>
      </c>
      <c r="L35" s="251">
        <f>IF($B35=" ","",IFERROR(VLOOKUP($B35,MMWR_ACCURACY_RO[],MATCH(L$50,MMWR_ACCURACY_RO[#Headers],0),0),"ERROR"))</f>
        <v>0.94104774258337198</v>
      </c>
      <c r="M35" s="251">
        <f>IF($B35=" ","",IFERROR(VLOOKUP($B35,MMWR_ACCURACY_RO[],MATCH(M$50,MMWR_ACCURACY_RO[#Headers],0),0),"ERROR"))</f>
        <v>4.0168640763625002E-2</v>
      </c>
      <c r="N35" s="251">
        <f>IF($B35=" ","",IFERROR(VLOOKUP($B35,MMWR_ACCURACY_RO[],MATCH(N$50,MMWR_ACCURACY_RO[#Headers],0),0),"ERROR"))</f>
        <v>0.94488559649514903</v>
      </c>
      <c r="O35" s="251">
        <f>IF($B35=" ","",IFERROR(VLOOKUP($B35,MMWR_ACCURACY_RO[],MATCH(O$50,MMWR_ACCURACY_RO[#Headers],0),0),"ERROR"))</f>
        <v>3.8677062646118102E-2</v>
      </c>
      <c r="P35" s="28"/>
    </row>
    <row r="36" spans="1:16" x14ac:dyDescent="0.2">
      <c r="A36" s="43"/>
      <c r="B36" s="12" t="s">
        <v>209</v>
      </c>
      <c r="C36" s="154">
        <f>IF($B36=" ","",IFERROR(INDEX(MMWR_RATING_RO_ROLLUP[],MATCH($B36,MMWR_RATING_RO_ROLLUP[MMWR_RATING_RO_ROLLUP],0),MATCH(C$9,MMWR_RATING_RO_ROLLUP[#Headers],0)),"ERROR"))</f>
        <v>5815</v>
      </c>
      <c r="D36" s="155">
        <f>IF($B36=" ","",IFERROR(INDEX(MMWR_RATING_RO_ROLLUP[],MATCH($B36,MMWR_RATING_RO_ROLLUP[MMWR_RATING_RO_ROLLUP],0),MATCH(D$9,MMWR_RATING_RO_ROLLUP[#Headers],0)),"ERROR"))</f>
        <v>67.362338778999998</v>
      </c>
      <c r="E36" s="156">
        <f>IF($B36=" ","",IFERROR(INDEX(MMWR_RATING_RO_ROLLUP[],MATCH($B36,MMWR_RATING_RO_ROLLUP[MMWR_RATING_RO_ROLLUP],0),MATCH(E$9,MMWR_RATING_RO_ROLLUP[#Headers],0))/$C36,"ERROR"))</f>
        <v>0.11917454858125537</v>
      </c>
      <c r="F36" s="154">
        <f>IF($B36=" ","",IFERROR(INDEX(MMWR_RATING_RO_ROLLUP[],MATCH($B36,MMWR_RATING_RO_ROLLUP[MMWR_RATING_RO_ROLLUP],0),MATCH(F$9,MMWR_RATING_RO_ROLLUP[#Headers],0)),"ERROR"))</f>
        <v>55</v>
      </c>
      <c r="G36" s="154">
        <f>IF($B36=" ","",IFERROR(INDEX(MMWR_RATING_RO_ROLLUP[],MATCH($B36,MMWR_RATING_RO_ROLLUP[MMWR_RATING_RO_ROLLUP],0),MATCH(G$9,MMWR_RATING_RO_ROLLUP[#Headers],0)),"ERROR"))</f>
        <v>31342</v>
      </c>
      <c r="H36" s="155">
        <f>IF($B36=" ","",IFERROR(INDEX(MMWR_RATING_RO_ROLLUP[],MATCH($B36,MMWR_RATING_RO_ROLLUP[MMWR_RATING_RO_ROLLUP],0),MATCH(H$9,MMWR_RATING_RO_ROLLUP[#Headers],0)),"ERROR"))</f>
        <v>72.400000000000006</v>
      </c>
      <c r="I36" s="155">
        <f>IF($B36=" ","",IFERROR(INDEX(MMWR_RATING_RO_ROLLUP[],MATCH($B36,MMWR_RATING_RO_ROLLUP[MMWR_RATING_RO_ROLLUP],0),MATCH(I$9,MMWR_RATING_RO_ROLLUP[#Headers],0)),"ERROR"))</f>
        <v>70.890306936399995</v>
      </c>
      <c r="J36" s="42"/>
      <c r="K36" s="251">
        <f>IF($B36=" ","",IFERROR(VLOOKUP($B36,MMWR_ACCURACY_RO[],MATCH(K$50,MMWR_ACCURACY_RO[#Headers],0),0),"ERROR"))</f>
        <v>0.96276698095054802</v>
      </c>
      <c r="L36" s="251">
        <f>IF($B36=" ","",IFERROR(VLOOKUP($B36,MMWR_ACCURACY_RO[],MATCH(L$50,MMWR_ACCURACY_RO[#Headers],0),0),"ERROR"))</f>
        <v>0.94959324681566903</v>
      </c>
      <c r="M36" s="251">
        <f>IF($B36=" ","",IFERROR(VLOOKUP($B36,MMWR_ACCURACY_RO[],MATCH(M$50,MMWR_ACCURACY_RO[#Headers],0),0),"ERROR"))</f>
        <v>4.1262651856044497E-2</v>
      </c>
      <c r="N36" s="251">
        <f>IF($B36=" ","",IFERROR(VLOOKUP($B36,MMWR_ACCURACY_RO[],MATCH(N$50,MMWR_ACCURACY_RO[#Headers],0),0),"ERROR"))</f>
        <v>0.98543069541401496</v>
      </c>
      <c r="O36" s="251">
        <f>IF($B36=" ","",IFERROR(VLOOKUP($B36,MMWR_ACCURACY_RO[],MATCH(O$50,MMWR_ACCURACY_RO[#Headers],0),0),"ERROR"))</f>
        <v>1.64370248537857E-2</v>
      </c>
      <c r="P36" s="28"/>
    </row>
    <row r="37" spans="1:16" x14ac:dyDescent="0.2">
      <c r="A37" s="25"/>
      <c r="B37" s="12" t="s">
        <v>212</v>
      </c>
      <c r="C37" s="154">
        <f>IF($B37=" ","",IFERROR(INDEX(MMWR_RATING_RO_ROLLUP[],MATCH($B37,MMWR_RATING_RO_ROLLUP[MMWR_RATING_RO_ROLLUP],0),MATCH(C$9,MMWR_RATING_RO_ROLLUP[#Headers],0)),"ERROR"))</f>
        <v>8013</v>
      </c>
      <c r="D37" s="155">
        <f>IF($B37=" ","",IFERROR(INDEX(MMWR_RATING_RO_ROLLUP[],MATCH($B37,MMWR_RATING_RO_ROLLUP[MMWR_RATING_RO_ROLLUP],0),MATCH(D$9,MMWR_RATING_RO_ROLLUP[#Headers],0)),"ERROR"))</f>
        <v>58.820541619899998</v>
      </c>
      <c r="E37" s="156">
        <f>IF($B37=" ","",IFERROR(INDEX(MMWR_RATING_RO_ROLLUP[],MATCH($B37,MMWR_RATING_RO_ROLLUP[MMWR_RATING_RO_ROLLUP],0),MATCH(E$9,MMWR_RATING_RO_ROLLUP[#Headers],0))/$C37,"ERROR"))</f>
        <v>7.238237863471858E-2</v>
      </c>
      <c r="F37" s="154">
        <f>IF($B37=" ","",IFERROR(INDEX(MMWR_RATING_RO_ROLLUP[],MATCH($B37,MMWR_RATING_RO_ROLLUP[MMWR_RATING_RO_ROLLUP],0),MATCH(F$9,MMWR_RATING_RO_ROLLUP[#Headers],0)),"ERROR"))</f>
        <v>193</v>
      </c>
      <c r="G37" s="154">
        <f>IF($B37=" ","",IFERROR(INDEX(MMWR_RATING_RO_ROLLUP[],MATCH($B37,MMWR_RATING_RO_ROLLUP[MMWR_RATING_RO_ROLLUP],0),MATCH(G$9,MMWR_RATING_RO_ROLLUP[#Headers],0)),"ERROR"))</f>
        <v>39476</v>
      </c>
      <c r="H37" s="155">
        <f>IF($B37=" ","",IFERROR(INDEX(MMWR_RATING_RO_ROLLUP[],MATCH($B37,MMWR_RATING_RO_ROLLUP[MMWR_RATING_RO_ROLLUP],0),MATCH(H$9,MMWR_RATING_RO_ROLLUP[#Headers],0)),"ERROR"))</f>
        <v>73.466321243500005</v>
      </c>
      <c r="I37" s="155">
        <f>IF($B37=" ","",IFERROR(INDEX(MMWR_RATING_RO_ROLLUP[],MATCH($B37,MMWR_RATING_RO_ROLLUP[MMWR_RATING_RO_ROLLUP],0),MATCH(I$9,MMWR_RATING_RO_ROLLUP[#Headers],0)),"ERROR"))</f>
        <v>68.072499746700004</v>
      </c>
      <c r="J37" s="42"/>
      <c r="K37" s="251">
        <f>IF($B37=" ","",IFERROR(VLOOKUP($B37,MMWR_ACCURACY_RO[],MATCH(K$50,MMWR_ACCURACY_RO[#Headers],0),0),"ERROR"))</f>
        <v>1</v>
      </c>
      <c r="L37" s="251">
        <f>IF($B37=" ","",IFERROR(VLOOKUP($B37,MMWR_ACCURACY_RO[],MATCH(L$50,MMWR_ACCURACY_RO[#Headers],0),0),"ERROR"))</f>
        <v>0.99143651029663205</v>
      </c>
      <c r="M37" s="251">
        <f>IF($B37=" ","",IFERROR(VLOOKUP($B37,MMWR_ACCURACY_RO[],MATCH(M$50,MMWR_ACCURACY_RO[#Headers],0),0),"ERROR"))</f>
        <v>1.2784329961668801E-2</v>
      </c>
      <c r="N37" s="251">
        <f>IF($B37=" ","",IFERROR(VLOOKUP($B37,MMWR_ACCURACY_RO[],MATCH(N$50,MMWR_ACCURACY_RO[#Headers],0),0),"ERROR"))</f>
        <v>0.98094927418039501</v>
      </c>
      <c r="O37" s="251">
        <f>IF($B37=" ","",IFERROR(VLOOKUP($B37,MMWR_ACCURACY_RO[],MATCH(O$50,MMWR_ACCURACY_RO[#Headers],0),0),"ERROR"))</f>
        <v>2.30989770379884E-2</v>
      </c>
      <c r="P37" s="28"/>
    </row>
    <row r="38" spans="1:16" x14ac:dyDescent="0.2">
      <c r="A38" s="25"/>
      <c r="B38" s="13" t="s">
        <v>224</v>
      </c>
      <c r="C38" s="154">
        <f>IF($B38=" ","",IFERROR(INDEX(MMWR_RATING_RO_ROLLUP[],MATCH($B38,MMWR_RATING_RO_ROLLUP[MMWR_RATING_RO_ROLLUP],0),MATCH(C$9,MMWR_RATING_RO_ROLLUP[#Headers],0)),"ERROR"))</f>
        <v>831</v>
      </c>
      <c r="D38" s="155">
        <f>IF($B38=" ","",IFERROR(INDEX(MMWR_RATING_RO_ROLLUP[],MATCH($B38,MMWR_RATING_RO_ROLLUP[MMWR_RATING_RO_ROLLUP],0),MATCH(D$9,MMWR_RATING_RO_ROLLUP[#Headers],0)),"ERROR"))</f>
        <v>199.2791817088</v>
      </c>
      <c r="E38" s="156">
        <f>IF($B38=" ","",IFERROR(INDEX(MMWR_RATING_RO_ROLLUP[],MATCH($B38,MMWR_RATING_RO_ROLLUP[MMWR_RATING_RO_ROLLUP],0),MATCH(E$9,MMWR_RATING_RO_ROLLUP[#Headers],0))/$C38,"ERROR"))</f>
        <v>0.54993983152827919</v>
      </c>
      <c r="F38" s="154">
        <f>IF($B38=" ","",IFERROR(INDEX(MMWR_RATING_RO_ROLLUP[],MATCH($B38,MMWR_RATING_RO_ROLLUP[MMWR_RATING_RO_ROLLUP],0),MATCH(F$9,MMWR_RATING_RO_ROLLUP[#Headers],0)),"ERROR"))</f>
        <v>5</v>
      </c>
      <c r="G38" s="154">
        <f>IF($B38=" ","",IFERROR(INDEX(MMWR_RATING_RO_ROLLUP[],MATCH($B38,MMWR_RATING_RO_ROLLUP[MMWR_RATING_RO_ROLLUP],0),MATCH(G$9,MMWR_RATING_RO_ROLLUP[#Headers],0)),"ERROR"))</f>
        <v>3303</v>
      </c>
      <c r="H38" s="155">
        <f>IF($B38=" ","",IFERROR(INDEX(MMWR_RATING_RO_ROLLUP[],MATCH($B38,MMWR_RATING_RO_ROLLUP[MMWR_RATING_RO_ROLLUP],0),MATCH(H$9,MMWR_RATING_RO_ROLLUP[#Headers],0)),"ERROR"))</f>
        <v>170.4</v>
      </c>
      <c r="I38" s="155">
        <f>IF($B38=" ","",IFERROR(INDEX(MMWR_RATING_RO_ROLLUP[],MATCH($B38,MMWR_RATING_RO_ROLLUP[MMWR_RATING_RO_ROLLUP],0),MATCH(I$9,MMWR_RATING_RO_ROLLUP[#Headers],0)),"ERROR"))</f>
        <v>47.913109294599998</v>
      </c>
      <c r="J38" s="42"/>
      <c r="K38" s="42"/>
      <c r="L38" s="42"/>
      <c r="M38" s="42"/>
      <c r="N38" s="42"/>
      <c r="O38" s="42"/>
      <c r="P38" s="28"/>
    </row>
    <row r="39" spans="1:16" x14ac:dyDescent="0.2">
      <c r="A39" s="25"/>
      <c r="B39" s="342" t="s">
        <v>916</v>
      </c>
      <c r="C39" s="343"/>
      <c r="D39" s="343"/>
      <c r="E39" s="343"/>
      <c r="F39" s="343"/>
      <c r="G39" s="343"/>
      <c r="H39" s="343"/>
      <c r="I39" s="343"/>
      <c r="J39" s="343"/>
      <c r="K39" s="343"/>
      <c r="L39" s="343"/>
      <c r="M39" s="343"/>
      <c r="N39" s="343"/>
      <c r="O39" s="343"/>
      <c r="P39" s="28"/>
    </row>
    <row r="40" spans="1:16" x14ac:dyDescent="0.2">
      <c r="A40" s="25"/>
      <c r="B40" s="44" t="s">
        <v>697</v>
      </c>
      <c r="C40" s="154">
        <f>IF($B40=" ","",IFERROR(INDEX(MMWR_RATING_RO_ROLLUP[],MATCH($B40,MMWR_RATING_RO_ROLLUP[MMWR_RATING_RO_ROLLUP],0),MATCH(C$9,MMWR_RATING_RO_ROLLUP[#Headers],0)),"ERROR"))</f>
        <v>7898</v>
      </c>
      <c r="D40" s="155">
        <f>IF($B40=" ","",IFERROR(INDEX(MMWR_RATING_RO_ROLLUP[],MATCH($B40,MMWR_RATING_RO_ROLLUP[MMWR_RATING_RO_ROLLUP],0),MATCH(D$9,MMWR_RATING_RO_ROLLUP[#Headers],0)),"ERROR"))</f>
        <v>67.358698404699993</v>
      </c>
      <c r="E40" s="156">
        <f>IF($B40=" ","",IFERROR(INDEX(MMWR_RATING_RO_ROLLUP[],MATCH($B40,MMWR_RATING_RO_ROLLUP[MMWR_RATING_RO_ROLLUP],0),MATCH(E$9,MMWR_RATING_RO_ROLLUP[#Headers],0))/$C40,"ERROR"))</f>
        <v>0.14117498100785009</v>
      </c>
      <c r="F40" s="154">
        <f>IF($B40=" ","",IFERROR(INDEX(MMWR_RATING_RO_ROLLUP[],MATCH($B40,MMWR_RATING_RO_ROLLUP[MMWR_RATING_RO_ROLLUP],0),MATCH(F$9,MMWR_RATING_RO_ROLLUP[#Headers],0)),"ERROR"))</f>
        <v>105</v>
      </c>
      <c r="G40" s="154">
        <f>IF($B40=" ","",IFERROR(INDEX(MMWR_RATING_RO_ROLLUP[],MATCH($B40,MMWR_RATING_RO_ROLLUP[MMWR_RATING_RO_ROLLUP],0),MATCH(G$9,MMWR_RATING_RO_ROLLUP[#Headers],0)),"ERROR"))</f>
        <v>19327</v>
      </c>
      <c r="H40" s="155">
        <f>IF($B40=" ","",IFERROR(INDEX(MMWR_RATING_RO_ROLLUP[],MATCH($B40,MMWR_RATING_RO_ROLLUP[MMWR_RATING_RO_ROLLUP],0),MATCH(H$9,MMWR_RATING_RO_ROLLUP[#Headers],0)),"ERROR"))</f>
        <v>121.6</v>
      </c>
      <c r="I40" s="155">
        <f>IF($B40=" ","",IFERROR(INDEX(MMWR_RATING_RO_ROLLUP[],MATCH($B40,MMWR_RATING_RO_ROLLUP[MMWR_RATING_RO_ROLLUP],0),MATCH(I$9,MMWR_RATING_RO_ROLLUP[#Headers],0)),"ERROR"))</f>
        <v>140.191959435</v>
      </c>
      <c r="J40" s="42"/>
      <c r="K40" s="42"/>
      <c r="L40" s="42"/>
      <c r="M40" s="42"/>
      <c r="N40" s="42"/>
      <c r="O40" s="42"/>
      <c r="P40" s="28"/>
    </row>
    <row r="41" spans="1:16" x14ac:dyDescent="0.2">
      <c r="A41" s="25"/>
      <c r="B41" s="45" t="s">
        <v>956</v>
      </c>
      <c r="C41" s="154">
        <f>IF($B41=" ","",IFERROR(INDEX(MMWR_RATING_RO_ROLLUP[],MATCH($B41,MMWR_RATING_RO_ROLLUP[MMWR_RATING_RO_ROLLUP],0),MATCH(C$9,MMWR_RATING_RO_ROLLUP[#Headers],0)),"ERROR"))</f>
        <v>881</v>
      </c>
      <c r="D41" s="155">
        <f>IF($B41=" ","",IFERROR(INDEX(MMWR_RATING_RO_ROLLUP[],MATCH($B41,MMWR_RATING_RO_ROLLUP[MMWR_RATING_RO_ROLLUP],0),MATCH(D$9,MMWR_RATING_RO_ROLLUP[#Headers],0)),"ERROR"))</f>
        <v>88.629965947800002</v>
      </c>
      <c r="E41" s="156">
        <f>IF($B41=" ","",IFERROR(INDEX(MMWR_RATING_RO_ROLLUP[],MATCH($B41,MMWR_RATING_RO_ROLLUP[MMWR_RATING_RO_ROLLUP],0),MATCH(E$9,MMWR_RATING_RO_ROLLUP[#Headers],0))/$C41,"ERROR"))</f>
        <v>0.23496027241770714</v>
      </c>
      <c r="F41" s="154">
        <f>IF($B41=" ","",IFERROR(INDEX(MMWR_RATING_RO_ROLLUP[],MATCH($B41,MMWR_RATING_RO_ROLLUP[MMWR_RATING_RO_ROLLUP],0),MATCH(F$9,MMWR_RATING_RO_ROLLUP[#Headers],0)),"ERROR"))</f>
        <v>50</v>
      </c>
      <c r="G41" s="154">
        <f>IF($B41=" ","",IFERROR(INDEX(MMWR_RATING_RO_ROLLUP[],MATCH($B41,MMWR_RATING_RO_ROLLUP[MMWR_RATING_RO_ROLLUP],0),MATCH(G$9,MMWR_RATING_RO_ROLLUP[#Headers],0)),"ERROR"))</f>
        <v>8501</v>
      </c>
      <c r="H41" s="155">
        <f>IF($B41=" ","",IFERROR(INDEX(MMWR_RATING_RO_ROLLUP[],MATCH($B41,MMWR_RATING_RO_ROLLUP[MMWR_RATING_RO_ROLLUP],0),MATCH(H$9,MMWR_RATING_RO_ROLLUP[#Headers],0)),"ERROR"))</f>
        <v>106.88</v>
      </c>
      <c r="I41" s="155">
        <f>IF($B41=" ","",IFERROR(INDEX(MMWR_RATING_RO_ROLLUP[],MATCH($B41,MMWR_RATING_RO_ROLLUP[MMWR_RATING_RO_ROLLUP],0),MATCH(I$9,MMWR_RATING_RO_ROLLUP[#Headers],0)),"ERROR"))</f>
        <v>126.9120103517</v>
      </c>
      <c r="J41" s="42"/>
      <c r="K41" s="42"/>
      <c r="L41" s="42"/>
      <c r="M41" s="42"/>
      <c r="N41" s="42"/>
      <c r="O41" s="42"/>
      <c r="P41" s="28"/>
    </row>
    <row r="42" spans="1:16" x14ac:dyDescent="0.2">
      <c r="A42" s="25"/>
      <c r="B42" s="45" t="s">
        <v>957</v>
      </c>
      <c r="C42" s="154">
        <f>IF($B42=" ","",IFERROR(INDEX(MMWR_RATING_RO_ROLLUP[],MATCH($B42,MMWR_RATING_RO_ROLLUP[MMWR_RATING_RO_ROLLUP],0),MATCH(C$9,MMWR_RATING_RO_ROLLUP[#Headers],0)),"ERROR"))</f>
        <v>430</v>
      </c>
      <c r="D42" s="155">
        <f>IF($B42=" ","",IFERROR(INDEX(MMWR_RATING_RO_ROLLUP[],MATCH($B42,MMWR_RATING_RO_ROLLUP[MMWR_RATING_RO_ROLLUP],0),MATCH(D$9,MMWR_RATING_RO_ROLLUP[#Headers],0)),"ERROR"))</f>
        <v>124.8046511628</v>
      </c>
      <c r="E42" s="156">
        <f>IF($B42=" ","",IFERROR(INDEX(MMWR_RATING_RO_ROLLUP[],MATCH($B42,MMWR_RATING_RO_ROLLUP[MMWR_RATING_RO_ROLLUP],0),MATCH(E$9,MMWR_RATING_RO_ROLLUP[#Headers],0))/$C42,"ERROR"))</f>
        <v>0.33255813953488372</v>
      </c>
      <c r="F42" s="154">
        <f>IF($B42=" ","",IFERROR(INDEX(MMWR_RATING_RO_ROLLUP[],MATCH($B42,MMWR_RATING_RO_ROLLUP[MMWR_RATING_RO_ROLLUP],0),MATCH(F$9,MMWR_RATING_RO_ROLLUP[#Headers],0)),"ERROR"))</f>
        <v>45</v>
      </c>
      <c r="G42" s="154">
        <f>IF($B42=" ","",IFERROR(INDEX(MMWR_RATING_RO_ROLLUP[],MATCH($B42,MMWR_RATING_RO_ROLLUP[MMWR_RATING_RO_ROLLUP],0),MATCH(G$9,MMWR_RATING_RO_ROLLUP[#Headers],0)),"ERROR"))</f>
        <v>7180</v>
      </c>
      <c r="H42" s="155">
        <f>IF($B42=" ","",IFERROR(INDEX(MMWR_RATING_RO_ROLLUP[],MATCH($B42,MMWR_RATING_RO_ROLLUP[MMWR_RATING_RO_ROLLUP],0),MATCH(H$9,MMWR_RATING_RO_ROLLUP[#Headers],0)),"ERROR"))</f>
        <v>135.1111111111</v>
      </c>
      <c r="I42" s="155">
        <f>IF($B42=" ","",IFERROR(INDEX(MMWR_RATING_RO_ROLLUP[],MATCH($B42,MMWR_RATING_RO_ROLLUP[MMWR_RATING_RO_ROLLUP],0),MATCH(I$9,MMWR_RATING_RO_ROLLUP[#Headers],0)),"ERROR"))</f>
        <v>159.0640668524</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6587</v>
      </c>
      <c r="D43" s="155">
        <f>IF($B43=" ","",IFERROR(INDEX(MMWR_RATING_RO_ROLLUP[],MATCH($B43,MMWR_RATING_RO_ROLLUP[MMWR_RATING_RO_ROLLUP],0),MATCH(D$9,MMWR_RATING_RO_ROLLUP[#Headers],0)),"ERROR"))</f>
        <v>60.763625322599999</v>
      </c>
      <c r="E43" s="156">
        <f>IF($B43=" ","",IFERROR(INDEX(MMWR_RATING_RO_ROLLUP[],MATCH($B43,MMWR_RATING_RO_ROLLUP[MMWR_RATING_RO_ROLLUP],0),MATCH(E$9,MMWR_RATING_RO_ROLLUP[#Headers],0))/$C43,"ERROR"))</f>
        <v>0.11613784727493548</v>
      </c>
      <c r="F43" s="154">
        <f>IF($B43=" ","",IFERROR(INDEX(MMWR_RATING_RO_ROLLUP[],MATCH($B43,MMWR_RATING_RO_ROLLUP[MMWR_RATING_RO_ROLLUP],0),MATCH(F$9,MMWR_RATING_RO_ROLLUP[#Headers],0)),"ERROR"))</f>
        <v>10</v>
      </c>
      <c r="G43" s="154">
        <f>IF($B43=" ","",IFERROR(INDEX(MMWR_RATING_RO_ROLLUP[],MATCH($B43,MMWR_RATING_RO_ROLLUP[MMWR_RATING_RO_ROLLUP],0),MATCH(G$9,MMWR_RATING_RO_ROLLUP[#Headers],0)),"ERROR"))</f>
        <v>3646</v>
      </c>
      <c r="H43" s="155">
        <f>IF($B43=" ","",IFERROR(INDEX(MMWR_RATING_RO_ROLLUP[],MATCH($B43,MMWR_RATING_RO_ROLLUP[MMWR_RATING_RO_ROLLUP],0),MATCH(H$9,MMWR_RATING_RO_ROLLUP[#Headers],0)),"ERROR"))</f>
        <v>134.4</v>
      </c>
      <c r="I43" s="155">
        <f>IF($B43=" ","",IFERROR(INDEX(MMWR_RATING_RO_ROLLUP[],MATCH($B43,MMWR_RATING_RO_ROLLUP[MMWR_RATING_RO_ROLLUP],0),MATCH(I$9,MMWR_RATING_RO_ROLLUP[#Headers],0)),"ERROR"))</f>
        <v>133.99094898519999</v>
      </c>
      <c r="J43" s="42"/>
      <c r="K43" s="42"/>
      <c r="L43" s="42"/>
      <c r="M43" s="42"/>
      <c r="N43" s="42"/>
      <c r="O43" s="42"/>
      <c r="P43" s="28"/>
    </row>
    <row r="44" spans="1:16" x14ac:dyDescent="0.2">
      <c r="A44" s="25"/>
      <c r="B44" s="342" t="s">
        <v>734</v>
      </c>
      <c r="C44" s="343"/>
      <c r="D44" s="343"/>
      <c r="E44" s="343"/>
      <c r="F44" s="343"/>
      <c r="G44" s="343"/>
      <c r="H44" s="343"/>
      <c r="I44" s="343"/>
      <c r="J44" s="343"/>
      <c r="K44" s="343"/>
      <c r="L44" s="343"/>
      <c r="M44" s="343"/>
      <c r="N44" s="343"/>
      <c r="O44" s="343"/>
      <c r="P44" s="28"/>
    </row>
    <row r="45" spans="1:16" x14ac:dyDescent="0.2">
      <c r="A45" s="25"/>
      <c r="B45" s="44" t="s">
        <v>695</v>
      </c>
      <c r="C45" s="154">
        <f>IF($B45=" ","",IFERROR(INDEX(MMWR_RATING_RO_ROLLUP[],MATCH($B45,MMWR_RATING_RO_ROLLUP[MMWR_RATING_RO_ROLLUP],0),MATCH(C$9,MMWR_RATING_RO_ROLLUP[#Headers],0)),"ERROR"))</f>
        <v>8320</v>
      </c>
      <c r="D45" s="155">
        <f>IF($B45=" ","",IFERROR(INDEX(MMWR_RATING_RO_ROLLUP[],MATCH($B45,MMWR_RATING_RO_ROLLUP[MMWR_RATING_RO_ROLLUP],0),MATCH(D$9,MMWR_RATING_RO_ROLLUP[#Headers],0)),"ERROR"))</f>
        <v>60.802524038500003</v>
      </c>
      <c r="E45" s="156">
        <f>IF($B45=" ","",IFERROR(INDEX(MMWR_RATING_RO_ROLLUP[],MATCH($B45,MMWR_RATING_RO_ROLLUP[MMWR_RATING_RO_ROLLUP],0),MATCH(E$9,MMWR_RATING_RO_ROLLUP[#Headers],0))/$C45,"ERROR"))</f>
        <v>0.12223557692307692</v>
      </c>
      <c r="F45" s="154">
        <f>IF($B45=" ","",IFERROR(INDEX(MMWR_RATING_RO_ROLLUP[],MATCH($B45,MMWR_RATING_RO_ROLLUP[MMWR_RATING_RO_ROLLUP],0),MATCH(F$9,MMWR_RATING_RO_ROLLUP[#Headers],0)),"ERROR"))</f>
        <v>113</v>
      </c>
      <c r="G45" s="154">
        <f>IF($B45=" ","",IFERROR(INDEX(MMWR_RATING_RO_ROLLUP[],MATCH($B45,MMWR_RATING_RO_ROLLUP[MMWR_RATING_RO_ROLLUP],0),MATCH(G$9,MMWR_RATING_RO_ROLLUP[#Headers],0)),"ERROR"))</f>
        <v>22358</v>
      </c>
      <c r="H45" s="155">
        <f>IF($B45=" ","",IFERROR(INDEX(MMWR_RATING_RO_ROLLUP[],MATCH($B45,MMWR_RATING_RO_ROLLUP[MMWR_RATING_RO_ROLLUP],0),MATCH(H$9,MMWR_RATING_RO_ROLLUP[#Headers],0)),"ERROR"))</f>
        <v>120.2212389381</v>
      </c>
      <c r="I45" s="155">
        <f>IF($B45=" ","",IFERROR(INDEX(MMWR_RATING_RO_ROLLUP[],MATCH($B45,MMWR_RATING_RO_ROLLUP[MMWR_RATING_RO_ROLLUP],0),MATCH(I$9,MMWR_RATING_RO_ROLLUP[#Headers],0)),"ERROR"))</f>
        <v>132.34421683510001</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445</v>
      </c>
      <c r="D46" s="155">
        <f>IF($B46=" ","",IFERROR(INDEX(MMWR_RATING_RO_ROLLUP[],MATCH($B46,MMWR_RATING_RO_ROLLUP[MMWR_RATING_RO_ROLLUP],0),MATCH(D$9,MMWR_RATING_RO_ROLLUP[#Headers],0)),"ERROR"))</f>
        <v>98.923595505600005</v>
      </c>
      <c r="E46" s="156">
        <f>IF($B46=" ","",IFERROR(INDEX(MMWR_RATING_RO_ROLLUP[],MATCH($B46,MMWR_RATING_RO_ROLLUP[MMWR_RATING_RO_ROLLUP],0),MATCH(E$9,MMWR_RATING_RO_ROLLUP[#Headers],0))/$C46,"ERROR"))</f>
        <v>0.20674157303370785</v>
      </c>
      <c r="F46" s="154">
        <f>IF($B46=" ","",IFERROR(INDEX(MMWR_RATING_RO_ROLLUP[],MATCH($B46,MMWR_RATING_RO_ROLLUP[MMWR_RATING_RO_ROLLUP],0),MATCH(F$9,MMWR_RATING_RO_ROLLUP[#Headers],0)),"ERROR"))</f>
        <v>30</v>
      </c>
      <c r="G46" s="154">
        <f>IF($B46=" ","",IFERROR(INDEX(MMWR_RATING_RO_ROLLUP[],MATCH($B46,MMWR_RATING_RO_ROLLUP[MMWR_RATING_RO_ROLLUP],0),MATCH(G$9,MMWR_RATING_RO_ROLLUP[#Headers],0)),"ERROR"))</f>
        <v>8907</v>
      </c>
      <c r="H46" s="155">
        <f>IF($B46=" ","",IFERROR(INDEX(MMWR_RATING_RO_ROLLUP[],MATCH($B46,MMWR_RATING_RO_ROLLUP[MMWR_RATING_RO_ROLLUP],0),MATCH(H$9,MMWR_RATING_RO_ROLLUP[#Headers],0)),"ERROR"))</f>
        <v>116.5</v>
      </c>
      <c r="I46" s="155">
        <f>IF($B46=" ","",IFERROR(INDEX(MMWR_RATING_RO_ROLLUP[],MATCH($B46,MMWR_RATING_RO_ROLLUP[MMWR_RATING_RO_ROLLUP],0),MATCH(I$9,MMWR_RATING_RO_ROLLUP[#Headers],0)),"ERROR"))</f>
        <v>119.1847984731</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535</v>
      </c>
      <c r="D47" s="155">
        <f>IF($B47=" ","",IFERROR(INDEX(MMWR_RATING_RO_ROLLUP[],MATCH($B47,MMWR_RATING_RO_ROLLUP[MMWR_RATING_RO_ROLLUP],0),MATCH(D$9,MMWR_RATING_RO_ROLLUP[#Headers],0)),"ERROR"))</f>
        <v>112.3140186916</v>
      </c>
      <c r="E47" s="156">
        <f>IF($B47=" ","",IFERROR(INDEX(MMWR_RATING_RO_ROLLUP[],MATCH($B47,MMWR_RATING_RO_ROLLUP[MMWR_RATING_RO_ROLLUP],0),MATCH(E$9,MMWR_RATING_RO_ROLLUP[#Headers],0))/$C47,"ERROR"))</f>
        <v>0.3121495327102804</v>
      </c>
      <c r="F47" s="154">
        <f>IF($B47=" ","",IFERROR(INDEX(MMWR_RATING_RO_ROLLUP[],MATCH($B47,MMWR_RATING_RO_ROLLUP[MMWR_RATING_RO_ROLLUP],0),MATCH(F$9,MMWR_RATING_RO_ROLLUP[#Headers],0)),"ERROR"))</f>
        <v>62</v>
      </c>
      <c r="G47" s="154">
        <f>IF($B47=" ","",IFERROR(INDEX(MMWR_RATING_RO_ROLLUP[],MATCH($B47,MMWR_RATING_RO_ROLLUP[MMWR_RATING_RO_ROLLUP],0),MATCH(G$9,MMWR_RATING_RO_ROLLUP[#Headers],0)),"ERROR"))</f>
        <v>7928</v>
      </c>
      <c r="H47" s="155">
        <f>IF($B47=" ","",IFERROR(INDEX(MMWR_RATING_RO_ROLLUP[],MATCH($B47,MMWR_RATING_RO_ROLLUP[MMWR_RATING_RO_ROLLUP],0),MATCH(H$9,MMWR_RATING_RO_ROLLUP[#Headers],0)),"ERROR"))</f>
        <v>116.9032258065</v>
      </c>
      <c r="I47" s="155">
        <f>IF($B47=" ","",IFERROR(INDEX(MMWR_RATING_RO_ROLLUP[],MATCH($B47,MMWR_RATING_RO_ROLLUP[MMWR_RATING_RO_ROLLUP],0),MATCH(I$9,MMWR_RATING_RO_ROLLUP[#Headers],0)),"ERROR"))</f>
        <v>149.9030020182</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7340</v>
      </c>
      <c r="D48" s="155">
        <f>IF($B48=" ","",IFERROR(INDEX(MMWR_RATING_RO_ROLLUP[],MATCH($B48,MMWR_RATING_RO_ROLLUP[MMWR_RATING_RO_ROLLUP],0),MATCH(D$9,MMWR_RATING_RO_ROLLUP[#Headers],0)),"ERROR"))</f>
        <v>54.736784741100003</v>
      </c>
      <c r="E48" s="156">
        <f>IF($B48=" ","",IFERROR(INDEX(MMWR_RATING_RO_ROLLUP[],MATCH($B48,MMWR_RATING_RO_ROLLUP[MMWR_RATING_RO_ROLLUP],0),MATCH(E$9,MMWR_RATING_RO_ROLLUP[#Headers],0))/$C48,"ERROR"))</f>
        <v>0.10326975476839237</v>
      </c>
      <c r="F48" s="154">
        <f>IF($B48=" ","",IFERROR(INDEX(MMWR_RATING_RO_ROLLUP[],MATCH($B48,MMWR_RATING_RO_ROLLUP[MMWR_RATING_RO_ROLLUP],0),MATCH(F$9,MMWR_RATING_RO_ROLLUP[#Headers],0)),"ERROR"))</f>
        <v>21</v>
      </c>
      <c r="G48" s="154">
        <f>IF($B48=" ","",IFERROR(INDEX(MMWR_RATING_RO_ROLLUP[],MATCH($B48,MMWR_RATING_RO_ROLLUP[MMWR_RATING_RO_ROLLUP],0),MATCH(G$9,MMWR_RATING_RO_ROLLUP[#Headers],0)),"ERROR"))</f>
        <v>5523</v>
      </c>
      <c r="H48" s="155">
        <f>IF($B48=" ","",IFERROR(INDEX(MMWR_RATING_RO_ROLLUP[],MATCH($B48,MMWR_RATING_RO_ROLLUP[MMWR_RATING_RO_ROLLUP],0),MATCH(H$9,MMWR_RATING_RO_ROLLUP[#Headers],0)),"ERROR"))</f>
        <v>135.3333333333</v>
      </c>
      <c r="I48" s="155">
        <f>IF($B48=" ","",IFERROR(INDEX(MMWR_RATING_RO_ROLLUP[],MATCH($B48,MMWR_RATING_RO_ROLLUP[MMWR_RATING_RO_ROLLUP],0),MATCH(I$9,MMWR_RATING_RO_ROLLUP[#Headers],0)),"ERROR"))</f>
        <v>128.3617599131</v>
      </c>
      <c r="J48" s="42"/>
      <c r="K48" s="42"/>
      <c r="L48" s="42"/>
      <c r="M48" s="42"/>
      <c r="N48" s="42"/>
      <c r="O48" s="42"/>
      <c r="P48" s="28"/>
    </row>
    <row r="49" spans="1:16" ht="15.75" x14ac:dyDescent="0.25">
      <c r="A49" s="25"/>
      <c r="B49" s="341" t="s">
        <v>1050</v>
      </c>
      <c r="C49" s="341"/>
      <c r="D49" s="341"/>
      <c r="E49" s="341"/>
      <c r="F49" s="341"/>
      <c r="G49" s="341"/>
      <c r="H49" s="341"/>
      <c r="I49" s="341"/>
      <c r="J49" s="341"/>
      <c r="K49" s="341"/>
      <c r="L49" s="341"/>
      <c r="M49" s="341"/>
      <c r="N49" s="341"/>
      <c r="O49" s="261"/>
      <c r="P49" s="28"/>
    </row>
    <row r="50" spans="1:16" ht="12" customHeight="1" x14ac:dyDescent="0.2">
      <c r="A50" s="25"/>
      <c r="B50" s="26"/>
      <c r="C50" s="26"/>
      <c r="D50" s="26"/>
      <c r="E50" s="26"/>
      <c r="F50" s="26"/>
      <c r="G50" s="26"/>
      <c r="H50" s="26"/>
      <c r="I50" s="26"/>
      <c r="J50" s="26"/>
      <c r="K50" s="27" t="s">
        <v>922</v>
      </c>
      <c r="L50" s="27" t="s">
        <v>927</v>
      </c>
      <c r="M50" s="27" t="s">
        <v>928</v>
      </c>
      <c r="N50" s="27" t="s">
        <v>929</v>
      </c>
      <c r="O50" s="27" t="s">
        <v>930</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80" zoomScaleNormal="8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6" t="s">
        <v>294</v>
      </c>
      <c r="D2" s="357"/>
      <c r="E2" s="357"/>
      <c r="F2" s="357"/>
      <c r="G2" s="357"/>
      <c r="H2" s="357"/>
      <c r="I2" s="357"/>
      <c r="J2" s="356" t="s">
        <v>300</v>
      </c>
      <c r="K2" s="357"/>
      <c r="L2" s="357"/>
      <c r="M2" s="358"/>
      <c r="N2" s="28"/>
    </row>
    <row r="3" spans="1:16" ht="24" customHeight="1" thickBot="1" x14ac:dyDescent="0.4">
      <c r="A3" s="25"/>
      <c r="B3" s="29"/>
      <c r="C3" s="359"/>
      <c r="D3" s="360"/>
      <c r="E3" s="360"/>
      <c r="F3" s="360"/>
      <c r="G3" s="360"/>
      <c r="H3" s="360"/>
      <c r="I3" s="360"/>
      <c r="J3" s="359" t="str">
        <f>Transformation!B4</f>
        <v>As of: July 02, 2016</v>
      </c>
      <c r="K3" s="360"/>
      <c r="L3" s="360"/>
      <c r="M3" s="361"/>
      <c r="N3" s="28"/>
    </row>
    <row r="4" spans="1:16" ht="51" customHeight="1" thickBot="1" x14ac:dyDescent="0.35">
      <c r="A4" s="30"/>
      <c r="B4" s="246" t="s">
        <v>455</v>
      </c>
      <c r="C4" s="362" t="s">
        <v>970</v>
      </c>
      <c r="D4" s="363"/>
      <c r="E4" s="363"/>
      <c r="F4" s="363"/>
      <c r="G4" s="363"/>
      <c r="H4" s="363"/>
      <c r="I4" s="363"/>
      <c r="J4" s="363"/>
      <c r="K4" s="363"/>
      <c r="L4" s="363"/>
      <c r="M4" s="364"/>
      <c r="N4" s="28"/>
      <c r="O4" s="22"/>
      <c r="P4" s="23"/>
    </row>
    <row r="5" spans="1:16" ht="27" customHeight="1" thickBot="1" x14ac:dyDescent="0.25">
      <c r="A5" s="30"/>
      <c r="B5" s="48"/>
      <c r="C5" s="365" t="s">
        <v>1041</v>
      </c>
      <c r="D5" s="366"/>
      <c r="E5" s="366"/>
      <c r="F5" s="366"/>
      <c r="G5" s="366"/>
      <c r="H5" s="366"/>
      <c r="I5" s="366"/>
      <c r="J5" s="366"/>
      <c r="K5" s="366"/>
      <c r="L5" s="366"/>
      <c r="M5" s="366"/>
      <c r="N5" s="366"/>
      <c r="O5" s="367"/>
    </row>
    <row r="6" spans="1:16" ht="55.5" customHeight="1" x14ac:dyDescent="0.2">
      <c r="A6" s="30"/>
      <c r="B6" s="31"/>
      <c r="C6" s="32" t="s">
        <v>190</v>
      </c>
      <c r="D6" s="368" t="s">
        <v>16</v>
      </c>
      <c r="E6" s="369"/>
      <c r="F6" s="33" t="s">
        <v>193</v>
      </c>
      <c r="G6" s="368" t="s">
        <v>198</v>
      </c>
      <c r="H6" s="370"/>
      <c r="I6" s="33" t="s">
        <v>196</v>
      </c>
      <c r="J6" s="49" t="s">
        <v>14</v>
      </c>
      <c r="K6" s="33" t="s">
        <v>201</v>
      </c>
      <c r="L6" s="374" t="s">
        <v>85</v>
      </c>
      <c r="M6" s="387"/>
      <c r="N6" s="28"/>
    </row>
    <row r="7" spans="1:16" ht="51.75" customHeight="1" x14ac:dyDescent="0.2">
      <c r="A7" s="30"/>
      <c r="B7" s="34"/>
      <c r="C7" s="35" t="s">
        <v>191</v>
      </c>
      <c r="D7" s="344" t="s">
        <v>0</v>
      </c>
      <c r="E7" s="345"/>
      <c r="F7" s="36" t="s">
        <v>194</v>
      </c>
      <c r="G7" s="346" t="s">
        <v>199</v>
      </c>
      <c r="H7" s="346"/>
      <c r="I7" s="36" t="s">
        <v>197</v>
      </c>
      <c r="J7" s="50" t="s">
        <v>19</v>
      </c>
      <c r="K7" s="36" t="s">
        <v>202</v>
      </c>
      <c r="L7" s="388" t="s">
        <v>87</v>
      </c>
      <c r="M7" s="389"/>
      <c r="N7" s="28"/>
    </row>
    <row r="8" spans="1:16" ht="51.75" customHeight="1" thickBot="1" x14ac:dyDescent="0.25">
      <c r="A8" s="25"/>
      <c r="B8" s="28"/>
      <c r="C8" s="37" t="s">
        <v>192</v>
      </c>
      <c r="D8" s="347" t="s">
        <v>18</v>
      </c>
      <c r="E8" s="348"/>
      <c r="F8" s="38" t="s">
        <v>195</v>
      </c>
      <c r="G8" s="349" t="s">
        <v>17</v>
      </c>
      <c r="H8" s="349"/>
      <c r="I8" s="38" t="s">
        <v>200</v>
      </c>
      <c r="J8" s="51" t="s">
        <v>84</v>
      </c>
      <c r="K8" s="38" t="s">
        <v>203</v>
      </c>
      <c r="L8" s="390" t="s">
        <v>86</v>
      </c>
      <c r="M8" s="391"/>
      <c r="N8" s="28"/>
    </row>
    <row r="9" spans="1:16" x14ac:dyDescent="0.2">
      <c r="A9" s="28"/>
      <c r="B9" s="28"/>
      <c r="C9" s="39" t="s">
        <v>699</v>
      </c>
      <c r="D9" s="39" t="s">
        <v>701</v>
      </c>
      <c r="E9" s="39" t="s">
        <v>700</v>
      </c>
      <c r="F9" s="39" t="s">
        <v>703</v>
      </c>
      <c r="G9" s="39" t="s">
        <v>702</v>
      </c>
      <c r="H9" s="39" t="s">
        <v>713</v>
      </c>
      <c r="I9" s="39" t="s">
        <v>712</v>
      </c>
      <c r="J9" s="39"/>
      <c r="K9" s="39"/>
      <c r="L9" s="39"/>
      <c r="M9" s="39"/>
      <c r="N9" s="28"/>
    </row>
    <row r="10" spans="1:16" ht="15.75" customHeight="1" x14ac:dyDescent="0.2">
      <c r="A10" s="25"/>
      <c r="B10" s="26"/>
      <c r="C10" s="350" t="s">
        <v>293</v>
      </c>
      <c r="D10" s="350"/>
      <c r="E10" s="350"/>
      <c r="F10" s="350"/>
      <c r="G10" s="350"/>
      <c r="H10" s="350"/>
      <c r="I10" s="350"/>
      <c r="J10" s="350"/>
      <c r="K10" s="350"/>
      <c r="L10" s="350"/>
      <c r="M10" s="392"/>
      <c r="N10" s="28"/>
    </row>
    <row r="11" spans="1:16" ht="64.5" customHeight="1" x14ac:dyDescent="0.2">
      <c r="A11" s="25"/>
      <c r="B11" s="26"/>
      <c r="C11" s="52" t="s">
        <v>226</v>
      </c>
      <c r="D11" s="52" t="s">
        <v>134</v>
      </c>
      <c r="E11" s="52" t="s">
        <v>227</v>
      </c>
      <c r="F11" s="52" t="s">
        <v>189</v>
      </c>
      <c r="G11" s="52" t="s">
        <v>204</v>
      </c>
      <c r="H11" s="52" t="s">
        <v>206</v>
      </c>
      <c r="I11" s="52" t="s">
        <v>207</v>
      </c>
      <c r="J11" s="394" t="s">
        <v>971</v>
      </c>
      <c r="K11" s="395"/>
      <c r="L11" s="395"/>
      <c r="M11" s="396"/>
      <c r="N11" s="28"/>
    </row>
    <row r="12" spans="1:16" x14ac:dyDescent="0.2">
      <c r="A12" s="25"/>
      <c r="B12" s="41" t="s">
        <v>729</v>
      </c>
      <c r="C12" s="154">
        <f>IF($B12=" ","",IFERROR(INDEX(MMWR_RATING_RO_ROLLUP[],MATCH($B12,MMWR_RATING_RO_ROLLUP[MMWR_RATING_RO_ROLLUP],0),MATCH(C$9,MMWR_RATING_RO_ROLLUP[#Headers],0)),"ERROR"))</f>
        <v>371153</v>
      </c>
      <c r="D12" s="155">
        <f>IF($B12=" ","",IFERROR(INDEX(MMWR_RATING_RO_ROLLUP[],MATCH($B12,MMWR_RATING_RO_ROLLUP[MMWR_RATING_RO_ROLLUP],0),MATCH(D$9,MMWR_RATING_RO_ROLLUP[#Headers],0)),"ERROR"))</f>
        <v>88.041330664200004</v>
      </c>
      <c r="E12" s="156">
        <f>IF($B12=" ","",IFERROR(INDEX(MMWR_RATING_RO_ROLLUP[],MATCH($B12,MMWR_RATING_RO_ROLLUP[MMWR_RATING_RO_ROLLUP],0),MATCH(E$9,MMWR_RATING_RO_ROLLUP[#Headers],0))/$C12,"ERROR"))</f>
        <v>0.2003863635751294</v>
      </c>
      <c r="F12" s="154">
        <f>IF($B12=" ","",IFERROR(INDEX(MMWR_RATING_RO_ROLLUP[],MATCH($B12,MMWR_RATING_RO_ROLLUP[MMWR_RATING_RO_ROLLUP],0),MATCH(F$9,MMWR_RATING_RO_ROLLUP[#Headers],0)),"ERROR"))</f>
        <v>5157</v>
      </c>
      <c r="G12" s="154">
        <f>IF($B12=" ","",IFERROR(INDEX(MMWR_RATING_RO_ROLLUP[],MATCH($B12,MMWR_RATING_RO_ROLLUP[MMWR_RATING_RO_ROLLUP],0),MATCH(G$9,MMWR_RATING_RO_ROLLUP[#Headers],0)),"ERROR"))</f>
        <v>949803</v>
      </c>
      <c r="H12" s="155">
        <f>IF($B12=" ","",IFERROR(INDEX(MMWR_RATING_RO_ROLLUP[],MATCH($B12,MMWR_RATING_RO_ROLLUP[MMWR_RATING_RO_ROLLUP],0),MATCH(H$9,MMWR_RATING_RO_ROLLUP[#Headers],0)),"ERROR"))</f>
        <v>120.0244328098</v>
      </c>
      <c r="I12" s="155">
        <f>IF($B12=" ","",IFERROR(INDEX(MMWR_RATING_RO_ROLLUP[],MATCH($B12,MMWR_RATING_RO_ROLLUP[MMWR_RATING_RO_ROLLUP],0),MATCH(I$9,MMWR_RATING_RO_ROLLUP[#Headers],0)),"ERROR"))</f>
        <v>123.36427975060001</v>
      </c>
      <c r="J12" s="42"/>
      <c r="K12" s="42"/>
      <c r="L12" s="42"/>
      <c r="M12" s="42"/>
      <c r="N12" s="28"/>
    </row>
    <row r="13" spans="1:16" x14ac:dyDescent="0.2">
      <c r="A13" s="25"/>
      <c r="B13" s="342" t="s">
        <v>732</v>
      </c>
      <c r="C13" s="343"/>
      <c r="D13" s="343"/>
      <c r="E13" s="343"/>
      <c r="F13" s="343"/>
      <c r="G13" s="343"/>
      <c r="H13" s="343"/>
      <c r="I13" s="343"/>
      <c r="J13" s="343"/>
      <c r="K13" s="343"/>
      <c r="L13" s="343"/>
      <c r="M13" s="393"/>
      <c r="N13" s="28"/>
    </row>
    <row r="14" spans="1:16" x14ac:dyDescent="0.2">
      <c r="A14" s="25"/>
      <c r="B14" s="41" t="s">
        <v>728</v>
      </c>
      <c r="C14" s="154">
        <f>IF($B14=" ","",IFERROR(INDEX(MMWR_RATING_RO_ROLLUP[],MATCH($B14,MMWR_RATING_RO_ROLLUP[MMWR_RATING_RO_ROLLUP],0),MATCH(C$9,MMWR_RATING_RO_ROLLUP[#Headers],0)),"ERROR"))</f>
        <v>325813</v>
      </c>
      <c r="D14" s="155">
        <f>IF($B14=" ","",IFERROR(INDEX(MMWR_RATING_RO_ROLLUP[],MATCH($B14,MMWR_RATING_RO_ROLLUP[MMWR_RATING_RO_ROLLUP],0),MATCH(D$9,MMWR_RATING_RO_ROLLUP[#Headers],0)),"ERROR"))</f>
        <v>90.866886833899997</v>
      </c>
      <c r="E14" s="156">
        <f>IF($B14=" ","",IFERROR(INDEX(MMWR_RATING_RO_ROLLUP[],MATCH($B14,MMWR_RATING_RO_ROLLUP[MMWR_RATING_RO_ROLLUP],0),MATCH(E$9,MMWR_RATING_RO_ROLLUP[#Headers],0))/$C14,"ERROR"))</f>
        <v>0.21171039829595503</v>
      </c>
      <c r="F14" s="154">
        <f>IF($B14=" ","",IFERROR(INDEX(MMWR_RATING_RO_ROLLUP[],MATCH($B14,MMWR_RATING_RO_ROLLUP[MMWR_RATING_RO_ROLLUP],0),MATCH(F$9,MMWR_RATING_RO_ROLLUP[#Headers],0)),"ERROR"))</f>
        <v>4543</v>
      </c>
      <c r="G14" s="154">
        <f>IF($B14=" ","",IFERROR(INDEX(MMWR_RATING_RO_ROLLUP[],MATCH($B14,MMWR_RATING_RO_ROLLUP[MMWR_RATING_RO_ROLLUP],0),MATCH(G$9,MMWR_RATING_RO_ROLLUP[#Headers],0)),"ERROR"))</f>
        <v>798323</v>
      </c>
      <c r="H14" s="155">
        <f>IF($B14=" ","",IFERROR(INDEX(MMWR_RATING_RO_ROLLUP[],MATCH($B14,MMWR_RATING_RO_ROLLUP[MMWR_RATING_RO_ROLLUP],0),MATCH(H$9,MMWR_RATING_RO_ROLLUP[#Headers],0)),"ERROR"))</f>
        <v>122.90138674879999</v>
      </c>
      <c r="I14" s="155">
        <f>IF($B14=" ","",IFERROR(INDEX(MMWR_RATING_RO_ROLLUP[],MATCH($B14,MMWR_RATING_RO_ROLLUP[MMWR_RATING_RO_ROLLUP],0),MATCH(I$9,MMWR_RATING_RO_ROLLUP[#Headers],0)),"ERROR"))</f>
        <v>128.899136064</v>
      </c>
      <c r="J14" s="42"/>
      <c r="K14" s="42"/>
      <c r="L14" s="42"/>
      <c r="M14" s="42"/>
      <c r="N14" s="28"/>
    </row>
    <row r="15" spans="1:16" x14ac:dyDescent="0.2">
      <c r="A15" s="25"/>
      <c r="B15" s="247" t="s">
        <v>369</v>
      </c>
      <c r="C15" s="154">
        <f>IF($B15=" ","",IFERROR(INDEX(MMWR_RATING_RO_ROLLUP[],MATCH($B15,MMWR_RATING_RO_ROLLUP[MMWR_RATING_RO_ROLLUP],0),MATCH(C$9,MMWR_RATING_RO_ROLLUP[#Headers],0)),"ERROR"))</f>
        <v>74350</v>
      </c>
      <c r="D15" s="155">
        <f>IF($B15=" ","",IFERROR(INDEX(MMWR_RATING_RO_ROLLUP[],MATCH($B15,MMWR_RATING_RO_ROLLUP[MMWR_RATING_RO_ROLLUP],0),MATCH(D$9,MMWR_RATING_RO_ROLLUP[#Headers],0)),"ERROR"))</f>
        <v>92.696677874900004</v>
      </c>
      <c r="E15" s="156">
        <f>IF($B15=" ","",IFERROR(INDEX(MMWR_RATING_RO_ROLLUP[],MATCH($B15,MMWR_RATING_RO_ROLLUP[MMWR_RATING_RO_ROLLUP],0),MATCH(E$9,MMWR_RATING_RO_ROLLUP[#Headers],0))/$C15,"ERROR"))</f>
        <v>0.2239946200403497</v>
      </c>
      <c r="F15" s="154">
        <f>IF($B15=" ","",IFERROR(INDEX(MMWR_RATING_RO_ROLLUP[],MATCH($B15,MMWR_RATING_RO_ROLLUP[MMWR_RATING_RO_ROLLUP],0),MATCH(F$9,MMWR_RATING_RO_ROLLUP[#Headers],0)),"ERROR"))</f>
        <v>1064</v>
      </c>
      <c r="G15" s="154">
        <f>IF($B15=" ","",IFERROR(INDEX(MMWR_RATING_RO_ROLLUP[],MATCH($B15,MMWR_RATING_RO_ROLLUP[MMWR_RATING_RO_ROLLUP],0),MATCH(G$9,MMWR_RATING_RO_ROLLUP[#Headers],0)),"ERROR"))</f>
        <v>175640</v>
      </c>
      <c r="H15" s="155">
        <f>IF($B15=" ","",IFERROR(INDEX(MMWR_RATING_RO_ROLLUP[],MATCH($B15,MMWR_RATING_RO_ROLLUP[MMWR_RATING_RO_ROLLUP],0),MATCH(H$9,MMWR_RATING_RO_ROLLUP[#Headers],0)),"ERROR"))</f>
        <v>121.3355263158</v>
      </c>
      <c r="I15" s="155">
        <f>IF($B15=" ","",IFERROR(INDEX(MMWR_RATING_RO_ROLLUP[],MATCH($B15,MMWR_RATING_RO_ROLLUP[MMWR_RATING_RO_ROLLUP],0),MATCH(I$9,MMWR_RATING_RO_ROLLUP[#Headers],0)),"ERROR"))</f>
        <v>130.74984627649999</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5535</v>
      </c>
      <c r="D16" s="155">
        <f>IF($B16=" ","",IFERROR(INDEX(MMWR_RATING_RO_ROLLUP[],MATCH($B16,MMWR_RATING_RO_ROLLUP[MMWR_RATING_RO_ROLLUP],0),MATCH(D$9,MMWR_RATING_RO_ROLLUP[#Headers],0)),"ERROR"))</f>
        <v>95.212646793100006</v>
      </c>
      <c r="E16" s="156">
        <f>IF($B16=" ","",IFERROR(INDEX(MMWR_RATING_RO_ROLLUP[],MATCH($B16,MMWR_RATING_RO_ROLLUP[MMWR_RATING_RO_ROLLUP],0),MATCH(E$9,MMWR_RATING_RO_ROLLUP[#Headers],0))/$C16,"ERROR"))</f>
        <v>0.22475158084914182</v>
      </c>
      <c r="F16" s="154">
        <f>IF($B16=" ","",IFERROR(INDEX(MMWR_RATING_RO_ROLLUP[],MATCH($B16,MMWR_RATING_RO_ROLLUP[MMWR_RATING_RO_ROLLUP],0),MATCH(F$9,MMWR_RATING_RO_ROLLUP[#Headers],0)),"ERROR"))</f>
        <v>64</v>
      </c>
      <c r="G16" s="154">
        <f>IF($B16=" ","",IFERROR(INDEX(MMWR_RATING_RO_ROLLUP[],MATCH($B16,MMWR_RATING_RO_ROLLUP[MMWR_RATING_RO_ROLLUP],0),MATCH(G$9,MMWR_RATING_RO_ROLLUP[#Headers],0)),"ERROR"))</f>
        <v>11440</v>
      </c>
      <c r="H16" s="155">
        <f>IF($B16=" ","",IFERROR(INDEX(MMWR_RATING_RO_ROLLUP[],MATCH($B16,MMWR_RATING_RO_ROLLUP[MMWR_RATING_RO_ROLLUP],0),MATCH(H$9,MMWR_RATING_RO_ROLLUP[#Headers],0)),"ERROR"))</f>
        <v>134.203125</v>
      </c>
      <c r="I16" s="155">
        <f>IF($B16=" ","",IFERROR(INDEX(MMWR_RATING_RO_ROLLUP[],MATCH($B16,MMWR_RATING_RO_ROLLUP[MMWR_RATING_RO_ROLLUP],0),MATCH(I$9,MMWR_RATING_RO_ROLLUP[#Headers],0)),"ERROR"))</f>
        <v>142.820979021</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3431</v>
      </c>
      <c r="D17" s="155">
        <f>IF($B17=" ","",IFERROR(INDEX(MMWR_RATING_RO_ROLLUP[],MATCH($B17,MMWR_RATING_RO_ROLLUP[MMWR_RATING_RO_ROLLUP],0),MATCH(D$9,MMWR_RATING_RO_ROLLUP[#Headers],0)),"ERROR"))</f>
        <v>82.617312736800002</v>
      </c>
      <c r="E17" s="156">
        <f>IF($B17=" ","",IFERROR(INDEX(MMWR_RATING_RO_ROLLUP[],MATCH($B17,MMWR_RATING_RO_ROLLUP[MMWR_RATING_RO_ROLLUP],0),MATCH(E$9,MMWR_RATING_RO_ROLLUP[#Headers],0))/$C17,"ERROR"))</f>
        <v>0.18012241329058584</v>
      </c>
      <c r="F17" s="154">
        <f>IF($B17=" ","",IFERROR(INDEX(MMWR_RATING_RO_ROLLUP[],MATCH($B17,MMWR_RATING_RO_ROLLUP[MMWR_RATING_RO_ROLLUP],0),MATCH(F$9,MMWR_RATING_RO_ROLLUP[#Headers],0)),"ERROR"))</f>
        <v>58</v>
      </c>
      <c r="G17" s="154">
        <f>IF($B17=" ","",IFERROR(INDEX(MMWR_RATING_RO_ROLLUP[],MATCH($B17,MMWR_RATING_RO_ROLLUP[MMWR_RATING_RO_ROLLUP],0),MATCH(G$9,MMWR_RATING_RO_ROLLUP[#Headers],0)),"ERROR"))</f>
        <v>8677</v>
      </c>
      <c r="H17" s="155">
        <f>IF($B17=" ","",IFERROR(INDEX(MMWR_RATING_RO_ROLLUP[],MATCH($B17,MMWR_RATING_RO_ROLLUP[MMWR_RATING_RO_ROLLUP],0),MATCH(H$9,MMWR_RATING_RO_ROLLUP[#Headers],0)),"ERROR"))</f>
        <v>124.2586206897</v>
      </c>
      <c r="I17" s="155">
        <f>IF($B17=" ","",IFERROR(INDEX(MMWR_RATING_RO_ROLLUP[],MATCH($B17,MMWR_RATING_RO_ROLLUP[MMWR_RATING_RO_ROLLUP],0),MATCH(I$9,MMWR_RATING_RO_ROLLUP[#Headers],0)),"ERROR"))</f>
        <v>130.98375014409999</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3810</v>
      </c>
      <c r="D18" s="155">
        <f>IF($B18=" ","",IFERROR(INDEX(MMWR_RATING_RO_ROLLUP[],MATCH($B18,MMWR_RATING_RO_ROLLUP[MMWR_RATING_RO_ROLLUP],0),MATCH(D$9,MMWR_RATING_RO_ROLLUP[#Headers],0)),"ERROR"))</f>
        <v>85.723884514399998</v>
      </c>
      <c r="E18" s="156">
        <f>IF($B18=" ","",IFERROR(INDEX(MMWR_RATING_RO_ROLLUP[],MATCH($B18,MMWR_RATING_RO_ROLLUP[MMWR_RATING_RO_ROLLUP],0),MATCH(E$9,MMWR_RATING_RO_ROLLUP[#Headers],0))/$C18,"ERROR"))</f>
        <v>0.1984251968503937</v>
      </c>
      <c r="F18" s="154">
        <f>IF($B18=" ","",IFERROR(INDEX(MMWR_RATING_RO_ROLLUP[],MATCH($B18,MMWR_RATING_RO_ROLLUP[MMWR_RATING_RO_ROLLUP],0),MATCH(F$9,MMWR_RATING_RO_ROLLUP[#Headers],0)),"ERROR"))</f>
        <v>28</v>
      </c>
      <c r="G18" s="154">
        <f>IF($B18=" ","",IFERROR(INDEX(MMWR_RATING_RO_ROLLUP[],MATCH($B18,MMWR_RATING_RO_ROLLUP[MMWR_RATING_RO_ROLLUP],0),MATCH(G$9,MMWR_RATING_RO_ROLLUP[#Headers],0)),"ERROR"))</f>
        <v>9722</v>
      </c>
      <c r="H18" s="155">
        <f>IF($B18=" ","",IFERROR(INDEX(MMWR_RATING_RO_ROLLUP[],MATCH($B18,MMWR_RATING_RO_ROLLUP[MMWR_RATING_RO_ROLLUP],0),MATCH(H$9,MMWR_RATING_RO_ROLLUP[#Headers],0)),"ERROR"))</f>
        <v>159.1428571429</v>
      </c>
      <c r="I18" s="155">
        <f>IF($B18=" ","",IFERROR(INDEX(MMWR_RATING_RO_ROLLUP[],MATCH($B18,MMWR_RATING_RO_ROLLUP[MMWR_RATING_RO_ROLLUP],0),MATCH(I$9,MMWR_RATING_RO_ROLLUP[#Headers],0)),"ERROR"))</f>
        <v>134.34848796540001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1884</v>
      </c>
      <c r="D19" s="155">
        <f>IF($B19=" ","",IFERROR(INDEX(MMWR_RATING_RO_ROLLUP[],MATCH($B19,MMWR_RATING_RO_ROLLUP[MMWR_RATING_RO_ROLLUP],0),MATCH(D$9,MMWR_RATING_RO_ROLLUP[#Headers],0)),"ERROR"))</f>
        <v>81.064225053100003</v>
      </c>
      <c r="E19" s="156">
        <f>IF($B19=" ","",IFERROR(INDEX(MMWR_RATING_RO_ROLLUP[],MATCH($B19,MMWR_RATING_RO_ROLLUP[MMWR_RATING_RO_ROLLUP],0),MATCH(E$9,MMWR_RATING_RO_ROLLUP[#Headers],0))/$C19,"ERROR"))</f>
        <v>0.14490445859872611</v>
      </c>
      <c r="F19" s="154">
        <f>IF($B19=" ","",IFERROR(INDEX(MMWR_RATING_RO_ROLLUP[],MATCH($B19,MMWR_RATING_RO_ROLLUP[MMWR_RATING_RO_ROLLUP],0),MATCH(F$9,MMWR_RATING_RO_ROLLUP[#Headers],0)),"ERROR"))</f>
        <v>30</v>
      </c>
      <c r="G19" s="154">
        <f>IF($B19=" ","",IFERROR(INDEX(MMWR_RATING_RO_ROLLUP[],MATCH($B19,MMWR_RATING_RO_ROLLUP[MMWR_RATING_RO_ROLLUP],0),MATCH(G$9,MMWR_RATING_RO_ROLLUP[#Headers],0)),"ERROR"))</f>
        <v>4937</v>
      </c>
      <c r="H19" s="155">
        <f>IF($B19=" ","",IFERROR(INDEX(MMWR_RATING_RO_ROLLUP[],MATCH($B19,MMWR_RATING_RO_ROLLUP[MMWR_RATING_RO_ROLLUP],0),MATCH(H$9,MMWR_RATING_RO_ROLLUP[#Headers],0)),"ERROR"))</f>
        <v>127.7333333333</v>
      </c>
      <c r="I19" s="155">
        <f>IF($B19=" ","",IFERROR(INDEX(MMWR_RATING_RO_ROLLUP[],MATCH($B19,MMWR_RATING_RO_ROLLUP[MMWR_RATING_RO_ROLLUP],0),MATCH(I$9,MMWR_RATING_RO_ROLLUP[#Headers],0)),"ERROR"))</f>
        <v>114.75086084669999</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2482</v>
      </c>
      <c r="D20" s="155">
        <f>IF($B20=" ","",IFERROR(INDEX(MMWR_RATING_RO_ROLLUP[],MATCH($B20,MMWR_RATING_RO_ROLLUP[MMWR_RATING_RO_ROLLUP],0),MATCH(D$9,MMWR_RATING_RO_ROLLUP[#Headers],0)),"ERROR"))</f>
        <v>83.867445608400004</v>
      </c>
      <c r="E20" s="156">
        <f>IF($B20=" ","",IFERROR(INDEX(MMWR_RATING_RO_ROLLUP[],MATCH($B20,MMWR_RATING_RO_ROLLUP[MMWR_RATING_RO_ROLLUP],0),MATCH(E$9,MMWR_RATING_RO_ROLLUP[#Headers],0))/$C20,"ERROR"))</f>
        <v>0.16881547139403708</v>
      </c>
      <c r="F20" s="154">
        <f>IF($B20=" ","",IFERROR(INDEX(MMWR_RATING_RO_ROLLUP[],MATCH($B20,MMWR_RATING_RO_ROLLUP[MMWR_RATING_RO_ROLLUP],0),MATCH(F$9,MMWR_RATING_RO_ROLLUP[#Headers],0)),"ERROR"))</f>
        <v>55</v>
      </c>
      <c r="G20" s="154">
        <f>IF($B20=" ","",IFERROR(INDEX(MMWR_RATING_RO_ROLLUP[],MATCH($B20,MMWR_RATING_RO_ROLLUP[MMWR_RATING_RO_ROLLUP],0),MATCH(G$9,MMWR_RATING_RO_ROLLUP[#Headers],0)),"ERROR"))</f>
        <v>6859</v>
      </c>
      <c r="H20" s="155">
        <f>IF($B20=" ","",IFERROR(INDEX(MMWR_RATING_RO_ROLLUP[],MATCH($B20,MMWR_RATING_RO_ROLLUP[MMWR_RATING_RO_ROLLUP],0),MATCH(H$9,MMWR_RATING_RO_ROLLUP[#Headers],0)),"ERROR"))</f>
        <v>94.963636363600003</v>
      </c>
      <c r="I20" s="155">
        <f>IF($B20=" ","",IFERROR(INDEX(MMWR_RATING_RO_ROLLUP[],MATCH($B20,MMWR_RATING_RO_ROLLUP[MMWR_RATING_RO_ROLLUP],0),MATCH(I$9,MMWR_RATING_RO_ROLLUP[#Headers],0)),"ERROR"))</f>
        <v>115.99008601840001</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1266</v>
      </c>
      <c r="D21" s="155">
        <f>IF($B21=" ","",IFERROR(INDEX(MMWR_RATING_RO_ROLLUP[],MATCH($B21,MMWR_RATING_RO_ROLLUP[MMWR_RATING_RO_ROLLUP],0),MATCH(D$9,MMWR_RATING_RO_ROLLUP[#Headers],0)),"ERROR"))</f>
        <v>74.521327014199997</v>
      </c>
      <c r="E21" s="156">
        <f>IF($B21=" ","",IFERROR(INDEX(MMWR_RATING_RO_ROLLUP[],MATCH($B21,MMWR_RATING_RO_ROLLUP[MMWR_RATING_RO_ROLLUP],0),MATCH(E$9,MMWR_RATING_RO_ROLLUP[#Headers],0))/$C21,"ERROR"))</f>
        <v>0.1358609794628752</v>
      </c>
      <c r="F21" s="154">
        <f>IF($B21=" ","",IFERROR(INDEX(MMWR_RATING_RO_ROLLUP[],MATCH($B21,MMWR_RATING_RO_ROLLUP[MMWR_RATING_RO_ROLLUP],0),MATCH(F$9,MMWR_RATING_RO_ROLLUP[#Headers],0)),"ERROR"))</f>
        <v>19</v>
      </c>
      <c r="G21" s="154">
        <f>IF($B21=" ","",IFERROR(INDEX(MMWR_RATING_RO_ROLLUP[],MATCH($B21,MMWR_RATING_RO_ROLLUP[MMWR_RATING_RO_ROLLUP],0),MATCH(G$9,MMWR_RATING_RO_ROLLUP[#Headers],0)),"ERROR"))</f>
        <v>2951</v>
      </c>
      <c r="H21" s="155">
        <f>IF($B21=" ","",IFERROR(INDEX(MMWR_RATING_RO_ROLLUP[],MATCH($B21,MMWR_RATING_RO_ROLLUP[MMWR_RATING_RO_ROLLUP],0),MATCH(H$9,MMWR_RATING_RO_ROLLUP[#Headers],0)),"ERROR"))</f>
        <v>102.3684210526</v>
      </c>
      <c r="I21" s="155">
        <f>IF($B21=" ","",IFERROR(INDEX(MMWR_RATING_RO_ROLLUP[],MATCH($B21,MMWR_RATING_RO_ROLLUP[MMWR_RATING_RO_ROLLUP],0),MATCH(I$9,MMWR_RATING_RO_ROLLUP[#Headers],0)),"ERROR"))</f>
        <v>127.55981023379999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5148</v>
      </c>
      <c r="D22" s="155">
        <f>IF($B22=" ","",IFERROR(INDEX(MMWR_RATING_RO_ROLLUP[],MATCH($B22,MMWR_RATING_RO_ROLLUP[MMWR_RATING_RO_ROLLUP],0),MATCH(D$9,MMWR_RATING_RO_ROLLUP[#Headers],0)),"ERROR"))</f>
        <v>107.9242424242</v>
      </c>
      <c r="E22" s="156">
        <f>IF($B22=" ","",IFERROR(INDEX(MMWR_RATING_RO_ROLLUP[],MATCH($B22,MMWR_RATING_RO_ROLLUP[MMWR_RATING_RO_ROLLUP],0),MATCH(E$9,MMWR_RATING_RO_ROLLUP[#Headers],0))/$C22,"ERROR"))</f>
        <v>0.26320901320901319</v>
      </c>
      <c r="F22" s="154">
        <f>IF($B22=" ","",IFERROR(INDEX(MMWR_RATING_RO_ROLLUP[],MATCH($B22,MMWR_RATING_RO_ROLLUP[MMWR_RATING_RO_ROLLUP],0),MATCH(F$9,MMWR_RATING_RO_ROLLUP[#Headers],0)),"ERROR"))</f>
        <v>71</v>
      </c>
      <c r="G22" s="154">
        <f>IF($B22=" ","",IFERROR(INDEX(MMWR_RATING_RO_ROLLUP[],MATCH($B22,MMWR_RATING_RO_ROLLUP[MMWR_RATING_RO_ROLLUP],0),MATCH(G$9,MMWR_RATING_RO_ROLLUP[#Headers],0)),"ERROR"))</f>
        <v>10699</v>
      </c>
      <c r="H22" s="155">
        <f>IF($B22=" ","",IFERROR(INDEX(MMWR_RATING_RO_ROLLUP[],MATCH($B22,MMWR_RATING_RO_ROLLUP[MMWR_RATING_RO_ROLLUP],0),MATCH(H$9,MMWR_RATING_RO_ROLLUP[#Headers],0)),"ERROR"))</f>
        <v>144.5211267606</v>
      </c>
      <c r="I22" s="155">
        <f>IF($B22=" ","",IFERROR(INDEX(MMWR_RATING_RO_ROLLUP[],MATCH($B22,MMWR_RATING_RO_ROLLUP[MMWR_RATING_RO_ROLLUP],0),MATCH(I$9,MMWR_RATING_RO_ROLLUP[#Headers],0)),"ERROR"))</f>
        <v>136.84680811289999</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2827</v>
      </c>
      <c r="D23" s="155">
        <f>IF($B23=" ","",IFERROR(INDEX(MMWR_RATING_RO_ROLLUP[],MATCH($B23,MMWR_RATING_RO_ROLLUP[MMWR_RATING_RO_ROLLUP],0),MATCH(D$9,MMWR_RATING_RO_ROLLUP[#Headers],0)),"ERROR"))</f>
        <v>97.629288998899995</v>
      </c>
      <c r="E23" s="156">
        <f>IF($B23=" ","",IFERROR(INDEX(MMWR_RATING_RO_ROLLUP[],MATCH($B23,MMWR_RATING_RO_ROLLUP[MMWR_RATING_RO_ROLLUP],0),MATCH(E$9,MMWR_RATING_RO_ROLLUP[#Headers],0))/$C23,"ERROR"))</f>
        <v>0.24548991864166961</v>
      </c>
      <c r="F23" s="154">
        <f>IF($B23=" ","",IFERROR(INDEX(MMWR_RATING_RO_ROLLUP[],MATCH($B23,MMWR_RATING_RO_ROLLUP[MMWR_RATING_RO_ROLLUP],0),MATCH(F$9,MMWR_RATING_RO_ROLLUP[#Headers],0)),"ERROR"))</f>
        <v>32</v>
      </c>
      <c r="G23" s="154">
        <f>IF($B23=" ","",IFERROR(INDEX(MMWR_RATING_RO_ROLLUP[],MATCH($B23,MMWR_RATING_RO_ROLLUP[MMWR_RATING_RO_ROLLUP],0),MATCH(G$9,MMWR_RATING_RO_ROLLUP[#Headers],0)),"ERROR"))</f>
        <v>6002</v>
      </c>
      <c r="H23" s="155">
        <f>IF($B23=" ","",IFERROR(INDEX(MMWR_RATING_RO_ROLLUP[],MATCH($B23,MMWR_RATING_RO_ROLLUP[MMWR_RATING_RO_ROLLUP],0),MATCH(H$9,MMWR_RATING_RO_ROLLUP[#Headers],0)),"ERROR"))</f>
        <v>126.5625</v>
      </c>
      <c r="I23" s="155">
        <f>IF($B23=" ","",IFERROR(INDEX(MMWR_RATING_RO_ROLLUP[],MATCH($B23,MMWR_RATING_RO_ROLLUP[MMWR_RATING_RO_ROLLUP],0),MATCH(I$9,MMWR_RATING_RO_ROLLUP[#Headers],0)),"ERROR"))</f>
        <v>136.90703098969999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8381</v>
      </c>
      <c r="D24" s="155">
        <f>IF($B24=" ","",IFERROR(INDEX(MMWR_RATING_RO_ROLLUP[],MATCH($B24,MMWR_RATING_RO_ROLLUP[MMWR_RATING_RO_ROLLUP],0),MATCH(D$9,MMWR_RATING_RO_ROLLUP[#Headers],0)),"ERROR"))</f>
        <v>109.3660661019</v>
      </c>
      <c r="E24" s="156">
        <f>IF($B24=" ","",IFERROR(INDEX(MMWR_RATING_RO_ROLLUP[],MATCH($B24,MMWR_RATING_RO_ROLLUP[MMWR_RATING_RO_ROLLUP],0),MATCH(E$9,MMWR_RATING_RO_ROLLUP[#Headers],0))/$C24,"ERROR"))</f>
        <v>0.2894642644075886</v>
      </c>
      <c r="F24" s="154">
        <f>IF($B24=" ","",IFERROR(INDEX(MMWR_RATING_RO_ROLLUP[],MATCH($B24,MMWR_RATING_RO_ROLLUP[MMWR_RATING_RO_ROLLUP],0),MATCH(F$9,MMWR_RATING_RO_ROLLUP[#Headers],0)),"ERROR"))</f>
        <v>58</v>
      </c>
      <c r="G24" s="154">
        <f>IF($B24=" ","",IFERROR(INDEX(MMWR_RATING_RO_ROLLUP[],MATCH($B24,MMWR_RATING_RO_ROLLUP[MMWR_RATING_RO_ROLLUP],0),MATCH(G$9,MMWR_RATING_RO_ROLLUP[#Headers],0)),"ERROR"))</f>
        <v>17457</v>
      </c>
      <c r="H24" s="155">
        <f>IF($B24=" ","",IFERROR(INDEX(MMWR_RATING_RO_ROLLUP[],MATCH($B24,MMWR_RATING_RO_ROLLUP[MMWR_RATING_RO_ROLLUP],0),MATCH(H$9,MMWR_RATING_RO_ROLLUP[#Headers],0)),"ERROR"))</f>
        <v>139.10344827590001</v>
      </c>
      <c r="I24" s="155">
        <f>IF($B24=" ","",IFERROR(INDEX(MMWR_RATING_RO_ROLLUP[],MATCH($B24,MMWR_RATING_RO_ROLLUP[MMWR_RATING_RO_ROLLUP],0),MATCH(I$9,MMWR_RATING_RO_ROLLUP[#Headers],0)),"ERROR"))</f>
        <v>148.44841610820001</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5092</v>
      </c>
      <c r="D25" s="155">
        <f>IF($B25=" ","",IFERROR(INDEX(MMWR_RATING_RO_ROLLUP[],MATCH($B25,MMWR_RATING_RO_ROLLUP[MMWR_RATING_RO_ROLLUP],0),MATCH(D$9,MMWR_RATING_RO_ROLLUP[#Headers],0)),"ERROR"))</f>
        <v>110.3313040063</v>
      </c>
      <c r="E25" s="156">
        <f>IF($B25=" ","",IFERROR(INDEX(MMWR_RATING_RO_ROLLUP[],MATCH($B25,MMWR_RATING_RO_ROLLUP[MMWR_RATING_RO_ROLLUP],0),MATCH(E$9,MMWR_RATING_RO_ROLLUP[#Headers],0))/$C25,"ERROR"))</f>
        <v>0.31068342498036133</v>
      </c>
      <c r="F25" s="154">
        <f>IF($B25=" ","",IFERROR(INDEX(MMWR_RATING_RO_ROLLUP[],MATCH($B25,MMWR_RATING_RO_ROLLUP[MMWR_RATING_RO_ROLLUP],0),MATCH(F$9,MMWR_RATING_RO_ROLLUP[#Headers],0)),"ERROR"))</f>
        <v>66</v>
      </c>
      <c r="G25" s="154">
        <f>IF($B25=" ","",IFERROR(INDEX(MMWR_RATING_RO_ROLLUP[],MATCH($B25,MMWR_RATING_RO_ROLLUP[MMWR_RATING_RO_ROLLUP],0),MATCH(G$9,MMWR_RATING_RO_ROLLUP[#Headers],0)),"ERROR"))</f>
        <v>9782</v>
      </c>
      <c r="H25" s="155">
        <f>IF($B25=" ","",IFERROR(INDEX(MMWR_RATING_RO_ROLLUP[],MATCH($B25,MMWR_RATING_RO_ROLLUP[MMWR_RATING_RO_ROLLUP],0),MATCH(H$9,MMWR_RATING_RO_ROLLUP[#Headers],0)),"ERROR"))</f>
        <v>150.01515151519999</v>
      </c>
      <c r="I25" s="155">
        <f>IF($B25=" ","",IFERROR(INDEX(MMWR_RATING_RO_ROLLUP[],MATCH($B25,MMWR_RATING_RO_ROLLUP[MMWR_RATING_RO_ROLLUP],0),MATCH(I$9,MMWR_RATING_RO_ROLLUP[#Headers],0)),"ERROR"))</f>
        <v>157.25955837250001</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3279</v>
      </c>
      <c r="D26" s="155">
        <f>IF($B26=" ","",IFERROR(INDEX(MMWR_RATING_RO_ROLLUP[],MATCH($B26,MMWR_RATING_RO_ROLLUP[MMWR_RATING_RO_ROLLUP],0),MATCH(D$9,MMWR_RATING_RO_ROLLUP[#Headers],0)),"ERROR"))</f>
        <v>57.896309850599998</v>
      </c>
      <c r="E26" s="156">
        <f>IF($B26=" ","",IFERROR(INDEX(MMWR_RATING_RO_ROLLUP[],MATCH($B26,MMWR_RATING_RO_ROLLUP[MMWR_RATING_RO_ROLLUP],0),MATCH(E$9,MMWR_RATING_RO_ROLLUP[#Headers],0))/$C26,"ERROR"))</f>
        <v>0.11466910643488869</v>
      </c>
      <c r="F26" s="154">
        <f>IF($B26=" ","",IFERROR(INDEX(MMWR_RATING_RO_ROLLUP[],MATCH($B26,MMWR_RATING_RO_ROLLUP[MMWR_RATING_RO_ROLLUP],0),MATCH(F$9,MMWR_RATING_RO_ROLLUP[#Headers],0)),"ERROR"))</f>
        <v>94</v>
      </c>
      <c r="G26" s="154">
        <f>IF($B26=" ","",IFERROR(INDEX(MMWR_RATING_RO_ROLLUP[],MATCH($B26,MMWR_RATING_RO_ROLLUP[MMWR_RATING_RO_ROLLUP],0),MATCH(G$9,MMWR_RATING_RO_ROLLUP[#Headers],0)),"ERROR"))</f>
        <v>16293</v>
      </c>
      <c r="H26" s="155">
        <f>IF($B26=" ","",IFERROR(INDEX(MMWR_RATING_RO_ROLLUP[],MATCH($B26,MMWR_RATING_RO_ROLLUP[MMWR_RATING_RO_ROLLUP],0),MATCH(H$9,MMWR_RATING_RO_ROLLUP[#Headers],0)),"ERROR"))</f>
        <v>46.085106383000003</v>
      </c>
      <c r="I26" s="155">
        <f>IF($B26=" ","",IFERROR(INDEX(MMWR_RATING_RO_ROLLUP[],MATCH($B26,MMWR_RATING_RO_ROLLUP[MMWR_RATING_RO_ROLLUP],0),MATCH(I$9,MMWR_RATING_RO_ROLLUP[#Headers],0)),"ERROR"))</f>
        <v>56.266924446099999</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11118</v>
      </c>
      <c r="D27" s="155">
        <f>IF($B27=" ","",IFERROR(INDEX(MMWR_RATING_RO_ROLLUP[],MATCH($B27,MMWR_RATING_RO_ROLLUP[MMWR_RATING_RO_ROLLUP],0),MATCH(D$9,MMWR_RATING_RO_ROLLUP[#Headers],0)),"ERROR"))</f>
        <v>85.645169994599996</v>
      </c>
      <c r="E27" s="156">
        <f>IF($B27=" ","",IFERROR(INDEX(MMWR_RATING_RO_ROLLUP[],MATCH($B27,MMWR_RATING_RO_ROLLUP[MMWR_RATING_RO_ROLLUP],0),MATCH(E$9,MMWR_RATING_RO_ROLLUP[#Headers],0))/$C27,"ERROR"))</f>
        <v>0.18933261377945673</v>
      </c>
      <c r="F27" s="154">
        <f>IF($B27=" ","",IFERROR(INDEX(MMWR_RATING_RO_ROLLUP[],MATCH($B27,MMWR_RATING_RO_ROLLUP[MMWR_RATING_RO_ROLLUP],0),MATCH(F$9,MMWR_RATING_RO_ROLLUP[#Headers],0)),"ERROR"))</f>
        <v>204</v>
      </c>
      <c r="G27" s="154">
        <f>IF($B27=" ","",IFERROR(INDEX(MMWR_RATING_RO_ROLLUP[],MATCH($B27,MMWR_RATING_RO_ROLLUP[MMWR_RATING_RO_ROLLUP],0),MATCH(G$9,MMWR_RATING_RO_ROLLUP[#Headers],0)),"ERROR"))</f>
        <v>26236</v>
      </c>
      <c r="H27" s="155">
        <f>IF($B27=" ","",IFERROR(INDEX(MMWR_RATING_RO_ROLLUP[],MATCH($B27,MMWR_RATING_RO_ROLLUP[MMWR_RATING_RO_ROLLUP],0),MATCH(H$9,MMWR_RATING_RO_ROLLUP[#Headers],0)),"ERROR"))</f>
        <v>114.5049019608</v>
      </c>
      <c r="I27" s="155">
        <f>IF($B27=" ","",IFERROR(INDEX(MMWR_RATING_RO_ROLLUP[],MATCH($B27,MMWR_RATING_RO_ROLLUP[MMWR_RATING_RO_ROLLUP],0),MATCH(I$9,MMWR_RATING_RO_ROLLUP[#Headers],0)),"ERROR"))</f>
        <v>135.92403567619999</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1359</v>
      </c>
      <c r="D28" s="155">
        <f>IF($B28=" ","",IFERROR(INDEX(MMWR_RATING_RO_ROLLUP[],MATCH($B28,MMWR_RATING_RO_ROLLUP[MMWR_RATING_RO_ROLLUP],0),MATCH(D$9,MMWR_RATING_RO_ROLLUP[#Headers],0)),"ERROR"))</f>
        <v>66.123620309100005</v>
      </c>
      <c r="E28" s="156">
        <f>IF($B28=" ","",IFERROR(INDEX(MMWR_RATING_RO_ROLLUP[],MATCH($B28,MMWR_RATING_RO_ROLLUP[MMWR_RATING_RO_ROLLUP],0),MATCH(E$9,MMWR_RATING_RO_ROLLUP[#Headers],0))/$C28,"ERROR"))</f>
        <v>0.11479028697571744</v>
      </c>
      <c r="F28" s="154">
        <f>IF($B28=" ","",IFERROR(INDEX(MMWR_RATING_RO_ROLLUP[],MATCH($B28,MMWR_RATING_RO_ROLLUP[MMWR_RATING_RO_ROLLUP],0),MATCH(F$9,MMWR_RATING_RO_ROLLUP[#Headers],0)),"ERROR"))</f>
        <v>38</v>
      </c>
      <c r="G28" s="154">
        <f>IF($B28=" ","",IFERROR(INDEX(MMWR_RATING_RO_ROLLUP[],MATCH($B28,MMWR_RATING_RO_ROLLUP[MMWR_RATING_RO_ROLLUP],0),MATCH(G$9,MMWR_RATING_RO_ROLLUP[#Headers],0)),"ERROR"))</f>
        <v>3872</v>
      </c>
      <c r="H28" s="155">
        <f>IF($B28=" ","",IFERROR(INDEX(MMWR_RATING_RO_ROLLUP[],MATCH($B28,MMWR_RATING_RO_ROLLUP[MMWR_RATING_RO_ROLLUP],0),MATCH(H$9,MMWR_RATING_RO_ROLLUP[#Headers],0)),"ERROR"))</f>
        <v>98.052631578900005</v>
      </c>
      <c r="I28" s="155">
        <f>IF($B28=" ","",IFERROR(INDEX(MMWR_RATING_RO_ROLLUP[],MATCH($B28,MMWR_RATING_RO_ROLLUP[MMWR_RATING_RO_ROLLUP],0),MATCH(I$9,MMWR_RATING_RO_ROLLUP[#Headers],0)),"ERROR"))</f>
        <v>104.6725206612</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592</v>
      </c>
      <c r="D29" s="155">
        <f>IF($B29=" ","",IFERROR(INDEX(MMWR_RATING_RO_ROLLUP[],MATCH($B29,MMWR_RATING_RO_ROLLUP[MMWR_RATING_RO_ROLLUP],0),MATCH(D$9,MMWR_RATING_RO_ROLLUP[#Headers],0)),"ERROR"))</f>
        <v>97.645270270300003</v>
      </c>
      <c r="E29" s="156">
        <f>IF($B29=" ","",IFERROR(INDEX(MMWR_RATING_RO_ROLLUP[],MATCH($B29,MMWR_RATING_RO_ROLLUP[MMWR_RATING_RO_ROLLUP],0),MATCH(E$9,MMWR_RATING_RO_ROLLUP[#Headers],0))/$C29,"ERROR"))</f>
        <v>0.26351351351351349</v>
      </c>
      <c r="F29" s="154">
        <f>IF($B29=" ","",IFERROR(INDEX(MMWR_RATING_RO_ROLLUP[],MATCH($B29,MMWR_RATING_RO_ROLLUP[MMWR_RATING_RO_ROLLUP],0),MATCH(F$9,MMWR_RATING_RO_ROLLUP[#Headers],0)),"ERROR"))</f>
        <v>5</v>
      </c>
      <c r="G29" s="154">
        <f>IF($B29=" ","",IFERROR(INDEX(MMWR_RATING_RO_ROLLUP[],MATCH($B29,MMWR_RATING_RO_ROLLUP[MMWR_RATING_RO_ROLLUP],0),MATCH(G$9,MMWR_RATING_RO_ROLLUP[#Headers],0)),"ERROR"))</f>
        <v>1104</v>
      </c>
      <c r="H29" s="155">
        <f>IF($B29=" ","",IFERROR(INDEX(MMWR_RATING_RO_ROLLUP[],MATCH($B29,MMWR_RATING_RO_ROLLUP[MMWR_RATING_RO_ROLLUP],0),MATCH(H$9,MMWR_RATING_RO_ROLLUP[#Headers],0)),"ERROR"))</f>
        <v>107.2</v>
      </c>
      <c r="I29" s="155">
        <f>IF($B29=" ","",IFERROR(INDEX(MMWR_RATING_RO_ROLLUP[],MATCH($B29,MMWR_RATING_RO_ROLLUP[MMWR_RATING_RO_ROLLUP],0),MATCH(I$9,MMWR_RATING_RO_ROLLUP[#Headers],0)),"ERROR"))</f>
        <v>135.11141304349999</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795</v>
      </c>
      <c r="D30" s="155">
        <f>IF($B30=" ","",IFERROR(INDEX(MMWR_RATING_RO_ROLLUP[],MATCH($B30,MMWR_RATING_RO_ROLLUP[MMWR_RATING_RO_ROLLUP],0),MATCH(D$9,MMWR_RATING_RO_ROLLUP[#Headers],0)),"ERROR"))</f>
        <v>89.413836477999993</v>
      </c>
      <c r="E30" s="156">
        <f>IF($B30=" ","",IFERROR(INDEX(MMWR_RATING_RO_ROLLUP[],MATCH($B30,MMWR_RATING_RO_ROLLUP[MMWR_RATING_RO_ROLLUP],0),MATCH(E$9,MMWR_RATING_RO_ROLLUP[#Headers],0))/$C30,"ERROR"))</f>
        <v>0.21383647798742139</v>
      </c>
      <c r="F30" s="154">
        <f>IF($B30=" ","",IFERROR(INDEX(MMWR_RATING_RO_ROLLUP[],MATCH($B30,MMWR_RATING_RO_ROLLUP[MMWR_RATING_RO_ROLLUP],0),MATCH(F$9,MMWR_RATING_RO_ROLLUP[#Headers],0)),"ERROR"))</f>
        <v>14</v>
      </c>
      <c r="G30" s="154">
        <f>IF($B30=" ","",IFERROR(INDEX(MMWR_RATING_RO_ROLLUP[],MATCH($B30,MMWR_RATING_RO_ROLLUP[MMWR_RATING_RO_ROLLUP],0),MATCH(G$9,MMWR_RATING_RO_ROLLUP[#Headers],0)),"ERROR"))</f>
        <v>1866</v>
      </c>
      <c r="H30" s="155">
        <f>IF($B30=" ","",IFERROR(INDEX(MMWR_RATING_RO_ROLLUP[],MATCH($B30,MMWR_RATING_RO_ROLLUP[MMWR_RATING_RO_ROLLUP],0),MATCH(H$9,MMWR_RATING_RO_ROLLUP[#Headers],0)),"ERROR"))</f>
        <v>124.2857142857</v>
      </c>
      <c r="I30" s="155">
        <f>IF($B30=" ","",IFERROR(INDEX(MMWR_RATING_RO_ROLLUP[],MATCH($B30,MMWR_RATING_RO_ROLLUP[MMWR_RATING_RO_ROLLUP],0),MATCH(I$9,MMWR_RATING_RO_ROLLUP[#Headers],0)),"ERROR"))</f>
        <v>139.8488745981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17351</v>
      </c>
      <c r="D31" s="155">
        <f>IF($B31=" ","",IFERROR(INDEX(MMWR_RATING_RO_ROLLUP[],MATCH($B31,MMWR_RATING_RO_ROLLUP[MMWR_RATING_RO_ROLLUP],0),MATCH(D$9,MMWR_RATING_RO_ROLLUP[#Headers],0)),"ERROR"))</f>
        <v>93.879718748200006</v>
      </c>
      <c r="E31" s="156">
        <f>IF($B31=" ","",IFERROR(INDEX(MMWR_RATING_RO_ROLLUP[],MATCH($B31,MMWR_RATING_RO_ROLLUP[MMWR_RATING_RO_ROLLUP],0),MATCH(E$9,MMWR_RATING_RO_ROLLUP[#Headers],0))/$C31,"ERROR"))</f>
        <v>0.23929456515474612</v>
      </c>
      <c r="F31" s="154">
        <f>IF($B31=" ","",IFERROR(INDEX(MMWR_RATING_RO_ROLLUP[],MATCH($B31,MMWR_RATING_RO_ROLLUP[MMWR_RATING_RO_ROLLUP],0),MATCH(F$9,MMWR_RATING_RO_ROLLUP[#Headers],0)),"ERROR"))</f>
        <v>228</v>
      </c>
      <c r="G31" s="154">
        <f>IF($B31=" ","",IFERROR(INDEX(MMWR_RATING_RO_ROLLUP[],MATCH($B31,MMWR_RATING_RO_ROLLUP[MMWR_RATING_RO_ROLLUP],0),MATCH(G$9,MMWR_RATING_RO_ROLLUP[#Headers],0)),"ERROR"))</f>
        <v>37743</v>
      </c>
      <c r="H31" s="155">
        <f>IF($B31=" ","",IFERROR(INDEX(MMWR_RATING_RO_ROLLUP[],MATCH($B31,MMWR_RATING_RO_ROLLUP[MMWR_RATING_RO_ROLLUP],0),MATCH(H$9,MMWR_RATING_RO_ROLLUP[#Headers],0)),"ERROR"))</f>
        <v>139.8070175439</v>
      </c>
      <c r="I31" s="155">
        <f>IF($B31=" ","",IFERROR(INDEX(MMWR_RATING_RO_ROLLUP[],MATCH($B31,MMWR_RATING_RO_ROLLUP[MMWR_RATING_RO_ROLLUP],0),MATCH(I$9,MMWR_RATING_RO_ROLLUP[#Headers],0)),"ERROR"))</f>
        <v>144.02482579549999</v>
      </c>
      <c r="J31" s="42"/>
      <c r="K31" s="42"/>
      <c r="L31" s="42"/>
      <c r="M31" s="42"/>
      <c r="N31" s="28"/>
    </row>
    <row r="32" spans="1:14" x14ac:dyDescent="0.2">
      <c r="A32" s="25"/>
      <c r="B32" s="342" t="s">
        <v>733</v>
      </c>
      <c r="C32" s="343"/>
      <c r="D32" s="343"/>
      <c r="E32" s="343"/>
      <c r="F32" s="343"/>
      <c r="G32" s="343"/>
      <c r="H32" s="343"/>
      <c r="I32" s="343"/>
      <c r="J32" s="343"/>
      <c r="K32" s="343"/>
      <c r="L32" s="343"/>
      <c r="M32" s="393"/>
      <c r="N32" s="28"/>
    </row>
    <row r="33" spans="1:14" x14ac:dyDescent="0.2">
      <c r="A33" s="25"/>
      <c r="B33" s="11" t="s">
        <v>696</v>
      </c>
      <c r="C33" s="154">
        <f>IF($B33=" ","",IFERROR(INDEX(MMWR_RATING_RO_ROLLUP[],MATCH($B33,MMWR_RATING_RO_ROLLUP[MMWR_RATING_RO_ROLLUP],0),MATCH(C$9,MMWR_RATING_RO_ROLLUP[#Headers],0)),"ERROR"))</f>
        <v>29122</v>
      </c>
      <c r="D33" s="155">
        <f>IF($B33=" ","",IFERROR(INDEX(MMWR_RATING_RO_ROLLUP[],MATCH($B33,MMWR_RATING_RO_ROLLUP[MMWR_RATING_RO_ROLLUP],0),MATCH(D$9,MMWR_RATING_RO_ROLLUP[#Headers],0)),"ERROR"))</f>
        <v>69.820582377600005</v>
      </c>
      <c r="E33" s="156">
        <f>IF($B33=" ","",IFERROR(INDEX(MMWR_RATING_RO_ROLLUP[],MATCH($B33,MMWR_RATING_RO_ROLLUP[MMWR_RATING_RO_ROLLUP],0),MATCH(E$9,MMWR_RATING_RO_ROLLUP[#Headers],0))/$C33,"ERROR"))</f>
        <v>0.11208021427099787</v>
      </c>
      <c r="F33" s="154">
        <f>IF($B33=" ","",IFERROR(INDEX(MMWR_RATING_RO_ROLLUP[],MATCH($B33,MMWR_RATING_RO_ROLLUP[MMWR_RATING_RO_ROLLUP],0),MATCH(F$9,MMWR_RATING_RO_ROLLUP[#Headers],0)),"ERROR"))</f>
        <v>396</v>
      </c>
      <c r="G33" s="154">
        <f>IF($B33=" ","",IFERROR(INDEX(MMWR_RATING_RO_ROLLUP[],MATCH($B33,MMWR_RATING_RO_ROLLUP[MMWR_RATING_RO_ROLLUP],0),MATCH(G$9,MMWR_RATING_RO_ROLLUP[#Headers],0)),"ERROR"))</f>
        <v>109795</v>
      </c>
      <c r="H33" s="155">
        <f>IF($B33=" ","",IFERROR(INDEX(MMWR_RATING_RO_ROLLUP[],MATCH($B33,MMWR_RATING_RO_ROLLUP[MMWR_RATING_RO_ROLLUP],0),MATCH(H$9,MMWR_RATING_RO_ROLLUP[#Headers],0)),"ERROR"))</f>
        <v>86.545454545499993</v>
      </c>
      <c r="I33" s="155">
        <f>IF($B33=" ","",IFERROR(INDEX(MMWR_RATING_RO_ROLLUP[],MATCH($B33,MMWR_RATING_RO_ROLLUP[MMWR_RATING_RO_ROLLUP],0),MATCH(I$9,MMWR_RATING_RO_ROLLUP[#Headers],0)),"ERROR"))</f>
        <v>78.329395692000006</v>
      </c>
      <c r="J33" s="42"/>
      <c r="K33" s="42"/>
      <c r="L33" s="42"/>
      <c r="M33" s="42"/>
      <c r="N33" s="28"/>
    </row>
    <row r="34" spans="1:14" x14ac:dyDescent="0.2">
      <c r="A34" s="25"/>
      <c r="B34" s="12" t="s">
        <v>210</v>
      </c>
      <c r="C34" s="154">
        <f>IF($B34=" ","",IFERROR(INDEX(MMWR_RATING_RO_ROLLUP[],MATCH($B34,MMWR_RATING_RO_ROLLUP[MMWR_RATING_RO_ROLLUP],0),MATCH(C$9,MMWR_RATING_RO_ROLLUP[#Headers],0)),"ERROR"))</f>
        <v>14398</v>
      </c>
      <c r="D34" s="155">
        <f>IF($B34=" ","",IFERROR(INDEX(MMWR_RATING_RO_ROLLUP[],MATCH($B34,MMWR_RATING_RO_ROLLUP[MMWR_RATING_RO_ROLLUP],0),MATCH(D$9,MMWR_RATING_RO_ROLLUP[#Headers],0)),"ERROR"))</f>
        <v>69.434713154600004</v>
      </c>
      <c r="E34" s="156">
        <f>IF($B34=" ","",IFERROR(INDEX(MMWR_RATING_RO_ROLLUP[],MATCH($B34,MMWR_RATING_RO_ROLLUP[MMWR_RATING_RO_ROLLUP],0),MATCH(E$9,MMWR_RATING_RO_ROLLUP[#Headers],0))/$C34,"ERROR"))</f>
        <v>0.10640366717599667</v>
      </c>
      <c r="F34" s="154">
        <f>IF($B34=" ","",IFERROR(INDEX(MMWR_RATING_RO_ROLLUP[],MATCH($B34,MMWR_RATING_RO_ROLLUP[MMWR_RATING_RO_ROLLUP],0),MATCH(F$9,MMWR_RATING_RO_ROLLUP[#Headers],0)),"ERROR"))</f>
        <v>140</v>
      </c>
      <c r="G34" s="154">
        <f>IF($B34=" ","",IFERROR(INDEX(MMWR_RATING_RO_ROLLUP[],MATCH($B34,MMWR_RATING_RO_ROLLUP[MMWR_RATING_RO_ROLLUP],0),MATCH(G$9,MMWR_RATING_RO_ROLLUP[#Headers],0)),"ERROR"))</f>
        <v>35446</v>
      </c>
      <c r="H34" s="155">
        <f>IF($B34=" ","",IFERROR(INDEX(MMWR_RATING_RO_ROLLUP[],MATCH($B34,MMWR_RATING_RO_ROLLUP[MMWR_RATING_RO_ROLLUP],0),MATCH(H$9,MMWR_RATING_RO_ROLLUP[#Headers],0)),"ERROR"))</f>
        <v>104.5571428571</v>
      </c>
      <c r="I34" s="155">
        <f>IF($B34=" ","",IFERROR(INDEX(MMWR_RATING_RO_ROLLUP[],MATCH($B34,MMWR_RATING_RO_ROLLUP[MMWR_RATING_RO_ROLLUP],0),MATCH(I$9,MMWR_RATING_RO_ROLLUP[#Headers],0)),"ERROR"))</f>
        <v>98.620493144500003</v>
      </c>
      <c r="J34" s="42"/>
      <c r="K34" s="42"/>
      <c r="L34" s="42"/>
      <c r="M34" s="42"/>
      <c r="N34" s="28"/>
    </row>
    <row r="35" spans="1:14" x14ac:dyDescent="0.2">
      <c r="A35" s="43"/>
      <c r="B35" s="12" t="s">
        <v>209</v>
      </c>
      <c r="C35" s="154">
        <f>IF($B35=" ","",IFERROR(INDEX(MMWR_RATING_RO_ROLLUP[],MATCH($B35,MMWR_RATING_RO_ROLLUP[MMWR_RATING_RO_ROLLUP],0),MATCH(C$9,MMWR_RATING_RO_ROLLUP[#Headers],0)),"ERROR"))</f>
        <v>5846</v>
      </c>
      <c r="D35" s="155">
        <f>IF($B35=" ","",IFERROR(INDEX(MMWR_RATING_RO_ROLLUP[],MATCH($B35,MMWR_RATING_RO_ROLLUP[MMWR_RATING_RO_ROLLUP],0),MATCH(D$9,MMWR_RATING_RO_ROLLUP[#Headers],0)),"ERROR"))</f>
        <v>68.393602463199997</v>
      </c>
      <c r="E35" s="156">
        <f>IF($B35=" ","",IFERROR(INDEX(MMWR_RATING_RO_ROLLUP[],MATCH($B35,MMWR_RATING_RO_ROLLUP[MMWR_RATING_RO_ROLLUP],0),MATCH(E$9,MMWR_RATING_RO_ROLLUP[#Headers],0))/$C35,"ERROR"))</f>
        <v>0.12230585015395141</v>
      </c>
      <c r="F35" s="154">
        <f>IF($B35=" ","",IFERROR(INDEX(MMWR_RATING_RO_ROLLUP[],MATCH($B35,MMWR_RATING_RO_ROLLUP[MMWR_RATING_RO_ROLLUP],0),MATCH(F$9,MMWR_RATING_RO_ROLLUP[#Headers],0)),"ERROR"))</f>
        <v>54</v>
      </c>
      <c r="G35" s="154">
        <f>IF($B35=" ","",IFERROR(INDEX(MMWR_RATING_RO_ROLLUP[],MATCH($B35,MMWR_RATING_RO_ROLLUP[MMWR_RATING_RO_ROLLUP],0),MATCH(G$9,MMWR_RATING_RO_ROLLUP[#Headers],0)),"ERROR"))</f>
        <v>31156</v>
      </c>
      <c r="H35" s="155">
        <f>IF($B35=" ","",IFERROR(INDEX(MMWR_RATING_RO_ROLLUP[],MATCH($B35,MMWR_RATING_RO_ROLLUP[MMWR_RATING_RO_ROLLUP],0),MATCH(H$9,MMWR_RATING_RO_ROLLUP[#Headers],0)),"ERROR"))</f>
        <v>71.962962962999995</v>
      </c>
      <c r="I35" s="155">
        <f>IF($B35=" ","",IFERROR(INDEX(MMWR_RATING_RO_ROLLUP[],MATCH($B35,MMWR_RATING_RO_ROLLUP[MMWR_RATING_RO_ROLLUP],0),MATCH(I$9,MMWR_RATING_RO_ROLLUP[#Headers],0)),"ERROR"))</f>
        <v>70.7154320195</v>
      </c>
      <c r="J35" s="42"/>
      <c r="K35" s="42"/>
      <c r="L35" s="42"/>
      <c r="M35" s="42"/>
      <c r="N35" s="28"/>
    </row>
    <row r="36" spans="1:14" x14ac:dyDescent="0.2">
      <c r="A36" s="25"/>
      <c r="B36" s="12" t="s">
        <v>212</v>
      </c>
      <c r="C36" s="154">
        <f>IF($B36=" ","",IFERROR(INDEX(MMWR_RATING_RO_ROLLUP[],MATCH($B36,MMWR_RATING_RO_ROLLUP[MMWR_RATING_RO_ROLLUP],0),MATCH(C$9,MMWR_RATING_RO_ROLLUP[#Headers],0)),"ERROR"))</f>
        <v>8015</v>
      </c>
      <c r="D36" s="155">
        <f>IF($B36=" ","",IFERROR(INDEX(MMWR_RATING_RO_ROLLUP[],MATCH($B36,MMWR_RATING_RO_ROLLUP[MMWR_RATING_RO_ROLLUP],0),MATCH(D$9,MMWR_RATING_RO_ROLLUP[#Headers],0)),"ERROR"))</f>
        <v>59.364691204000003</v>
      </c>
      <c r="E36" s="156">
        <f>IF($B36=" ","",IFERROR(INDEX(MMWR_RATING_RO_ROLLUP[],MATCH($B36,MMWR_RATING_RO_ROLLUP[MMWR_RATING_RO_ROLLUP],0),MATCH(E$9,MMWR_RATING_RO_ROLLUP[#Headers],0))/$C36,"ERROR"))</f>
        <v>7.4360573923892698E-2</v>
      </c>
      <c r="F36" s="154">
        <f>IF($B36=" ","",IFERROR(INDEX(MMWR_RATING_RO_ROLLUP[],MATCH($B36,MMWR_RATING_RO_ROLLUP[MMWR_RATING_RO_ROLLUP],0),MATCH(F$9,MMWR_RATING_RO_ROLLUP[#Headers],0)),"ERROR"))</f>
        <v>190</v>
      </c>
      <c r="G36" s="154">
        <f>IF($B36=" ","",IFERROR(INDEX(MMWR_RATING_RO_ROLLUP[],MATCH($B36,MMWR_RATING_RO_ROLLUP[MMWR_RATING_RO_ROLLUP],0),MATCH(G$9,MMWR_RATING_RO_ROLLUP[#Headers],0)),"ERROR"))</f>
        <v>39161</v>
      </c>
      <c r="H36" s="155">
        <f>IF($B36=" ","",IFERROR(INDEX(MMWR_RATING_RO_ROLLUP[],MATCH($B36,MMWR_RATING_RO_ROLLUP[MMWR_RATING_RO_ROLLUP],0),MATCH(H$9,MMWR_RATING_RO_ROLLUP[#Headers],0)),"ERROR"))</f>
        <v>73.347368421100001</v>
      </c>
      <c r="I36" s="155">
        <f>IF($B36=" ","",IFERROR(INDEX(MMWR_RATING_RO_ROLLUP[],MATCH($B36,MMWR_RATING_RO_ROLLUP[MMWR_RATING_RO_ROLLUP],0),MATCH(I$9,MMWR_RATING_RO_ROLLUP[#Headers],0)),"ERROR"))</f>
        <v>67.8428538597</v>
      </c>
      <c r="J36" s="42"/>
      <c r="K36" s="42"/>
      <c r="L36" s="42"/>
      <c r="M36" s="42"/>
      <c r="N36" s="28"/>
    </row>
    <row r="37" spans="1:14" x14ac:dyDescent="0.2">
      <c r="A37" s="25"/>
      <c r="B37" s="13" t="s">
        <v>224</v>
      </c>
      <c r="C37" s="154">
        <f>IF($B37=" ","",IFERROR(INDEX(MMWR_RATING_RO_ROLLUP[],MATCH($B37,MMWR_RATING_RO_ROLLUP[MMWR_RATING_RO_ROLLUP],0),MATCH(C$9,MMWR_RATING_RO_ROLLUP[#Headers],0)),"ERROR"))</f>
        <v>863</v>
      </c>
      <c r="D37" s="155">
        <f>IF($B37=" ","",IFERROR(INDEX(MMWR_RATING_RO_ROLLUP[],MATCH($B37,MMWR_RATING_RO_ROLLUP[MMWR_RATING_RO_ROLLUP],0),MATCH(D$9,MMWR_RATING_RO_ROLLUP[#Headers],0)),"ERROR"))</f>
        <v>183.03244495940001</v>
      </c>
      <c r="E37" s="156">
        <f>IF($B37=" ","",IFERROR(INDEX(MMWR_RATING_RO_ROLLUP[],MATCH($B37,MMWR_RATING_RO_ROLLUP[MMWR_RATING_RO_ROLLUP],0),MATCH(E$9,MMWR_RATING_RO_ROLLUP[#Headers],0))/$C37,"ERROR"))</f>
        <v>0.48783314020857477</v>
      </c>
      <c r="F37" s="154">
        <f>IF($B37=" ","",IFERROR(INDEX(MMWR_RATING_RO_ROLLUP[],MATCH($B37,MMWR_RATING_RO_ROLLUP[MMWR_RATING_RO_ROLLUP],0),MATCH(F$9,MMWR_RATING_RO_ROLLUP[#Headers],0)),"ERROR"))</f>
        <v>12</v>
      </c>
      <c r="G37" s="154">
        <f>IF($B37=" ","",IFERROR(INDEX(MMWR_RATING_RO_ROLLUP[],MATCH($B37,MMWR_RATING_RO_ROLLUP[MMWR_RATING_RO_ROLLUP],0),MATCH(G$9,MMWR_RATING_RO_ROLLUP[#Headers],0)),"ERROR"))</f>
        <v>4032</v>
      </c>
      <c r="H37" s="155">
        <f>IF($B37=" ","",IFERROR(INDEX(MMWR_RATING_RO_ROLLUP[],MATCH($B37,MMWR_RATING_RO_ROLLUP[MMWR_RATING_RO_ROLLUP],0),MATCH(H$9,MMWR_RATING_RO_ROLLUP[#Headers],0)),"ERROR"))</f>
        <v>151</v>
      </c>
      <c r="I37" s="155">
        <f>IF($B37=" ","",IFERROR(INDEX(MMWR_RATING_RO_ROLLUP[],MATCH($B37,MMWR_RATING_RO_ROLLUP[MMWR_RATING_RO_ROLLUP],0),MATCH(I$9,MMWR_RATING_RO_ROLLUP[#Headers],0)),"ERROR"))</f>
        <v>60.632440476200003</v>
      </c>
      <c r="J37" s="42"/>
      <c r="K37" s="42"/>
      <c r="L37" s="42"/>
      <c r="M37" s="42"/>
      <c r="N37" s="28"/>
    </row>
    <row r="38" spans="1:14" x14ac:dyDescent="0.2">
      <c r="A38" s="25"/>
      <c r="B38" s="342" t="s">
        <v>916</v>
      </c>
      <c r="C38" s="343"/>
      <c r="D38" s="343"/>
      <c r="E38" s="343"/>
      <c r="F38" s="343"/>
      <c r="G38" s="343"/>
      <c r="H38" s="343"/>
      <c r="I38" s="343"/>
      <c r="J38" s="343"/>
      <c r="K38" s="343"/>
      <c r="L38" s="343"/>
      <c r="M38" s="393"/>
      <c r="N38" s="28"/>
    </row>
    <row r="39" spans="1:14" x14ac:dyDescent="0.2">
      <c r="A39" s="25"/>
      <c r="B39" s="44" t="s">
        <v>697</v>
      </c>
      <c r="C39" s="154">
        <f>IF($B39=" ","",IFERROR(INDEX(MMWR_RATING_RO_ROLLUP[],MATCH($B39,MMWR_RATING_RO_ROLLUP[MMWR_RATING_RO_ROLLUP],0),MATCH(C$9,MMWR_RATING_RO_ROLLUP[#Headers],0)),"ERROR"))</f>
        <v>7898</v>
      </c>
      <c r="D39" s="155">
        <f>IF($B39=" ","",IFERROR(INDEX(MMWR_RATING_RO_ROLLUP[],MATCH($B39,MMWR_RATING_RO_ROLLUP[MMWR_RATING_RO_ROLLUP],0),MATCH(D$9,MMWR_RATING_RO_ROLLUP[#Headers],0)),"ERROR"))</f>
        <v>67.358698404699993</v>
      </c>
      <c r="E39" s="156">
        <f>IF($B39=" ","",IFERROR(INDEX(MMWR_RATING_RO_ROLLUP[],MATCH($B39,MMWR_RATING_RO_ROLLUP[MMWR_RATING_RO_ROLLUP],0),MATCH(E$9,MMWR_RATING_RO_ROLLUP[#Headers],0))/$C39,"ERROR"))</f>
        <v>0.14117498100785009</v>
      </c>
      <c r="F39" s="154">
        <f>IF($B39=" ","",IFERROR(INDEX(MMWR_RATING_RO_ROLLUP[],MATCH($B39,MMWR_RATING_RO_ROLLUP[MMWR_RATING_RO_ROLLUP],0),MATCH(F$9,MMWR_RATING_RO_ROLLUP[#Headers],0)),"ERROR"))</f>
        <v>105</v>
      </c>
      <c r="G39" s="154">
        <f>IF($B39=" ","",IFERROR(INDEX(MMWR_RATING_RO_ROLLUP[],MATCH($B39,MMWR_RATING_RO_ROLLUP[MMWR_RATING_RO_ROLLUP],0),MATCH(G$9,MMWR_RATING_RO_ROLLUP[#Headers],0)),"ERROR"))</f>
        <v>19327</v>
      </c>
      <c r="H39" s="155">
        <f>IF($B39=" ","",IFERROR(INDEX(MMWR_RATING_RO_ROLLUP[],MATCH($B39,MMWR_RATING_RO_ROLLUP[MMWR_RATING_RO_ROLLUP],0),MATCH(H$9,MMWR_RATING_RO_ROLLUP[#Headers],0)),"ERROR"))</f>
        <v>121.6</v>
      </c>
      <c r="I39" s="155">
        <f>IF($B39=" ","",IFERROR(INDEX(MMWR_RATING_RO_ROLLUP[],MATCH($B39,MMWR_RATING_RO_ROLLUP[MMWR_RATING_RO_ROLLUP],0),MATCH(I$9,MMWR_RATING_RO_ROLLUP[#Headers],0)),"ERROR"))</f>
        <v>140.191959435</v>
      </c>
      <c r="J39" s="42"/>
      <c r="K39" s="42"/>
      <c r="L39" s="42"/>
      <c r="M39" s="42"/>
      <c r="N39" s="28"/>
    </row>
    <row r="40" spans="1:14" x14ac:dyDescent="0.2">
      <c r="A40" s="25"/>
      <c r="B40" s="53" t="s">
        <v>956</v>
      </c>
      <c r="C40" s="154">
        <f>IF($B40=" ","",IFERROR(INDEX(MMWR_RATING_RO_ROLLUP[],MATCH($B40,MMWR_RATING_RO_ROLLUP[MMWR_RATING_RO_ROLLUP],0),MATCH(C$9,MMWR_RATING_RO_ROLLUP[#Headers],0)),"ERROR"))</f>
        <v>1258</v>
      </c>
      <c r="D40" s="155">
        <f>IF($B40=" ","",IFERROR(INDEX(MMWR_RATING_RO_ROLLUP[],MATCH($B40,MMWR_RATING_RO_ROLLUP[MMWR_RATING_RO_ROLLUP],0),MATCH(D$9,MMWR_RATING_RO_ROLLUP[#Headers],0)),"ERROR"))</f>
        <v>59.233704292500001</v>
      </c>
      <c r="E40" s="156">
        <f>IF($B40=" ","",IFERROR(INDEX(MMWR_RATING_RO_ROLLUP[],MATCH($B40,MMWR_RATING_RO_ROLLUP[MMWR_RATING_RO_ROLLUP],0),MATCH(E$9,MMWR_RATING_RO_ROLLUP[#Headers],0))/$C40,"ERROR"))</f>
        <v>0.11446740858505565</v>
      </c>
      <c r="F40" s="154">
        <f>IF($B40=" ","",IFERROR(INDEX(MMWR_RATING_RO_ROLLUP[],MATCH($B40,MMWR_RATING_RO_ROLLUP[MMWR_RATING_RO_ROLLUP],0),MATCH(F$9,MMWR_RATING_RO_ROLLUP[#Headers],0)),"ERROR"))</f>
        <v>13</v>
      </c>
      <c r="G40" s="154">
        <f>IF($B40=" ","",IFERROR(INDEX(MMWR_RATING_RO_ROLLUP[],MATCH($B40,MMWR_RATING_RO_ROLLUP[MMWR_RATING_RO_ROLLUP],0),MATCH(G$9,MMWR_RATING_RO_ROLLUP[#Headers],0)),"ERROR"))</f>
        <v>3638</v>
      </c>
      <c r="H40" s="155">
        <f>IF($B40=" ","",IFERROR(INDEX(MMWR_RATING_RO_ROLLUP[],MATCH($B40,MMWR_RATING_RO_ROLLUP[MMWR_RATING_RO_ROLLUP],0),MATCH(H$9,MMWR_RATING_RO_ROLLUP[#Headers],0)),"ERROR"))</f>
        <v>104.30769230769999</v>
      </c>
      <c r="I40" s="155">
        <f>IF($B40=" ","",IFERROR(INDEX(MMWR_RATING_RO_ROLLUP[],MATCH($B40,MMWR_RATING_RO_ROLLUP[MMWR_RATING_RO_ROLLUP],0),MATCH(I$9,MMWR_RATING_RO_ROLLUP[#Headers],0)),"ERROR"))</f>
        <v>125.21550302359999</v>
      </c>
      <c r="J40" s="42"/>
      <c r="K40" s="42"/>
      <c r="L40" s="42"/>
      <c r="M40" s="42"/>
      <c r="N40" s="28"/>
    </row>
    <row r="41" spans="1:14" x14ac:dyDescent="0.2">
      <c r="A41" s="25"/>
      <c r="B41" s="53" t="s">
        <v>957</v>
      </c>
      <c r="C41" s="154">
        <f>IF($B41=" ","",IFERROR(INDEX(MMWR_RATING_RO_ROLLUP[],MATCH($B41,MMWR_RATING_RO_ROLLUP[MMWR_RATING_RO_ROLLUP],0),MATCH(C$9,MMWR_RATING_RO_ROLLUP[#Headers],0)),"ERROR"))</f>
        <v>1151</v>
      </c>
      <c r="D41" s="155">
        <f>IF($B41=" ","",IFERROR(INDEX(MMWR_RATING_RO_ROLLUP[],MATCH($B41,MMWR_RATING_RO_ROLLUP[MMWR_RATING_RO_ROLLUP],0),MATCH(D$9,MMWR_RATING_RO_ROLLUP[#Headers],0)),"ERROR"))</f>
        <v>65.020851433499999</v>
      </c>
      <c r="E41" s="156">
        <f>IF($B41=" ","",IFERROR(INDEX(MMWR_RATING_RO_ROLLUP[],MATCH($B41,MMWR_RATING_RO_ROLLUP[MMWR_RATING_RO_ROLLUP],0),MATCH(E$9,MMWR_RATING_RO_ROLLUP[#Headers],0))/$C41,"ERROR"))</f>
        <v>0.13292788879235448</v>
      </c>
      <c r="F41" s="154">
        <f>IF($B41=" ","",IFERROR(INDEX(MMWR_RATING_RO_ROLLUP[],MATCH($B41,MMWR_RATING_RO_ROLLUP[MMWR_RATING_RO_ROLLUP],0),MATCH(F$9,MMWR_RATING_RO_ROLLUP[#Headers],0)),"ERROR"))</f>
        <v>18</v>
      </c>
      <c r="G41" s="154">
        <f>IF($B41=" ","",IFERROR(INDEX(MMWR_RATING_RO_ROLLUP[],MATCH($B41,MMWR_RATING_RO_ROLLUP[MMWR_RATING_RO_ROLLUP],0),MATCH(G$9,MMWR_RATING_RO_ROLLUP[#Headers],0)),"ERROR"))</f>
        <v>3092</v>
      </c>
      <c r="H41" s="155">
        <f>IF($B41=" ","",IFERROR(INDEX(MMWR_RATING_RO_ROLLUP[],MATCH($B41,MMWR_RATING_RO_ROLLUP[MMWR_RATING_RO_ROLLUP],0),MATCH(H$9,MMWR_RATING_RO_ROLLUP[#Headers],0)),"ERROR"))</f>
        <v>139.8888888889</v>
      </c>
      <c r="I41" s="155">
        <f>IF($B41=" ","",IFERROR(INDEX(MMWR_RATING_RO_ROLLUP[],MATCH($B41,MMWR_RATING_RO_ROLLUP[MMWR_RATING_RO_ROLLUP],0),MATCH(I$9,MMWR_RATING_RO_ROLLUP[#Headers],0)),"ERROR"))</f>
        <v>152.27360931440001</v>
      </c>
      <c r="J41" s="42"/>
      <c r="K41" s="42"/>
      <c r="L41" s="42"/>
      <c r="M41" s="42"/>
      <c r="N41" s="28"/>
    </row>
    <row r="42" spans="1:14" x14ac:dyDescent="0.2">
      <c r="A42" s="25"/>
      <c r="B42" s="46" t="s">
        <v>307</v>
      </c>
      <c r="C42" s="154">
        <f>IF($B42=" ","",IFERROR(INDEX(MMWR_RATING_RO_ROLLUP[],MATCH($B42,MMWR_RATING_RO_ROLLUP[MMWR_RATING_RO_ROLLUP],0),MATCH(C$9,MMWR_RATING_RO_ROLLUP[#Headers],0)),"ERROR"))</f>
        <v>5489</v>
      </c>
      <c r="D42" s="155">
        <f>IF($B42=" ","",IFERROR(INDEX(MMWR_RATING_RO_ROLLUP[],MATCH($B42,MMWR_RATING_RO_ROLLUP[MMWR_RATING_RO_ROLLUP],0),MATCH(D$9,MMWR_RATING_RO_ROLLUP[#Headers],0)),"ERROR"))</f>
        <v>69.711058480600002</v>
      </c>
      <c r="E42" s="156">
        <f>IF($B42=" ","",IFERROR(INDEX(MMWR_RATING_RO_ROLLUP[],MATCH($B42,MMWR_RATING_RO_ROLLUP[MMWR_RATING_RO_ROLLUP],0),MATCH(E$9,MMWR_RATING_RO_ROLLUP[#Headers],0))/$C42,"ERROR"))</f>
        <v>0.14902532337402077</v>
      </c>
      <c r="F42" s="154">
        <f>IF($B42=" ","",IFERROR(INDEX(MMWR_RATING_RO_ROLLUP[],MATCH($B42,MMWR_RATING_RO_ROLLUP[MMWR_RATING_RO_ROLLUP],0),MATCH(F$9,MMWR_RATING_RO_ROLLUP[#Headers],0)),"ERROR"))</f>
        <v>74</v>
      </c>
      <c r="G42" s="154">
        <f>IF($B42=" ","",IFERROR(INDEX(MMWR_RATING_RO_ROLLUP[],MATCH($B42,MMWR_RATING_RO_ROLLUP[MMWR_RATING_RO_ROLLUP],0),MATCH(G$9,MMWR_RATING_RO_ROLLUP[#Headers],0)),"ERROR"))</f>
        <v>12597</v>
      </c>
      <c r="H42" s="155">
        <f>IF($B42=" ","",IFERROR(INDEX(MMWR_RATING_RO_ROLLUP[],MATCH($B42,MMWR_RATING_RO_ROLLUP[MMWR_RATING_RO_ROLLUP],0),MATCH(H$9,MMWR_RATING_RO_ROLLUP[#Headers],0)),"ERROR"))</f>
        <v>120.18918918919999</v>
      </c>
      <c r="I42" s="155">
        <f>IF($B42=" ","",IFERROR(INDEX(MMWR_RATING_RO_ROLLUP[],MATCH($B42,MMWR_RATING_RO_ROLLUP[MMWR_RATING_RO_ROLLUP],0),MATCH(I$9,MMWR_RATING_RO_ROLLUP[#Headers],0)),"ERROR"))</f>
        <v>141.5516392792</v>
      </c>
      <c r="J42" s="42"/>
      <c r="K42" s="42"/>
      <c r="L42" s="42"/>
      <c r="M42" s="42"/>
      <c r="N42" s="28"/>
    </row>
    <row r="43" spans="1:14" x14ac:dyDescent="0.2">
      <c r="A43" s="25"/>
      <c r="B43" s="342" t="s">
        <v>734</v>
      </c>
      <c r="C43" s="343"/>
      <c r="D43" s="343"/>
      <c r="E43" s="343"/>
      <c r="F43" s="343"/>
      <c r="G43" s="343"/>
      <c r="H43" s="343"/>
      <c r="I43" s="343"/>
      <c r="J43" s="343"/>
      <c r="K43" s="343"/>
      <c r="L43" s="343"/>
      <c r="M43" s="393"/>
      <c r="N43" s="28"/>
    </row>
    <row r="44" spans="1:14" x14ac:dyDescent="0.2">
      <c r="A44" s="25"/>
      <c r="B44" s="44" t="s">
        <v>695</v>
      </c>
      <c r="C44" s="154">
        <f>IF($B44=" ","",IFERROR(INDEX(MMWR_RATING_RO_ROLLUP[],MATCH($B44,MMWR_RATING_RO_ROLLUP[MMWR_RATING_RO_ROLLUP],0),MATCH(C$9,MMWR_RATING_RO_ROLLUP[#Headers],0)),"ERROR"))</f>
        <v>8320</v>
      </c>
      <c r="D44" s="155">
        <f>IF($B44=" ","",IFERROR(INDEX(MMWR_RATING_RO_ROLLUP[],MATCH($B44,MMWR_RATING_RO_ROLLUP[MMWR_RATING_RO_ROLLUP],0),MATCH(D$9,MMWR_RATING_RO_ROLLUP[#Headers],0)),"ERROR"))</f>
        <v>60.802524038500003</v>
      </c>
      <c r="E44" s="156">
        <f>IF($B44=" ","",IFERROR(INDEX(MMWR_RATING_RO_ROLLUP[],MATCH($B44,MMWR_RATING_RO_ROLLUP[MMWR_RATING_RO_ROLLUP],0),MATCH(E$9,MMWR_RATING_RO_ROLLUP[#Headers],0))/$C44,"ERROR"))</f>
        <v>0.12223557692307692</v>
      </c>
      <c r="F44" s="154">
        <f>IF($B44=" ","",IFERROR(INDEX(MMWR_RATING_RO_ROLLUP[],MATCH($B44,MMWR_RATING_RO_ROLLUP[MMWR_RATING_RO_ROLLUP],0),MATCH(F$9,MMWR_RATING_RO_ROLLUP[#Headers],0)),"ERROR"))</f>
        <v>113</v>
      </c>
      <c r="G44" s="154">
        <f>IF($B44=" ","",IFERROR(INDEX(MMWR_RATING_RO_ROLLUP[],MATCH($B44,MMWR_RATING_RO_ROLLUP[MMWR_RATING_RO_ROLLUP],0),MATCH(G$9,MMWR_RATING_RO_ROLLUP[#Headers],0)),"ERROR"))</f>
        <v>22358</v>
      </c>
      <c r="H44" s="155">
        <f>IF($B44=" ","",IFERROR(INDEX(MMWR_RATING_RO_ROLLUP[],MATCH($B44,MMWR_RATING_RO_ROLLUP[MMWR_RATING_RO_ROLLUP],0),MATCH(H$9,MMWR_RATING_RO_ROLLUP[#Headers],0)),"ERROR"))</f>
        <v>120.2212389381</v>
      </c>
      <c r="I44" s="155">
        <f>IF($B44=" ","",IFERROR(INDEX(MMWR_RATING_RO_ROLLUP[],MATCH($B44,MMWR_RATING_RO_ROLLUP[MMWR_RATING_RO_ROLLUP],0),MATCH(I$9,MMWR_RATING_RO_ROLLUP[#Headers],0)),"ERROR"))</f>
        <v>132.34421683510001</v>
      </c>
      <c r="J44" s="42"/>
      <c r="K44" s="42"/>
      <c r="L44" s="42"/>
      <c r="M44" s="42"/>
      <c r="N44" s="28"/>
    </row>
    <row r="45" spans="1:14" x14ac:dyDescent="0.2">
      <c r="A45" s="25"/>
      <c r="B45" s="45" t="s">
        <v>211</v>
      </c>
      <c r="C45" s="154">
        <f>IF($B45=" ","",IFERROR(INDEX(MMWR_RATING_RO_ROLLUP[],MATCH($B45,MMWR_RATING_RO_ROLLUP[MMWR_RATING_RO_ROLLUP],0),MATCH(C$9,MMWR_RATING_RO_ROLLUP[#Headers],0)),"ERROR"))</f>
        <v>59</v>
      </c>
      <c r="D45" s="155">
        <f>IF($B45=" ","",IFERROR(INDEX(MMWR_RATING_RO_ROLLUP[],MATCH($B45,MMWR_RATING_RO_ROLLUP[MMWR_RATING_RO_ROLLUP],0),MATCH(D$9,MMWR_RATING_RO_ROLLUP[#Headers],0)),"ERROR"))</f>
        <v>68.9491525424</v>
      </c>
      <c r="E45" s="156">
        <f>IF($B45=" ","",IFERROR(INDEX(MMWR_RATING_RO_ROLLUP[],MATCH($B45,MMWR_RATING_RO_ROLLUP[MMWR_RATING_RO_ROLLUP],0),MATCH(E$9,MMWR_RATING_RO_ROLLUP[#Headers],0))/$C45,"ERROR"))</f>
        <v>0.11864406779661017</v>
      </c>
      <c r="F45" s="154">
        <f>IF($B45=" ","",IFERROR(INDEX(MMWR_RATING_RO_ROLLUP[],MATCH($B45,MMWR_RATING_RO_ROLLUP[MMWR_RATING_RO_ROLLUP],0),MATCH(F$9,MMWR_RATING_RO_ROLLUP[#Headers],0)),"ERROR"))</f>
        <v>1</v>
      </c>
      <c r="G45" s="154">
        <f>IF($B45=" ","",IFERROR(INDEX(MMWR_RATING_RO_ROLLUP[],MATCH($B45,MMWR_RATING_RO_ROLLUP[MMWR_RATING_RO_ROLLUP],0),MATCH(G$9,MMWR_RATING_RO_ROLLUP[#Headers],0)),"ERROR"))</f>
        <v>170</v>
      </c>
      <c r="H45" s="155">
        <f>IF($B45=" ","",IFERROR(INDEX(MMWR_RATING_RO_ROLLUP[],MATCH($B45,MMWR_RATING_RO_ROLLUP[MMWR_RATING_RO_ROLLUP],0),MATCH(H$9,MMWR_RATING_RO_ROLLUP[#Headers],0)),"ERROR"))</f>
        <v>93</v>
      </c>
      <c r="I45" s="155">
        <f>IF($B45=" ","",IFERROR(INDEX(MMWR_RATING_RO_ROLLUP[],MATCH($B45,MMWR_RATING_RO_ROLLUP[MMWR_RATING_RO_ROLLUP],0),MATCH(I$9,MMWR_RATING_RO_ROLLUP[#Headers],0)),"ERROR"))</f>
        <v>129.4</v>
      </c>
      <c r="J45" s="42"/>
      <c r="K45" s="42"/>
      <c r="L45" s="42"/>
      <c r="M45" s="42"/>
      <c r="N45" s="28"/>
    </row>
    <row r="46" spans="1:14" x14ac:dyDescent="0.2">
      <c r="A46" s="25"/>
      <c r="B46" s="45" t="s">
        <v>213</v>
      </c>
      <c r="C46" s="154">
        <f>IF($B46=" ","",IFERROR(INDEX(MMWR_RATING_RO_ROLLUP[],MATCH($B46,MMWR_RATING_RO_ROLLUP[MMWR_RATING_RO_ROLLUP],0),MATCH(C$9,MMWR_RATING_RO_ROLLUP[#Headers],0)),"ERROR"))</f>
        <v>1052</v>
      </c>
      <c r="D46" s="155">
        <f>IF($B46=" ","",IFERROR(INDEX(MMWR_RATING_RO_ROLLUP[],MATCH($B46,MMWR_RATING_RO_ROLLUP[MMWR_RATING_RO_ROLLUP],0),MATCH(D$9,MMWR_RATING_RO_ROLLUP[#Headers],0)),"ERROR"))</f>
        <v>60.439163498100001</v>
      </c>
      <c r="E46" s="156">
        <f>IF($B46=" ","",IFERROR(INDEX(MMWR_RATING_RO_ROLLUP[],MATCH($B46,MMWR_RATING_RO_ROLLUP[MMWR_RATING_RO_ROLLUP],0),MATCH(E$9,MMWR_RATING_RO_ROLLUP[#Headers],0))/$C46,"ERROR"))</f>
        <v>0.14733840304182511</v>
      </c>
      <c r="F46" s="154">
        <f>IF($B46=" ","",IFERROR(INDEX(MMWR_RATING_RO_ROLLUP[],MATCH($B46,MMWR_RATING_RO_ROLLUP[MMWR_RATING_RO_ROLLUP],0),MATCH(F$9,MMWR_RATING_RO_ROLLUP[#Headers],0)),"ERROR"))</f>
        <v>18</v>
      </c>
      <c r="G46" s="154">
        <f>IF($B46=" ","",IFERROR(INDEX(MMWR_RATING_RO_ROLLUP[],MATCH($B46,MMWR_RATING_RO_ROLLUP[MMWR_RATING_RO_ROLLUP],0),MATCH(G$9,MMWR_RATING_RO_ROLLUP[#Headers],0)),"ERROR"))</f>
        <v>3592</v>
      </c>
      <c r="H46" s="155">
        <f>IF($B46=" ","",IFERROR(INDEX(MMWR_RATING_RO_ROLLUP[],MATCH($B46,MMWR_RATING_RO_ROLLUP[MMWR_RATING_RO_ROLLUP],0),MATCH(H$9,MMWR_RATING_RO_ROLLUP[#Headers],0)),"ERROR"))</f>
        <v>130.6666666667</v>
      </c>
      <c r="I46" s="155">
        <f>IF($B46=" ","",IFERROR(INDEX(MMWR_RATING_RO_ROLLUP[],MATCH($B46,MMWR_RATING_RO_ROLLUP[MMWR_RATING_RO_ROLLUP],0),MATCH(I$9,MMWR_RATING_RO_ROLLUP[#Headers],0)),"ERROR"))</f>
        <v>143.6720489978</v>
      </c>
      <c r="J46" s="42"/>
      <c r="K46" s="42"/>
      <c r="L46" s="42"/>
      <c r="M46" s="42"/>
      <c r="N46" s="28"/>
    </row>
    <row r="47" spans="1:14" x14ac:dyDescent="0.2">
      <c r="A47" s="25"/>
      <c r="B47" s="47" t="s">
        <v>308</v>
      </c>
      <c r="C47" s="154">
        <f>IF($B47=" ","",IFERROR(INDEX(MMWR_RATING_RO_ROLLUP[],MATCH($B47,MMWR_RATING_RO_ROLLUP[MMWR_RATING_RO_ROLLUP],0),MATCH(C$9,MMWR_RATING_RO_ROLLUP[#Headers],0)),"ERROR"))</f>
        <v>7209</v>
      </c>
      <c r="D47" s="155">
        <f>IF($B47=" ","",IFERROR(INDEX(MMWR_RATING_RO_ROLLUP[],MATCH($B47,MMWR_RATING_RO_ROLLUP[MMWR_RATING_RO_ROLLUP],0),MATCH(D$9,MMWR_RATING_RO_ROLLUP[#Headers],0)),"ERROR"))</f>
        <v>60.788875017300001</v>
      </c>
      <c r="E47" s="156">
        <f>IF($B47=" ","",IFERROR(INDEX(MMWR_RATING_RO_ROLLUP[],MATCH($B47,MMWR_RATING_RO_ROLLUP[MMWR_RATING_RO_ROLLUP],0),MATCH(E$9,MMWR_RATING_RO_ROLLUP[#Headers],0))/$C47,"ERROR"))</f>
        <v>0.11860174781523096</v>
      </c>
      <c r="F47" s="154">
        <f>IF($B47=" ","",IFERROR(INDEX(MMWR_RATING_RO_ROLLUP[],MATCH($B47,MMWR_RATING_RO_ROLLUP[MMWR_RATING_RO_ROLLUP],0),MATCH(F$9,MMWR_RATING_RO_ROLLUP[#Headers],0)),"ERROR"))</f>
        <v>94</v>
      </c>
      <c r="G47" s="154">
        <f>IF($B47=" ","",IFERROR(INDEX(MMWR_RATING_RO_ROLLUP[],MATCH($B47,MMWR_RATING_RO_ROLLUP[MMWR_RATING_RO_ROLLUP],0),MATCH(G$9,MMWR_RATING_RO_ROLLUP[#Headers],0)),"ERROR"))</f>
        <v>18596</v>
      </c>
      <c r="H47" s="155">
        <f>IF($B47=" ","",IFERROR(INDEX(MMWR_RATING_RO_ROLLUP[],MATCH($B47,MMWR_RATING_RO_ROLLUP[MMWR_RATING_RO_ROLLUP],0),MATCH(H$9,MMWR_RATING_RO_ROLLUP[#Headers],0)),"ERROR"))</f>
        <v>118.5106382979</v>
      </c>
      <c r="I47" s="155">
        <f>IF($B47=" ","",IFERROR(INDEX(MMWR_RATING_RO_ROLLUP[],MATCH($B47,MMWR_RATING_RO_ROLLUP[MMWR_RATING_RO_ROLLUP],0),MATCH(I$9,MMWR_RATING_RO_ROLLUP[#Headers],0)),"ERROR"))</f>
        <v>130.1830501183</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6" t="s">
        <v>977</v>
      </c>
      <c r="D2" s="357"/>
      <c r="E2" s="357"/>
      <c r="F2" s="357"/>
      <c r="G2" s="357"/>
      <c r="H2" s="357"/>
      <c r="I2" s="357"/>
      <c r="J2" s="356" t="s">
        <v>300</v>
      </c>
      <c r="K2" s="357"/>
      <c r="L2" s="357"/>
      <c r="M2" s="358"/>
      <c r="N2" s="28"/>
    </row>
    <row r="3" spans="1:15" ht="24" customHeight="1" thickBot="1" x14ac:dyDescent="0.4">
      <c r="A3" s="25"/>
      <c r="B3" s="29"/>
      <c r="C3" s="359"/>
      <c r="D3" s="360"/>
      <c r="E3" s="360"/>
      <c r="F3" s="360"/>
      <c r="G3" s="360"/>
      <c r="H3" s="360"/>
      <c r="I3" s="360"/>
      <c r="J3" s="359" t="str">
        <f>Transformation!B4</f>
        <v>As of: July 02, 2016</v>
      </c>
      <c r="K3" s="360"/>
      <c r="L3" s="360"/>
      <c r="M3" s="361"/>
      <c r="N3" s="28"/>
    </row>
    <row r="4" spans="1:15" ht="51.75" customHeight="1" thickBot="1" x14ac:dyDescent="0.35">
      <c r="A4" s="30"/>
      <c r="B4" s="246" t="s">
        <v>455</v>
      </c>
      <c r="C4" s="362" t="s">
        <v>431</v>
      </c>
      <c r="D4" s="363"/>
      <c r="E4" s="363"/>
      <c r="F4" s="363"/>
      <c r="G4" s="363"/>
      <c r="H4" s="363"/>
      <c r="I4" s="363"/>
      <c r="J4" s="363"/>
      <c r="K4" s="363"/>
      <c r="L4" s="363"/>
      <c r="M4" s="364"/>
      <c r="N4" s="28"/>
    </row>
    <row r="5" spans="1:15" ht="27" customHeight="1" thickBot="1" x14ac:dyDescent="0.25">
      <c r="A5" s="30"/>
      <c r="B5" s="245" t="s">
        <v>369</v>
      </c>
      <c r="C5" s="365" t="s">
        <v>1041</v>
      </c>
      <c r="D5" s="366"/>
      <c r="E5" s="366"/>
      <c r="F5" s="366"/>
      <c r="G5" s="366"/>
      <c r="H5" s="366"/>
      <c r="I5" s="366"/>
      <c r="J5" s="366"/>
      <c r="K5" s="366"/>
      <c r="L5" s="366"/>
      <c r="M5" s="366"/>
      <c r="N5" s="366"/>
      <c r="O5" s="367"/>
    </row>
    <row r="6" spans="1:15" ht="55.5" customHeight="1" x14ac:dyDescent="0.2">
      <c r="A6" s="30"/>
      <c r="B6" s="31"/>
      <c r="C6" s="32" t="s">
        <v>190</v>
      </c>
      <c r="D6" s="368" t="s">
        <v>16</v>
      </c>
      <c r="E6" s="369"/>
      <c r="F6" s="33" t="s">
        <v>193</v>
      </c>
      <c r="G6" s="368" t="s">
        <v>198</v>
      </c>
      <c r="H6" s="370"/>
      <c r="I6" s="33" t="s">
        <v>196</v>
      </c>
      <c r="J6" s="49" t="s">
        <v>14</v>
      </c>
      <c r="K6" s="33" t="s">
        <v>201</v>
      </c>
      <c r="L6" s="374" t="s">
        <v>85</v>
      </c>
      <c r="M6" s="387"/>
      <c r="N6" s="28"/>
    </row>
    <row r="7" spans="1:15" ht="51.75" customHeight="1" x14ac:dyDescent="0.2">
      <c r="A7" s="30"/>
      <c r="B7" s="34"/>
      <c r="C7" s="35" t="s">
        <v>191</v>
      </c>
      <c r="D7" s="344" t="s">
        <v>0</v>
      </c>
      <c r="E7" s="345"/>
      <c r="F7" s="36" t="s">
        <v>194</v>
      </c>
      <c r="G7" s="346" t="s">
        <v>199</v>
      </c>
      <c r="H7" s="346"/>
      <c r="I7" s="36" t="s">
        <v>197</v>
      </c>
      <c r="J7" s="50" t="s">
        <v>19</v>
      </c>
      <c r="K7" s="36" t="s">
        <v>202</v>
      </c>
      <c r="L7" s="388" t="s">
        <v>87</v>
      </c>
      <c r="M7" s="389"/>
      <c r="N7" s="28"/>
    </row>
    <row r="8" spans="1:15" ht="51.75" customHeight="1" thickBot="1" x14ac:dyDescent="0.25">
      <c r="A8" s="25"/>
      <c r="B8" s="28"/>
      <c r="C8" s="37" t="s">
        <v>192</v>
      </c>
      <c r="D8" s="347" t="s">
        <v>18</v>
      </c>
      <c r="E8" s="348"/>
      <c r="F8" s="38" t="s">
        <v>195</v>
      </c>
      <c r="G8" s="349" t="s">
        <v>17</v>
      </c>
      <c r="H8" s="349"/>
      <c r="I8" s="38" t="s">
        <v>200</v>
      </c>
      <c r="J8" s="51" t="s">
        <v>84</v>
      </c>
      <c r="K8" s="38" t="s">
        <v>203</v>
      </c>
      <c r="L8" s="390" t="s">
        <v>86</v>
      </c>
      <c r="M8" s="391"/>
      <c r="N8" s="28"/>
    </row>
    <row r="9" spans="1:15" x14ac:dyDescent="0.2">
      <c r="A9" s="28"/>
      <c r="B9" s="39"/>
      <c r="C9" s="39" t="s">
        <v>714</v>
      </c>
      <c r="D9" s="39" t="s">
        <v>716</v>
      </c>
      <c r="E9" s="39" t="s">
        <v>715</v>
      </c>
      <c r="F9" s="39" t="s">
        <v>718</v>
      </c>
      <c r="G9" s="39" t="s">
        <v>717</v>
      </c>
      <c r="H9" s="39" t="s">
        <v>720</v>
      </c>
      <c r="I9" s="39" t="s">
        <v>719</v>
      </c>
      <c r="J9" s="39"/>
      <c r="K9" s="39"/>
      <c r="L9" s="39"/>
      <c r="M9" s="39"/>
      <c r="N9" s="39"/>
    </row>
    <row r="10" spans="1:15" ht="15.75" customHeight="1" x14ac:dyDescent="0.2">
      <c r="A10" s="25"/>
      <c r="B10" s="26"/>
      <c r="C10" s="350" t="s">
        <v>293</v>
      </c>
      <c r="D10" s="350"/>
      <c r="E10" s="350"/>
      <c r="F10" s="350"/>
      <c r="G10" s="350"/>
      <c r="H10" s="350"/>
      <c r="I10" s="350"/>
      <c r="J10" s="350"/>
      <c r="K10" s="350"/>
      <c r="L10" s="350"/>
      <c r="M10" s="392"/>
      <c r="N10" s="28"/>
    </row>
    <row r="11" spans="1:15" ht="63.75" customHeight="1" x14ac:dyDescent="0.2">
      <c r="A11" s="25"/>
      <c r="B11" s="26"/>
      <c r="C11" s="52" t="s">
        <v>226</v>
      </c>
      <c r="D11" s="52" t="s">
        <v>134</v>
      </c>
      <c r="E11" s="52" t="s">
        <v>227</v>
      </c>
      <c r="F11" s="52" t="s">
        <v>189</v>
      </c>
      <c r="G11" s="52" t="s">
        <v>204</v>
      </c>
      <c r="H11" s="52" t="s">
        <v>206</v>
      </c>
      <c r="I11" s="52" t="s">
        <v>207</v>
      </c>
      <c r="J11" s="394" t="s">
        <v>972</v>
      </c>
      <c r="K11" s="395"/>
      <c r="L11" s="395"/>
      <c r="M11" s="396"/>
      <c r="N11" s="28"/>
    </row>
    <row r="12" spans="1:15" x14ac:dyDescent="0.2">
      <c r="A12" s="25"/>
      <c r="B12" s="41" t="s">
        <v>729</v>
      </c>
      <c r="C12" s="154">
        <f>IF($B12=" ","",IFERROR(INDEX(MMWR_RATING_STATE_ROLLUP_VSC[],MATCH($B12,MMWR_RATING_STATE_ROLLUP_VSC[MMWR_RATING_STATE_ROLLUP_VSC],0),MATCH(C$9,MMWR_RATING_STATE_ROLLUP_VSC[#Headers],0)),"ERROR"))</f>
        <v>371153</v>
      </c>
      <c r="D12" s="155">
        <f>IF($B12=" ","",IFERROR(INDEX(MMWR_RATING_STATE_ROLLUP_VSC[],MATCH($B12,MMWR_RATING_STATE_ROLLUP_VSC[MMWR_RATING_STATE_ROLLUP_VSC],0),MATCH(D$9,MMWR_RATING_STATE_ROLLUP_VSC[#Headers],0)),"ERROR"))</f>
        <v>88.041330664200004</v>
      </c>
      <c r="E12" s="157">
        <f>IF($B12=" ","",IFERROR(INDEX(MMWR_RATING_STATE_ROLLUP_VSC[],MATCH($B12,MMWR_RATING_STATE_ROLLUP_VSC[MMWR_RATING_STATE_ROLLUP_VSC],0),MATCH(E$9,MMWR_RATING_STATE_ROLLUP_VSC[#Headers],0))/$C12,"ERROR"))</f>
        <v>0.2003863635751294</v>
      </c>
      <c r="F12" s="154">
        <f>IF($B12=" ","",IFERROR(INDEX(MMWR_RATING_STATE_ROLLUP_VSC[],MATCH($B12,MMWR_RATING_STATE_ROLLUP_VSC[MMWR_RATING_STATE_ROLLUP_VSC],0),MATCH(F$9,MMWR_RATING_STATE_ROLLUP_VSC[#Headers],0)),"ERROR"))</f>
        <v>5157</v>
      </c>
      <c r="G12" s="154">
        <f>IF($B12=" ","",IFERROR(INDEX(MMWR_RATING_STATE_ROLLUP_VSC[],MATCH($B12,MMWR_RATING_STATE_ROLLUP_VSC[MMWR_RATING_STATE_ROLLUP_VSC],0),MATCH(G$9,MMWR_RATING_STATE_ROLLUP_VSC[#Headers],0)),"ERROR"))</f>
        <v>949803</v>
      </c>
      <c r="H12" s="155">
        <f>IF($B12=" ","",IFERROR(INDEX(MMWR_RATING_STATE_ROLLUP_VSC[],MATCH($B12,MMWR_RATING_STATE_ROLLUP_VSC[MMWR_RATING_STATE_ROLLUP_VSC],0),MATCH(H$9,MMWR_RATING_STATE_ROLLUP_VSC[#Headers],0)),"ERROR"))</f>
        <v>120.0244328098</v>
      </c>
      <c r="I12" s="155">
        <f>IF($B12=" ","",IFERROR(INDEX(MMWR_RATING_STATE_ROLLUP_VSC[],MATCH($B12,MMWR_RATING_STATE_ROLLUP_VSC[MMWR_RATING_STATE_ROLLUP_VSC],0),MATCH(I$9,MMWR_RATING_STATE_ROLLUP_VSC[#Headers],0)),"ERROR"))</f>
        <v>123.36427975060001</v>
      </c>
      <c r="J12" s="42"/>
      <c r="K12" s="42"/>
      <c r="L12" s="42"/>
      <c r="M12" s="42"/>
      <c r="N12" s="28"/>
    </row>
    <row r="13" spans="1:15" x14ac:dyDescent="0.2">
      <c r="A13" s="25"/>
      <c r="B13" s="342" t="s">
        <v>958</v>
      </c>
      <c r="C13" s="343"/>
      <c r="D13" s="343"/>
      <c r="E13" s="343"/>
      <c r="F13" s="343"/>
      <c r="G13" s="343"/>
      <c r="H13" s="343"/>
      <c r="I13" s="343"/>
      <c r="J13" s="343"/>
      <c r="K13" s="343"/>
      <c r="L13" s="343"/>
      <c r="M13" s="393"/>
      <c r="N13" s="28"/>
    </row>
    <row r="14" spans="1:15" x14ac:dyDescent="0.2">
      <c r="A14" s="25"/>
      <c r="B14" s="41" t="s">
        <v>1035</v>
      </c>
      <c r="C14" s="154">
        <f>IF($B14=" ","",IFERROR(INDEX(MMWR_RATING_STATE_ROLLUP_VSC[],MATCH($B14,MMWR_RATING_STATE_ROLLUP_VSC[MMWR_RATING_STATE_ROLLUP_VSC],0),MATCH(C$9,MMWR_RATING_STATE_ROLLUP_VSC[#Headers],0)),"ERROR"))</f>
        <v>325813</v>
      </c>
      <c r="D14" s="155">
        <f>IF($B14=" ","",IFERROR(INDEX(MMWR_RATING_STATE_ROLLUP_VSC[],MATCH($B14,MMWR_RATING_STATE_ROLLUP_VSC[MMWR_RATING_STATE_ROLLUP_VSC],0),MATCH(D$9,MMWR_RATING_STATE_ROLLUP_VSC[#Headers],0)),"ERROR"))</f>
        <v>90.868148293700003</v>
      </c>
      <c r="E14" s="156">
        <f>IF($B14=" ","",IFERROR(INDEX(MMWR_RATING_STATE_ROLLUP_VSC[],MATCH($B14,MMWR_RATING_STATE_ROLLUP_VSC[MMWR_RATING_STATE_ROLLUP_VSC],0),MATCH(E$9,MMWR_RATING_STATE_ROLLUP_VSC[#Headers],0))/$C14,"ERROR"))</f>
        <v>0.21171346754119694</v>
      </c>
      <c r="F14" s="154">
        <f>IF($B14=" ","",IFERROR(INDEX(MMWR_RATING_STATE_ROLLUP_VSC[],MATCH($B14,MMWR_RATING_STATE_ROLLUP_VSC[MMWR_RATING_STATE_ROLLUP_VSC],0),MATCH(F$9,MMWR_RATING_STATE_ROLLUP_VSC[#Headers],0)),"ERROR"))</f>
        <v>4543</v>
      </c>
      <c r="G14" s="154">
        <f>IF($B14=" ","",IFERROR(INDEX(MMWR_RATING_STATE_ROLLUP_VSC[],MATCH($B14,MMWR_RATING_STATE_ROLLUP_VSC[MMWR_RATING_STATE_ROLLUP_VSC],0),MATCH(G$9,MMWR_RATING_STATE_ROLLUP_VSC[#Headers],0)),"ERROR"))</f>
        <v>798323</v>
      </c>
      <c r="H14" s="155">
        <f>IF($B14=" ","",IFERROR(INDEX(MMWR_RATING_STATE_ROLLUP_VSC[],MATCH($B14,MMWR_RATING_STATE_ROLLUP_VSC[MMWR_RATING_STATE_ROLLUP_VSC],0),MATCH(H$9,MMWR_RATING_STATE_ROLLUP_VSC[#Headers],0)),"ERROR"))</f>
        <v>122.90138674879999</v>
      </c>
      <c r="I14" s="155">
        <f>IF($B14=" ","",IFERROR(INDEX(MMWR_RATING_STATE_ROLLUP_VSC[],MATCH($B14,MMWR_RATING_STATE_ROLLUP_VSC[MMWR_RATING_STATE_ROLLUP_VSC],0),MATCH(I$9,MMWR_RATING_STATE_ROLLUP_VSC[#Headers],0)),"ERROR"))</f>
        <v>128.899136064</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71068</v>
      </c>
      <c r="D15" s="155">
        <f>IF($B15=" ","",IFERROR(INDEX(MMWR_RATING_STATE_ROLLUP_VSC[],MATCH($B15,MMWR_RATING_STATE_ROLLUP_VSC[MMWR_RATING_STATE_ROLLUP_VSC],0),MATCH(D$9,MMWR_RATING_STATE_ROLLUP_VSC[#Headers],0)),"ERROR"))</f>
        <v>92.650278606399993</v>
      </c>
      <c r="E15" s="156">
        <f>IF($B15=" ","",IFERROR(INDEX(MMWR_RATING_STATE_ROLLUP_VSC[],MATCH($B15,MMWR_RATING_STATE_ROLLUP_VSC[MMWR_RATING_STATE_ROLLUP_VSC],0),MATCH(E$9,MMWR_RATING_STATE_ROLLUP_VSC[#Headers],0))/$C15,"ERROR"))</f>
        <v>0.21983171047447514</v>
      </c>
      <c r="F15" s="154">
        <f>IF($B15=" ","",IFERROR(INDEX(MMWR_RATING_STATE_ROLLUP_VSC[],MATCH($B15,MMWR_RATING_STATE_ROLLUP_VSC[MMWR_RATING_STATE_ROLLUP_VSC],0),MATCH(F$9,MMWR_RATING_STATE_ROLLUP_VSC[#Headers],0)),"ERROR"))</f>
        <v>984</v>
      </c>
      <c r="G15" s="154">
        <f>IF($B15=" ","",IFERROR(INDEX(MMWR_RATING_STATE_ROLLUP_VSC[],MATCH($B15,MMWR_RATING_STATE_ROLLUP_VSC[MMWR_RATING_STATE_ROLLUP_VSC],0),MATCH(G$9,MMWR_RATING_STATE_ROLLUP_VSC[#Headers],0)),"ERROR"))</f>
        <v>167593</v>
      </c>
      <c r="H15" s="155">
        <f>IF($B15=" ","",IFERROR(INDEX(MMWR_RATING_STATE_ROLLUP_VSC[],MATCH($B15,MMWR_RATING_STATE_ROLLUP_VSC[MMWR_RATING_STATE_ROLLUP_VSC],0),MATCH(H$9,MMWR_RATING_STATE_ROLLUP_VSC[#Headers],0)),"ERROR"))</f>
        <v>122.9654471545</v>
      </c>
      <c r="I15" s="155">
        <f>IF($B15=" ","",IFERROR(INDEX(MMWR_RATING_STATE_ROLLUP_VSC[],MATCH($B15,MMWR_RATING_STATE_ROLLUP_VSC[MMWR_RATING_STATE_ROLLUP_VSC],0),MATCH(I$9,MMWR_RATING_STATE_ROLLUP_VSC[#Headers],0)),"ERROR"))</f>
        <v>131.6946650516</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1882</v>
      </c>
      <c r="D16" s="155">
        <f>IF($B16=" ","",IFERROR(INDEX(MMWR_RATING_STATE_ROLLUP_VSC[],MATCH($B16,MMWR_RATING_STATE_ROLLUP_VSC[MMWR_RATING_STATE_ROLLUP_VSC],0),MATCH(D$9,MMWR_RATING_STATE_ROLLUP_VSC[#Headers],0)),"ERROR"))</f>
        <v>78.2943676939</v>
      </c>
      <c r="E16" s="156">
        <f>IF($B16=" ","",IFERROR(INDEX(MMWR_RATING_STATE_ROLLUP_VSC[],MATCH($B16,MMWR_RATING_STATE_ROLLUP_VSC[MMWR_RATING_STATE_ROLLUP_VSC],0),MATCH(E$9,MMWR_RATING_STATE_ROLLUP_VSC[#Headers],0))/$C16,"ERROR"))</f>
        <v>0.14293304994686504</v>
      </c>
      <c r="F16" s="154">
        <f>IF($B16=" ","",IFERROR(INDEX(MMWR_RATING_STATE_ROLLUP_VSC[],MATCH($B16,MMWR_RATING_STATE_ROLLUP_VSC[MMWR_RATING_STATE_ROLLUP_VSC],0),MATCH(F$9,MMWR_RATING_STATE_ROLLUP_VSC[#Headers],0)),"ERROR"))</f>
        <v>30</v>
      </c>
      <c r="G16" s="154">
        <f>IF($B16=" ","",IFERROR(INDEX(MMWR_RATING_STATE_ROLLUP_VSC[],MATCH($B16,MMWR_RATING_STATE_ROLLUP_VSC[MMWR_RATING_STATE_ROLLUP_VSC],0),MATCH(G$9,MMWR_RATING_STATE_ROLLUP_VSC[#Headers],0)),"ERROR"))</f>
        <v>5075</v>
      </c>
      <c r="H16" s="155">
        <f>IF($B16=" ","",IFERROR(INDEX(MMWR_RATING_STATE_ROLLUP_VSC[],MATCH($B16,MMWR_RATING_STATE_ROLLUP_VSC[MMWR_RATING_STATE_ROLLUP_VSC],0),MATCH(H$9,MMWR_RATING_STATE_ROLLUP_VSC[#Headers],0)),"ERROR"))</f>
        <v>100.6333333333</v>
      </c>
      <c r="I16" s="155">
        <f>IF($B16=" ","",IFERROR(INDEX(MMWR_RATING_STATE_ROLLUP_VSC[],MATCH($B16,MMWR_RATING_STATE_ROLLUP_VSC[MMWR_RATING_STATE_ROLLUP_VSC],0),MATCH(I$9,MMWR_RATING_STATE_ROLLUP_VSC[#Headers],0)),"ERROR"))</f>
        <v>113.4738916256</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939</v>
      </c>
      <c r="D17" s="155">
        <f>IF($B17=" ","",IFERROR(INDEX(MMWR_RATING_STATE_ROLLUP_VSC[],MATCH($B17,MMWR_RATING_STATE_ROLLUP_VSC[MMWR_RATING_STATE_ROLLUP_VSC],0),MATCH(D$9,MMWR_RATING_STATE_ROLLUP_VSC[#Headers],0)),"ERROR"))</f>
        <v>90.481363152300005</v>
      </c>
      <c r="E17" s="156">
        <f>IF($B17=" ","",IFERROR(INDEX(MMWR_RATING_STATE_ROLLUP_VSC[],MATCH($B17,MMWR_RATING_STATE_ROLLUP_VSC[MMWR_RATING_STATE_ROLLUP_VSC],0),MATCH(E$9,MMWR_RATING_STATE_ROLLUP_VSC[#Headers],0))/$C17,"ERROR"))</f>
        <v>0.2161874334398296</v>
      </c>
      <c r="F17" s="154">
        <f>IF($B17=" ","",IFERROR(INDEX(MMWR_RATING_STATE_ROLLUP_VSC[],MATCH($B17,MMWR_RATING_STATE_ROLLUP_VSC[MMWR_RATING_STATE_ROLLUP_VSC],0),MATCH(F$9,MMWR_RATING_STATE_ROLLUP_VSC[#Headers],0)),"ERROR"))</f>
        <v>15</v>
      </c>
      <c r="G17" s="154">
        <f>IF($B17=" ","",IFERROR(INDEX(MMWR_RATING_STATE_ROLLUP_VSC[],MATCH($B17,MMWR_RATING_STATE_ROLLUP_VSC[MMWR_RATING_STATE_ROLLUP_VSC],0),MATCH(G$9,MMWR_RATING_STATE_ROLLUP_VSC[#Headers],0)),"ERROR"))</f>
        <v>2239</v>
      </c>
      <c r="H17" s="155">
        <f>IF($B17=" ","",IFERROR(INDEX(MMWR_RATING_STATE_ROLLUP_VSC[],MATCH($B17,MMWR_RATING_STATE_ROLLUP_VSC[MMWR_RATING_STATE_ROLLUP_VSC],0),MATCH(H$9,MMWR_RATING_STATE_ROLLUP_VSC[#Headers],0)),"ERROR"))</f>
        <v>120.4</v>
      </c>
      <c r="I17" s="155">
        <f>IF($B17=" ","",IFERROR(INDEX(MMWR_RATING_STATE_ROLLUP_VSC[],MATCH($B17,MMWR_RATING_STATE_ROLLUP_VSC[MMWR_RATING_STATE_ROLLUP_VSC],0),MATCH(I$9,MMWR_RATING_STATE_ROLLUP_VSC[#Headers],0)),"ERROR"))</f>
        <v>136.0308173292</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405</v>
      </c>
      <c r="D18" s="155">
        <f>IF($B18=" ","",IFERROR(INDEX(MMWR_RATING_STATE_ROLLUP_VSC[],MATCH($B18,MMWR_RATING_STATE_ROLLUP_VSC[MMWR_RATING_STATE_ROLLUP_VSC],0),MATCH(D$9,MMWR_RATING_STATE_ROLLUP_VSC[#Headers],0)),"ERROR"))</f>
        <v>96.271604938300001</v>
      </c>
      <c r="E18" s="156">
        <f>IF($B18=" ","",IFERROR(INDEX(MMWR_RATING_STATE_ROLLUP_VSC[],MATCH($B18,MMWR_RATING_STATE_ROLLUP_VSC[MMWR_RATING_STATE_ROLLUP_VSC],0),MATCH(E$9,MMWR_RATING_STATE_ROLLUP_VSC[#Headers],0))/$C18,"ERROR"))</f>
        <v>0.1728395061728395</v>
      </c>
      <c r="F18" s="154">
        <f>IF($B18=" ","",IFERROR(INDEX(MMWR_RATING_STATE_ROLLUP_VSC[],MATCH($B18,MMWR_RATING_STATE_ROLLUP_VSC[MMWR_RATING_STATE_ROLLUP_VSC],0),MATCH(F$9,MMWR_RATING_STATE_ROLLUP_VSC[#Headers],0)),"ERROR"))</f>
        <v>11</v>
      </c>
      <c r="G18" s="154">
        <f>IF($B18=" ","",IFERROR(INDEX(MMWR_RATING_STATE_ROLLUP_VSC[],MATCH($B18,MMWR_RATING_STATE_ROLLUP_VSC[MMWR_RATING_STATE_ROLLUP_VSC],0),MATCH(G$9,MMWR_RATING_STATE_ROLLUP_VSC[#Headers],0)),"ERROR"))</f>
        <v>1033</v>
      </c>
      <c r="H18" s="155">
        <f>IF($B18=" ","",IFERROR(INDEX(MMWR_RATING_STATE_ROLLUP_VSC[],MATCH($B18,MMWR_RATING_STATE_ROLLUP_VSC[MMWR_RATING_STATE_ROLLUP_VSC],0),MATCH(H$9,MMWR_RATING_STATE_ROLLUP_VSC[#Headers],0)),"ERROR"))</f>
        <v>81.090909090899999</v>
      </c>
      <c r="I18" s="155">
        <f>IF($B18=" ","",IFERROR(INDEX(MMWR_RATING_STATE_ROLLUP_VSC[],MATCH($B18,MMWR_RATING_STATE_ROLLUP_VSC[MMWR_RATING_STATE_ROLLUP_VSC],0),MATCH(I$9,MMWR_RATING_STATE_ROLLUP_VSC[#Headers],0)),"ERROR"))</f>
        <v>137.86737657309999</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1238</v>
      </c>
      <c r="D19" s="155">
        <f>IF($B19=" ","",IFERROR(INDEX(MMWR_RATING_STATE_ROLLUP_VSC[],MATCH($B19,MMWR_RATING_STATE_ROLLUP_VSC[MMWR_RATING_STATE_ROLLUP_VSC],0),MATCH(D$9,MMWR_RATING_STATE_ROLLUP_VSC[#Headers],0)),"ERROR"))</f>
        <v>70.886914378</v>
      </c>
      <c r="E19" s="156">
        <f>IF($B19=" ","",IFERROR(INDEX(MMWR_RATING_STATE_ROLLUP_VSC[],MATCH($B19,MMWR_RATING_STATE_ROLLUP_VSC[MMWR_RATING_STATE_ROLLUP_VSC],0),MATCH(E$9,MMWR_RATING_STATE_ROLLUP_VSC[#Headers],0))/$C19,"ERROR"))</f>
        <v>0.13247172859450726</v>
      </c>
      <c r="F19" s="154">
        <f>IF($B19=" ","",IFERROR(INDEX(MMWR_RATING_STATE_ROLLUP_VSC[],MATCH($B19,MMWR_RATING_STATE_ROLLUP_VSC[MMWR_RATING_STATE_ROLLUP_VSC],0),MATCH(F$9,MMWR_RATING_STATE_ROLLUP_VSC[#Headers],0)),"ERROR"))</f>
        <v>37</v>
      </c>
      <c r="G19" s="154">
        <f>IF($B19=" ","",IFERROR(INDEX(MMWR_RATING_STATE_ROLLUP_VSC[],MATCH($B19,MMWR_RATING_STATE_ROLLUP_VSC[MMWR_RATING_STATE_ROLLUP_VSC],0),MATCH(G$9,MMWR_RATING_STATE_ROLLUP_VSC[#Headers],0)),"ERROR"))</f>
        <v>3977</v>
      </c>
      <c r="H19" s="155">
        <f>IF($B19=" ","",IFERROR(INDEX(MMWR_RATING_STATE_ROLLUP_VSC[],MATCH($B19,MMWR_RATING_STATE_ROLLUP_VSC[MMWR_RATING_STATE_ROLLUP_VSC],0),MATCH(H$9,MMWR_RATING_STATE_ROLLUP_VSC[#Headers],0)),"ERROR"))</f>
        <v>99.270270270300003</v>
      </c>
      <c r="I19" s="155">
        <f>IF($B19=" ","",IFERROR(INDEX(MMWR_RATING_STATE_ROLLUP_VSC[],MATCH($B19,MMWR_RATING_STATE_ROLLUP_VSC[MMWR_RATING_STATE_ROLLUP_VSC],0),MATCH(I$9,MMWR_RATING_STATE_ROLLUP_VSC[#Headers],0)),"ERROR"))</f>
        <v>104.42519487049999</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6135</v>
      </c>
      <c r="D20" s="155">
        <f>IF($B20=" ","",IFERROR(INDEX(MMWR_RATING_STATE_ROLLUP_VSC[],MATCH($B20,MMWR_RATING_STATE_ROLLUP_VSC[MMWR_RATING_STATE_ROLLUP_VSC],0),MATCH(D$9,MMWR_RATING_STATE_ROLLUP_VSC[#Headers],0)),"ERROR"))</f>
        <v>95.660472697599999</v>
      </c>
      <c r="E20" s="156">
        <f>IF($B20=" ","",IFERROR(INDEX(MMWR_RATING_STATE_ROLLUP_VSC[],MATCH($B20,MMWR_RATING_STATE_ROLLUP_VSC[MMWR_RATING_STATE_ROLLUP_VSC],0),MATCH(E$9,MMWR_RATING_STATE_ROLLUP_VSC[#Headers],0))/$C20,"ERROR"))</f>
        <v>0.22510187449062755</v>
      </c>
      <c r="F20" s="154">
        <f>IF($B20=" ","",IFERROR(INDEX(MMWR_RATING_STATE_ROLLUP_VSC[],MATCH($B20,MMWR_RATING_STATE_ROLLUP_VSC[MMWR_RATING_STATE_ROLLUP_VSC],0),MATCH(F$9,MMWR_RATING_STATE_ROLLUP_VSC[#Headers],0)),"ERROR"))</f>
        <v>65</v>
      </c>
      <c r="G20" s="154">
        <f>IF($B20=" ","",IFERROR(INDEX(MMWR_RATING_STATE_ROLLUP_VSC[],MATCH($B20,MMWR_RATING_STATE_ROLLUP_VSC[MMWR_RATING_STATE_ROLLUP_VSC],0),MATCH(G$9,MMWR_RATING_STATE_ROLLUP_VSC[#Headers],0)),"ERROR"))</f>
        <v>13279</v>
      </c>
      <c r="H20" s="155">
        <f>IF($B20=" ","",IFERROR(INDEX(MMWR_RATING_STATE_ROLLUP_VSC[],MATCH($B20,MMWR_RATING_STATE_ROLLUP_VSC[MMWR_RATING_STATE_ROLLUP_VSC],0),MATCH(H$9,MMWR_RATING_STATE_ROLLUP_VSC[#Headers],0)),"ERROR"))</f>
        <v>133.03076923079999</v>
      </c>
      <c r="I20" s="155">
        <f>IF($B20=" ","",IFERROR(INDEX(MMWR_RATING_STATE_ROLLUP_VSC[],MATCH($B20,MMWR_RATING_STATE_ROLLUP_VSC[MMWR_RATING_STATE_ROLLUP_VSC],0),MATCH(I$9,MMWR_RATING_STATE_ROLLUP_VSC[#Headers],0)),"ERROR"))</f>
        <v>136.32359364409999</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4253</v>
      </c>
      <c r="D21" s="155">
        <f>IF($B21=" ","",IFERROR(INDEX(MMWR_RATING_STATE_ROLLUP_VSC[],MATCH($B21,MMWR_RATING_STATE_ROLLUP_VSC[MMWR_RATING_STATE_ROLLUP_VSC],0),MATCH(D$9,MMWR_RATING_STATE_ROLLUP_VSC[#Headers],0)),"ERROR"))</f>
        <v>84.114977662800001</v>
      </c>
      <c r="E21" s="156">
        <f>IF($B21=" ","",IFERROR(INDEX(MMWR_RATING_STATE_ROLLUP_VSC[],MATCH($B21,MMWR_RATING_STATE_ROLLUP_VSC[MMWR_RATING_STATE_ROLLUP_VSC],0),MATCH(E$9,MMWR_RATING_STATE_ROLLUP_VSC[#Headers],0))/$C21,"ERROR"))</f>
        <v>0.18481072184340466</v>
      </c>
      <c r="F21" s="154">
        <f>IF($B21=" ","",IFERROR(INDEX(MMWR_RATING_STATE_ROLLUP_VSC[],MATCH($B21,MMWR_RATING_STATE_ROLLUP_VSC[MMWR_RATING_STATE_ROLLUP_VSC],0),MATCH(F$9,MMWR_RATING_STATE_ROLLUP_VSC[#Headers],0)),"ERROR"))</f>
        <v>71</v>
      </c>
      <c r="G21" s="154">
        <f>IF($B21=" ","",IFERROR(INDEX(MMWR_RATING_STATE_ROLLUP_VSC[],MATCH($B21,MMWR_RATING_STATE_ROLLUP_VSC[MMWR_RATING_STATE_ROLLUP_VSC],0),MATCH(G$9,MMWR_RATING_STATE_ROLLUP_VSC[#Headers],0)),"ERROR"))</f>
        <v>10752</v>
      </c>
      <c r="H21" s="155">
        <f>IF($B21=" ","",IFERROR(INDEX(MMWR_RATING_STATE_ROLLUP_VSC[],MATCH($B21,MMWR_RATING_STATE_ROLLUP_VSC[MMWR_RATING_STATE_ROLLUP_VSC],0),MATCH(H$9,MMWR_RATING_STATE_ROLLUP_VSC[#Headers],0)),"ERROR"))</f>
        <v>116.22535211269999</v>
      </c>
      <c r="I21" s="155">
        <f>IF($B21=" ","",IFERROR(INDEX(MMWR_RATING_STATE_ROLLUP_VSC[],MATCH($B21,MMWR_RATING_STATE_ROLLUP_VSC[MMWR_RATING_STATE_ROLLUP_VSC],0),MATCH(I$9,MMWR_RATING_STATE_ROLLUP_VSC[#Headers],0)),"ERROR"))</f>
        <v>127.4201078869</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1334</v>
      </c>
      <c r="D22" s="155">
        <f>IF($B22=" ","",IFERROR(INDEX(MMWR_RATING_STATE_ROLLUP_VSC[],MATCH($B22,MMWR_RATING_STATE_ROLLUP_VSC[MMWR_RATING_STATE_ROLLUP_VSC],0),MATCH(D$9,MMWR_RATING_STATE_ROLLUP_VSC[#Headers],0)),"ERROR"))</f>
        <v>77.3050974513</v>
      </c>
      <c r="E22" s="156">
        <f>IF($B22=" ","",IFERROR(INDEX(MMWR_RATING_STATE_ROLLUP_VSC[],MATCH($B22,MMWR_RATING_STATE_ROLLUP_VSC[MMWR_RATING_STATE_ROLLUP_VSC],0),MATCH(E$9,MMWR_RATING_STATE_ROLLUP_VSC[#Headers],0))/$C22,"ERROR"))</f>
        <v>0.14992503748125938</v>
      </c>
      <c r="F22" s="154">
        <f>IF($B22=" ","",IFERROR(INDEX(MMWR_RATING_STATE_ROLLUP_VSC[],MATCH($B22,MMWR_RATING_STATE_ROLLUP_VSC[MMWR_RATING_STATE_ROLLUP_VSC],0),MATCH(F$9,MMWR_RATING_STATE_ROLLUP_VSC[#Headers],0)),"ERROR"))</f>
        <v>16</v>
      </c>
      <c r="G22" s="154">
        <f>IF($B22=" ","",IFERROR(INDEX(MMWR_RATING_STATE_ROLLUP_VSC[],MATCH($B22,MMWR_RATING_STATE_ROLLUP_VSC[MMWR_RATING_STATE_ROLLUP_VSC],0),MATCH(G$9,MMWR_RATING_STATE_ROLLUP_VSC[#Headers],0)),"ERROR"))</f>
        <v>3145</v>
      </c>
      <c r="H22" s="155">
        <f>IF($B22=" ","",IFERROR(INDEX(MMWR_RATING_STATE_ROLLUP_VSC[],MATCH($B22,MMWR_RATING_STATE_ROLLUP_VSC[MMWR_RATING_STATE_ROLLUP_VSC],0),MATCH(H$9,MMWR_RATING_STATE_ROLLUP_VSC[#Headers],0)),"ERROR"))</f>
        <v>95.25</v>
      </c>
      <c r="I22" s="155">
        <f>IF($B22=" ","",IFERROR(INDEX(MMWR_RATING_STATE_ROLLUP_VSC[],MATCH($B22,MMWR_RATING_STATE_ROLLUP_VSC[MMWR_RATING_STATE_ROLLUP_VSC],0),MATCH(I$9,MMWR_RATING_STATE_ROLLUP_VSC[#Headers],0)),"ERROR"))</f>
        <v>126.906836248</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4287</v>
      </c>
      <c r="D23" s="155">
        <f>IF($B23=" ","",IFERROR(INDEX(MMWR_RATING_STATE_ROLLUP_VSC[],MATCH($B23,MMWR_RATING_STATE_ROLLUP_VSC[MMWR_RATING_STATE_ROLLUP_VSC],0),MATCH(D$9,MMWR_RATING_STATE_ROLLUP_VSC[#Headers],0)),"ERROR"))</f>
        <v>103.7284814556</v>
      </c>
      <c r="E23" s="156">
        <f>IF($B23=" ","",IFERROR(INDEX(MMWR_RATING_STATE_ROLLUP_VSC[],MATCH($B23,MMWR_RATING_STATE_ROLLUP_VSC[MMWR_RATING_STATE_ROLLUP_VSC],0),MATCH(E$9,MMWR_RATING_STATE_ROLLUP_VSC[#Headers],0))/$C23,"ERROR"))</f>
        <v>0.26918591089339866</v>
      </c>
      <c r="F23" s="154">
        <f>IF($B23=" ","",IFERROR(INDEX(MMWR_RATING_STATE_ROLLUP_VSC[],MATCH($B23,MMWR_RATING_STATE_ROLLUP_VSC[MMWR_RATING_STATE_ROLLUP_VSC],0),MATCH(F$9,MMWR_RATING_STATE_ROLLUP_VSC[#Headers],0)),"ERROR"))</f>
        <v>35</v>
      </c>
      <c r="G23" s="154">
        <f>IF($B23=" ","",IFERROR(INDEX(MMWR_RATING_STATE_ROLLUP_VSC[],MATCH($B23,MMWR_RATING_STATE_ROLLUP_VSC[MMWR_RATING_STATE_ROLLUP_VSC],0),MATCH(G$9,MMWR_RATING_STATE_ROLLUP_VSC[#Headers],0)),"ERROR"))</f>
        <v>9264</v>
      </c>
      <c r="H23" s="155">
        <f>IF($B23=" ","",IFERROR(INDEX(MMWR_RATING_STATE_ROLLUP_VSC[],MATCH($B23,MMWR_RATING_STATE_ROLLUP_VSC[MMWR_RATING_STATE_ROLLUP_VSC],0),MATCH(H$9,MMWR_RATING_STATE_ROLLUP_VSC[#Headers],0)),"ERROR"))</f>
        <v>127.57142857140001</v>
      </c>
      <c r="I23" s="155">
        <f>IF($B23=" ","",IFERROR(INDEX(MMWR_RATING_STATE_ROLLUP_VSC[],MATCH($B23,MMWR_RATING_STATE_ROLLUP_VSC[MMWR_RATING_STATE_ROLLUP_VSC],0),MATCH(I$9,MMWR_RATING_STATE_ROLLUP_VSC[#Headers],0)),"ERROR"))</f>
        <v>137.44127806559999</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9054</v>
      </c>
      <c r="D24" s="155">
        <f>IF($B24=" ","",IFERROR(INDEX(MMWR_RATING_STATE_ROLLUP_VSC[],MATCH($B24,MMWR_RATING_STATE_ROLLUP_VSC[MMWR_RATING_STATE_ROLLUP_VSC],0),MATCH(D$9,MMWR_RATING_STATE_ROLLUP_VSC[#Headers],0)),"ERROR"))</f>
        <v>96.025844930399998</v>
      </c>
      <c r="E24" s="156">
        <f>IF($B24=" ","",IFERROR(INDEX(MMWR_RATING_STATE_ROLLUP_VSC[],MATCH($B24,MMWR_RATING_STATE_ROLLUP_VSC[MMWR_RATING_STATE_ROLLUP_VSC],0),MATCH(E$9,MMWR_RATING_STATE_ROLLUP_VSC[#Headers],0))/$C24,"ERROR"))</f>
        <v>0.23326706428098079</v>
      </c>
      <c r="F24" s="154">
        <f>IF($B24=" ","",IFERROR(INDEX(MMWR_RATING_STATE_ROLLUP_VSC[],MATCH($B24,MMWR_RATING_STATE_ROLLUP_VSC[MMWR_RATING_STATE_ROLLUP_VSC],0),MATCH(F$9,MMWR_RATING_STATE_ROLLUP_VSC[#Headers],0)),"ERROR"))</f>
        <v>105</v>
      </c>
      <c r="G24" s="154">
        <f>IF($B24=" ","",IFERROR(INDEX(MMWR_RATING_STATE_ROLLUP_VSC[],MATCH($B24,MMWR_RATING_STATE_ROLLUP_VSC[MMWR_RATING_STATE_ROLLUP_VSC],0),MATCH(G$9,MMWR_RATING_STATE_ROLLUP_VSC[#Headers],0)),"ERROR"))</f>
        <v>21216</v>
      </c>
      <c r="H24" s="155">
        <f>IF($B24=" ","",IFERROR(INDEX(MMWR_RATING_STATE_ROLLUP_VSC[],MATCH($B24,MMWR_RATING_STATE_ROLLUP_VSC[MMWR_RATING_STATE_ROLLUP_VSC],0),MATCH(H$9,MMWR_RATING_STATE_ROLLUP_VSC[#Headers],0)),"ERROR"))</f>
        <v>136.8571428571</v>
      </c>
      <c r="I24" s="155">
        <f>IF($B24=" ","",IFERROR(INDEX(MMWR_RATING_STATE_ROLLUP_VSC[],MATCH($B24,MMWR_RATING_STATE_ROLLUP_VSC[MMWR_RATING_STATE_ROLLUP_VSC],0),MATCH(I$9,MMWR_RATING_STATE_ROLLUP_VSC[#Headers],0)),"ERROR"))</f>
        <v>129.89126131219999</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16848</v>
      </c>
      <c r="D25" s="155">
        <f>IF($B25=" ","",IFERROR(INDEX(MMWR_RATING_STATE_ROLLUP_VSC[],MATCH($B25,MMWR_RATING_STATE_ROLLUP_VSC[MMWR_RATING_STATE_ROLLUP_VSC],0),MATCH(D$9,MMWR_RATING_STATE_ROLLUP_VSC[#Headers],0)),"ERROR"))</f>
        <v>94.748456790099993</v>
      </c>
      <c r="E25" s="156">
        <f>IF($B25=" ","",IFERROR(INDEX(MMWR_RATING_STATE_ROLLUP_VSC[],MATCH($B25,MMWR_RATING_STATE_ROLLUP_VSC[MMWR_RATING_STATE_ROLLUP_VSC],0),MATCH(E$9,MMWR_RATING_STATE_ROLLUP_VSC[#Headers],0))/$C25,"ERROR"))</f>
        <v>0.24163105413105412</v>
      </c>
      <c r="F25" s="154">
        <f>IF($B25=" ","",IFERROR(INDEX(MMWR_RATING_STATE_ROLLUP_VSC[],MATCH($B25,MMWR_RATING_STATE_ROLLUP_VSC[MMWR_RATING_STATE_ROLLUP_VSC],0),MATCH(F$9,MMWR_RATING_STATE_ROLLUP_VSC[#Headers],0)),"ERROR"))</f>
        <v>216</v>
      </c>
      <c r="G25" s="154">
        <f>IF($B25=" ","",IFERROR(INDEX(MMWR_RATING_STATE_ROLLUP_VSC[],MATCH($B25,MMWR_RATING_STATE_ROLLUP_VSC[MMWR_RATING_STATE_ROLLUP_VSC],0),MATCH(G$9,MMWR_RATING_STATE_ROLLUP_VSC[#Headers],0)),"ERROR"))</f>
        <v>38243</v>
      </c>
      <c r="H25" s="155">
        <f>IF($B25=" ","",IFERROR(INDEX(MMWR_RATING_STATE_ROLLUP_VSC[],MATCH($B25,MMWR_RATING_STATE_ROLLUP_VSC[MMWR_RATING_STATE_ROLLUP_VSC],0),MATCH(H$9,MMWR_RATING_STATE_ROLLUP_VSC[#Headers],0)),"ERROR"))</f>
        <v>139.7962962963</v>
      </c>
      <c r="I25" s="155">
        <f>IF($B25=" ","",IFERROR(INDEX(MMWR_RATING_STATE_ROLLUP_VSC[],MATCH($B25,MMWR_RATING_STATE_ROLLUP_VSC[MMWR_RATING_STATE_ROLLUP_VSC],0),MATCH(I$9,MMWR_RATING_STATE_ROLLUP_VSC[#Headers],0)),"ERROR"))</f>
        <v>136.42376382609999</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9708</v>
      </c>
      <c r="D26" s="155">
        <f>IF($B26=" ","",IFERROR(INDEX(MMWR_RATING_STATE_ROLLUP_VSC[],MATCH($B26,MMWR_RATING_STATE_ROLLUP_VSC[MMWR_RATING_STATE_ROLLUP_VSC],0),MATCH(D$9,MMWR_RATING_STATE_ROLLUP_VSC[#Headers],0)),"ERROR"))</f>
        <v>104.8019159456</v>
      </c>
      <c r="E26" s="156">
        <f>IF($B26=" ","",IFERROR(INDEX(MMWR_RATING_STATE_ROLLUP_VSC[],MATCH($B26,MMWR_RATING_STATE_ROLLUP_VSC[MMWR_RATING_STATE_ROLLUP_VSC],0),MATCH(E$9,MMWR_RATING_STATE_ROLLUP_VSC[#Headers],0))/$C26,"ERROR"))</f>
        <v>0.26328800988875156</v>
      </c>
      <c r="F26" s="154">
        <f>IF($B26=" ","",IFERROR(INDEX(MMWR_RATING_STATE_ROLLUP_VSC[],MATCH($B26,MMWR_RATING_STATE_ROLLUP_VSC[MMWR_RATING_STATE_ROLLUP_VSC],0),MATCH(F$9,MMWR_RATING_STATE_ROLLUP_VSC[#Headers],0)),"ERROR"))</f>
        <v>87</v>
      </c>
      <c r="G26" s="154">
        <f>IF($B26=" ","",IFERROR(INDEX(MMWR_RATING_STATE_ROLLUP_VSC[],MATCH($B26,MMWR_RATING_STATE_ROLLUP_VSC[MMWR_RATING_STATE_ROLLUP_VSC],0),MATCH(G$9,MMWR_RATING_STATE_ROLLUP_VSC[#Headers],0)),"ERROR"))</f>
        <v>21472</v>
      </c>
      <c r="H26" s="155">
        <f>IF($B26=" ","",IFERROR(INDEX(MMWR_RATING_STATE_ROLLUP_VSC[],MATCH($B26,MMWR_RATING_STATE_ROLLUP_VSC[MMWR_RATING_STATE_ROLLUP_VSC],0),MATCH(H$9,MMWR_RATING_STATE_ROLLUP_VSC[#Headers],0)),"ERROR"))</f>
        <v>132.67816091949999</v>
      </c>
      <c r="I26" s="155">
        <f>IF($B26=" ","",IFERROR(INDEX(MMWR_RATING_STATE_ROLLUP_VSC[],MATCH($B26,MMWR_RATING_STATE_ROLLUP_VSC[MMWR_RATING_STATE_ROLLUP_VSC],0),MATCH(I$9,MMWR_RATING_STATE_ROLLUP_VSC[#Headers],0)),"ERROR"))</f>
        <v>140.03744411330001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929</v>
      </c>
      <c r="D27" s="155">
        <f>IF($B27=" ","",IFERROR(INDEX(MMWR_RATING_STATE_ROLLUP_VSC[],MATCH($B27,MMWR_RATING_STATE_ROLLUP_VSC[MMWR_RATING_STATE_ROLLUP_VSC],0),MATCH(D$9,MMWR_RATING_STATE_ROLLUP_VSC[#Headers],0)),"ERROR"))</f>
        <v>84.902045209899995</v>
      </c>
      <c r="E27" s="156">
        <f>IF($B27=" ","",IFERROR(INDEX(MMWR_RATING_STATE_ROLLUP_VSC[],MATCH($B27,MMWR_RATING_STATE_ROLLUP_VSC[MMWR_RATING_STATE_ROLLUP_VSC],0),MATCH(E$9,MMWR_RATING_STATE_ROLLUP_VSC[#Headers],0))/$C27,"ERROR"))</f>
        <v>0.18191603875134554</v>
      </c>
      <c r="F27" s="154">
        <f>IF($B27=" ","",IFERROR(INDEX(MMWR_RATING_STATE_ROLLUP_VSC[],MATCH($B27,MMWR_RATING_STATE_ROLLUP_VSC[MMWR_RATING_STATE_ROLLUP_VSC],0),MATCH(F$9,MMWR_RATING_STATE_ROLLUP_VSC[#Headers],0)),"ERROR"))</f>
        <v>16</v>
      </c>
      <c r="G27" s="154">
        <f>IF($B27=" ","",IFERROR(INDEX(MMWR_RATING_STATE_ROLLUP_VSC[],MATCH($B27,MMWR_RATING_STATE_ROLLUP_VSC[MMWR_RATING_STATE_ROLLUP_VSC],0),MATCH(G$9,MMWR_RATING_STATE_ROLLUP_VSC[#Headers],0)),"ERROR"))</f>
        <v>2502</v>
      </c>
      <c r="H27" s="155">
        <f>IF($B27=" ","",IFERROR(INDEX(MMWR_RATING_STATE_ROLLUP_VSC[],MATCH($B27,MMWR_RATING_STATE_ROLLUP_VSC[MMWR_RATING_STATE_ROLLUP_VSC],0),MATCH(H$9,MMWR_RATING_STATE_ROLLUP_VSC[#Headers],0)),"ERROR"))</f>
        <v>78.5625</v>
      </c>
      <c r="I27" s="155">
        <f>IF($B27=" ","",IFERROR(INDEX(MMWR_RATING_STATE_ROLLUP_VSC[],MATCH($B27,MMWR_RATING_STATE_ROLLUP_VSC[MMWR_RATING_STATE_ROLLUP_VSC],0),MATCH(I$9,MMWR_RATING_STATE_ROLLUP_VSC[#Headers],0)),"ERROR"))</f>
        <v>107.05555555559999</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580</v>
      </c>
      <c r="D28" s="155">
        <f>IF($B28=" ","",IFERROR(INDEX(MMWR_RATING_STATE_ROLLUP_VSC[],MATCH($B28,MMWR_RATING_STATE_ROLLUP_VSC[MMWR_RATING_STATE_ROLLUP_VSC],0),MATCH(D$9,MMWR_RATING_STATE_ROLLUP_VSC[#Headers],0)),"ERROR"))</f>
        <v>97.291379310300002</v>
      </c>
      <c r="E28" s="156">
        <f>IF($B28=" ","",IFERROR(INDEX(MMWR_RATING_STATE_ROLLUP_VSC[],MATCH($B28,MMWR_RATING_STATE_ROLLUP_VSC[MMWR_RATING_STATE_ROLLUP_VSC],0),MATCH(E$9,MMWR_RATING_STATE_ROLLUP_VSC[#Headers],0))/$C28,"ERROR"))</f>
        <v>0.26034482758620692</v>
      </c>
      <c r="F28" s="154">
        <f>IF($B28=" ","",IFERROR(INDEX(MMWR_RATING_STATE_ROLLUP_VSC[],MATCH($B28,MMWR_RATING_STATE_ROLLUP_VSC[MMWR_RATING_STATE_ROLLUP_VSC],0),MATCH(F$9,MMWR_RATING_STATE_ROLLUP_VSC[#Headers],0)),"ERROR"))</f>
        <v>5</v>
      </c>
      <c r="G28" s="154">
        <f>IF($B28=" ","",IFERROR(INDEX(MMWR_RATING_STATE_ROLLUP_VSC[],MATCH($B28,MMWR_RATING_STATE_ROLLUP_VSC[MMWR_RATING_STATE_ROLLUP_VSC],0),MATCH(G$9,MMWR_RATING_STATE_ROLLUP_VSC[#Headers],0)),"ERROR"))</f>
        <v>1084</v>
      </c>
      <c r="H28" s="155">
        <f>IF($B28=" ","",IFERROR(INDEX(MMWR_RATING_STATE_ROLLUP_VSC[],MATCH($B28,MMWR_RATING_STATE_ROLLUP_VSC[MMWR_RATING_STATE_ROLLUP_VSC],0),MATCH(H$9,MMWR_RATING_STATE_ROLLUP_VSC[#Headers],0)),"ERROR"))</f>
        <v>107.2</v>
      </c>
      <c r="I28" s="155">
        <f>IF($B28=" ","",IFERROR(INDEX(MMWR_RATING_STATE_ROLLUP_VSC[],MATCH($B28,MMWR_RATING_STATE_ROLLUP_VSC[MMWR_RATING_STATE_ROLLUP_VSC],0),MATCH(I$9,MMWR_RATING_STATE_ROLLUP_VSC[#Headers],0)),"ERROR"))</f>
        <v>130.6014760148</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10933</v>
      </c>
      <c r="D29" s="155">
        <f>IF($B29=" ","",IFERROR(INDEX(MMWR_RATING_STATE_ROLLUP_VSC[],MATCH($B29,MMWR_RATING_STATE_ROLLUP_VSC[MMWR_RATING_STATE_ROLLUP_VSC],0),MATCH(D$9,MMWR_RATING_STATE_ROLLUP_VSC[#Headers],0)),"ERROR"))</f>
        <v>82.279337784700004</v>
      </c>
      <c r="E29" s="156">
        <f>IF($B29=" ","",IFERROR(INDEX(MMWR_RATING_STATE_ROLLUP_VSC[],MATCH($B29,MMWR_RATING_STATE_ROLLUP_VSC[MMWR_RATING_STATE_ROLLUP_VSC],0),MATCH(E$9,MMWR_RATING_STATE_ROLLUP_VSC[#Headers],0))/$C29,"ERROR"))</f>
        <v>0.1727796579163999</v>
      </c>
      <c r="F29" s="154">
        <f>IF($B29=" ","",IFERROR(INDEX(MMWR_RATING_STATE_ROLLUP_VSC[],MATCH($B29,MMWR_RATING_STATE_ROLLUP_VSC[MMWR_RATING_STATE_ROLLUP_VSC],0),MATCH(F$9,MMWR_RATING_STATE_ROLLUP_VSC[#Headers],0)),"ERROR"))</f>
        <v>217</v>
      </c>
      <c r="G29" s="154">
        <f>IF($B29=" ","",IFERROR(INDEX(MMWR_RATING_STATE_ROLLUP_VSC[],MATCH($B29,MMWR_RATING_STATE_ROLLUP_VSC[MMWR_RATING_STATE_ROLLUP_VSC],0),MATCH(G$9,MMWR_RATING_STATE_ROLLUP_VSC[#Headers],0)),"ERROR"))</f>
        <v>27261</v>
      </c>
      <c r="H29" s="155">
        <f>IF($B29=" ","",IFERROR(INDEX(MMWR_RATING_STATE_ROLLUP_VSC[],MATCH($B29,MMWR_RATING_STATE_ROLLUP_VSC[MMWR_RATING_STATE_ROLLUP_VSC],0),MATCH(H$9,MMWR_RATING_STATE_ROLLUP_VSC[#Headers],0)),"ERROR"))</f>
        <v>116.95852534559999</v>
      </c>
      <c r="I29" s="155">
        <f>IF($B29=" ","",IFERROR(INDEX(MMWR_RATING_STATE_ROLLUP_VSC[],MATCH($B29,MMWR_RATING_STATE_ROLLUP_VSC[MMWR_RATING_STATE_ROLLUP_VSC],0),MATCH(I$9,MMWR_RATING_STATE_ROLLUP_VSC[#Headers],0)),"ERROR"))</f>
        <v>130.82410769960001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2543</v>
      </c>
      <c r="D30" s="155">
        <f>IF($B30=" ","",IFERROR(INDEX(MMWR_RATING_STATE_ROLLUP_VSC[],MATCH($B30,MMWR_RATING_STATE_ROLLUP_VSC[MMWR_RATING_STATE_ROLLUP_VSC],0),MATCH(D$9,MMWR_RATING_STATE_ROLLUP_VSC[#Headers],0)),"ERROR"))</f>
        <v>84.531262288600004</v>
      </c>
      <c r="E30" s="156">
        <f>IF($B30=" ","",IFERROR(INDEX(MMWR_RATING_STATE_ROLLUP_VSC[],MATCH($B30,MMWR_RATING_STATE_ROLLUP_VSC[MMWR_RATING_STATE_ROLLUP_VSC],0),MATCH(E$9,MMWR_RATING_STATE_ROLLUP_VSC[#Headers],0))/$C30,"ERROR"))</f>
        <v>0.17616987809673615</v>
      </c>
      <c r="F30" s="154">
        <f>IF($B30=" ","",IFERROR(INDEX(MMWR_RATING_STATE_ROLLUP_VSC[],MATCH($B30,MMWR_RATING_STATE_ROLLUP_VSC[MMWR_RATING_STATE_ROLLUP_VSC],0),MATCH(F$9,MMWR_RATING_STATE_ROLLUP_VSC[#Headers],0)),"ERROR"))</f>
        <v>58</v>
      </c>
      <c r="G30" s="154">
        <f>IF($B30=" ","",IFERROR(INDEX(MMWR_RATING_STATE_ROLLUP_VSC[],MATCH($B30,MMWR_RATING_STATE_ROLLUP_VSC[MMWR_RATING_STATE_ROLLUP_VSC],0),MATCH(G$9,MMWR_RATING_STATE_ROLLUP_VSC[#Headers],0)),"ERROR"))</f>
        <v>7051</v>
      </c>
      <c r="H30" s="155">
        <f>IF($B30=" ","",IFERROR(INDEX(MMWR_RATING_STATE_ROLLUP_VSC[],MATCH($B30,MMWR_RATING_STATE_ROLLUP_VSC[MMWR_RATING_STATE_ROLLUP_VSC],0),MATCH(H$9,MMWR_RATING_STATE_ROLLUP_VSC[#Headers],0)),"ERROR"))</f>
        <v>93.758620689699995</v>
      </c>
      <c r="I30" s="155">
        <f>IF($B30=" ","",IFERROR(INDEX(MMWR_RATING_STATE_ROLLUP_VSC[],MATCH($B30,MMWR_RATING_STATE_ROLLUP_VSC[MMWR_RATING_STATE_ROLLUP_VSC],0),MATCH(I$9,MMWR_RATING_STATE_ROLLUP_VSC[#Headers],0)),"ERROR"))</f>
        <v>116.9427031627</v>
      </c>
      <c r="J30" s="42"/>
      <c r="K30" s="42"/>
      <c r="L30" s="42"/>
      <c r="M30" s="42"/>
      <c r="N30" s="28"/>
    </row>
    <row r="31" spans="1:14" x14ac:dyDescent="0.2">
      <c r="A31" s="25"/>
      <c r="B31" s="342" t="s">
        <v>959</v>
      </c>
      <c r="C31" s="343"/>
      <c r="D31" s="343"/>
      <c r="E31" s="343"/>
      <c r="F31" s="343"/>
      <c r="G31" s="343"/>
      <c r="H31" s="343"/>
      <c r="I31" s="343"/>
      <c r="J31" s="343"/>
      <c r="K31" s="343"/>
      <c r="L31" s="343"/>
      <c r="M31" s="393"/>
      <c r="N31" s="28"/>
    </row>
    <row r="32" spans="1:14" x14ac:dyDescent="0.2">
      <c r="A32" s="25"/>
      <c r="B32" s="41" t="s">
        <v>1037</v>
      </c>
      <c r="C32" s="154">
        <f>IF($B32=" ","",IFERROR(INDEX(MMWR_RATING_STATE_ROLLUP_PMC[],MATCH($B32,MMWR_RATING_STATE_ROLLUP_PMC[MMWR_RATING_STATE_ROLLUP_PMC],0),MATCH(C$9,MMWR_RATING_STATE_ROLLUP_PMC[#Headers],0)),"ERROR"))</f>
        <v>29122</v>
      </c>
      <c r="D32" s="155">
        <f>IF($B32=" ","",IFERROR(INDEX(MMWR_RATING_STATE_ROLLUP_PMC[],MATCH($B32,MMWR_RATING_STATE_ROLLUP_PMC[MMWR_RATING_STATE_ROLLUP_PMC],0),MATCH(D$9,MMWR_RATING_STATE_ROLLUP_PMC[#Headers],0)),"ERROR"))</f>
        <v>69.806469335900005</v>
      </c>
      <c r="E32" s="156">
        <f>IF($B32=" ","",IFERROR(INDEX(MMWR_RATING_STATE_ROLLUP_PMC[],MATCH($B32,MMWR_RATING_STATE_ROLLUP_PMC[MMWR_RATING_STATE_ROLLUP_PMC],0),MATCH(E$9,MMWR_RATING_STATE_ROLLUP_PMC[#Headers],0))/$C32,"ERROR"))</f>
        <v>0.112045875970057</v>
      </c>
      <c r="F32" s="154">
        <f>IF($B32=" ","",IFERROR(INDEX(MMWR_RATING_STATE_ROLLUP_PMC[],MATCH($B32,MMWR_RATING_STATE_ROLLUP_PMC[MMWR_RATING_STATE_ROLLUP_PMC],0),MATCH(F$9,MMWR_RATING_STATE_ROLLUP_PMC[#Headers],0)),"ERROR"))</f>
        <v>396</v>
      </c>
      <c r="G32" s="154">
        <f>IF($B32=" ","",IFERROR(INDEX(MMWR_RATING_STATE_ROLLUP_PMC[],MATCH($B32,MMWR_RATING_STATE_ROLLUP_PMC[MMWR_RATING_STATE_ROLLUP_PMC],0),MATCH(G$9,MMWR_RATING_STATE_ROLLUP_PMC[#Headers],0)),"ERROR"))</f>
        <v>109795</v>
      </c>
      <c r="H32" s="155">
        <f>IF($B32=" ","",IFERROR(INDEX(MMWR_RATING_STATE_ROLLUP_PMC[],MATCH($B32,MMWR_RATING_STATE_ROLLUP_PMC[MMWR_RATING_STATE_ROLLUP_PMC],0),MATCH(H$9,MMWR_RATING_STATE_ROLLUP_PMC[#Headers],0)),"ERROR"))</f>
        <v>86.545454545499993</v>
      </c>
      <c r="I32" s="155">
        <f>IF($B32=" ","",IFERROR(INDEX(MMWR_RATING_STATE_ROLLUP_PMC[],MATCH($B32,MMWR_RATING_STATE_ROLLUP_PMC[MMWR_RATING_STATE_ROLLUP_PMC],0),MATCH(I$9,MMWR_RATING_STATE_ROLLUP_PMC[#Headers],0)),"ERROR"))</f>
        <v>78.329395692000006</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8466</v>
      </c>
      <c r="D33" s="155">
        <f>IF($B33=" ","",IFERROR(INDEX(MMWR_RATING_STATE_ROLLUP_PMC[],MATCH($B33,MMWR_RATING_STATE_ROLLUP_PMC[MMWR_RATING_STATE_ROLLUP_PMC],0),MATCH(D$9,MMWR_RATING_STATE_ROLLUP_PMC[#Headers],0)),"ERROR"))</f>
        <v>73.248759744899999</v>
      </c>
      <c r="E33" s="156">
        <f>IF($B33=" ","",IFERROR(INDEX(MMWR_RATING_STATE_ROLLUP_PMC[],MATCH($B33,MMWR_RATING_STATE_ROLLUP_PMC[MMWR_RATING_STATE_ROLLUP_PMC],0),MATCH(E$9,MMWR_RATING_STATE_ROLLUP_PMC[#Headers],0))/$C33,"ERROR"))</f>
        <v>0.11705646113867234</v>
      </c>
      <c r="F33" s="154">
        <f>IF($B33=" ","",IFERROR(INDEX(MMWR_RATING_STATE_ROLLUP_PMC[],MATCH($B33,MMWR_RATING_STATE_ROLLUP_PMC[MMWR_RATING_STATE_ROLLUP_PMC],0),MATCH(F$9,MMWR_RATING_STATE_ROLLUP_PMC[#Headers],0)),"ERROR"))</f>
        <v>77</v>
      </c>
      <c r="G33" s="154">
        <f>IF($B33=" ","",IFERROR(INDEX(MMWR_RATING_STATE_ROLLUP_PMC[],MATCH($B33,MMWR_RATING_STATE_ROLLUP_PMC[MMWR_RATING_STATE_ROLLUP_PMC],0),MATCH(G$9,MMWR_RATING_STATE_ROLLUP_PMC[#Headers],0)),"ERROR"))</f>
        <v>21724</v>
      </c>
      <c r="H33" s="155">
        <f>IF($B33=" ","",IFERROR(INDEX(MMWR_RATING_STATE_ROLLUP_PMC[],MATCH($B33,MMWR_RATING_STATE_ROLLUP_PMC[MMWR_RATING_STATE_ROLLUP_PMC],0),MATCH(H$9,MMWR_RATING_STATE_ROLLUP_PMC[#Headers],0)),"ERROR"))</f>
        <v>102.6623376623</v>
      </c>
      <c r="I33" s="155">
        <f>IF($B33=" ","",IFERROR(INDEX(MMWR_RATING_STATE_ROLLUP_PMC[],MATCH($B33,MMWR_RATING_STATE_ROLLUP_PMC[MMWR_RATING_STATE_ROLLUP_PMC],0),MATCH(I$9,MMWR_RATING_STATE_ROLLUP_PMC[#Headers],0)),"ERROR"))</f>
        <v>97.571579819600004</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282</v>
      </c>
      <c r="D34" s="155">
        <f>IF($B34=" ","",IFERROR(INDEX(MMWR_RATING_STATE_ROLLUP_PMC[],MATCH($B34,MMWR_RATING_STATE_ROLLUP_PMC[MMWR_RATING_STATE_ROLLUP_PMC],0),MATCH(D$9,MMWR_RATING_STATE_ROLLUP_PMC[#Headers],0)),"ERROR"))</f>
        <v>66.631205673799997</v>
      </c>
      <c r="E34" s="156">
        <f>IF($B34=" ","",IFERROR(INDEX(MMWR_RATING_STATE_ROLLUP_PMC[],MATCH($B34,MMWR_RATING_STATE_ROLLUP_PMC[MMWR_RATING_STATE_ROLLUP_PMC],0),MATCH(E$9,MMWR_RATING_STATE_ROLLUP_PMC[#Headers],0))/$C34,"ERROR"))</f>
        <v>7.4468085106382975E-2</v>
      </c>
      <c r="F34" s="154">
        <f>IF($B34=" ","",IFERROR(INDEX(MMWR_RATING_STATE_ROLLUP_PMC[],MATCH($B34,MMWR_RATING_STATE_ROLLUP_PMC[MMWR_RATING_STATE_ROLLUP_PMC],0),MATCH(F$9,MMWR_RATING_STATE_ROLLUP_PMC[#Headers],0)),"ERROR"))</f>
        <v>5</v>
      </c>
      <c r="G34" s="154">
        <f>IF($B34=" ","",IFERROR(INDEX(MMWR_RATING_STATE_ROLLUP_PMC[],MATCH($B34,MMWR_RATING_STATE_ROLLUP_PMC[MMWR_RATING_STATE_ROLLUP_PMC],0),MATCH(G$9,MMWR_RATING_STATE_ROLLUP_PMC[#Headers],0)),"ERROR"))</f>
        <v>640</v>
      </c>
      <c r="H34" s="155">
        <f>IF($B34=" ","",IFERROR(INDEX(MMWR_RATING_STATE_ROLLUP_PMC[],MATCH($B34,MMWR_RATING_STATE_ROLLUP_PMC[MMWR_RATING_STATE_ROLLUP_PMC],0),MATCH(H$9,MMWR_RATING_STATE_ROLLUP_PMC[#Headers],0)),"ERROR"))</f>
        <v>86.8</v>
      </c>
      <c r="I34" s="155">
        <f>IF($B34=" ","",IFERROR(INDEX(MMWR_RATING_STATE_ROLLUP_PMC[],MATCH($B34,MMWR_RATING_STATE_ROLLUP_PMC[MMWR_RATING_STATE_ROLLUP_PMC],0),MATCH(I$9,MMWR_RATING_STATE_ROLLUP_PMC[#Headers],0)),"ERROR"))</f>
        <v>98.224999999999994</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87</v>
      </c>
      <c r="D35" s="155">
        <f>IF($B35=" ","",IFERROR(INDEX(MMWR_RATING_STATE_ROLLUP_PMC[],MATCH($B35,MMWR_RATING_STATE_ROLLUP_PMC[MMWR_RATING_STATE_ROLLUP_PMC],0),MATCH(D$9,MMWR_RATING_STATE_ROLLUP_PMC[#Headers],0)),"ERROR"))</f>
        <v>71.724137931000001</v>
      </c>
      <c r="E35" s="156">
        <f>IF($B35=" ","",IFERROR(INDEX(MMWR_RATING_STATE_ROLLUP_PMC[],MATCH($B35,MMWR_RATING_STATE_ROLLUP_PMC[MMWR_RATING_STATE_ROLLUP_PMC],0),MATCH(E$9,MMWR_RATING_STATE_ROLLUP_PMC[#Headers],0))/$C35,"ERROR"))</f>
        <v>9.1954022988505746E-2</v>
      </c>
      <c r="F35" s="154">
        <f>IF($B35=" ","",IFERROR(INDEX(MMWR_RATING_STATE_ROLLUP_PMC[],MATCH($B35,MMWR_RATING_STATE_ROLLUP_PMC[MMWR_RATING_STATE_ROLLUP_PMC],0),MATCH(F$9,MMWR_RATING_STATE_ROLLUP_PMC[#Headers],0)),"ERROR"))</f>
        <v>3</v>
      </c>
      <c r="G35" s="154">
        <f>IF($B35=" ","",IFERROR(INDEX(MMWR_RATING_STATE_ROLLUP_PMC[],MATCH($B35,MMWR_RATING_STATE_ROLLUP_PMC[MMWR_RATING_STATE_ROLLUP_PMC],0),MATCH(G$9,MMWR_RATING_STATE_ROLLUP_PMC[#Headers],0)),"ERROR"))</f>
        <v>223</v>
      </c>
      <c r="H35" s="155">
        <f>IF($B35=" ","",IFERROR(INDEX(MMWR_RATING_STATE_ROLLUP_PMC[],MATCH($B35,MMWR_RATING_STATE_ROLLUP_PMC[MMWR_RATING_STATE_ROLLUP_PMC],0),MATCH(H$9,MMWR_RATING_STATE_ROLLUP_PMC[#Headers],0)),"ERROR"))</f>
        <v>71.333333333300004</v>
      </c>
      <c r="I35" s="155">
        <f>IF($B35=" ","",IFERROR(INDEX(MMWR_RATING_STATE_ROLLUP_PMC[],MATCH($B35,MMWR_RATING_STATE_ROLLUP_PMC[MMWR_RATING_STATE_ROLLUP_PMC],0),MATCH(I$9,MMWR_RATING_STATE_ROLLUP_PMC[#Headers],0)),"ERROR"))</f>
        <v>98.798206277999995</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63</v>
      </c>
      <c r="D36" s="155">
        <f>IF($B36=" ","",IFERROR(INDEX(MMWR_RATING_STATE_ROLLUP_PMC[],MATCH($B36,MMWR_RATING_STATE_ROLLUP_PMC[MMWR_RATING_STATE_ROLLUP_PMC],0),MATCH(D$9,MMWR_RATING_STATE_ROLLUP_PMC[#Headers],0)),"ERROR"))</f>
        <v>75.507936507899998</v>
      </c>
      <c r="E36" s="156">
        <f>IF($B36=" ","",IFERROR(INDEX(MMWR_RATING_STATE_ROLLUP_PMC[],MATCH($B36,MMWR_RATING_STATE_ROLLUP_PMC[MMWR_RATING_STATE_ROLLUP_PMC],0),MATCH(E$9,MMWR_RATING_STATE_ROLLUP_PMC[#Headers],0))/$C36,"ERROR"))</f>
        <v>0.12698412698412698</v>
      </c>
      <c r="F36" s="154">
        <f>IF($B36=" ","",IFERROR(INDEX(MMWR_RATING_STATE_ROLLUP_PMC[],MATCH($B36,MMWR_RATING_STATE_ROLLUP_PMC[MMWR_RATING_STATE_ROLLUP_PMC],0),MATCH(F$9,MMWR_RATING_STATE_ROLLUP_PMC[#Headers],0)),"ERROR"))</f>
        <v>0</v>
      </c>
      <c r="G36" s="154">
        <f>IF($B36=" ","",IFERROR(INDEX(MMWR_RATING_STATE_ROLLUP_PMC[],MATCH($B36,MMWR_RATING_STATE_ROLLUP_PMC[MMWR_RATING_STATE_ROLLUP_PMC],0),MATCH(G$9,MMWR_RATING_STATE_ROLLUP_PMC[#Headers],0)),"ERROR"))</f>
        <v>192</v>
      </c>
      <c r="H36" s="155">
        <f>IF($B36=" ","",IFERROR(INDEX(MMWR_RATING_STATE_ROLLUP_PMC[],MATCH($B36,MMWR_RATING_STATE_ROLLUP_PMC[MMWR_RATING_STATE_ROLLUP_PMC],0),MATCH(H$9,MMWR_RATING_STATE_ROLLUP_PMC[#Headers],0)),"ERROR"))</f>
        <v>0</v>
      </c>
      <c r="I36" s="155">
        <f>IF($B36=" ","",IFERROR(INDEX(MMWR_RATING_STATE_ROLLUP_PMC[],MATCH($B36,MMWR_RATING_STATE_ROLLUP_PMC[MMWR_RATING_STATE_ROLLUP_PMC],0),MATCH(I$9,MMWR_RATING_STATE_ROLLUP_PMC[#Headers],0)),"ERROR"))</f>
        <v>108.59375</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132</v>
      </c>
      <c r="D37" s="155">
        <f>IF($B37=" ","",IFERROR(INDEX(MMWR_RATING_STATE_ROLLUP_PMC[],MATCH($B37,MMWR_RATING_STATE_ROLLUP_PMC[MMWR_RATING_STATE_ROLLUP_PMC],0),MATCH(D$9,MMWR_RATING_STATE_ROLLUP_PMC[#Headers],0)),"ERROR"))</f>
        <v>70.318181818200003</v>
      </c>
      <c r="E37" s="156">
        <f>IF($B37=" ","",IFERROR(INDEX(MMWR_RATING_STATE_ROLLUP_PMC[],MATCH($B37,MMWR_RATING_STATE_ROLLUP_PMC[MMWR_RATING_STATE_ROLLUP_PMC],0),MATCH(E$9,MMWR_RATING_STATE_ROLLUP_PMC[#Headers],0))/$C37,"ERROR"))</f>
        <v>0.11363636363636363</v>
      </c>
      <c r="F37" s="154">
        <f>IF($B37=" ","",IFERROR(INDEX(MMWR_RATING_STATE_ROLLUP_PMC[],MATCH($B37,MMWR_RATING_STATE_ROLLUP_PMC[MMWR_RATING_STATE_ROLLUP_PMC],0),MATCH(F$9,MMWR_RATING_STATE_ROLLUP_PMC[#Headers],0)),"ERROR"))</f>
        <v>1</v>
      </c>
      <c r="G37" s="154">
        <f>IF($B37=" ","",IFERROR(INDEX(MMWR_RATING_STATE_ROLLUP_PMC[],MATCH($B37,MMWR_RATING_STATE_ROLLUP_PMC[MMWR_RATING_STATE_ROLLUP_PMC],0),MATCH(G$9,MMWR_RATING_STATE_ROLLUP_PMC[#Headers],0)),"ERROR"))</f>
        <v>421</v>
      </c>
      <c r="H37" s="155">
        <f>IF($B37=" ","",IFERROR(INDEX(MMWR_RATING_STATE_ROLLUP_PMC[],MATCH($B37,MMWR_RATING_STATE_ROLLUP_PMC[MMWR_RATING_STATE_ROLLUP_PMC],0),MATCH(H$9,MMWR_RATING_STATE_ROLLUP_PMC[#Headers],0)),"ERROR"))</f>
        <v>134</v>
      </c>
      <c r="I37" s="155">
        <f>IF($B37=" ","",IFERROR(INDEX(MMWR_RATING_STATE_ROLLUP_PMC[],MATCH($B37,MMWR_RATING_STATE_ROLLUP_PMC[MMWR_RATING_STATE_ROLLUP_PMC],0),MATCH(I$9,MMWR_RATING_STATE_ROLLUP_PMC[#Headers],0)),"ERROR"))</f>
        <v>87.648456057000004</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550</v>
      </c>
      <c r="D38" s="155">
        <f>IF($B38=" ","",IFERROR(INDEX(MMWR_RATING_STATE_ROLLUP_PMC[],MATCH($B38,MMWR_RATING_STATE_ROLLUP_PMC[MMWR_RATING_STATE_ROLLUP_PMC],0),MATCH(D$9,MMWR_RATING_STATE_ROLLUP_PMC[#Headers],0)),"ERROR"))</f>
        <v>76.556363636399993</v>
      </c>
      <c r="E38" s="156">
        <f>IF($B38=" ","",IFERROR(INDEX(MMWR_RATING_STATE_ROLLUP_PMC[],MATCH($B38,MMWR_RATING_STATE_ROLLUP_PMC[MMWR_RATING_STATE_ROLLUP_PMC],0),MATCH(E$9,MMWR_RATING_STATE_ROLLUP_PMC[#Headers],0))/$C38,"ERROR"))</f>
        <v>0.11090909090909092</v>
      </c>
      <c r="F38" s="154">
        <f>IF($B38=" ","",IFERROR(INDEX(MMWR_RATING_STATE_ROLLUP_PMC[],MATCH($B38,MMWR_RATING_STATE_ROLLUP_PMC[MMWR_RATING_STATE_ROLLUP_PMC],0),MATCH(F$9,MMWR_RATING_STATE_ROLLUP_PMC[#Headers],0)),"ERROR"))</f>
        <v>9</v>
      </c>
      <c r="G38" s="154">
        <f>IF($B38=" ","",IFERROR(INDEX(MMWR_RATING_STATE_ROLLUP_PMC[],MATCH($B38,MMWR_RATING_STATE_ROLLUP_PMC[MMWR_RATING_STATE_ROLLUP_PMC],0),MATCH(G$9,MMWR_RATING_STATE_ROLLUP_PMC[#Headers],0)),"ERROR"))</f>
        <v>1402</v>
      </c>
      <c r="H38" s="155">
        <f>IF($B38=" ","",IFERROR(INDEX(MMWR_RATING_STATE_ROLLUP_PMC[],MATCH($B38,MMWR_RATING_STATE_ROLLUP_PMC[MMWR_RATING_STATE_ROLLUP_PMC],0),MATCH(H$9,MMWR_RATING_STATE_ROLLUP_PMC[#Headers],0)),"ERROR"))</f>
        <v>146.2222222222</v>
      </c>
      <c r="I38" s="155">
        <f>IF($B38=" ","",IFERROR(INDEX(MMWR_RATING_STATE_ROLLUP_PMC[],MATCH($B38,MMWR_RATING_STATE_ROLLUP_PMC[MMWR_RATING_STATE_ROLLUP_PMC],0),MATCH(I$9,MMWR_RATING_STATE_ROLLUP_PMC[#Headers],0)),"ERROR"))</f>
        <v>101.6590584879</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477</v>
      </c>
      <c r="D39" s="155">
        <f>IF($B39=" ","",IFERROR(INDEX(MMWR_RATING_STATE_ROLLUP_PMC[],MATCH($B39,MMWR_RATING_STATE_ROLLUP_PMC[MMWR_RATING_STATE_ROLLUP_PMC],0),MATCH(D$9,MMWR_RATING_STATE_ROLLUP_PMC[#Headers],0)),"ERROR"))</f>
        <v>76.463312368999993</v>
      </c>
      <c r="E39" s="156">
        <f>IF($B39=" ","",IFERROR(INDEX(MMWR_RATING_STATE_ROLLUP_PMC[],MATCH($B39,MMWR_RATING_STATE_ROLLUP_PMC[MMWR_RATING_STATE_ROLLUP_PMC],0),MATCH(E$9,MMWR_RATING_STATE_ROLLUP_PMC[#Headers],0))/$C39,"ERROR"))</f>
        <v>0.15932914046121593</v>
      </c>
      <c r="F39" s="154">
        <f>IF($B39=" ","",IFERROR(INDEX(MMWR_RATING_STATE_ROLLUP_PMC[],MATCH($B39,MMWR_RATING_STATE_ROLLUP_PMC[MMWR_RATING_STATE_ROLLUP_PMC],0),MATCH(F$9,MMWR_RATING_STATE_ROLLUP_PMC[#Headers],0)),"ERROR"))</f>
        <v>4</v>
      </c>
      <c r="G39" s="154">
        <f>IF($B39=" ","",IFERROR(INDEX(MMWR_RATING_STATE_ROLLUP_PMC[],MATCH($B39,MMWR_RATING_STATE_ROLLUP_PMC[MMWR_RATING_STATE_ROLLUP_PMC],0),MATCH(G$9,MMWR_RATING_STATE_ROLLUP_PMC[#Headers],0)),"ERROR"))</f>
        <v>1382</v>
      </c>
      <c r="H39" s="155">
        <f>IF($B39=" ","",IFERROR(INDEX(MMWR_RATING_STATE_ROLLUP_PMC[],MATCH($B39,MMWR_RATING_STATE_ROLLUP_PMC[MMWR_RATING_STATE_ROLLUP_PMC],0),MATCH(H$9,MMWR_RATING_STATE_ROLLUP_PMC[#Headers],0)),"ERROR"))</f>
        <v>104.75</v>
      </c>
      <c r="I39" s="155">
        <f>IF($B39=" ","",IFERROR(INDEX(MMWR_RATING_STATE_ROLLUP_PMC[],MATCH($B39,MMWR_RATING_STATE_ROLLUP_PMC[MMWR_RATING_STATE_ROLLUP_PMC],0),MATCH(I$9,MMWR_RATING_STATE_ROLLUP_PMC[#Headers],0)),"ERROR"))</f>
        <v>92.143270622299994</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133</v>
      </c>
      <c r="D40" s="155">
        <f>IF($B40=" ","",IFERROR(INDEX(MMWR_RATING_STATE_ROLLUP_PMC[],MATCH($B40,MMWR_RATING_STATE_ROLLUP_PMC[MMWR_RATING_STATE_ROLLUP_PMC],0),MATCH(D$9,MMWR_RATING_STATE_ROLLUP_PMC[#Headers],0)),"ERROR"))</f>
        <v>66.466165413499994</v>
      </c>
      <c r="E40" s="156">
        <f>IF($B40=" ","",IFERROR(INDEX(MMWR_RATING_STATE_ROLLUP_PMC[],MATCH($B40,MMWR_RATING_STATE_ROLLUP_PMC[MMWR_RATING_STATE_ROLLUP_PMC],0),MATCH(E$9,MMWR_RATING_STATE_ROLLUP_PMC[#Headers],0))/$C40,"ERROR"))</f>
        <v>0.10526315789473684</v>
      </c>
      <c r="F40" s="154">
        <f>IF($B40=" ","",IFERROR(INDEX(MMWR_RATING_STATE_ROLLUP_PMC[],MATCH($B40,MMWR_RATING_STATE_ROLLUP_PMC[MMWR_RATING_STATE_ROLLUP_PMC],0),MATCH(F$9,MMWR_RATING_STATE_ROLLUP_PMC[#Headers],0)),"ERROR"))</f>
        <v>0</v>
      </c>
      <c r="G40" s="154">
        <f>IF($B40=" ","",IFERROR(INDEX(MMWR_RATING_STATE_ROLLUP_PMC[],MATCH($B40,MMWR_RATING_STATE_ROLLUP_PMC[MMWR_RATING_STATE_ROLLUP_PMC],0),MATCH(G$9,MMWR_RATING_STATE_ROLLUP_PMC[#Headers],0)),"ERROR"))</f>
        <v>333</v>
      </c>
      <c r="H40" s="155">
        <f>IF($B40=" ","",IFERROR(INDEX(MMWR_RATING_STATE_ROLLUP_PMC[],MATCH($B40,MMWR_RATING_STATE_ROLLUP_PMC[MMWR_RATING_STATE_ROLLUP_PMC],0),MATCH(H$9,MMWR_RATING_STATE_ROLLUP_PMC[#Headers],0)),"ERROR"))</f>
        <v>0</v>
      </c>
      <c r="I40" s="155">
        <f>IF($B40=" ","",IFERROR(INDEX(MMWR_RATING_STATE_ROLLUP_PMC[],MATCH($B40,MMWR_RATING_STATE_ROLLUP_PMC[MMWR_RATING_STATE_ROLLUP_PMC],0),MATCH(I$9,MMWR_RATING_STATE_ROLLUP_PMC[#Headers],0)),"ERROR"))</f>
        <v>94.807807807800003</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593</v>
      </c>
      <c r="D41" s="155">
        <f>IF($B41=" ","",IFERROR(INDEX(MMWR_RATING_STATE_ROLLUP_PMC[],MATCH($B41,MMWR_RATING_STATE_ROLLUP_PMC[MMWR_RATING_STATE_ROLLUP_PMC],0),MATCH(D$9,MMWR_RATING_STATE_ROLLUP_PMC[#Headers],0)),"ERROR"))</f>
        <v>73.256323777399999</v>
      </c>
      <c r="E41" s="156">
        <f>IF($B41=" ","",IFERROR(INDEX(MMWR_RATING_STATE_ROLLUP_PMC[],MATCH($B41,MMWR_RATING_STATE_ROLLUP_PMC[MMWR_RATING_STATE_ROLLUP_PMC],0),MATCH(E$9,MMWR_RATING_STATE_ROLLUP_PMC[#Headers],0))/$C41,"ERROR"))</f>
        <v>0.12984822934232715</v>
      </c>
      <c r="F41" s="154">
        <f>IF($B41=" ","",IFERROR(INDEX(MMWR_RATING_STATE_ROLLUP_PMC[],MATCH($B41,MMWR_RATING_STATE_ROLLUP_PMC[MMWR_RATING_STATE_ROLLUP_PMC],0),MATCH(F$9,MMWR_RATING_STATE_ROLLUP_PMC[#Headers],0)),"ERROR"))</f>
        <v>1</v>
      </c>
      <c r="G41" s="154">
        <f>IF($B41=" ","",IFERROR(INDEX(MMWR_RATING_STATE_ROLLUP_PMC[],MATCH($B41,MMWR_RATING_STATE_ROLLUP_PMC[MMWR_RATING_STATE_ROLLUP_PMC],0),MATCH(G$9,MMWR_RATING_STATE_ROLLUP_PMC[#Headers],0)),"ERROR"))</f>
        <v>1473</v>
      </c>
      <c r="H41" s="155">
        <f>IF($B41=" ","",IFERROR(INDEX(MMWR_RATING_STATE_ROLLUP_PMC[],MATCH($B41,MMWR_RATING_STATE_ROLLUP_PMC[MMWR_RATING_STATE_ROLLUP_PMC],0),MATCH(H$9,MMWR_RATING_STATE_ROLLUP_PMC[#Headers],0)),"ERROR"))</f>
        <v>54</v>
      </c>
      <c r="I41" s="155">
        <f>IF($B41=" ","",IFERROR(INDEX(MMWR_RATING_STATE_ROLLUP_PMC[],MATCH($B41,MMWR_RATING_STATE_ROLLUP_PMC[MMWR_RATING_STATE_ROLLUP_PMC],0),MATCH(I$9,MMWR_RATING_STATE_ROLLUP_PMC[#Headers],0)),"ERROR"))</f>
        <v>96.542430414099996</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1438</v>
      </c>
      <c r="D42" s="155">
        <f>IF($B42=" ","",IFERROR(INDEX(MMWR_RATING_STATE_ROLLUP_PMC[],MATCH($B42,MMWR_RATING_STATE_ROLLUP_PMC[MMWR_RATING_STATE_ROLLUP_PMC],0),MATCH(D$9,MMWR_RATING_STATE_ROLLUP_PMC[#Headers],0)),"ERROR"))</f>
        <v>74.993741307400001</v>
      </c>
      <c r="E42" s="156">
        <f>IF($B42=" ","",IFERROR(INDEX(MMWR_RATING_STATE_ROLLUP_PMC[],MATCH($B42,MMWR_RATING_STATE_ROLLUP_PMC[MMWR_RATING_STATE_ROLLUP_PMC],0),MATCH(E$9,MMWR_RATING_STATE_ROLLUP_PMC[#Headers],0))/$C42,"ERROR"))</f>
        <v>0.11682892906815021</v>
      </c>
      <c r="F42" s="154">
        <f>IF($B42=" ","",IFERROR(INDEX(MMWR_RATING_STATE_ROLLUP_PMC[],MATCH($B42,MMWR_RATING_STATE_ROLLUP_PMC[MMWR_RATING_STATE_ROLLUP_PMC],0),MATCH(F$9,MMWR_RATING_STATE_ROLLUP_PMC[#Headers],0)),"ERROR"))</f>
        <v>14</v>
      </c>
      <c r="G42" s="154">
        <f>IF($B42=" ","",IFERROR(INDEX(MMWR_RATING_STATE_ROLLUP_PMC[],MATCH($B42,MMWR_RATING_STATE_ROLLUP_PMC[MMWR_RATING_STATE_ROLLUP_PMC],0),MATCH(G$9,MMWR_RATING_STATE_ROLLUP_PMC[#Headers],0)),"ERROR"))</f>
        <v>3742</v>
      </c>
      <c r="H42" s="155">
        <f>IF($B42=" ","",IFERROR(INDEX(MMWR_RATING_STATE_ROLLUP_PMC[],MATCH($B42,MMWR_RATING_STATE_ROLLUP_PMC[MMWR_RATING_STATE_ROLLUP_PMC],0),MATCH(H$9,MMWR_RATING_STATE_ROLLUP_PMC[#Headers],0)),"ERROR"))</f>
        <v>86.071428571400006</v>
      </c>
      <c r="I42" s="155">
        <f>IF($B42=" ","",IFERROR(INDEX(MMWR_RATING_STATE_ROLLUP_PMC[],MATCH($B42,MMWR_RATING_STATE_ROLLUP_PMC[MMWR_RATING_STATE_ROLLUP_PMC],0),MATCH(I$9,MMWR_RATING_STATE_ROLLUP_PMC[#Headers],0)),"ERROR"))</f>
        <v>98.805451630099995</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1508</v>
      </c>
      <c r="D43" s="155">
        <f>IF($B43=" ","",IFERROR(INDEX(MMWR_RATING_STATE_ROLLUP_PMC[],MATCH($B43,MMWR_RATING_STATE_ROLLUP_PMC[MMWR_RATING_STATE_ROLLUP_PMC],0),MATCH(D$9,MMWR_RATING_STATE_ROLLUP_PMC[#Headers],0)),"ERROR"))</f>
        <v>75.464190981399994</v>
      </c>
      <c r="E43" s="156">
        <f>IF($B43=" ","",IFERROR(INDEX(MMWR_RATING_STATE_ROLLUP_PMC[],MATCH($B43,MMWR_RATING_STATE_ROLLUP_PMC[MMWR_RATING_STATE_ROLLUP_PMC],0),MATCH(E$9,MMWR_RATING_STATE_ROLLUP_PMC[#Headers],0))/$C43,"ERROR"))</f>
        <v>0.1286472148541114</v>
      </c>
      <c r="F43" s="154">
        <f>IF($B43=" ","",IFERROR(INDEX(MMWR_RATING_STATE_ROLLUP_PMC[],MATCH($B43,MMWR_RATING_STATE_ROLLUP_PMC[MMWR_RATING_STATE_ROLLUP_PMC],0),MATCH(F$9,MMWR_RATING_STATE_ROLLUP_PMC[#Headers],0)),"ERROR"))</f>
        <v>16</v>
      </c>
      <c r="G43" s="154">
        <f>IF($B43=" ","",IFERROR(INDEX(MMWR_RATING_STATE_ROLLUP_PMC[],MATCH($B43,MMWR_RATING_STATE_ROLLUP_PMC[MMWR_RATING_STATE_ROLLUP_PMC],0),MATCH(G$9,MMWR_RATING_STATE_ROLLUP_PMC[#Headers],0)),"ERROR"))</f>
        <v>3808</v>
      </c>
      <c r="H43" s="155">
        <f>IF($B43=" ","",IFERROR(INDEX(MMWR_RATING_STATE_ROLLUP_PMC[],MATCH($B43,MMWR_RATING_STATE_ROLLUP_PMC[MMWR_RATING_STATE_ROLLUP_PMC],0),MATCH(H$9,MMWR_RATING_STATE_ROLLUP_PMC[#Headers],0)),"ERROR"))</f>
        <v>125.4375</v>
      </c>
      <c r="I43" s="155">
        <f>IF($B43=" ","",IFERROR(INDEX(MMWR_RATING_STATE_ROLLUP_PMC[],MATCH($B43,MMWR_RATING_STATE_ROLLUP_PMC[MMWR_RATING_STATE_ROLLUP_PMC],0),MATCH(I$9,MMWR_RATING_STATE_ROLLUP_PMC[#Headers],0)),"ERROR"))</f>
        <v>97.010766806700005</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1745</v>
      </c>
      <c r="D44" s="155">
        <f>IF($B44=" ","",IFERROR(INDEX(MMWR_RATING_STATE_ROLLUP_PMC[],MATCH($B44,MMWR_RATING_STATE_ROLLUP_PMC[MMWR_RATING_STATE_ROLLUP_PMC],0),MATCH(D$9,MMWR_RATING_STATE_ROLLUP_PMC[#Headers],0)),"ERROR"))</f>
        <v>71.927220630400001</v>
      </c>
      <c r="E44" s="156">
        <f>IF($B44=" ","",IFERROR(INDEX(MMWR_RATING_STATE_ROLLUP_PMC[],MATCH($B44,MMWR_RATING_STATE_ROLLUP_PMC[MMWR_RATING_STATE_ROLLUP_PMC],0),MATCH(E$9,MMWR_RATING_STATE_ROLLUP_PMC[#Headers],0))/$C44,"ERROR"))</f>
        <v>0.10716332378223496</v>
      </c>
      <c r="F44" s="154">
        <f>IF($B44=" ","",IFERROR(INDEX(MMWR_RATING_STATE_ROLLUP_PMC[],MATCH($B44,MMWR_RATING_STATE_ROLLUP_PMC[MMWR_RATING_STATE_ROLLUP_PMC],0),MATCH(F$9,MMWR_RATING_STATE_ROLLUP_PMC[#Headers],0)),"ERROR"))</f>
        <v>15</v>
      </c>
      <c r="G44" s="154">
        <f>IF($B44=" ","",IFERROR(INDEX(MMWR_RATING_STATE_ROLLUP_PMC[],MATCH($B44,MMWR_RATING_STATE_ROLLUP_PMC[MMWR_RATING_STATE_ROLLUP_PMC],0),MATCH(G$9,MMWR_RATING_STATE_ROLLUP_PMC[#Headers],0)),"ERROR"))</f>
        <v>4451</v>
      </c>
      <c r="H44" s="155">
        <f>IF($B44=" ","",IFERROR(INDEX(MMWR_RATING_STATE_ROLLUP_PMC[],MATCH($B44,MMWR_RATING_STATE_ROLLUP_PMC[MMWR_RATING_STATE_ROLLUP_PMC],0),MATCH(H$9,MMWR_RATING_STATE_ROLLUP_PMC[#Headers],0)),"ERROR"))</f>
        <v>77.599999999999994</v>
      </c>
      <c r="I44" s="155">
        <f>IF($B44=" ","",IFERROR(INDEX(MMWR_RATING_STATE_ROLLUP_PMC[],MATCH($B44,MMWR_RATING_STATE_ROLLUP_PMC[MMWR_RATING_STATE_ROLLUP_PMC],0),MATCH(I$9,MMWR_RATING_STATE_ROLLUP_PMC[#Headers],0)),"ERROR"))</f>
        <v>95.901370478499999</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124</v>
      </c>
      <c r="D45" s="155">
        <f>IF($B45=" ","",IFERROR(INDEX(MMWR_RATING_STATE_ROLLUP_PMC[],MATCH($B45,MMWR_RATING_STATE_ROLLUP_PMC[MMWR_RATING_STATE_ROLLUP_PMC],0),MATCH(D$9,MMWR_RATING_STATE_ROLLUP_PMC[#Headers],0)),"ERROR"))</f>
        <v>77.685483871000002</v>
      </c>
      <c r="E45" s="156">
        <f>IF($B45=" ","",IFERROR(INDEX(MMWR_RATING_STATE_ROLLUP_PMC[],MATCH($B45,MMWR_RATING_STATE_ROLLUP_PMC[MMWR_RATING_STATE_ROLLUP_PMC],0),MATCH(E$9,MMWR_RATING_STATE_ROLLUP_PMC[#Headers],0))/$C45,"ERROR"))</f>
        <v>0.13709677419354838</v>
      </c>
      <c r="F45" s="154">
        <f>IF($B45=" ","",IFERROR(INDEX(MMWR_RATING_STATE_ROLLUP_PMC[],MATCH($B45,MMWR_RATING_STATE_ROLLUP_PMC[MMWR_RATING_STATE_ROLLUP_PMC],0),MATCH(F$9,MMWR_RATING_STATE_ROLLUP_PMC[#Headers],0)),"ERROR"))</f>
        <v>1</v>
      </c>
      <c r="G45" s="154">
        <f>IF($B45=" ","",IFERROR(INDEX(MMWR_RATING_STATE_ROLLUP_PMC[],MATCH($B45,MMWR_RATING_STATE_ROLLUP_PMC[MMWR_RATING_STATE_ROLLUP_PMC],0),MATCH(G$9,MMWR_RATING_STATE_ROLLUP_PMC[#Headers],0)),"ERROR"))</f>
        <v>342</v>
      </c>
      <c r="H45" s="155">
        <f>IF($B45=" ","",IFERROR(INDEX(MMWR_RATING_STATE_ROLLUP_PMC[],MATCH($B45,MMWR_RATING_STATE_ROLLUP_PMC[MMWR_RATING_STATE_ROLLUP_PMC],0),MATCH(H$9,MMWR_RATING_STATE_ROLLUP_PMC[#Headers],0)),"ERROR"))</f>
        <v>57</v>
      </c>
      <c r="I45" s="155">
        <f>IF($B45=" ","",IFERROR(INDEX(MMWR_RATING_STATE_ROLLUP_PMC[],MATCH($B45,MMWR_RATING_STATE_ROLLUP_PMC[MMWR_RATING_STATE_ROLLUP_PMC],0),MATCH(I$9,MMWR_RATING_STATE_ROLLUP_PMC[#Headers],0)),"ERROR"))</f>
        <v>94.9795321637</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40</v>
      </c>
      <c r="D46" s="155">
        <f>IF($B46=" ","",IFERROR(INDEX(MMWR_RATING_STATE_ROLLUP_PMC[],MATCH($B46,MMWR_RATING_STATE_ROLLUP_PMC[MMWR_RATING_STATE_ROLLUP_PMC],0),MATCH(D$9,MMWR_RATING_STATE_ROLLUP_PMC[#Headers],0)),"ERROR"))</f>
        <v>64.5</v>
      </c>
      <c r="E46" s="156">
        <f>IF($B46=" ","",IFERROR(INDEX(MMWR_RATING_STATE_ROLLUP_PMC[],MATCH($B46,MMWR_RATING_STATE_ROLLUP_PMC[MMWR_RATING_STATE_ROLLUP_PMC],0),MATCH(E$9,MMWR_RATING_STATE_ROLLUP_PMC[#Headers],0))/$C46,"ERROR"))</f>
        <v>0.125</v>
      </c>
      <c r="F46" s="154">
        <f>IF($B46=" ","",IFERROR(INDEX(MMWR_RATING_STATE_ROLLUP_PMC[],MATCH($B46,MMWR_RATING_STATE_ROLLUP_PMC[MMWR_RATING_STATE_ROLLUP_PMC],0),MATCH(F$9,MMWR_RATING_STATE_ROLLUP_PMC[#Headers],0)),"ERROR"))</f>
        <v>0</v>
      </c>
      <c r="G46" s="154">
        <f>IF($B46=" ","",IFERROR(INDEX(MMWR_RATING_STATE_ROLLUP_PMC[],MATCH($B46,MMWR_RATING_STATE_ROLLUP_PMC[MMWR_RATING_STATE_ROLLUP_PMC],0),MATCH(G$9,MMWR_RATING_STATE_ROLLUP_PMC[#Headers],0)),"ERROR"))</f>
        <v>128</v>
      </c>
      <c r="H46" s="155">
        <f>IF($B46=" ","",IFERROR(INDEX(MMWR_RATING_STATE_ROLLUP_PMC[],MATCH($B46,MMWR_RATING_STATE_ROLLUP_PMC[MMWR_RATING_STATE_ROLLUP_PMC],0),MATCH(H$9,MMWR_RATING_STATE_ROLLUP_PMC[#Headers],0)),"ERROR"))</f>
        <v>0</v>
      </c>
      <c r="I46" s="155">
        <f>IF($B46=" ","",IFERROR(INDEX(MMWR_RATING_STATE_ROLLUP_PMC[],MATCH($B46,MMWR_RATING_STATE_ROLLUP_PMC[MMWR_RATING_STATE_ROLLUP_PMC],0),MATCH(I$9,MMWR_RATING_STATE_ROLLUP_PMC[#Headers],0)),"ERROR"))</f>
        <v>101.78125</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1022</v>
      </c>
      <c r="D47" s="155">
        <f>IF($B47=" ","",IFERROR(INDEX(MMWR_RATING_STATE_ROLLUP_PMC[],MATCH($B47,MMWR_RATING_STATE_ROLLUP_PMC[MMWR_RATING_STATE_ROLLUP_PMC],0),MATCH(D$9,MMWR_RATING_STATE_ROLLUP_PMC[#Headers],0)),"ERROR"))</f>
        <v>70.041095890400001</v>
      </c>
      <c r="E47" s="156">
        <f>IF($B47=" ","",IFERROR(INDEX(MMWR_RATING_STATE_ROLLUP_PMC[],MATCH($B47,MMWR_RATING_STATE_ROLLUP_PMC[MMWR_RATING_STATE_ROLLUP_PMC],0),MATCH(E$9,MMWR_RATING_STATE_ROLLUP_PMC[#Headers],0))/$C47,"ERROR"))</f>
        <v>0.10469667318982387</v>
      </c>
      <c r="F47" s="154">
        <f>IF($B47=" ","",IFERROR(INDEX(MMWR_RATING_STATE_ROLLUP_PMC[],MATCH($B47,MMWR_RATING_STATE_ROLLUP_PMC[MMWR_RATING_STATE_ROLLUP_PMC],0),MATCH(F$9,MMWR_RATING_STATE_ROLLUP_PMC[#Headers],0)),"ERROR"))</f>
        <v>7</v>
      </c>
      <c r="G47" s="154">
        <f>IF($B47=" ","",IFERROR(INDEX(MMWR_RATING_STATE_ROLLUP_PMC[],MATCH($B47,MMWR_RATING_STATE_ROLLUP_PMC[MMWR_RATING_STATE_ROLLUP_PMC],0),MATCH(G$9,MMWR_RATING_STATE_ROLLUP_PMC[#Headers],0)),"ERROR"))</f>
        <v>2390</v>
      </c>
      <c r="H47" s="155">
        <f>IF($B47=" ","",IFERROR(INDEX(MMWR_RATING_STATE_ROLLUP_PMC[],MATCH($B47,MMWR_RATING_STATE_ROLLUP_PMC[MMWR_RATING_STATE_ROLLUP_PMC],0),MATCH(H$9,MMWR_RATING_STATE_ROLLUP_PMC[#Headers],0)),"ERROR"))</f>
        <v>114.1428571429</v>
      </c>
      <c r="I47" s="155">
        <f>IF($B47=" ","",IFERROR(INDEX(MMWR_RATING_STATE_ROLLUP_PMC[],MATCH($B47,MMWR_RATING_STATE_ROLLUP_PMC[MMWR_RATING_STATE_ROLLUP_PMC],0),MATCH(I$9,MMWR_RATING_STATE_ROLLUP_PMC[#Headers],0)),"ERROR"))</f>
        <v>101.7543933054</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272</v>
      </c>
      <c r="D48" s="155">
        <f>IF($B48=" ","",IFERROR(INDEX(MMWR_RATING_STATE_ROLLUP_PMC[],MATCH($B48,MMWR_RATING_STATE_ROLLUP_PMC[MMWR_RATING_STATE_ROLLUP_PMC],0),MATCH(D$9,MMWR_RATING_STATE_ROLLUP_PMC[#Headers],0)),"ERROR"))</f>
        <v>70.757352941199997</v>
      </c>
      <c r="E48" s="156">
        <f>IF($B48=" ","",IFERROR(INDEX(MMWR_RATING_STATE_ROLLUP_PMC[],MATCH($B48,MMWR_RATING_STATE_ROLLUP_PMC[MMWR_RATING_STATE_ROLLUP_PMC],0),MATCH(E$9,MMWR_RATING_STATE_ROLLUP_PMC[#Headers],0))/$C48,"ERROR"))</f>
        <v>0.12132352941176471</v>
      </c>
      <c r="F48" s="154">
        <f>IF($B48=" ","",IFERROR(INDEX(MMWR_RATING_STATE_ROLLUP_PMC[],MATCH($B48,MMWR_RATING_STATE_ROLLUP_PMC[MMWR_RATING_STATE_ROLLUP_PMC],0),MATCH(F$9,MMWR_RATING_STATE_ROLLUP_PMC[#Headers],0)),"ERROR"))</f>
        <v>1</v>
      </c>
      <c r="G48" s="154">
        <f>IF($B48=" ","",IFERROR(INDEX(MMWR_RATING_STATE_ROLLUP_PMC[],MATCH($B48,MMWR_RATING_STATE_ROLLUP_PMC[MMWR_RATING_STATE_ROLLUP_PMC],0),MATCH(G$9,MMWR_RATING_STATE_ROLLUP_PMC[#Headers],0)),"ERROR"))</f>
        <v>797</v>
      </c>
      <c r="H48" s="155">
        <f>IF($B48=" ","",IFERROR(INDEX(MMWR_RATING_STATE_ROLLUP_PMC[],MATCH($B48,MMWR_RATING_STATE_ROLLUP_PMC[MMWR_RATING_STATE_ROLLUP_PMC],0),MATCH(H$9,MMWR_RATING_STATE_ROLLUP_PMC[#Headers],0)),"ERROR"))</f>
        <v>102</v>
      </c>
      <c r="I48" s="155">
        <f>IF($B48=" ","",IFERROR(INDEX(MMWR_RATING_STATE_ROLLUP_PMC[],MATCH($B48,MMWR_RATING_STATE_ROLLUP_PMC[MMWR_RATING_STATE_ROLLUP_PMC],0),MATCH(I$9,MMWR_RATING_STATE_ROLLUP_PMC[#Headers],0)),"ERROR"))</f>
        <v>98.676286072799996</v>
      </c>
      <c r="J48" s="42"/>
      <c r="K48" s="42"/>
      <c r="L48" s="42"/>
      <c r="M48" s="42"/>
      <c r="N48" s="28"/>
    </row>
    <row r="49" spans="1:14" x14ac:dyDescent="0.2">
      <c r="A49" s="25"/>
      <c r="B49" s="342" t="s">
        <v>1039</v>
      </c>
      <c r="C49" s="343"/>
      <c r="D49" s="343"/>
      <c r="E49" s="343"/>
      <c r="F49" s="343"/>
      <c r="G49" s="343"/>
      <c r="H49" s="343"/>
      <c r="I49" s="343"/>
      <c r="J49" s="343"/>
      <c r="K49" s="343"/>
      <c r="L49" s="343"/>
      <c r="M49" s="393"/>
      <c r="N49" s="28"/>
    </row>
    <row r="50" spans="1:14" x14ac:dyDescent="0.2">
      <c r="A50" s="25"/>
      <c r="B50" s="41" t="s">
        <v>1038</v>
      </c>
      <c r="C50" s="154">
        <f>IF($B50=" ","",IFERROR(INDEX(MMWR_RATING_STATE_ROLLUP_QST[],MATCH($B50,MMWR_RATING_STATE_ROLLUP_QST[MMWR_RATING_STATE_ROLLUP_QST],0),MATCH(C$9,MMWR_RATING_STATE_ROLLUP_QST[#Headers],0)),"ERROR"))</f>
        <v>7898</v>
      </c>
      <c r="D50" s="155">
        <f>IF($B50=" ","",IFERROR(INDEX(MMWR_RATING_STATE_ROLLUP_QST[],MATCH($B50,MMWR_RATING_STATE_ROLLUP_QST[MMWR_RATING_STATE_ROLLUP_QST],0),MATCH(D$9,MMWR_RATING_STATE_ROLLUP_QST[#Headers],0)),"ERROR"))</f>
        <v>67.358698404699993</v>
      </c>
      <c r="E50" s="156">
        <f>IF($B50=" ","",IFERROR(INDEX(MMWR_RATING_STATE_ROLLUP_QST[],MATCH($B50,MMWR_RATING_STATE_ROLLUP_QST[MMWR_RATING_STATE_ROLLUP_QST],0),MATCH(E$9,MMWR_RATING_STATE_ROLLUP_QST[#Headers],0))/$C50,"ERROR"))</f>
        <v>0.14117498100785009</v>
      </c>
      <c r="F50" s="154">
        <f>IF($B50=" ","",IFERROR(INDEX(MMWR_RATING_STATE_ROLLUP_QST[],MATCH($B50,MMWR_RATING_STATE_ROLLUP_QST[MMWR_RATING_STATE_ROLLUP_QST],0),MATCH(F$9,MMWR_RATING_STATE_ROLLUP_QST[#Headers],0)),"ERROR"))</f>
        <v>105</v>
      </c>
      <c r="G50" s="154">
        <f>IF($B50=" ","",IFERROR(INDEX(MMWR_RATING_STATE_ROLLUP_QST[],MATCH($B50,MMWR_RATING_STATE_ROLLUP_QST[MMWR_RATING_STATE_ROLLUP_QST],0),MATCH(G$9,MMWR_RATING_STATE_ROLLUP_QST[#Headers],0)),"ERROR"))</f>
        <v>19327</v>
      </c>
      <c r="H50" s="155">
        <f>IF($B50=" ","",IFERROR(INDEX(MMWR_RATING_STATE_ROLLUP_QST[],MATCH($B50,MMWR_RATING_STATE_ROLLUP_QST[MMWR_RATING_STATE_ROLLUP_QST],0),MATCH(H$9,MMWR_RATING_STATE_ROLLUP_QST[#Headers],0)),"ERROR"))</f>
        <v>121.6</v>
      </c>
      <c r="I50" s="155">
        <f>IF($B50=" ","",IFERROR(INDEX(MMWR_RATING_STATE_ROLLUP_QST[],MATCH($B50,MMWR_RATING_STATE_ROLLUP_QST[MMWR_RATING_STATE_ROLLUP_QST],0),MATCH(I$9,MMWR_RATING_STATE_ROLLUP_QST[#Headers],0)),"ERROR"))</f>
        <v>140.191959435</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1873</v>
      </c>
      <c r="D51" s="155">
        <f>IF($B51=" ","",IFERROR(INDEX(MMWR_RATING_STATE_ROLLUP_QST[],MATCH($B51,MMWR_RATING_STATE_ROLLUP_QST[MMWR_RATING_STATE_ROLLUP_QST],0),MATCH(D$9,MMWR_RATING_STATE_ROLLUP_QST[#Headers],0)),"ERROR"))</f>
        <v>67.112653497099998</v>
      </c>
      <c r="E51" s="156">
        <f>IF($B51=" ","",IFERROR(INDEX(MMWR_RATING_STATE_ROLLUP_QST[],MATCH($B51,MMWR_RATING_STATE_ROLLUP_QST[MMWR_RATING_STATE_ROLLUP_QST],0),MATCH(E$9,MMWR_RATING_STATE_ROLLUP_QST[#Headers],0))/$C51,"ERROR"))</f>
        <v>0.12172984516817939</v>
      </c>
      <c r="F51" s="154">
        <f>IF($B51=" ","",IFERROR(INDEX(MMWR_RATING_STATE_ROLLUP_QST[],MATCH($B51,MMWR_RATING_STATE_ROLLUP_QST[MMWR_RATING_STATE_ROLLUP_QST],0),MATCH(F$9,MMWR_RATING_STATE_ROLLUP_QST[#Headers],0)),"ERROR"))</f>
        <v>21</v>
      </c>
      <c r="G51" s="154">
        <f>IF($B51=" ","",IFERROR(INDEX(MMWR_RATING_STATE_ROLLUP_QST[],MATCH($B51,MMWR_RATING_STATE_ROLLUP_QST[MMWR_RATING_STATE_ROLLUP_QST],0),MATCH(G$9,MMWR_RATING_STATE_ROLLUP_QST[#Headers],0)),"ERROR"))</f>
        <v>4250</v>
      </c>
      <c r="H51" s="155">
        <f>IF($B51=" ","",IFERROR(INDEX(MMWR_RATING_STATE_ROLLUP_QST[],MATCH($B51,MMWR_RATING_STATE_ROLLUP_QST[MMWR_RATING_STATE_ROLLUP_QST],0),MATCH(H$9,MMWR_RATING_STATE_ROLLUP_QST[#Headers],0)),"ERROR"))</f>
        <v>119.7619047619</v>
      </c>
      <c r="I51" s="155">
        <f>IF($B51=" ","",IFERROR(INDEX(MMWR_RATING_STATE_ROLLUP_QST[],MATCH($B51,MMWR_RATING_STATE_ROLLUP_QST[MMWR_RATING_STATE_ROLLUP_QST],0),MATCH(I$9,MMWR_RATING_STATE_ROLLUP_QST[#Headers],0)),"ERROR"))</f>
        <v>149.96682352939999</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54</v>
      </c>
      <c r="D52" s="155">
        <f>IF($B52=" ","",IFERROR(INDEX(MMWR_RATING_STATE_ROLLUP_QST[],MATCH($B52,MMWR_RATING_STATE_ROLLUP_QST[MMWR_RATING_STATE_ROLLUP_QST],0),MATCH(D$9,MMWR_RATING_STATE_ROLLUP_QST[#Headers],0)),"ERROR"))</f>
        <v>50.962962963000003</v>
      </c>
      <c r="E52" s="156">
        <f>IF($B52=" ","",IFERROR(INDEX(MMWR_RATING_STATE_ROLLUP_QST[],MATCH($B52,MMWR_RATING_STATE_ROLLUP_QST[MMWR_RATING_STATE_ROLLUP_QST],0),MATCH(E$9,MMWR_RATING_STATE_ROLLUP_QST[#Headers],0))/$C52,"ERROR"))</f>
        <v>0</v>
      </c>
      <c r="F52" s="154">
        <f>IF($B52=" ","",IFERROR(INDEX(MMWR_RATING_STATE_ROLLUP_QST[],MATCH($B52,MMWR_RATING_STATE_ROLLUP_QST[MMWR_RATING_STATE_ROLLUP_QST],0),MATCH(F$9,MMWR_RATING_STATE_ROLLUP_QST[#Headers],0)),"ERROR"))</f>
        <v>0</v>
      </c>
      <c r="G52" s="154">
        <f>IF($B52=" ","",IFERROR(INDEX(MMWR_RATING_STATE_ROLLUP_QST[],MATCH($B52,MMWR_RATING_STATE_ROLLUP_QST[MMWR_RATING_STATE_ROLLUP_QST],0),MATCH(G$9,MMWR_RATING_STATE_ROLLUP_QST[#Headers],0)),"ERROR"))</f>
        <v>108</v>
      </c>
      <c r="H52" s="155">
        <f>IF($B52=" ","",IFERROR(INDEX(MMWR_RATING_STATE_ROLLUP_QST[],MATCH($B52,MMWR_RATING_STATE_ROLLUP_QST[MMWR_RATING_STATE_ROLLUP_QST],0),MATCH(H$9,MMWR_RATING_STATE_ROLLUP_QST[#Headers],0)),"ERROR"))</f>
        <v>0</v>
      </c>
      <c r="I52" s="155">
        <f>IF($B52=" ","",IFERROR(INDEX(MMWR_RATING_STATE_ROLLUP_QST[],MATCH($B52,MMWR_RATING_STATE_ROLLUP_QST[MMWR_RATING_STATE_ROLLUP_QST],0),MATCH(I$9,MMWR_RATING_STATE_ROLLUP_QST[#Headers],0)),"ERROR"))</f>
        <v>141.00925925929999</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21</v>
      </c>
      <c r="D53" s="155">
        <f>IF($B53=" ","",IFERROR(INDEX(MMWR_RATING_STATE_ROLLUP_QST[],MATCH($B53,MMWR_RATING_STATE_ROLLUP_QST[MMWR_RATING_STATE_ROLLUP_QST],0),MATCH(D$9,MMWR_RATING_STATE_ROLLUP_QST[#Headers],0)),"ERROR"))</f>
        <v>88.761904761899999</v>
      </c>
      <c r="E53" s="156">
        <f>IF($B53=" ","",IFERROR(INDEX(MMWR_RATING_STATE_ROLLUP_QST[],MATCH($B53,MMWR_RATING_STATE_ROLLUP_QST[MMWR_RATING_STATE_ROLLUP_QST],0),MATCH(E$9,MMWR_RATING_STATE_ROLLUP_QST[#Headers],0))/$C53,"ERROR"))</f>
        <v>0.2857142857142857</v>
      </c>
      <c r="F53" s="154">
        <f>IF($B53=" ","",IFERROR(INDEX(MMWR_RATING_STATE_ROLLUP_QST[],MATCH($B53,MMWR_RATING_STATE_ROLLUP_QST[MMWR_RATING_STATE_ROLLUP_QST],0),MATCH(F$9,MMWR_RATING_STATE_ROLLUP_QST[#Headers],0)),"ERROR"))</f>
        <v>0</v>
      </c>
      <c r="G53" s="154">
        <f>IF($B53=" ","",IFERROR(INDEX(MMWR_RATING_STATE_ROLLUP_QST[],MATCH($B53,MMWR_RATING_STATE_ROLLUP_QST[MMWR_RATING_STATE_ROLLUP_QST],0),MATCH(G$9,MMWR_RATING_STATE_ROLLUP_QST[#Headers],0)),"ERROR"))</f>
        <v>31</v>
      </c>
      <c r="H53" s="155">
        <f>IF($B53=" ","",IFERROR(INDEX(MMWR_RATING_STATE_ROLLUP_QST[],MATCH($B53,MMWR_RATING_STATE_ROLLUP_QST[MMWR_RATING_STATE_ROLLUP_QST],0),MATCH(H$9,MMWR_RATING_STATE_ROLLUP_QST[#Headers],0)),"ERROR"))</f>
        <v>0</v>
      </c>
      <c r="I53" s="155">
        <f>IF($B53=" ","",IFERROR(INDEX(MMWR_RATING_STATE_ROLLUP_QST[],MATCH($B53,MMWR_RATING_STATE_ROLLUP_QST[MMWR_RATING_STATE_ROLLUP_QST],0),MATCH(I$9,MMWR_RATING_STATE_ROLLUP_QST[#Headers],0)),"ERROR"))</f>
        <v>156.29032258059999</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12</v>
      </c>
      <c r="D54" s="155">
        <f>IF($B54=" ","",IFERROR(INDEX(MMWR_RATING_STATE_ROLLUP_QST[],MATCH($B54,MMWR_RATING_STATE_ROLLUP_QST[MMWR_RATING_STATE_ROLLUP_QST],0),MATCH(D$9,MMWR_RATING_STATE_ROLLUP_QST[#Headers],0)),"ERROR"))</f>
        <v>70.083333333300004</v>
      </c>
      <c r="E54" s="156">
        <f>IF($B54=" ","",IFERROR(INDEX(MMWR_RATING_STATE_ROLLUP_QST[],MATCH($B54,MMWR_RATING_STATE_ROLLUP_QST[MMWR_RATING_STATE_ROLLUP_QST],0),MATCH(E$9,MMWR_RATING_STATE_ROLLUP_QST[#Headers],0))/$C54,"ERROR"))</f>
        <v>8.3333333333333329E-2</v>
      </c>
      <c r="F54" s="154">
        <f>IF($B54=" ","",IFERROR(INDEX(MMWR_RATING_STATE_ROLLUP_QST[],MATCH($B54,MMWR_RATING_STATE_ROLLUP_QST[MMWR_RATING_STATE_ROLLUP_QST],0),MATCH(F$9,MMWR_RATING_STATE_ROLLUP_QST[#Headers],0)),"ERROR"))</f>
        <v>0</v>
      </c>
      <c r="G54" s="154">
        <f>IF($B54=" ","",IFERROR(INDEX(MMWR_RATING_STATE_ROLLUP_QST[],MATCH($B54,MMWR_RATING_STATE_ROLLUP_QST[MMWR_RATING_STATE_ROLLUP_QST],0),MATCH(G$9,MMWR_RATING_STATE_ROLLUP_QST[#Headers],0)),"ERROR"))</f>
        <v>33</v>
      </c>
      <c r="H54" s="155">
        <f>IF($B54=" ","",IFERROR(INDEX(MMWR_RATING_STATE_ROLLUP_QST[],MATCH($B54,MMWR_RATING_STATE_ROLLUP_QST[MMWR_RATING_STATE_ROLLUP_QST],0),MATCH(H$9,MMWR_RATING_STATE_ROLLUP_QST[#Headers],0)),"ERROR"))</f>
        <v>0</v>
      </c>
      <c r="I54" s="155">
        <f>IF($B54=" ","",IFERROR(INDEX(MMWR_RATING_STATE_ROLLUP_QST[],MATCH($B54,MMWR_RATING_STATE_ROLLUP_QST[MMWR_RATING_STATE_ROLLUP_QST],0),MATCH(I$9,MMWR_RATING_STATE_ROLLUP_QST[#Headers],0)),"ERROR"))</f>
        <v>159.24242424240001</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13</v>
      </c>
      <c r="D55" s="155">
        <f>IF($B55=" ","",IFERROR(INDEX(MMWR_RATING_STATE_ROLLUP_QST[],MATCH($B55,MMWR_RATING_STATE_ROLLUP_QST[MMWR_RATING_STATE_ROLLUP_QST],0),MATCH(D$9,MMWR_RATING_STATE_ROLLUP_QST[#Headers],0)),"ERROR"))</f>
        <v>69.692307692300005</v>
      </c>
      <c r="E55" s="156">
        <f>IF($B55=" ","",IFERROR(INDEX(MMWR_RATING_STATE_ROLLUP_QST[],MATCH($B55,MMWR_RATING_STATE_ROLLUP_QST[MMWR_RATING_STATE_ROLLUP_QST],0),MATCH(E$9,MMWR_RATING_STATE_ROLLUP_QST[#Headers],0))/$C55,"ERROR"))</f>
        <v>0.15384615384615385</v>
      </c>
      <c r="F55" s="154">
        <f>IF($B55=" ","",IFERROR(INDEX(MMWR_RATING_STATE_ROLLUP_QST[],MATCH($B55,MMWR_RATING_STATE_ROLLUP_QST[MMWR_RATING_STATE_ROLLUP_QST],0),MATCH(F$9,MMWR_RATING_STATE_ROLLUP_QST[#Headers],0)),"ERROR"))</f>
        <v>0</v>
      </c>
      <c r="G55" s="154">
        <f>IF($B55=" ","",IFERROR(INDEX(MMWR_RATING_STATE_ROLLUP_QST[],MATCH($B55,MMWR_RATING_STATE_ROLLUP_QST[MMWR_RATING_STATE_ROLLUP_QST],0),MATCH(G$9,MMWR_RATING_STATE_ROLLUP_QST[#Headers],0)),"ERROR"))</f>
        <v>46</v>
      </c>
      <c r="H55" s="155">
        <f>IF($B55=" ","",IFERROR(INDEX(MMWR_RATING_STATE_ROLLUP_QST[],MATCH($B55,MMWR_RATING_STATE_ROLLUP_QST[MMWR_RATING_STATE_ROLLUP_QST],0),MATCH(H$9,MMWR_RATING_STATE_ROLLUP_QST[#Headers],0)),"ERROR"))</f>
        <v>0</v>
      </c>
      <c r="I55" s="155">
        <f>IF($B55=" ","",IFERROR(INDEX(MMWR_RATING_STATE_ROLLUP_QST[],MATCH($B55,MMWR_RATING_STATE_ROLLUP_QST[MMWR_RATING_STATE_ROLLUP_QST],0),MATCH(I$9,MMWR_RATING_STATE_ROLLUP_QST[#Headers],0)),"ERROR"))</f>
        <v>146.65217391300001</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161</v>
      </c>
      <c r="D56" s="155">
        <f>IF($B56=" ","",IFERROR(INDEX(MMWR_RATING_STATE_ROLLUP_QST[],MATCH($B56,MMWR_RATING_STATE_ROLLUP_QST[MMWR_RATING_STATE_ROLLUP_QST],0),MATCH(D$9,MMWR_RATING_STATE_ROLLUP_QST[#Headers],0)),"ERROR"))</f>
        <v>68.894409937899994</v>
      </c>
      <c r="E56" s="156">
        <f>IF($B56=" ","",IFERROR(INDEX(MMWR_RATING_STATE_ROLLUP_QST[],MATCH($B56,MMWR_RATING_STATE_ROLLUP_QST[MMWR_RATING_STATE_ROLLUP_QST],0),MATCH(E$9,MMWR_RATING_STATE_ROLLUP_QST[#Headers],0))/$C56,"ERROR"))</f>
        <v>0.12422360248447205</v>
      </c>
      <c r="F56" s="154">
        <f>IF($B56=" ","",IFERROR(INDEX(MMWR_RATING_STATE_ROLLUP_QST[],MATCH($B56,MMWR_RATING_STATE_ROLLUP_QST[MMWR_RATING_STATE_ROLLUP_QST],0),MATCH(F$9,MMWR_RATING_STATE_ROLLUP_QST[#Headers],0)),"ERROR"))</f>
        <v>1</v>
      </c>
      <c r="G56" s="154">
        <f>IF($B56=" ","",IFERROR(INDEX(MMWR_RATING_STATE_ROLLUP_QST[],MATCH($B56,MMWR_RATING_STATE_ROLLUP_QST[MMWR_RATING_STATE_ROLLUP_QST],0),MATCH(G$9,MMWR_RATING_STATE_ROLLUP_QST[#Headers],0)),"ERROR"))</f>
        <v>462</v>
      </c>
      <c r="H56" s="155">
        <f>IF($B56=" ","",IFERROR(INDEX(MMWR_RATING_STATE_ROLLUP_QST[],MATCH($B56,MMWR_RATING_STATE_ROLLUP_QST[MMWR_RATING_STATE_ROLLUP_QST],0),MATCH(H$9,MMWR_RATING_STATE_ROLLUP_QST[#Headers],0)),"ERROR"))</f>
        <v>81</v>
      </c>
      <c r="I56" s="155">
        <f>IF($B56=" ","",IFERROR(INDEX(MMWR_RATING_STATE_ROLLUP_QST[],MATCH($B56,MMWR_RATING_STATE_ROLLUP_QST[MMWR_RATING_STATE_ROLLUP_QST],0),MATCH(I$9,MMWR_RATING_STATE_ROLLUP_QST[#Headers],0)),"ERROR"))</f>
        <v>148.75757575759999</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68</v>
      </c>
      <c r="D57" s="155">
        <f>IF($B57=" ","",IFERROR(INDEX(MMWR_RATING_STATE_ROLLUP_QST[],MATCH($B57,MMWR_RATING_STATE_ROLLUP_QST[MMWR_RATING_STATE_ROLLUP_QST],0),MATCH(D$9,MMWR_RATING_STATE_ROLLUP_QST[#Headers],0)),"ERROR"))</f>
        <v>63.058823529400001</v>
      </c>
      <c r="E57" s="156">
        <f>IF($B57=" ","",IFERROR(INDEX(MMWR_RATING_STATE_ROLLUP_QST[],MATCH($B57,MMWR_RATING_STATE_ROLLUP_QST[MMWR_RATING_STATE_ROLLUP_QST],0),MATCH(E$9,MMWR_RATING_STATE_ROLLUP_QST[#Headers],0))/$C57,"ERROR"))</f>
        <v>0.11764705882352941</v>
      </c>
      <c r="F57" s="154">
        <f>IF($B57=" ","",IFERROR(INDEX(MMWR_RATING_STATE_ROLLUP_QST[],MATCH($B57,MMWR_RATING_STATE_ROLLUP_QST[MMWR_RATING_STATE_ROLLUP_QST],0),MATCH(F$9,MMWR_RATING_STATE_ROLLUP_QST[#Headers],0)),"ERROR"))</f>
        <v>0</v>
      </c>
      <c r="G57" s="154">
        <f>IF($B57=" ","",IFERROR(INDEX(MMWR_RATING_STATE_ROLLUP_QST[],MATCH($B57,MMWR_RATING_STATE_ROLLUP_QST[MMWR_RATING_STATE_ROLLUP_QST],0),MATCH(G$9,MMWR_RATING_STATE_ROLLUP_QST[#Headers],0)),"ERROR"))</f>
        <v>174</v>
      </c>
      <c r="H57" s="155">
        <f>IF($B57=" ","",IFERROR(INDEX(MMWR_RATING_STATE_ROLLUP_QST[],MATCH($B57,MMWR_RATING_STATE_ROLLUP_QST[MMWR_RATING_STATE_ROLLUP_QST],0),MATCH(H$9,MMWR_RATING_STATE_ROLLUP_QST[#Headers],0)),"ERROR"))</f>
        <v>0</v>
      </c>
      <c r="I57" s="155">
        <f>IF($B57=" ","",IFERROR(INDEX(MMWR_RATING_STATE_ROLLUP_QST[],MATCH($B57,MMWR_RATING_STATE_ROLLUP_QST[MMWR_RATING_STATE_ROLLUP_QST],0),MATCH(I$9,MMWR_RATING_STATE_ROLLUP_QST[#Headers],0)),"ERROR"))</f>
        <v>142.22988505750001</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22</v>
      </c>
      <c r="D58" s="155">
        <f>IF($B58=" ","",IFERROR(INDEX(MMWR_RATING_STATE_ROLLUP_QST[],MATCH($B58,MMWR_RATING_STATE_ROLLUP_QST[MMWR_RATING_STATE_ROLLUP_QST],0),MATCH(D$9,MMWR_RATING_STATE_ROLLUP_QST[#Headers],0)),"ERROR"))</f>
        <v>55.772727272700003</v>
      </c>
      <c r="E58" s="156">
        <f>IF($B58=" ","",IFERROR(INDEX(MMWR_RATING_STATE_ROLLUP_QST[],MATCH($B58,MMWR_RATING_STATE_ROLLUP_QST[MMWR_RATING_STATE_ROLLUP_QST],0),MATCH(E$9,MMWR_RATING_STATE_ROLLUP_QST[#Headers],0))/$C58,"ERROR"))</f>
        <v>4.5454545454545456E-2</v>
      </c>
      <c r="F58" s="154">
        <f>IF($B58=" ","",IFERROR(INDEX(MMWR_RATING_STATE_ROLLUP_QST[],MATCH($B58,MMWR_RATING_STATE_ROLLUP_QST[MMWR_RATING_STATE_ROLLUP_QST],0),MATCH(F$9,MMWR_RATING_STATE_ROLLUP_QST[#Headers],0)),"ERROR"))</f>
        <v>0</v>
      </c>
      <c r="G58" s="154">
        <f>IF($B58=" ","",IFERROR(INDEX(MMWR_RATING_STATE_ROLLUP_QST[],MATCH($B58,MMWR_RATING_STATE_ROLLUP_QST[MMWR_RATING_STATE_ROLLUP_QST],0),MATCH(G$9,MMWR_RATING_STATE_ROLLUP_QST[#Headers],0)),"ERROR"))</f>
        <v>46</v>
      </c>
      <c r="H58" s="155">
        <f>IF($B58=" ","",IFERROR(INDEX(MMWR_RATING_STATE_ROLLUP_QST[],MATCH($B58,MMWR_RATING_STATE_ROLLUP_QST[MMWR_RATING_STATE_ROLLUP_QST],0),MATCH(H$9,MMWR_RATING_STATE_ROLLUP_QST[#Headers],0)),"ERROR"))</f>
        <v>0</v>
      </c>
      <c r="I58" s="155">
        <f>IF($B58=" ","",IFERROR(INDEX(MMWR_RATING_STATE_ROLLUP_QST[],MATCH($B58,MMWR_RATING_STATE_ROLLUP_QST[MMWR_RATING_STATE_ROLLUP_QST],0),MATCH(I$9,MMWR_RATING_STATE_ROLLUP_QST[#Headers],0)),"ERROR"))</f>
        <v>150.91304347830001</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88</v>
      </c>
      <c r="D59" s="155">
        <f>IF($B59=" ","",IFERROR(INDEX(MMWR_RATING_STATE_ROLLUP_QST[],MATCH($B59,MMWR_RATING_STATE_ROLLUP_QST[MMWR_RATING_STATE_ROLLUP_QST],0),MATCH(D$9,MMWR_RATING_STATE_ROLLUP_QST[#Headers],0)),"ERROR"))</f>
        <v>68.920454545499993</v>
      </c>
      <c r="E59" s="156">
        <f>IF($B59=" ","",IFERROR(INDEX(MMWR_RATING_STATE_ROLLUP_QST[],MATCH($B59,MMWR_RATING_STATE_ROLLUP_QST[MMWR_RATING_STATE_ROLLUP_QST],0),MATCH(E$9,MMWR_RATING_STATE_ROLLUP_QST[#Headers],0))/$C59,"ERROR"))</f>
        <v>0.15909090909090909</v>
      </c>
      <c r="F59" s="154">
        <f>IF($B59=" ","",IFERROR(INDEX(MMWR_RATING_STATE_ROLLUP_QST[],MATCH($B59,MMWR_RATING_STATE_ROLLUP_QST[MMWR_RATING_STATE_ROLLUP_QST],0),MATCH(F$9,MMWR_RATING_STATE_ROLLUP_QST[#Headers],0)),"ERROR"))</f>
        <v>3</v>
      </c>
      <c r="G59" s="154">
        <f>IF($B59=" ","",IFERROR(INDEX(MMWR_RATING_STATE_ROLLUP_QST[],MATCH($B59,MMWR_RATING_STATE_ROLLUP_QST[MMWR_RATING_STATE_ROLLUP_QST],0),MATCH(G$9,MMWR_RATING_STATE_ROLLUP_QST[#Headers],0)),"ERROR"))</f>
        <v>205</v>
      </c>
      <c r="H59" s="155">
        <f>IF($B59=" ","",IFERROR(INDEX(MMWR_RATING_STATE_ROLLUP_QST[],MATCH($B59,MMWR_RATING_STATE_ROLLUP_QST[MMWR_RATING_STATE_ROLLUP_QST],0),MATCH(H$9,MMWR_RATING_STATE_ROLLUP_QST[#Headers],0)),"ERROR"))</f>
        <v>137.6666666667</v>
      </c>
      <c r="I59" s="155">
        <f>IF($B59=" ","",IFERROR(INDEX(MMWR_RATING_STATE_ROLLUP_QST[],MATCH($B59,MMWR_RATING_STATE_ROLLUP_QST[MMWR_RATING_STATE_ROLLUP_QST],0),MATCH(I$9,MMWR_RATING_STATE_ROLLUP_QST[#Headers],0)),"ERROR"))</f>
        <v>148.08780487799999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219</v>
      </c>
      <c r="D60" s="155">
        <f>IF($B60=" ","",IFERROR(INDEX(MMWR_RATING_STATE_ROLLUP_QST[],MATCH($B60,MMWR_RATING_STATE_ROLLUP_QST[MMWR_RATING_STATE_ROLLUP_QST],0),MATCH(D$9,MMWR_RATING_STATE_ROLLUP_QST[#Headers],0)),"ERROR"))</f>
        <v>64.968036529700001</v>
      </c>
      <c r="E60" s="156">
        <f>IF($B60=" ","",IFERROR(INDEX(MMWR_RATING_STATE_ROLLUP_QST[],MATCH($B60,MMWR_RATING_STATE_ROLLUP_QST[MMWR_RATING_STATE_ROLLUP_QST],0),MATCH(E$9,MMWR_RATING_STATE_ROLLUP_QST[#Headers],0))/$C60,"ERROR"))</f>
        <v>0.1004566210045662</v>
      </c>
      <c r="F60" s="154">
        <f>IF($B60=" ","",IFERROR(INDEX(MMWR_RATING_STATE_ROLLUP_QST[],MATCH($B60,MMWR_RATING_STATE_ROLLUP_QST[MMWR_RATING_STATE_ROLLUP_QST],0),MATCH(F$9,MMWR_RATING_STATE_ROLLUP_QST[#Headers],0)),"ERROR"))</f>
        <v>2</v>
      </c>
      <c r="G60" s="154">
        <f>IF($B60=" ","",IFERROR(INDEX(MMWR_RATING_STATE_ROLLUP_QST[],MATCH($B60,MMWR_RATING_STATE_ROLLUP_QST[MMWR_RATING_STATE_ROLLUP_QST],0),MATCH(G$9,MMWR_RATING_STATE_ROLLUP_QST[#Headers],0)),"ERROR"))</f>
        <v>457</v>
      </c>
      <c r="H60" s="155">
        <f>IF($B60=" ","",IFERROR(INDEX(MMWR_RATING_STATE_ROLLUP_QST[],MATCH($B60,MMWR_RATING_STATE_ROLLUP_QST[MMWR_RATING_STATE_ROLLUP_QST],0),MATCH(H$9,MMWR_RATING_STATE_ROLLUP_QST[#Headers],0)),"ERROR"))</f>
        <v>119.5</v>
      </c>
      <c r="I60" s="155">
        <f>IF($B60=" ","",IFERROR(INDEX(MMWR_RATING_STATE_ROLLUP_QST[],MATCH($B60,MMWR_RATING_STATE_ROLLUP_QST[MMWR_RATING_STATE_ROLLUP_QST],0),MATCH(I$9,MMWR_RATING_STATE_ROLLUP_QST[#Headers],0)),"ERROR"))</f>
        <v>141.41137855580001</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471</v>
      </c>
      <c r="D61" s="155">
        <f>IF($B61=" ","",IFERROR(INDEX(MMWR_RATING_STATE_ROLLUP_QST[],MATCH($B61,MMWR_RATING_STATE_ROLLUP_QST[MMWR_RATING_STATE_ROLLUP_QST],0),MATCH(D$9,MMWR_RATING_STATE_ROLLUP_QST[#Headers],0)),"ERROR"))</f>
        <v>67.762208067900005</v>
      </c>
      <c r="E61" s="156">
        <f>IF($B61=" ","",IFERROR(INDEX(MMWR_RATING_STATE_ROLLUP_QST[],MATCH($B61,MMWR_RATING_STATE_ROLLUP_QST[MMWR_RATING_STATE_ROLLUP_QST],0),MATCH(E$9,MMWR_RATING_STATE_ROLLUP_QST[#Headers],0))/$C61,"ERROR"))</f>
        <v>0.1316348195329087</v>
      </c>
      <c r="F61" s="154">
        <f>IF($B61=" ","",IFERROR(INDEX(MMWR_RATING_STATE_ROLLUP_QST[],MATCH($B61,MMWR_RATING_STATE_ROLLUP_QST[MMWR_RATING_STATE_ROLLUP_QST],0),MATCH(F$9,MMWR_RATING_STATE_ROLLUP_QST[#Headers],0)),"ERROR"))</f>
        <v>4</v>
      </c>
      <c r="G61" s="154">
        <f>IF($B61=" ","",IFERROR(INDEX(MMWR_RATING_STATE_ROLLUP_QST[],MATCH($B61,MMWR_RATING_STATE_ROLLUP_QST[MMWR_RATING_STATE_ROLLUP_QST],0),MATCH(G$9,MMWR_RATING_STATE_ROLLUP_QST[#Headers],0)),"ERROR"))</f>
        <v>1043</v>
      </c>
      <c r="H61" s="155">
        <f>IF($B61=" ","",IFERROR(INDEX(MMWR_RATING_STATE_ROLLUP_QST[],MATCH($B61,MMWR_RATING_STATE_ROLLUP_QST[MMWR_RATING_STATE_ROLLUP_QST],0),MATCH(H$9,MMWR_RATING_STATE_ROLLUP_QST[#Headers],0)),"ERROR"))</f>
        <v>126.25</v>
      </c>
      <c r="I61" s="155">
        <f>IF($B61=" ","",IFERROR(INDEX(MMWR_RATING_STATE_ROLLUP_QST[],MATCH($B61,MMWR_RATING_STATE_ROLLUP_QST[MMWR_RATING_STATE_ROLLUP_QST],0),MATCH(I$9,MMWR_RATING_STATE_ROLLUP_QST[#Headers],0)),"ERROR"))</f>
        <v>152.1150527325</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158</v>
      </c>
      <c r="D62" s="155">
        <f>IF($B62=" ","",IFERROR(INDEX(MMWR_RATING_STATE_ROLLUP_QST[],MATCH($B62,MMWR_RATING_STATE_ROLLUP_QST[MMWR_RATING_STATE_ROLLUP_QST],0),MATCH(D$9,MMWR_RATING_STATE_ROLLUP_QST[#Headers],0)),"ERROR"))</f>
        <v>64.898734177199998</v>
      </c>
      <c r="E62" s="156">
        <f>IF($B62=" ","",IFERROR(INDEX(MMWR_RATING_STATE_ROLLUP_QST[],MATCH($B62,MMWR_RATING_STATE_ROLLUP_QST[MMWR_RATING_STATE_ROLLUP_QST],0),MATCH(E$9,MMWR_RATING_STATE_ROLLUP_QST[#Headers],0))/$C62,"ERROR"))</f>
        <v>0.13924050632911392</v>
      </c>
      <c r="F62" s="154">
        <f>IF($B62=" ","",IFERROR(INDEX(MMWR_RATING_STATE_ROLLUP_QST[],MATCH($B62,MMWR_RATING_STATE_ROLLUP_QST[MMWR_RATING_STATE_ROLLUP_QST],0),MATCH(F$9,MMWR_RATING_STATE_ROLLUP_QST[#Headers],0)),"ERROR"))</f>
        <v>3</v>
      </c>
      <c r="G62" s="154">
        <f>IF($B62=" ","",IFERROR(INDEX(MMWR_RATING_STATE_ROLLUP_QST[],MATCH($B62,MMWR_RATING_STATE_ROLLUP_QST[MMWR_RATING_STATE_ROLLUP_QST],0),MATCH(G$9,MMWR_RATING_STATE_ROLLUP_QST[#Headers],0)),"ERROR"))</f>
        <v>382</v>
      </c>
      <c r="H62" s="155">
        <f>IF($B62=" ","",IFERROR(INDEX(MMWR_RATING_STATE_ROLLUP_QST[],MATCH($B62,MMWR_RATING_STATE_ROLLUP_QST[MMWR_RATING_STATE_ROLLUP_QST],0),MATCH(H$9,MMWR_RATING_STATE_ROLLUP_QST[#Headers],0)),"ERROR"))</f>
        <v>94</v>
      </c>
      <c r="I62" s="155">
        <f>IF($B62=" ","",IFERROR(INDEX(MMWR_RATING_STATE_ROLLUP_QST[],MATCH($B62,MMWR_RATING_STATE_ROLLUP_QST[MMWR_RATING_STATE_ROLLUP_QST],0),MATCH(I$9,MMWR_RATING_STATE_ROLLUP_QST[#Headers],0)),"ERROR"))</f>
        <v>143.219895288</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5</v>
      </c>
      <c r="D63" s="155">
        <f>IF($B63=" ","",IFERROR(INDEX(MMWR_RATING_STATE_ROLLUP_QST[],MATCH($B63,MMWR_RATING_STATE_ROLLUP_QST[MMWR_RATING_STATE_ROLLUP_QST],0),MATCH(D$9,MMWR_RATING_STATE_ROLLUP_QST[#Headers],0)),"ERROR"))</f>
        <v>38.200000000000003</v>
      </c>
      <c r="E63" s="156">
        <f>IF($B63=" ","",IFERROR(INDEX(MMWR_RATING_STATE_ROLLUP_QST[],MATCH($B63,MMWR_RATING_STATE_ROLLUP_QST[MMWR_RATING_STATE_ROLLUP_QST],0),MATCH(E$9,MMWR_RATING_STATE_ROLLUP_QST[#Headers],0))/$C63,"ERROR"))</f>
        <v>0</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27</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156.6296296296</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7</v>
      </c>
      <c r="D64" s="155">
        <f>IF($B64=" ","",IFERROR(INDEX(MMWR_RATING_STATE_ROLLUP_QST[],MATCH($B64,MMWR_RATING_STATE_ROLLUP_QST[MMWR_RATING_STATE_ROLLUP_QST],0),MATCH(D$9,MMWR_RATING_STATE_ROLLUP_QST[#Headers],0)),"ERROR"))</f>
        <v>63</v>
      </c>
      <c r="E64" s="156">
        <f>IF($B64=" ","",IFERROR(INDEX(MMWR_RATING_STATE_ROLLUP_QST[],MATCH($B64,MMWR_RATING_STATE_ROLLUP_QST[MMWR_RATING_STATE_ROLLUP_QST],0),MATCH(E$9,MMWR_RATING_STATE_ROLLUP_QST[#Headers],0))/$C64,"ERROR"))</f>
        <v>0.14285714285714285</v>
      </c>
      <c r="F64" s="154">
        <f>IF($B64=" ","",IFERROR(INDEX(MMWR_RATING_STATE_ROLLUP_QST[],MATCH($B64,MMWR_RATING_STATE_ROLLUP_QST[MMWR_RATING_STATE_ROLLUP_QST],0),MATCH(F$9,MMWR_RATING_STATE_ROLLUP_QST[#Headers],0)),"ERROR"))</f>
        <v>0</v>
      </c>
      <c r="G64" s="154">
        <f>IF($B64=" ","",IFERROR(INDEX(MMWR_RATING_STATE_ROLLUP_QST[],MATCH($B64,MMWR_RATING_STATE_ROLLUP_QST[MMWR_RATING_STATE_ROLLUP_QST],0),MATCH(G$9,MMWR_RATING_STATE_ROLLUP_QST[#Headers],0)),"ERROR"))</f>
        <v>11</v>
      </c>
      <c r="H64" s="155">
        <f>IF($B64=" ","",IFERROR(INDEX(MMWR_RATING_STATE_ROLLUP_QST[],MATCH($B64,MMWR_RATING_STATE_ROLLUP_QST[MMWR_RATING_STATE_ROLLUP_QST],0),MATCH(H$9,MMWR_RATING_STATE_ROLLUP_QST[#Headers],0)),"ERROR"))</f>
        <v>0</v>
      </c>
      <c r="I64" s="155">
        <f>IF($B64=" ","",IFERROR(INDEX(MMWR_RATING_STATE_ROLLUP_QST[],MATCH($B64,MMWR_RATING_STATE_ROLLUP_QST[MMWR_RATING_STATE_ROLLUP_QST],0),MATCH(I$9,MMWR_RATING_STATE_ROLLUP_QST[#Headers],0)),"ERROR"))</f>
        <v>144.45454545449999</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552</v>
      </c>
      <c r="D65" s="155">
        <f>IF($B65=" ","",IFERROR(INDEX(MMWR_RATING_STATE_ROLLUP_QST[],MATCH($B65,MMWR_RATING_STATE_ROLLUP_QST[MMWR_RATING_STATE_ROLLUP_QST],0),MATCH(D$9,MMWR_RATING_STATE_ROLLUP_QST[#Headers],0)),"ERROR"))</f>
        <v>69.402173912999999</v>
      </c>
      <c r="E65" s="156">
        <f>IF($B65=" ","",IFERROR(INDEX(MMWR_RATING_STATE_ROLLUP_QST[],MATCH($B65,MMWR_RATING_STATE_ROLLUP_QST[MMWR_RATING_STATE_ROLLUP_QST],0),MATCH(E$9,MMWR_RATING_STATE_ROLLUP_QST[#Headers],0))/$C65,"ERROR"))</f>
        <v>0.12318840579710146</v>
      </c>
      <c r="F65" s="154">
        <f>IF($B65=" ","",IFERROR(INDEX(MMWR_RATING_STATE_ROLLUP_QST[],MATCH($B65,MMWR_RATING_STATE_ROLLUP_QST[MMWR_RATING_STATE_ROLLUP_QST],0),MATCH(F$9,MMWR_RATING_STATE_ROLLUP_QST[#Headers],0)),"ERROR"))</f>
        <v>7</v>
      </c>
      <c r="G65" s="154">
        <f>IF($B65=" ","",IFERROR(INDEX(MMWR_RATING_STATE_ROLLUP_QST[],MATCH($B65,MMWR_RATING_STATE_ROLLUP_QST[MMWR_RATING_STATE_ROLLUP_QST],0),MATCH(G$9,MMWR_RATING_STATE_ROLLUP_QST[#Headers],0)),"ERROR"))</f>
        <v>1183</v>
      </c>
      <c r="H65" s="155">
        <f>IF($B65=" ","",IFERROR(INDEX(MMWR_RATING_STATE_ROLLUP_QST[],MATCH($B65,MMWR_RATING_STATE_ROLLUP_QST[MMWR_RATING_STATE_ROLLUP_QST],0),MATCH(H$9,MMWR_RATING_STATE_ROLLUP_QST[#Headers],0)),"ERROR"))</f>
        <v>127.2857142857</v>
      </c>
      <c r="I65" s="155">
        <f>IF($B65=" ","",IFERROR(INDEX(MMWR_RATING_STATE_ROLLUP_QST[],MATCH($B65,MMWR_RATING_STATE_ROLLUP_QST[MMWR_RATING_STATE_ROLLUP_QST],0),MATCH(I$9,MMWR_RATING_STATE_ROLLUP_QST[#Headers],0)),"ERROR"))</f>
        <v>156.06255283179999</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22</v>
      </c>
      <c r="D66" s="155">
        <f>IF($B66=" ","",IFERROR(INDEX(MMWR_RATING_STATE_ROLLUP_QST[],MATCH($B66,MMWR_RATING_STATE_ROLLUP_QST[MMWR_RATING_STATE_ROLLUP_QST],0),MATCH(D$9,MMWR_RATING_STATE_ROLLUP_QST[#Headers],0)),"ERROR"))</f>
        <v>60.318181818200003</v>
      </c>
      <c r="E66" s="156">
        <f>IF($B66=" ","",IFERROR(INDEX(MMWR_RATING_STATE_ROLLUP_QST[],MATCH($B66,MMWR_RATING_STATE_ROLLUP_QST[MMWR_RATING_STATE_ROLLUP_QST],0),MATCH(E$9,MMWR_RATING_STATE_ROLLUP_QST[#Headers],0))/$C66,"ERROR"))</f>
        <v>4.5454545454545456E-2</v>
      </c>
      <c r="F66" s="154">
        <f>IF($B66=" ","",IFERROR(INDEX(MMWR_RATING_STATE_ROLLUP_QST[],MATCH($B66,MMWR_RATING_STATE_ROLLUP_QST[MMWR_RATING_STATE_ROLLUP_QST],0),MATCH(F$9,MMWR_RATING_STATE_ROLLUP_QST[#Headers],0)),"ERROR"))</f>
        <v>1</v>
      </c>
      <c r="G66" s="154">
        <f>IF($B66=" ","",IFERROR(INDEX(MMWR_RATING_STATE_ROLLUP_QST[],MATCH($B66,MMWR_RATING_STATE_ROLLUP_QST[MMWR_RATING_STATE_ROLLUP_QST],0),MATCH(G$9,MMWR_RATING_STATE_ROLLUP_QST[#Headers],0)),"ERROR"))</f>
        <v>42</v>
      </c>
      <c r="H66" s="155">
        <f>IF($B66=" ","",IFERROR(INDEX(MMWR_RATING_STATE_ROLLUP_QST[],MATCH($B66,MMWR_RATING_STATE_ROLLUP_QST[MMWR_RATING_STATE_ROLLUP_QST],0),MATCH(H$9,MMWR_RATING_STATE_ROLLUP_QST[#Headers],0)),"ERROR"))</f>
        <v>104</v>
      </c>
      <c r="I66" s="155">
        <f>IF($B66=" ","",IFERROR(INDEX(MMWR_RATING_STATE_ROLLUP_QST[],MATCH($B66,MMWR_RATING_STATE_ROLLUP_QST[MMWR_RATING_STATE_ROLLUP_QST],0),MATCH(I$9,MMWR_RATING_STATE_ROLLUP_QST[#Headers],0)),"ERROR"))</f>
        <v>144.73809523809999</v>
      </c>
      <c r="J66" s="42"/>
      <c r="K66" s="42"/>
      <c r="L66" s="42"/>
      <c r="M66" s="42"/>
      <c r="N66" s="28"/>
    </row>
    <row r="67" spans="1:14" x14ac:dyDescent="0.2">
      <c r="A67" s="25"/>
      <c r="B67" s="342" t="s">
        <v>1040</v>
      </c>
      <c r="C67" s="343"/>
      <c r="D67" s="343"/>
      <c r="E67" s="343"/>
      <c r="F67" s="343"/>
      <c r="G67" s="343"/>
      <c r="H67" s="343"/>
      <c r="I67" s="343"/>
      <c r="J67" s="343"/>
      <c r="K67" s="343"/>
      <c r="L67" s="343"/>
      <c r="M67" s="393"/>
      <c r="N67" s="28"/>
    </row>
    <row r="68" spans="1:14" ht="25.5" x14ac:dyDescent="0.2">
      <c r="A68" s="25"/>
      <c r="B68" s="250" t="s">
        <v>1036</v>
      </c>
      <c r="C68" s="154">
        <f>IF($B68=" ","",IFERROR(INDEX(MMWR_RATING_STATE_ROLLUP_BDD[],MATCH($B68,MMWR_RATING_STATE_ROLLUP_BDD[MMWR_RATING_STATE_ROLLUP_BDD],0),MATCH(C$9,MMWR_RATING_STATE_ROLLUP_BDD[#Headers],0)),"ERROR"))</f>
        <v>8320</v>
      </c>
      <c r="D68" s="155">
        <f>IF($B68=" ","",IFERROR(INDEX(MMWR_RATING_STATE_ROLLUP_BDD[],MATCH($B68,MMWR_RATING_STATE_ROLLUP_BDD[MMWR_RATING_STATE_ROLLUP_BDD],0),MATCH(D$9,MMWR_RATING_STATE_ROLLUP_BDD[#Headers],0)),"ERROR"))</f>
        <v>60.802524038500003</v>
      </c>
      <c r="E68" s="156">
        <f>IF($B68=" ","",IFERROR(INDEX(MMWR_RATING_STATE_ROLLUP_BDD[],MATCH($B68,MMWR_RATING_STATE_ROLLUP_BDD[MMWR_RATING_STATE_ROLLUP_BDD],0),MATCH(E$9,MMWR_RATING_STATE_ROLLUP_BDD[#Headers],0))/$C68,"ERROR"))</f>
        <v>0.12223557692307692</v>
      </c>
      <c r="F68" s="154">
        <f>IF($B68=" ","",IFERROR(INDEX(MMWR_RATING_STATE_ROLLUP_BDD[],MATCH($B68,MMWR_RATING_STATE_ROLLUP_BDD[MMWR_RATING_STATE_ROLLUP_BDD],0),MATCH(F$9,MMWR_RATING_STATE_ROLLUP_BDD[#Headers],0)),"ERROR"))</f>
        <v>113</v>
      </c>
      <c r="G68" s="154">
        <f>IF($B68=" ","",IFERROR(INDEX(MMWR_RATING_STATE_ROLLUP_BDD[],MATCH($B68,MMWR_RATING_STATE_ROLLUP_BDD[MMWR_RATING_STATE_ROLLUP_BDD],0),MATCH(G$9,MMWR_RATING_STATE_ROLLUP_BDD[#Headers],0)),"ERROR"))</f>
        <v>22358</v>
      </c>
      <c r="H68" s="155">
        <f>IF($B68=" ","",IFERROR(INDEX(MMWR_RATING_STATE_ROLLUP_BDD[],MATCH($B68,MMWR_RATING_STATE_ROLLUP_BDD[MMWR_RATING_STATE_ROLLUP_BDD],0),MATCH(H$9,MMWR_RATING_STATE_ROLLUP_BDD[#Headers],0)),"ERROR"))</f>
        <v>120.2212389381</v>
      </c>
      <c r="I68" s="155">
        <f>IF($B68=" ","",IFERROR(INDEX(MMWR_RATING_STATE_ROLLUP_BDD[],MATCH($B68,MMWR_RATING_STATE_ROLLUP_BDD[MMWR_RATING_STATE_ROLLUP_BDD],0),MATCH(I$9,MMWR_RATING_STATE_ROLLUP_BDD[#Headers],0)),"ERROR"))</f>
        <v>132.34421683510001</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2229</v>
      </c>
      <c r="D69" s="155">
        <f>IF($B69=" ","",IFERROR(INDEX(MMWR_RATING_STATE_ROLLUP_BDD[],MATCH($B69,MMWR_RATING_STATE_ROLLUP_BDD[MMWR_RATING_STATE_ROLLUP_BDD],0),MATCH(D$9,MMWR_RATING_STATE_ROLLUP_BDD[#Headers],0)),"ERROR"))</f>
        <v>60.781516375099997</v>
      </c>
      <c r="E69" s="156">
        <f>IF($B69=" ","",IFERROR(INDEX(MMWR_RATING_STATE_ROLLUP_BDD[],MATCH($B69,MMWR_RATING_STATE_ROLLUP_BDD[MMWR_RATING_STATE_ROLLUP_BDD],0),MATCH(E$9,MMWR_RATING_STATE_ROLLUP_BDD[#Headers],0))/$C69,"ERROR"))</f>
        <v>0.12337371018393899</v>
      </c>
      <c r="F69" s="154">
        <f>IF($B69=" ","",IFERROR(INDEX(MMWR_RATING_STATE_ROLLUP_BDD[],MATCH($B69,MMWR_RATING_STATE_ROLLUP_BDD[MMWR_RATING_STATE_ROLLUP_BDD],0),MATCH(F$9,MMWR_RATING_STATE_ROLLUP_BDD[#Headers],0)),"ERROR"))</f>
        <v>41</v>
      </c>
      <c r="G69" s="154">
        <f>IF($B69=" ","",IFERROR(INDEX(MMWR_RATING_STATE_ROLLUP_BDD[],MATCH($B69,MMWR_RATING_STATE_ROLLUP_BDD[MMWR_RATING_STATE_ROLLUP_BDD],0),MATCH(G$9,MMWR_RATING_STATE_ROLLUP_BDD[#Headers],0)),"ERROR"))</f>
        <v>5922</v>
      </c>
      <c r="H69" s="155">
        <f>IF($B69=" ","",IFERROR(INDEX(MMWR_RATING_STATE_ROLLUP_BDD[],MATCH($B69,MMWR_RATING_STATE_ROLLUP_BDD[MMWR_RATING_STATE_ROLLUP_BDD],0),MATCH(H$9,MMWR_RATING_STATE_ROLLUP_BDD[#Headers],0)),"ERROR"))</f>
        <v>110.9512195122</v>
      </c>
      <c r="I69" s="155">
        <f>IF($B69=" ","",IFERROR(INDEX(MMWR_RATING_STATE_ROLLUP_BDD[],MATCH($B69,MMWR_RATING_STATE_ROLLUP_BDD[MMWR_RATING_STATE_ROLLUP_BDD],0),MATCH(I$9,MMWR_RATING_STATE_ROLLUP_BDD[#Headers],0)),"ERROR"))</f>
        <v>142.65400202629999</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30</v>
      </c>
      <c r="D70" s="155">
        <f>IF($B70=" ","",IFERROR(INDEX(MMWR_RATING_STATE_ROLLUP_BDD[],MATCH($B70,MMWR_RATING_STATE_ROLLUP_BDD[MMWR_RATING_STATE_ROLLUP_BDD],0),MATCH(D$9,MMWR_RATING_STATE_ROLLUP_BDD[#Headers],0)),"ERROR"))</f>
        <v>53.233333333300003</v>
      </c>
      <c r="E70" s="156">
        <f>IF($B70=" ","",IFERROR(INDEX(MMWR_RATING_STATE_ROLLUP_BDD[],MATCH($B70,MMWR_RATING_STATE_ROLLUP_BDD[MMWR_RATING_STATE_ROLLUP_BDD],0),MATCH(E$9,MMWR_RATING_STATE_ROLLUP_BDD[#Headers],0))/$C70,"ERROR"))</f>
        <v>6.6666666666666666E-2</v>
      </c>
      <c r="F70" s="154">
        <f>IF($B70=" ","",IFERROR(INDEX(MMWR_RATING_STATE_ROLLUP_BDD[],MATCH($B70,MMWR_RATING_STATE_ROLLUP_BDD[MMWR_RATING_STATE_ROLLUP_BDD],0),MATCH(F$9,MMWR_RATING_STATE_ROLLUP_BDD[#Headers],0)),"ERROR"))</f>
        <v>0</v>
      </c>
      <c r="G70" s="154">
        <f>IF($B70=" ","",IFERROR(INDEX(MMWR_RATING_STATE_ROLLUP_BDD[],MATCH($B70,MMWR_RATING_STATE_ROLLUP_BDD[MMWR_RATING_STATE_ROLLUP_BDD],0),MATCH(G$9,MMWR_RATING_STATE_ROLLUP_BDD[#Headers],0)),"ERROR"))</f>
        <v>127</v>
      </c>
      <c r="H70" s="155">
        <f>IF($B70=" ","",IFERROR(INDEX(MMWR_RATING_STATE_ROLLUP_BDD[],MATCH($B70,MMWR_RATING_STATE_ROLLUP_BDD[MMWR_RATING_STATE_ROLLUP_BDD],0),MATCH(H$9,MMWR_RATING_STATE_ROLLUP_BDD[#Headers],0)),"ERROR"))</f>
        <v>0</v>
      </c>
      <c r="I70" s="155">
        <f>IF($B70=" ","",IFERROR(INDEX(MMWR_RATING_STATE_ROLLUP_BDD[],MATCH($B70,MMWR_RATING_STATE_ROLLUP_BDD[MMWR_RATING_STATE_ROLLUP_BDD],0),MATCH(I$9,MMWR_RATING_STATE_ROLLUP_BDD[#Headers],0)),"ERROR"))</f>
        <v>134.38582677170001</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21</v>
      </c>
      <c r="D71" s="155">
        <f>IF($B71=" ","",IFERROR(INDEX(MMWR_RATING_STATE_ROLLUP_BDD[],MATCH($B71,MMWR_RATING_STATE_ROLLUP_BDD[MMWR_RATING_STATE_ROLLUP_BDD],0),MATCH(D$9,MMWR_RATING_STATE_ROLLUP_BDD[#Headers],0)),"ERROR"))</f>
        <v>66.428571428599994</v>
      </c>
      <c r="E71" s="156">
        <f>IF($B71=" ","",IFERROR(INDEX(MMWR_RATING_STATE_ROLLUP_BDD[],MATCH($B71,MMWR_RATING_STATE_ROLLUP_BDD[MMWR_RATING_STATE_ROLLUP_BDD],0),MATCH(E$9,MMWR_RATING_STATE_ROLLUP_BDD[#Headers],0))/$C71,"ERROR"))</f>
        <v>0.23809523809523808</v>
      </c>
      <c r="F71" s="154">
        <f>IF($B71=" ","",IFERROR(INDEX(MMWR_RATING_STATE_ROLLUP_BDD[],MATCH($B71,MMWR_RATING_STATE_ROLLUP_BDD[MMWR_RATING_STATE_ROLLUP_BDD],0),MATCH(F$9,MMWR_RATING_STATE_ROLLUP_BDD[#Headers],0)),"ERROR"))</f>
        <v>0</v>
      </c>
      <c r="G71" s="154">
        <f>IF($B71=" ","",IFERROR(INDEX(MMWR_RATING_STATE_ROLLUP_BDD[],MATCH($B71,MMWR_RATING_STATE_ROLLUP_BDD[MMWR_RATING_STATE_ROLLUP_BDD],0),MATCH(G$9,MMWR_RATING_STATE_ROLLUP_BDD[#Headers],0)),"ERROR"))</f>
        <v>47</v>
      </c>
      <c r="H71" s="155">
        <f>IF($B71=" ","",IFERROR(INDEX(MMWR_RATING_STATE_ROLLUP_BDD[],MATCH($B71,MMWR_RATING_STATE_ROLLUP_BDD[MMWR_RATING_STATE_ROLLUP_BDD],0),MATCH(H$9,MMWR_RATING_STATE_ROLLUP_BDD[#Headers],0)),"ERROR"))</f>
        <v>0</v>
      </c>
      <c r="I71" s="155">
        <f>IF($B71=" ","",IFERROR(INDEX(MMWR_RATING_STATE_ROLLUP_BDD[],MATCH($B71,MMWR_RATING_STATE_ROLLUP_BDD[MMWR_RATING_STATE_ROLLUP_BDD],0),MATCH(I$9,MMWR_RATING_STATE_ROLLUP_BDD[#Headers],0)),"ERROR"))</f>
        <v>152.61702127660001</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19</v>
      </c>
      <c r="D72" s="155">
        <f>IF($B72=" ","",IFERROR(INDEX(MMWR_RATING_STATE_ROLLUP_BDD[],MATCH($B72,MMWR_RATING_STATE_ROLLUP_BDD[MMWR_RATING_STATE_ROLLUP_BDD],0),MATCH(D$9,MMWR_RATING_STATE_ROLLUP_BDD[#Headers],0)),"ERROR"))</f>
        <v>39.736842105299999</v>
      </c>
      <c r="E72" s="156">
        <f>IF($B72=" ","",IFERROR(INDEX(MMWR_RATING_STATE_ROLLUP_BDD[],MATCH($B72,MMWR_RATING_STATE_ROLLUP_BDD[MMWR_RATING_STATE_ROLLUP_BDD],0),MATCH(E$9,MMWR_RATING_STATE_ROLLUP_BDD[#Headers],0))/$C72,"ERROR"))</f>
        <v>0.10526315789473684</v>
      </c>
      <c r="F72" s="154">
        <f>IF($B72=" ","",IFERROR(INDEX(MMWR_RATING_STATE_ROLLUP_BDD[],MATCH($B72,MMWR_RATING_STATE_ROLLUP_BDD[MMWR_RATING_STATE_ROLLUP_BDD],0),MATCH(F$9,MMWR_RATING_STATE_ROLLUP_BDD[#Headers],0)),"ERROR"))</f>
        <v>0</v>
      </c>
      <c r="G72" s="154">
        <f>IF($B72=" ","",IFERROR(INDEX(MMWR_RATING_STATE_ROLLUP_BDD[],MATCH($B72,MMWR_RATING_STATE_ROLLUP_BDD[MMWR_RATING_STATE_ROLLUP_BDD],0),MATCH(G$9,MMWR_RATING_STATE_ROLLUP_BDD[#Headers],0)),"ERROR"))</f>
        <v>48</v>
      </c>
      <c r="H72" s="155">
        <f>IF($B72=" ","",IFERROR(INDEX(MMWR_RATING_STATE_ROLLUP_BDD[],MATCH($B72,MMWR_RATING_STATE_ROLLUP_BDD[MMWR_RATING_STATE_ROLLUP_BDD],0),MATCH(H$9,MMWR_RATING_STATE_ROLLUP_BDD[#Headers],0)),"ERROR"))</f>
        <v>0</v>
      </c>
      <c r="I72" s="155">
        <f>IF($B72=" ","",IFERROR(INDEX(MMWR_RATING_STATE_ROLLUP_BDD[],MATCH($B72,MMWR_RATING_STATE_ROLLUP_BDD[MMWR_RATING_STATE_ROLLUP_BDD],0),MATCH(I$9,MMWR_RATING_STATE_ROLLUP_BDD[#Headers],0)),"ERROR"))</f>
        <v>136.5625</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9</v>
      </c>
      <c r="D73" s="155">
        <f>IF($B73=" ","",IFERROR(INDEX(MMWR_RATING_STATE_ROLLUP_BDD[],MATCH($B73,MMWR_RATING_STATE_ROLLUP_BDD[MMWR_RATING_STATE_ROLLUP_BDD],0),MATCH(D$9,MMWR_RATING_STATE_ROLLUP_BDD[#Headers],0)),"ERROR"))</f>
        <v>26.777777777800001</v>
      </c>
      <c r="E73" s="156">
        <f>IF($B73=" ","",IFERROR(INDEX(MMWR_RATING_STATE_ROLLUP_BDD[],MATCH($B73,MMWR_RATING_STATE_ROLLUP_BDD[MMWR_RATING_STATE_ROLLUP_BDD],0),MATCH(E$9,MMWR_RATING_STATE_ROLLUP_BDD[#Headers],0))/$C73,"ERROR"))</f>
        <v>0</v>
      </c>
      <c r="F73" s="154">
        <f>IF($B73=" ","",IFERROR(INDEX(MMWR_RATING_STATE_ROLLUP_BDD[],MATCH($B73,MMWR_RATING_STATE_ROLLUP_BDD[MMWR_RATING_STATE_ROLLUP_BDD],0),MATCH(F$9,MMWR_RATING_STATE_ROLLUP_BDD[#Headers],0)),"ERROR"))</f>
        <v>1</v>
      </c>
      <c r="G73" s="154">
        <f>IF($B73=" ","",IFERROR(INDEX(MMWR_RATING_STATE_ROLLUP_BDD[],MATCH($B73,MMWR_RATING_STATE_ROLLUP_BDD[MMWR_RATING_STATE_ROLLUP_BDD],0),MATCH(G$9,MMWR_RATING_STATE_ROLLUP_BDD[#Headers],0)),"ERROR"))</f>
        <v>50</v>
      </c>
      <c r="H73" s="155">
        <f>IF($B73=" ","",IFERROR(INDEX(MMWR_RATING_STATE_ROLLUP_BDD[],MATCH($B73,MMWR_RATING_STATE_ROLLUP_BDD[MMWR_RATING_STATE_ROLLUP_BDD],0),MATCH(H$9,MMWR_RATING_STATE_ROLLUP_BDD[#Headers],0)),"ERROR"))</f>
        <v>47</v>
      </c>
      <c r="I73" s="155">
        <f>IF($B73=" ","",IFERROR(INDEX(MMWR_RATING_STATE_ROLLUP_BDD[],MATCH($B73,MMWR_RATING_STATE_ROLLUP_BDD[MMWR_RATING_STATE_ROLLUP_BDD],0),MATCH(I$9,MMWR_RATING_STATE_ROLLUP_BDD[#Headers],0)),"ERROR"))</f>
        <v>136.12</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216</v>
      </c>
      <c r="D74" s="155">
        <f>IF($B74=" ","",IFERROR(INDEX(MMWR_RATING_STATE_ROLLUP_BDD[],MATCH($B74,MMWR_RATING_STATE_ROLLUP_BDD[MMWR_RATING_STATE_ROLLUP_BDD],0),MATCH(D$9,MMWR_RATING_STATE_ROLLUP_BDD[#Headers],0)),"ERROR"))</f>
        <v>91.574074074099997</v>
      </c>
      <c r="E74" s="156">
        <f>IF($B74=" ","",IFERROR(INDEX(MMWR_RATING_STATE_ROLLUP_BDD[],MATCH($B74,MMWR_RATING_STATE_ROLLUP_BDD[MMWR_RATING_STATE_ROLLUP_BDD],0),MATCH(E$9,MMWR_RATING_STATE_ROLLUP_BDD[#Headers],0))/$C74,"ERROR"))</f>
        <v>0.13425925925925927</v>
      </c>
      <c r="F74" s="154">
        <f>IF($B74=" ","",IFERROR(INDEX(MMWR_RATING_STATE_ROLLUP_BDD[],MATCH($B74,MMWR_RATING_STATE_ROLLUP_BDD[MMWR_RATING_STATE_ROLLUP_BDD],0),MATCH(F$9,MMWR_RATING_STATE_ROLLUP_BDD[#Headers],0)),"ERROR"))</f>
        <v>7</v>
      </c>
      <c r="G74" s="154">
        <f>IF($B74=" ","",IFERROR(INDEX(MMWR_RATING_STATE_ROLLUP_BDD[],MATCH($B74,MMWR_RATING_STATE_ROLLUP_BDD[MMWR_RATING_STATE_ROLLUP_BDD],0),MATCH(G$9,MMWR_RATING_STATE_ROLLUP_BDD[#Headers],0)),"ERROR"))</f>
        <v>644</v>
      </c>
      <c r="H74" s="155">
        <f>IF($B74=" ","",IFERROR(INDEX(MMWR_RATING_STATE_ROLLUP_BDD[],MATCH($B74,MMWR_RATING_STATE_ROLLUP_BDD[MMWR_RATING_STATE_ROLLUP_BDD],0),MATCH(H$9,MMWR_RATING_STATE_ROLLUP_BDD[#Headers],0)),"ERROR"))</f>
        <v>111.42857142859999</v>
      </c>
      <c r="I74" s="155">
        <f>IF($B74=" ","",IFERROR(INDEX(MMWR_RATING_STATE_ROLLUP_BDD[],MATCH($B74,MMWR_RATING_STATE_ROLLUP_BDD[MMWR_RATING_STATE_ROLLUP_BDD],0),MATCH(I$9,MMWR_RATING_STATE_ROLLUP_BDD[#Headers],0)),"ERROR"))</f>
        <v>144.5062111801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47</v>
      </c>
      <c r="D75" s="155">
        <f>IF($B75=" ","",IFERROR(INDEX(MMWR_RATING_STATE_ROLLUP_BDD[],MATCH($B75,MMWR_RATING_STATE_ROLLUP_BDD[MMWR_RATING_STATE_ROLLUP_BDD],0),MATCH(D$9,MMWR_RATING_STATE_ROLLUP_BDD[#Headers],0)),"ERROR"))</f>
        <v>45.276595744700003</v>
      </c>
      <c r="E75" s="156">
        <f>IF($B75=" ","",IFERROR(INDEX(MMWR_RATING_STATE_ROLLUP_BDD[],MATCH($B75,MMWR_RATING_STATE_ROLLUP_BDD[MMWR_RATING_STATE_ROLLUP_BDD],0),MATCH(E$9,MMWR_RATING_STATE_ROLLUP_BDD[#Headers],0))/$C75,"ERROR"))</f>
        <v>0</v>
      </c>
      <c r="F75" s="154">
        <f>IF($B75=" ","",IFERROR(INDEX(MMWR_RATING_STATE_ROLLUP_BDD[],MATCH($B75,MMWR_RATING_STATE_ROLLUP_BDD[MMWR_RATING_STATE_ROLLUP_BDD],0),MATCH(F$9,MMWR_RATING_STATE_ROLLUP_BDD[#Headers],0)),"ERROR"))</f>
        <v>1</v>
      </c>
      <c r="G75" s="154">
        <f>IF($B75=" ","",IFERROR(INDEX(MMWR_RATING_STATE_ROLLUP_BDD[],MATCH($B75,MMWR_RATING_STATE_ROLLUP_BDD[MMWR_RATING_STATE_ROLLUP_BDD],0),MATCH(G$9,MMWR_RATING_STATE_ROLLUP_BDD[#Headers],0)),"ERROR"))</f>
        <v>107</v>
      </c>
      <c r="H75" s="155">
        <f>IF($B75=" ","",IFERROR(INDEX(MMWR_RATING_STATE_ROLLUP_BDD[],MATCH($B75,MMWR_RATING_STATE_ROLLUP_BDD[MMWR_RATING_STATE_ROLLUP_BDD],0),MATCH(H$9,MMWR_RATING_STATE_ROLLUP_BDD[#Headers],0)),"ERROR"))</f>
        <v>92</v>
      </c>
      <c r="I75" s="155">
        <f>IF($B75=" ","",IFERROR(INDEX(MMWR_RATING_STATE_ROLLUP_BDD[],MATCH($B75,MMWR_RATING_STATE_ROLLUP_BDD[MMWR_RATING_STATE_ROLLUP_BDD],0),MATCH(I$9,MMWR_RATING_STATE_ROLLUP_BDD[#Headers],0)),"ERROR"))</f>
        <v>129.12149532710001</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7</v>
      </c>
      <c r="D76" s="155">
        <f>IF($B76=" ","",IFERROR(INDEX(MMWR_RATING_STATE_ROLLUP_BDD[],MATCH($B76,MMWR_RATING_STATE_ROLLUP_BDD[MMWR_RATING_STATE_ROLLUP_BDD],0),MATCH(D$9,MMWR_RATING_STATE_ROLLUP_BDD[#Headers],0)),"ERROR"))</f>
        <v>91.571428571400006</v>
      </c>
      <c r="E76" s="156">
        <f>IF($B76=" ","",IFERROR(INDEX(MMWR_RATING_STATE_ROLLUP_BDD[],MATCH($B76,MMWR_RATING_STATE_ROLLUP_BDD[MMWR_RATING_STATE_ROLLUP_BDD],0),MATCH(E$9,MMWR_RATING_STATE_ROLLUP_BDD[#Headers],0))/$C76,"ERROR"))</f>
        <v>0.2857142857142857</v>
      </c>
      <c r="F76" s="154">
        <f>IF($B76=" ","",IFERROR(INDEX(MMWR_RATING_STATE_ROLLUP_BDD[],MATCH($B76,MMWR_RATING_STATE_ROLLUP_BDD[MMWR_RATING_STATE_ROLLUP_BDD],0),MATCH(F$9,MMWR_RATING_STATE_ROLLUP_BDD[#Headers],0)),"ERROR"))</f>
        <v>1</v>
      </c>
      <c r="G76" s="154">
        <f>IF($B76=" ","",IFERROR(INDEX(MMWR_RATING_STATE_ROLLUP_BDD[],MATCH($B76,MMWR_RATING_STATE_ROLLUP_BDD[MMWR_RATING_STATE_ROLLUP_BDD],0),MATCH(G$9,MMWR_RATING_STATE_ROLLUP_BDD[#Headers],0)),"ERROR"))</f>
        <v>48</v>
      </c>
      <c r="H76" s="155">
        <f>IF($B76=" ","",IFERROR(INDEX(MMWR_RATING_STATE_ROLLUP_BDD[],MATCH($B76,MMWR_RATING_STATE_ROLLUP_BDD[MMWR_RATING_STATE_ROLLUP_BDD],0),MATCH(H$9,MMWR_RATING_STATE_ROLLUP_BDD[#Headers],0)),"ERROR"))</f>
        <v>303</v>
      </c>
      <c r="I76" s="155">
        <f>IF($B76=" ","",IFERROR(INDEX(MMWR_RATING_STATE_ROLLUP_BDD[],MATCH($B76,MMWR_RATING_STATE_ROLLUP_BDD[MMWR_RATING_STATE_ROLLUP_BDD],0),MATCH(I$9,MMWR_RATING_STATE_ROLLUP_BDD[#Headers],0)),"ERROR"))</f>
        <v>136.2708333333</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74</v>
      </c>
      <c r="D77" s="155">
        <f>IF($B77=" ","",IFERROR(INDEX(MMWR_RATING_STATE_ROLLUP_BDD[],MATCH($B77,MMWR_RATING_STATE_ROLLUP_BDD[MMWR_RATING_STATE_ROLLUP_BDD],0),MATCH(D$9,MMWR_RATING_STATE_ROLLUP_BDD[#Headers],0)),"ERROR"))</f>
        <v>62.486486486499999</v>
      </c>
      <c r="E77" s="156">
        <f>IF($B77=" ","",IFERROR(INDEX(MMWR_RATING_STATE_ROLLUP_BDD[],MATCH($B77,MMWR_RATING_STATE_ROLLUP_BDD[MMWR_RATING_STATE_ROLLUP_BDD],0),MATCH(E$9,MMWR_RATING_STATE_ROLLUP_BDD[#Headers],0))/$C77,"ERROR"))</f>
        <v>0.16216216216216217</v>
      </c>
      <c r="F77" s="154">
        <f>IF($B77=" ","",IFERROR(INDEX(MMWR_RATING_STATE_ROLLUP_BDD[],MATCH($B77,MMWR_RATING_STATE_ROLLUP_BDD[MMWR_RATING_STATE_ROLLUP_BDD],0),MATCH(F$9,MMWR_RATING_STATE_ROLLUP_BDD[#Headers],0)),"ERROR"))</f>
        <v>0</v>
      </c>
      <c r="G77" s="154">
        <f>IF($B77=" ","",IFERROR(INDEX(MMWR_RATING_STATE_ROLLUP_BDD[],MATCH($B77,MMWR_RATING_STATE_ROLLUP_BDD[MMWR_RATING_STATE_ROLLUP_BDD],0),MATCH(G$9,MMWR_RATING_STATE_ROLLUP_BDD[#Headers],0)),"ERROR"))</f>
        <v>158</v>
      </c>
      <c r="H77" s="155">
        <f>IF($B77=" ","",IFERROR(INDEX(MMWR_RATING_STATE_ROLLUP_BDD[],MATCH($B77,MMWR_RATING_STATE_ROLLUP_BDD[MMWR_RATING_STATE_ROLLUP_BDD],0),MATCH(H$9,MMWR_RATING_STATE_ROLLUP_BDD[#Headers],0)),"ERROR"))</f>
        <v>0</v>
      </c>
      <c r="I77" s="155">
        <f>IF($B77=" ","",IFERROR(INDEX(MMWR_RATING_STATE_ROLLUP_BDD[],MATCH($B77,MMWR_RATING_STATE_ROLLUP_BDD[MMWR_RATING_STATE_ROLLUP_BDD],0),MATCH(I$9,MMWR_RATING_STATE_ROLLUP_BDD[#Headers],0)),"ERROR"))</f>
        <v>137.01265822779999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137</v>
      </c>
      <c r="D78" s="155">
        <f>IF($B78=" ","",IFERROR(INDEX(MMWR_RATING_STATE_ROLLUP_BDD[],MATCH($B78,MMWR_RATING_STATE_ROLLUP_BDD[MMWR_RATING_STATE_ROLLUP_BDD],0),MATCH(D$9,MMWR_RATING_STATE_ROLLUP_BDD[#Headers],0)),"ERROR"))</f>
        <v>60.883211678800002</v>
      </c>
      <c r="E78" s="156">
        <f>IF($B78=" ","",IFERROR(INDEX(MMWR_RATING_STATE_ROLLUP_BDD[],MATCH($B78,MMWR_RATING_STATE_ROLLUP_BDD[MMWR_RATING_STATE_ROLLUP_BDD],0),MATCH(E$9,MMWR_RATING_STATE_ROLLUP_BDD[#Headers],0))/$C78,"ERROR"))</f>
        <v>0.13868613138686131</v>
      </c>
      <c r="F78" s="154">
        <f>IF($B78=" ","",IFERROR(INDEX(MMWR_RATING_STATE_ROLLUP_BDD[],MATCH($B78,MMWR_RATING_STATE_ROLLUP_BDD[MMWR_RATING_STATE_ROLLUP_BDD],0),MATCH(F$9,MMWR_RATING_STATE_ROLLUP_BDD[#Headers],0)),"ERROR"))</f>
        <v>3</v>
      </c>
      <c r="G78" s="154">
        <f>IF($B78=" ","",IFERROR(INDEX(MMWR_RATING_STATE_ROLLUP_BDD[],MATCH($B78,MMWR_RATING_STATE_ROLLUP_BDD[MMWR_RATING_STATE_ROLLUP_BDD],0),MATCH(G$9,MMWR_RATING_STATE_ROLLUP_BDD[#Headers],0)),"ERROR"))</f>
        <v>339</v>
      </c>
      <c r="H78" s="155">
        <f>IF($B78=" ","",IFERROR(INDEX(MMWR_RATING_STATE_ROLLUP_BDD[],MATCH($B78,MMWR_RATING_STATE_ROLLUP_BDD[MMWR_RATING_STATE_ROLLUP_BDD],0),MATCH(H$9,MMWR_RATING_STATE_ROLLUP_BDD[#Headers],0)),"ERROR"))</f>
        <v>101</v>
      </c>
      <c r="I78" s="155">
        <f>IF($B78=" ","",IFERROR(INDEX(MMWR_RATING_STATE_ROLLUP_BDD[],MATCH($B78,MMWR_RATING_STATE_ROLLUP_BDD[MMWR_RATING_STATE_ROLLUP_BDD],0),MATCH(I$9,MMWR_RATING_STATE_ROLLUP_BDD[#Headers],0)),"ERROR"))</f>
        <v>131.99115044249999</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763</v>
      </c>
      <c r="D79" s="155">
        <f>IF($B79=" ","",IFERROR(INDEX(MMWR_RATING_STATE_ROLLUP_BDD[],MATCH($B79,MMWR_RATING_STATE_ROLLUP_BDD[MMWR_RATING_STATE_ROLLUP_BDD],0),MATCH(D$9,MMWR_RATING_STATE_ROLLUP_BDD[#Headers],0)),"ERROR"))</f>
        <v>54.715596330300002</v>
      </c>
      <c r="E79" s="156">
        <f>IF($B79=" ","",IFERROR(INDEX(MMWR_RATING_STATE_ROLLUP_BDD[],MATCH($B79,MMWR_RATING_STATE_ROLLUP_BDD[MMWR_RATING_STATE_ROLLUP_BDD],0),MATCH(E$9,MMWR_RATING_STATE_ROLLUP_BDD[#Headers],0))/$C79,"ERROR"))</f>
        <v>0.11533420707732635</v>
      </c>
      <c r="F79" s="154">
        <f>IF($B79=" ","",IFERROR(INDEX(MMWR_RATING_STATE_ROLLUP_BDD[],MATCH($B79,MMWR_RATING_STATE_ROLLUP_BDD[MMWR_RATING_STATE_ROLLUP_BDD],0),MATCH(F$9,MMWR_RATING_STATE_ROLLUP_BDD[#Headers],0)),"ERROR"))</f>
        <v>12</v>
      </c>
      <c r="G79" s="154">
        <f>IF($B79=" ","",IFERROR(INDEX(MMWR_RATING_STATE_ROLLUP_BDD[],MATCH($B79,MMWR_RATING_STATE_ROLLUP_BDD[MMWR_RATING_STATE_ROLLUP_BDD],0),MATCH(G$9,MMWR_RATING_STATE_ROLLUP_BDD[#Headers],0)),"ERROR"))</f>
        <v>1885</v>
      </c>
      <c r="H79" s="155">
        <f>IF($B79=" ","",IFERROR(INDEX(MMWR_RATING_STATE_ROLLUP_BDD[],MATCH($B79,MMWR_RATING_STATE_ROLLUP_BDD[MMWR_RATING_STATE_ROLLUP_BDD],0),MATCH(H$9,MMWR_RATING_STATE_ROLLUP_BDD[#Headers],0)),"ERROR"))</f>
        <v>119.25</v>
      </c>
      <c r="I79" s="155">
        <f>IF($B79=" ","",IFERROR(INDEX(MMWR_RATING_STATE_ROLLUP_BDD[],MATCH($B79,MMWR_RATING_STATE_ROLLUP_BDD[MMWR_RATING_STATE_ROLLUP_BDD],0),MATCH(I$9,MMWR_RATING_STATE_ROLLUP_BDD[#Headers],0)),"ERROR"))</f>
        <v>142.350132626</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103</v>
      </c>
      <c r="D80" s="155">
        <f>IF($B80=" ","",IFERROR(INDEX(MMWR_RATING_STATE_ROLLUP_BDD[],MATCH($B80,MMWR_RATING_STATE_ROLLUP_BDD[MMWR_RATING_STATE_ROLLUP_BDD],0),MATCH(D$9,MMWR_RATING_STATE_ROLLUP_BDD[#Headers],0)),"ERROR"))</f>
        <v>72.184466019400006</v>
      </c>
      <c r="E80" s="156">
        <f>IF($B80=" ","",IFERROR(INDEX(MMWR_RATING_STATE_ROLLUP_BDD[],MATCH($B80,MMWR_RATING_STATE_ROLLUP_BDD[MMWR_RATING_STATE_ROLLUP_BDD],0),MATCH(E$9,MMWR_RATING_STATE_ROLLUP_BDD[#Headers],0))/$C80,"ERROR"))</f>
        <v>0.1553398058252427</v>
      </c>
      <c r="F80" s="154">
        <f>IF($B80=" ","",IFERROR(INDEX(MMWR_RATING_STATE_ROLLUP_BDD[],MATCH($B80,MMWR_RATING_STATE_ROLLUP_BDD[MMWR_RATING_STATE_ROLLUP_BDD],0),MATCH(F$9,MMWR_RATING_STATE_ROLLUP_BDD[#Headers],0)),"ERROR"))</f>
        <v>0</v>
      </c>
      <c r="G80" s="154">
        <f>IF($B80=" ","",IFERROR(INDEX(MMWR_RATING_STATE_ROLLUP_BDD[],MATCH($B80,MMWR_RATING_STATE_ROLLUP_BDD[MMWR_RATING_STATE_ROLLUP_BDD],0),MATCH(G$9,MMWR_RATING_STATE_ROLLUP_BDD[#Headers],0)),"ERROR"))</f>
        <v>318</v>
      </c>
      <c r="H80" s="155">
        <f>IF($B80=" ","",IFERROR(INDEX(MMWR_RATING_STATE_ROLLUP_BDD[],MATCH($B80,MMWR_RATING_STATE_ROLLUP_BDD[MMWR_RATING_STATE_ROLLUP_BDD],0),MATCH(H$9,MMWR_RATING_STATE_ROLLUP_BDD[#Headers],0)),"ERROR"))</f>
        <v>0</v>
      </c>
      <c r="I80" s="155">
        <f>IF($B80=" ","",IFERROR(INDEX(MMWR_RATING_STATE_ROLLUP_BDD[],MATCH($B80,MMWR_RATING_STATE_ROLLUP_BDD[MMWR_RATING_STATE_ROLLUP_BDD],0),MATCH(I$9,MMWR_RATING_STATE_ROLLUP_BDD[#Headers],0)),"ERROR"))</f>
        <v>130.68867924529999</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7</v>
      </c>
      <c r="D81" s="155">
        <f>IF($B81=" ","",IFERROR(INDEX(MMWR_RATING_STATE_ROLLUP_BDD[],MATCH($B81,MMWR_RATING_STATE_ROLLUP_BDD[MMWR_RATING_STATE_ROLLUP_BDD],0),MATCH(D$9,MMWR_RATING_STATE_ROLLUP_BDD[#Headers],0)),"ERROR"))</f>
        <v>45.714285714299997</v>
      </c>
      <c r="E81" s="156">
        <f>IF($B81=" ","",IFERROR(INDEX(MMWR_RATING_STATE_ROLLUP_BDD[],MATCH($B81,MMWR_RATING_STATE_ROLLUP_BDD[MMWR_RATING_STATE_ROLLUP_BDD],0),MATCH(E$9,MMWR_RATING_STATE_ROLLUP_BDD[#Headers],0))/$C81,"ERROR"))</f>
        <v>0</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21</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130.09523809519999</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6</v>
      </c>
      <c r="D82" s="155">
        <f>IF($B82=" ","",IFERROR(INDEX(MMWR_RATING_STATE_ROLLUP_BDD[],MATCH($B82,MMWR_RATING_STATE_ROLLUP_BDD[MMWR_RATING_STATE_ROLLUP_BDD],0),MATCH(D$9,MMWR_RATING_STATE_ROLLUP_BDD[#Headers],0)),"ERROR"))</f>
        <v>79</v>
      </c>
      <c r="E82" s="156">
        <f>IF($B82=" ","",IFERROR(INDEX(MMWR_RATING_STATE_ROLLUP_BDD[],MATCH($B82,MMWR_RATING_STATE_ROLLUP_BDD[MMWR_RATING_STATE_ROLLUP_BDD],0),MATCH(E$9,MMWR_RATING_STATE_ROLLUP_BDD[#Headers],0))/$C82,"ERROR"))</f>
        <v>0.33333333333333331</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12</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115.4166666667</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777</v>
      </c>
      <c r="D83" s="155">
        <f>IF($B83=" ","",IFERROR(INDEX(MMWR_RATING_STATE_ROLLUP_BDD[],MATCH($B83,MMWR_RATING_STATE_ROLLUP_BDD[MMWR_RATING_STATE_ROLLUP_BDD],0),MATCH(D$9,MMWR_RATING_STATE_ROLLUP_BDD[#Headers],0)),"ERROR"))</f>
        <v>58.157014156999999</v>
      </c>
      <c r="E83" s="156">
        <f>IF($B83=" ","",IFERROR(INDEX(MMWR_RATING_STATE_ROLLUP_BDD[],MATCH($B83,MMWR_RATING_STATE_ROLLUP_BDD[MMWR_RATING_STATE_ROLLUP_BDD],0),MATCH(E$9,MMWR_RATING_STATE_ROLLUP_BDD[#Headers],0))/$C83,"ERROR"))</f>
        <v>0.12483912483912483</v>
      </c>
      <c r="F83" s="154">
        <f>IF($B83=" ","",IFERROR(INDEX(MMWR_RATING_STATE_ROLLUP_BDD[],MATCH($B83,MMWR_RATING_STATE_ROLLUP_BDD[MMWR_RATING_STATE_ROLLUP_BDD],0),MATCH(F$9,MMWR_RATING_STATE_ROLLUP_BDD[#Headers],0)),"ERROR"))</f>
        <v>16</v>
      </c>
      <c r="G83" s="154">
        <f>IF($B83=" ","",IFERROR(INDEX(MMWR_RATING_STATE_ROLLUP_BDD[],MATCH($B83,MMWR_RATING_STATE_ROLLUP_BDD[MMWR_RATING_STATE_ROLLUP_BDD],0),MATCH(G$9,MMWR_RATING_STATE_ROLLUP_BDD[#Headers],0)),"ERROR"))</f>
        <v>2046</v>
      </c>
      <c r="H83" s="155">
        <f>IF($B83=" ","",IFERROR(INDEX(MMWR_RATING_STATE_ROLLUP_BDD[],MATCH($B83,MMWR_RATING_STATE_ROLLUP_BDD[MMWR_RATING_STATE_ROLLUP_BDD],0),MATCH(H$9,MMWR_RATING_STATE_ROLLUP_BDD[#Headers],0)),"ERROR"))</f>
        <v>99.5625</v>
      </c>
      <c r="I83" s="155">
        <f>IF($B83=" ","",IFERROR(INDEX(MMWR_RATING_STATE_ROLLUP_BDD[],MATCH($B83,MMWR_RATING_STATE_ROLLUP_BDD[MMWR_RATING_STATE_ROLLUP_BDD],0),MATCH(I$9,MMWR_RATING_STATE_ROLLUP_BDD[#Headers],0)),"ERROR"))</f>
        <v>148.63880742910001</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13</v>
      </c>
      <c r="D84" s="155">
        <f>IF($B84=" ","",IFERROR(INDEX(MMWR_RATING_STATE_ROLLUP_BDD[],MATCH($B84,MMWR_RATING_STATE_ROLLUP_BDD[MMWR_RATING_STATE_ROLLUP_BDD],0),MATCH(D$9,MMWR_RATING_STATE_ROLLUP_BDD[#Headers],0)),"ERROR"))</f>
        <v>62.692307692299998</v>
      </c>
      <c r="E84" s="156">
        <f>IF($B84=" ","",IFERROR(INDEX(MMWR_RATING_STATE_ROLLUP_BDD[],MATCH($B84,MMWR_RATING_STATE_ROLLUP_BDD[MMWR_RATING_STATE_ROLLUP_BDD],0),MATCH(E$9,MMWR_RATING_STATE_ROLLUP_BDD[#Headers],0))/$C84,"ERROR"))</f>
        <v>7.6923076923076927E-2</v>
      </c>
      <c r="F84" s="154">
        <f>IF($B84=" ","",IFERROR(INDEX(MMWR_RATING_STATE_ROLLUP_BDD[],MATCH($B84,MMWR_RATING_STATE_ROLLUP_BDD[MMWR_RATING_STATE_ROLLUP_BDD],0),MATCH(F$9,MMWR_RATING_STATE_ROLLUP_BDD[#Headers],0)),"ERROR"))</f>
        <v>0</v>
      </c>
      <c r="G84" s="154">
        <f>IF($B84=" ","",IFERROR(INDEX(MMWR_RATING_STATE_ROLLUP_BDD[],MATCH($B84,MMWR_RATING_STATE_ROLLUP_BDD[MMWR_RATING_STATE_ROLLUP_BDD],0),MATCH(G$9,MMWR_RATING_STATE_ROLLUP_BDD[#Headers],0)),"ERROR"))</f>
        <v>72</v>
      </c>
      <c r="H84" s="155">
        <f>IF($B84=" ","",IFERROR(INDEX(MMWR_RATING_STATE_ROLLUP_BDD[],MATCH($B84,MMWR_RATING_STATE_ROLLUP_BDD[MMWR_RATING_STATE_ROLLUP_BDD],0),MATCH(H$9,MMWR_RATING_STATE_ROLLUP_BDD[#Headers],0)),"ERROR"))</f>
        <v>0</v>
      </c>
      <c r="I84" s="155">
        <f>IF($B84=" ","",IFERROR(INDEX(MMWR_RATING_STATE_ROLLUP_BDD[],MATCH($B84,MMWR_RATING_STATE_ROLLUP_BDD[MMWR_RATING_STATE_ROLLUP_BDD],0),MATCH(I$9,MMWR_RATING_STATE_ROLLUP_BDD[#Headers],0)),"ERROR"))</f>
        <v>128.6527777778</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3" t="s">
        <v>296</v>
      </c>
      <c r="C2" s="424"/>
      <c r="D2" s="424"/>
      <c r="E2" s="424"/>
      <c r="F2" s="424"/>
      <c r="G2" s="424"/>
      <c r="H2" s="424"/>
      <c r="I2" s="424"/>
      <c r="J2" s="424"/>
      <c r="K2" s="424"/>
      <c r="L2" s="424"/>
      <c r="M2" s="424"/>
      <c r="N2" s="424"/>
      <c r="O2" s="424"/>
      <c r="P2" s="424"/>
      <c r="Q2" s="424"/>
      <c r="R2" s="424"/>
      <c r="S2" s="424"/>
      <c r="T2" s="424"/>
      <c r="U2" s="425"/>
      <c r="V2" s="25"/>
    </row>
    <row r="3" spans="1:22" s="1" customFormat="1" ht="63" customHeight="1" thickBot="1" x14ac:dyDescent="0.25">
      <c r="A3" s="25"/>
      <c r="B3" s="432" t="s">
        <v>311</v>
      </c>
      <c r="C3" s="433"/>
      <c r="D3" s="433"/>
      <c r="E3" s="433"/>
      <c r="F3" s="433"/>
      <c r="G3" s="433"/>
      <c r="H3" s="433"/>
      <c r="I3" s="433"/>
      <c r="J3" s="433"/>
      <c r="K3" s="433"/>
      <c r="L3" s="433"/>
      <c r="M3" s="433"/>
      <c r="N3" s="433"/>
      <c r="O3" s="433"/>
      <c r="P3" s="433"/>
      <c r="Q3" s="433"/>
      <c r="R3" s="433"/>
      <c r="S3" s="433"/>
      <c r="T3" s="433"/>
      <c r="U3" s="434"/>
      <c r="V3" s="25"/>
    </row>
    <row r="4" spans="1:22" s="1" customFormat="1" ht="32.25" customHeight="1" thickBot="1" x14ac:dyDescent="0.25">
      <c r="A4" s="25"/>
      <c r="B4" s="429" t="str">
        <f>Transformation!B4</f>
        <v>As of: July 02, 2016</v>
      </c>
      <c r="C4" s="430"/>
      <c r="D4" s="430"/>
      <c r="E4" s="430"/>
      <c r="F4" s="430"/>
      <c r="G4" s="430"/>
      <c r="H4" s="430"/>
      <c r="I4" s="430"/>
      <c r="J4" s="430"/>
      <c r="K4" s="430"/>
      <c r="L4" s="430"/>
      <c r="M4" s="430"/>
      <c r="N4" s="430"/>
      <c r="O4" s="430"/>
      <c r="P4" s="430"/>
      <c r="Q4" s="430"/>
      <c r="R4" s="430"/>
      <c r="S4" s="430"/>
      <c r="T4" s="430"/>
      <c r="U4" s="431"/>
      <c r="V4" s="25"/>
    </row>
    <row r="5" spans="1:22" s="1" customFormat="1" ht="27" customHeight="1" thickBot="1" x14ac:dyDescent="0.45">
      <c r="A5" s="25"/>
      <c r="B5" s="435" t="s">
        <v>239</v>
      </c>
      <c r="C5" s="436"/>
      <c r="D5" s="436"/>
      <c r="E5" s="436"/>
      <c r="F5" s="436"/>
      <c r="G5" s="436"/>
      <c r="H5" s="437"/>
      <c r="I5" s="55"/>
      <c r="J5" s="435" t="s">
        <v>236</v>
      </c>
      <c r="K5" s="436"/>
      <c r="L5" s="436"/>
      <c r="M5" s="436"/>
      <c r="N5" s="437"/>
      <c r="O5" s="56"/>
      <c r="P5" s="407" t="s">
        <v>11</v>
      </c>
      <c r="Q5" s="408"/>
      <c r="R5" s="408"/>
      <c r="S5" s="408"/>
      <c r="T5" s="408"/>
      <c r="U5" s="409"/>
      <c r="V5" s="25"/>
    </row>
    <row r="6" spans="1:22" s="1" customFormat="1" ht="65.25" customHeight="1" thickBot="1" x14ac:dyDescent="0.25">
      <c r="A6" s="25"/>
      <c r="B6" s="426" t="s">
        <v>279</v>
      </c>
      <c r="C6" s="427"/>
      <c r="D6" s="427"/>
      <c r="E6" s="428"/>
      <c r="F6" s="57" t="s">
        <v>12</v>
      </c>
      <c r="G6" s="58" t="s">
        <v>3</v>
      </c>
      <c r="H6" s="59" t="s">
        <v>4</v>
      </c>
      <c r="I6" s="25"/>
      <c r="J6" s="446" t="s">
        <v>279</v>
      </c>
      <c r="K6" s="447"/>
      <c r="L6" s="60" t="s">
        <v>12</v>
      </c>
      <c r="M6" s="61" t="s">
        <v>3</v>
      </c>
      <c r="N6" s="62" t="s">
        <v>4</v>
      </c>
      <c r="O6" s="63"/>
      <c r="P6" s="438" t="s">
        <v>279</v>
      </c>
      <c r="Q6" s="439"/>
      <c r="R6" s="64" t="s">
        <v>488</v>
      </c>
      <c r="S6" s="441" t="s">
        <v>279</v>
      </c>
      <c r="T6" s="442"/>
      <c r="U6" s="65" t="s">
        <v>134</v>
      </c>
      <c r="V6" s="25"/>
    </row>
    <row r="7" spans="1:22" s="1" customFormat="1" ht="32.25" customHeight="1" thickBot="1" x14ac:dyDescent="0.25">
      <c r="A7" s="25"/>
      <c r="B7" s="410" t="s">
        <v>298</v>
      </c>
      <c r="C7" s="411"/>
      <c r="D7" s="411"/>
      <c r="E7" s="411"/>
      <c r="F7" s="166">
        <f>SUM(F8:F10)</f>
        <v>118040</v>
      </c>
      <c r="G7" s="167">
        <f>SUM(G8:G10)</f>
        <v>29047</v>
      </c>
      <c r="H7" s="168">
        <f t="shared" ref="H7:H44" si="0">IF(G7="--", 0, G7/F7)</f>
        <v>0.24607760081328364</v>
      </c>
      <c r="I7" s="25"/>
      <c r="J7" s="410" t="s">
        <v>264</v>
      </c>
      <c r="K7" s="411"/>
      <c r="L7" s="167">
        <f>SUM(L8:L10)</f>
        <v>32200</v>
      </c>
      <c r="M7" s="167">
        <f>SUM(M8:M10)</f>
        <v>4410</v>
      </c>
      <c r="N7" s="178">
        <f>IF(M7="--", 0, M7/L7)</f>
        <v>0.13695652173913042</v>
      </c>
      <c r="O7" s="66"/>
      <c r="P7" s="410" t="s">
        <v>966</v>
      </c>
      <c r="Q7" s="411"/>
      <c r="R7" s="179">
        <f>R8+R9+R10+R11+R12</f>
        <v>319707</v>
      </c>
      <c r="S7" s="410"/>
      <c r="T7" s="411"/>
      <c r="U7" s="67"/>
      <c r="V7" s="25"/>
    </row>
    <row r="8" spans="1:22" s="1" customFormat="1" ht="51" customHeight="1" x14ac:dyDescent="0.2">
      <c r="A8" s="25"/>
      <c r="B8" s="323" t="s">
        <v>249</v>
      </c>
      <c r="C8" s="324"/>
      <c r="D8" s="324"/>
      <c r="E8" s="403"/>
      <c r="F8" s="169">
        <f>IFERROR(VLOOKUP(MID(B8,4,3),MMWR_TRAD_AGG_NATIONAL[],2,0),"--")</f>
        <v>300</v>
      </c>
      <c r="G8" s="170">
        <f>IFERROR(VLOOKUP(MID(B8,4,3),MMWR_TRAD_AGG_NATIONAL[],3,0),"--")</f>
        <v>151</v>
      </c>
      <c r="H8" s="171">
        <f t="shared" si="0"/>
        <v>0.5033333333333333</v>
      </c>
      <c r="I8" s="25"/>
      <c r="J8" s="421" t="s">
        <v>266</v>
      </c>
      <c r="K8" s="440"/>
      <c r="L8" s="169">
        <f>IFERROR(VLOOKUP(MID(J8,4,3),MMWR_TRAD_AGG_NATIONAL[],2,0),"--")</f>
        <v>7612</v>
      </c>
      <c r="M8" s="170">
        <f>IFERROR(VLOOKUP(MID(J8,4,3),MMWR_TRAD_AGG_NATIONAL[],3,0),"--")</f>
        <v>582</v>
      </c>
      <c r="N8" s="171">
        <f>IF(M8="--", 0, M8/L8)</f>
        <v>7.6458223857067784E-2</v>
      </c>
      <c r="O8" s="68" t="s">
        <v>310</v>
      </c>
      <c r="P8" s="443" t="s">
        <v>240</v>
      </c>
      <c r="Q8" s="444"/>
      <c r="R8" s="180">
        <f>VLOOKUP(P8,MMWR_APP_NATIONAL[],2,0)</f>
        <v>233528</v>
      </c>
      <c r="S8" s="445" t="s">
        <v>229</v>
      </c>
      <c r="T8" s="422"/>
      <c r="U8" s="181">
        <f>VLOOKUP(P8,MMWR_APP_NATIONAL[],3,0)</f>
        <v>405.81689012980002</v>
      </c>
      <c r="V8" s="25"/>
    </row>
    <row r="9" spans="1:22" s="1" customFormat="1" ht="45" customHeight="1" x14ac:dyDescent="0.2">
      <c r="A9" s="25"/>
      <c r="B9" s="323" t="s">
        <v>247</v>
      </c>
      <c r="C9" s="324"/>
      <c r="D9" s="324"/>
      <c r="E9" s="403"/>
      <c r="F9" s="169">
        <f>IFERROR(VLOOKUP(MID(B9,4,3),MMWR_TRAD_AGG_NATIONAL[],2,0),"--")</f>
        <v>35657</v>
      </c>
      <c r="G9" s="170">
        <f>IFERROR(VLOOKUP(MID(B9,4,3),MMWR_TRAD_AGG_NATIONAL[],3,0),"--")</f>
        <v>9881</v>
      </c>
      <c r="H9" s="171">
        <f t="shared" si="0"/>
        <v>0.27711248843144404</v>
      </c>
      <c r="I9" s="68" t="s">
        <v>310</v>
      </c>
      <c r="J9" s="323" t="s">
        <v>265</v>
      </c>
      <c r="K9" s="324"/>
      <c r="L9" s="169">
        <f>IFERROR(VLOOKUP(MID(J9,4,3),MMWR_TRAD_AGG_NATIONAL[],2,0),"--")</f>
        <v>8726</v>
      </c>
      <c r="M9" s="170">
        <f>IFERROR(VLOOKUP(MID(J9,4,3),MMWR_TRAD_AGG_NATIONAL[],3,0),"--")</f>
        <v>553</v>
      </c>
      <c r="N9" s="171">
        <f>IF(M9="--", 0, M9/L9)</f>
        <v>6.3373825349530136E-2</v>
      </c>
      <c r="O9" s="68" t="s">
        <v>310</v>
      </c>
      <c r="P9" s="401" t="s">
        <v>241</v>
      </c>
      <c r="Q9" s="402"/>
      <c r="R9" s="182">
        <f>VLOOKUP(P9,MMWR_APP_NATIONAL[],2,0)</f>
        <v>51854</v>
      </c>
      <c r="S9" s="397" t="s">
        <v>230</v>
      </c>
      <c r="T9" s="398"/>
      <c r="U9" s="183">
        <f>VLOOKUP(P9,MMWR_APP_NATIONAL[],3,0)</f>
        <v>542.23733945310005</v>
      </c>
      <c r="V9" s="25"/>
    </row>
    <row r="10" spans="1:22" s="1" customFormat="1" ht="63" customHeight="1" thickBot="1" x14ac:dyDescent="0.25">
      <c r="A10" s="25"/>
      <c r="B10" s="323" t="s">
        <v>248</v>
      </c>
      <c r="C10" s="324"/>
      <c r="D10" s="324"/>
      <c r="E10" s="403"/>
      <c r="F10" s="169">
        <f>IFERROR(VLOOKUP(MID(B10,4,3),MMWR_TRAD_AGG_NATIONAL[],2,0),"--")</f>
        <v>82083</v>
      </c>
      <c r="G10" s="170">
        <f>IFERROR(VLOOKUP(MID(B10,4,3),MMWR_TRAD_AGG_NATIONAL[],3,0),"--")</f>
        <v>19015</v>
      </c>
      <c r="H10" s="171">
        <f t="shared" si="0"/>
        <v>0.23165576306908861</v>
      </c>
      <c r="I10" s="68" t="s">
        <v>310</v>
      </c>
      <c r="J10" s="325" t="s">
        <v>267</v>
      </c>
      <c r="K10" s="326"/>
      <c r="L10" s="169">
        <f>IFERROR(VLOOKUP(MID(J10,4,3),MMWR_TRAD_AGG_NATIONAL[],2,0),"--")</f>
        <v>15862</v>
      </c>
      <c r="M10" s="170">
        <f>IFERROR(VLOOKUP(MID(J10,4,3),MMWR_TRAD_AGG_NATIONAL[],3,0),"--")</f>
        <v>3275</v>
      </c>
      <c r="N10" s="171">
        <f>IF(M10="--", 0, M10/L10)</f>
        <v>0.20646828899256084</v>
      </c>
      <c r="O10" s="69"/>
      <c r="P10" s="401" t="s">
        <v>242</v>
      </c>
      <c r="Q10" s="402"/>
      <c r="R10" s="182">
        <f>VLOOKUP(P10,MMWR_APP_NATIONAL[],2,0)</f>
        <v>22686</v>
      </c>
      <c r="S10" s="397" t="s">
        <v>231</v>
      </c>
      <c r="T10" s="398"/>
      <c r="U10" s="183">
        <f>VLOOKUP(P10,MMWR_APP_NATIONAL[],3,0)</f>
        <v>506.87794338129999</v>
      </c>
      <c r="V10" s="25"/>
    </row>
    <row r="11" spans="1:22" s="1" customFormat="1" ht="45" customHeight="1" thickBot="1" x14ac:dyDescent="0.25">
      <c r="A11" s="25"/>
      <c r="B11" s="410" t="s">
        <v>299</v>
      </c>
      <c r="C11" s="411"/>
      <c r="D11" s="411"/>
      <c r="E11" s="411"/>
      <c r="F11" s="166">
        <f>SUM(F12:F13)</f>
        <v>11810</v>
      </c>
      <c r="G11" s="167">
        <f>SUM(G12:G13)</f>
        <v>2597</v>
      </c>
      <c r="H11" s="168">
        <f t="shared" si="0"/>
        <v>0.21989839119390348</v>
      </c>
      <c r="I11" s="25"/>
      <c r="J11" s="410" t="s">
        <v>237</v>
      </c>
      <c r="K11" s="411"/>
      <c r="L11" s="166">
        <f>SUM(L12:L17)</f>
        <v>34860</v>
      </c>
      <c r="M11" s="166">
        <f>SUM(M12:M17)</f>
        <v>8716</v>
      </c>
      <c r="N11" s="159">
        <f>IF(M11="--", 0, M11/L11)</f>
        <v>0.25002868617326451</v>
      </c>
      <c r="O11" s="69"/>
      <c r="P11" s="401" t="s">
        <v>967</v>
      </c>
      <c r="Q11" s="402"/>
      <c r="R11" s="182">
        <f>VLOOKUP(P11,MMWR_APP_NATIONAL[],2,0)</f>
        <v>10993</v>
      </c>
      <c r="S11" s="397" t="s">
        <v>232</v>
      </c>
      <c r="T11" s="398"/>
      <c r="U11" s="183">
        <f>VLOOKUP(P11,MMWR_APP_NATIONAL[],3,0)</f>
        <v>176.13802201799999</v>
      </c>
      <c r="V11" s="25"/>
    </row>
    <row r="12" spans="1:22" s="1" customFormat="1" ht="46.5" customHeight="1" thickBot="1" x14ac:dyDescent="0.25">
      <c r="A12" s="25"/>
      <c r="B12" s="404" t="s">
        <v>269</v>
      </c>
      <c r="C12" s="405"/>
      <c r="D12" s="405"/>
      <c r="E12" s="406"/>
      <c r="F12" s="169">
        <f>IFERROR(VLOOKUP(MID(B12,4,3),MMWR_TRAD_AGG_NATIONAL[],2,0),"--")</f>
        <v>10645</v>
      </c>
      <c r="G12" s="170">
        <f>IFERROR(VLOOKUP(MID(B12,4,3),MMWR_TRAD_AGG_NATIONAL[],3,0),"--")</f>
        <v>1854</v>
      </c>
      <c r="H12" s="171">
        <f t="shared" si="0"/>
        <v>0.17416627524659464</v>
      </c>
      <c r="I12" s="68" t="s">
        <v>310</v>
      </c>
      <c r="J12" s="325" t="s">
        <v>259</v>
      </c>
      <c r="K12" s="398"/>
      <c r="L12" s="169">
        <f>IFERROR(VLOOKUP(MID(J12,4,3)&amp;"p",MMWR_TRAD_AGG_NATIONAL[],2,0),"--")</f>
        <v>989</v>
      </c>
      <c r="M12" s="170">
        <f>IFERROR(VLOOKUP(MID(J12,4,3)&amp;"p",MMWR_TRAD_AGG_NATIONAL[],3,0),"--")</f>
        <v>49</v>
      </c>
      <c r="N12" s="171">
        <f t="shared" ref="N12:N17" si="1">IF(L12="--", 0,M12/L12)</f>
        <v>4.9544994944388271E-2</v>
      </c>
      <c r="O12" s="69"/>
      <c r="P12" s="401" t="s">
        <v>948</v>
      </c>
      <c r="Q12" s="402"/>
      <c r="R12" s="182">
        <f>VLOOKUP(P12,MMWR_APP_NATIONAL[],2,0)</f>
        <v>646</v>
      </c>
      <c r="S12" s="399" t="s">
        <v>965</v>
      </c>
      <c r="T12" s="400"/>
      <c r="U12" s="183">
        <f>VLOOKUP(P12,MMWR_APP_NATIONAL[],3,0)</f>
        <v>441.2012383901</v>
      </c>
      <c r="V12" s="25"/>
    </row>
    <row r="13" spans="1:22" s="1" customFormat="1" ht="49.5" customHeight="1" thickBot="1" x14ac:dyDescent="0.25">
      <c r="A13" s="25"/>
      <c r="B13" s="404" t="s">
        <v>1057</v>
      </c>
      <c r="C13" s="405"/>
      <c r="D13" s="405"/>
      <c r="E13" s="406"/>
      <c r="F13" s="169">
        <f>IFERROR(VLOOKUP(MID(B13,4,3),MMWR_TRAD_AGG_NATIONAL[],2,0),"--")</f>
        <v>1165</v>
      </c>
      <c r="G13" s="170">
        <f>IFERROR(VLOOKUP(MID(B13,4,3),MMWR_TRAD_AGG_NATIONAL[],3,0),"--")</f>
        <v>743</v>
      </c>
      <c r="H13" s="171">
        <f t="shared" si="0"/>
        <v>0.63776824034334767</v>
      </c>
      <c r="I13" s="25"/>
      <c r="J13" s="325" t="s">
        <v>268</v>
      </c>
      <c r="K13" s="398"/>
      <c r="L13" s="169">
        <f>IFERROR(VLOOKUP(MID(J13,4,3),MMWR_TRAD_AGG_NATIONAL[],2,0),"--")</f>
        <v>5658</v>
      </c>
      <c r="M13" s="170">
        <f>IFERROR(VLOOKUP(MID(J13,4,3),MMWR_TRAD_AGG_NATIONAL[],3,0),"--")</f>
        <v>1184</v>
      </c>
      <c r="N13" s="171">
        <f t="shared" si="1"/>
        <v>0.20926122304701308</v>
      </c>
      <c r="O13" s="69"/>
      <c r="P13" s="410" t="s">
        <v>976</v>
      </c>
      <c r="Q13" s="411"/>
      <c r="R13" s="412"/>
      <c r="S13" s="413">
        <f>VLOOKUP(P13,MMWR_APP_NATIONAL[],2,0)</f>
        <v>25711</v>
      </c>
      <c r="T13" s="414"/>
      <c r="U13" s="415"/>
      <c r="V13" s="25"/>
    </row>
    <row r="14" spans="1:22" s="1" customFormat="1" ht="45" customHeight="1" thickBot="1" x14ac:dyDescent="0.25">
      <c r="A14" s="25"/>
      <c r="B14" s="410" t="s">
        <v>1</v>
      </c>
      <c r="C14" s="411"/>
      <c r="D14" s="411"/>
      <c r="E14" s="411"/>
      <c r="F14" s="166">
        <f>SUM(F15:F21)</f>
        <v>209674</v>
      </c>
      <c r="G14" s="167">
        <f>SUM(G15:G21)</f>
        <v>39934</v>
      </c>
      <c r="H14" s="168">
        <f t="shared" si="0"/>
        <v>0.19045756746186937</v>
      </c>
      <c r="I14" s="25"/>
      <c r="J14" s="325" t="s">
        <v>270</v>
      </c>
      <c r="K14" s="398"/>
      <c r="L14" s="169">
        <f>IFERROR(VLOOKUP(MID(J14,4,3),MMWR_TRAD_AGG_NATIONAL[],2,0),"--")</f>
        <v>16502</v>
      </c>
      <c r="M14" s="170">
        <f>IFERROR(VLOOKUP(MID(J14,4,3),MMWR_TRAD_AGG_NATIONAL[],3,0),"--")</f>
        <v>5308</v>
      </c>
      <c r="N14" s="171">
        <f t="shared" si="1"/>
        <v>0.32165798085080594</v>
      </c>
      <c r="O14" s="69"/>
      <c r="P14" s="21"/>
      <c r="Q14" s="21"/>
      <c r="R14" s="21"/>
      <c r="S14" s="28"/>
      <c r="T14" s="28"/>
      <c r="U14" s="70"/>
      <c r="V14" s="25"/>
    </row>
    <row r="15" spans="1:22" s="1" customFormat="1" ht="44.25" customHeight="1" thickBot="1" x14ac:dyDescent="0.25">
      <c r="A15" s="25"/>
      <c r="B15" s="323" t="s">
        <v>250</v>
      </c>
      <c r="C15" s="324"/>
      <c r="D15" s="324"/>
      <c r="E15" s="403"/>
      <c r="F15" s="169">
        <f>IFERROR(VLOOKUP(MID(B15,4,3),MMWR_TRAD_AGG_NATIONAL[],2,0),"--")</f>
        <v>208774</v>
      </c>
      <c r="G15" s="170">
        <f>IFERROR(VLOOKUP(MID(B15,4,3),MMWR_TRAD_AGG_NATIONAL[],3,0),"--")</f>
        <v>39670</v>
      </c>
      <c r="H15" s="171">
        <f t="shared" si="0"/>
        <v>0.19001408221330243</v>
      </c>
      <c r="I15" s="68" t="s">
        <v>310</v>
      </c>
      <c r="J15" s="325" t="s">
        <v>271</v>
      </c>
      <c r="K15" s="398"/>
      <c r="L15" s="169">
        <f>IFERROR(VLOOKUP(MID(J15,4,3),MMWR_TRAD_AGG_NATIONAL[],2,0),"--")</f>
        <v>1</v>
      </c>
      <c r="M15" s="170">
        <f>IFERROR(VLOOKUP(MID(J15,4,3),MMWR_TRAD_AGG_NATIONAL[],3,0),"--")</f>
        <v>1</v>
      </c>
      <c r="N15" s="171">
        <f t="shared" si="1"/>
        <v>1</v>
      </c>
      <c r="O15" s="69"/>
      <c r="P15" s="25"/>
      <c r="Q15" s="25"/>
      <c r="R15" s="25"/>
      <c r="S15" s="25"/>
      <c r="T15" s="28"/>
      <c r="U15" s="71"/>
      <c r="V15" s="25"/>
    </row>
    <row r="16" spans="1:22" s="1" customFormat="1" ht="57.75" customHeight="1" thickBot="1" x14ac:dyDescent="0.25">
      <c r="A16" s="25"/>
      <c r="B16" s="325" t="s">
        <v>251</v>
      </c>
      <c r="C16" s="326"/>
      <c r="D16" s="326"/>
      <c r="E16" s="398"/>
      <c r="F16" s="169">
        <f>IFERROR(VLOOKUP(MID(B16,4,3),MMWR_TRAD_AGG_NATIONAL[],2,0),"--")</f>
        <v>416</v>
      </c>
      <c r="G16" s="170">
        <f>IFERROR(VLOOKUP(MID(B16,4,3),MMWR_TRAD_AGG_NATIONAL[],3,0),"--")</f>
        <v>37</v>
      </c>
      <c r="H16" s="171">
        <f t="shared" si="0"/>
        <v>8.8942307692307696E-2</v>
      </c>
      <c r="I16" s="68" t="s">
        <v>310</v>
      </c>
      <c r="J16" s="325" t="s">
        <v>272</v>
      </c>
      <c r="K16" s="398"/>
      <c r="L16" s="169">
        <f>IFERROR(VLOOKUP(MID(J16,4,3),MMWR_TRAD_AGG_NATIONAL[],2,0),"--")</f>
        <v>6275</v>
      </c>
      <c r="M16" s="170">
        <f>IFERROR(VLOOKUP(MID(J16,4,3),MMWR_TRAD_AGG_NATIONAL[],3,0),"--")</f>
        <v>1785</v>
      </c>
      <c r="N16" s="171">
        <f t="shared" si="1"/>
        <v>0.28446215139442232</v>
      </c>
      <c r="O16" s="69"/>
      <c r="P16" s="407" t="s">
        <v>949</v>
      </c>
      <c r="Q16" s="408"/>
      <c r="R16" s="408"/>
      <c r="S16" s="409"/>
      <c r="T16" s="28"/>
      <c r="U16" s="71"/>
      <c r="V16" s="25"/>
    </row>
    <row r="17" spans="1:22" s="1" customFormat="1" ht="31.5" customHeight="1" thickBot="1" x14ac:dyDescent="0.25">
      <c r="A17" s="25"/>
      <c r="B17" s="325" t="s">
        <v>252</v>
      </c>
      <c r="C17" s="326"/>
      <c r="D17" s="326"/>
      <c r="E17" s="398"/>
      <c r="F17" s="169">
        <f>IFERROR(VLOOKUP(MID(B17,4,3),MMWR_TRAD_AGG_NATIONAL[],2,0),"--")</f>
        <v>229</v>
      </c>
      <c r="G17" s="170">
        <f>IFERROR(VLOOKUP(MID(B17,4,3),MMWR_TRAD_AGG_NATIONAL[],3,0),"--")</f>
        <v>151</v>
      </c>
      <c r="H17" s="171">
        <f t="shared" si="0"/>
        <v>0.65938864628820959</v>
      </c>
      <c r="I17" s="25"/>
      <c r="J17" s="325" t="s">
        <v>273</v>
      </c>
      <c r="K17" s="398"/>
      <c r="L17" s="169">
        <f>IFERROR(VLOOKUP(MID(J17,4,3),MMWR_TRAD_AGG_NATIONAL[],2,0),"--")</f>
        <v>5435</v>
      </c>
      <c r="M17" s="170">
        <f>IFERROR(VLOOKUP(MID(J17,4,3),MMWR_TRAD_AGG_NATIONAL[],3,0),"--")</f>
        <v>389</v>
      </c>
      <c r="N17" s="171">
        <f t="shared" si="1"/>
        <v>7.1573137074517013E-2</v>
      </c>
      <c r="O17" s="72"/>
      <c r="P17" s="416" t="s">
        <v>245</v>
      </c>
      <c r="Q17" s="417"/>
      <c r="R17" s="417"/>
      <c r="S17" s="184">
        <f>IFERROR(VLOOKUP("160",MMWR_TRAD_AGG_NATIONAL[],2,0),"--")</f>
        <v>36106</v>
      </c>
      <c r="T17" s="28"/>
      <c r="U17" s="71"/>
      <c r="V17" s="25"/>
    </row>
    <row r="18" spans="1:22" s="1" customFormat="1" ht="32.25" customHeight="1" thickBot="1" x14ac:dyDescent="0.25">
      <c r="A18" s="25"/>
      <c r="B18" s="325" t="s">
        <v>253</v>
      </c>
      <c r="C18" s="326"/>
      <c r="D18" s="326"/>
      <c r="E18" s="398"/>
      <c r="F18" s="169">
        <f>IFERROR(VLOOKUP(MID(B18,4,3),MMWR_TRAD_AGG_NATIONAL[],2,0),"--")</f>
        <v>9</v>
      </c>
      <c r="G18" s="170">
        <f>IFERROR(VLOOKUP(MID(B18,4,3),MMWR_TRAD_AGG_NATIONAL[],3,0),"--")</f>
        <v>5</v>
      </c>
      <c r="H18" s="171">
        <f t="shared" si="0"/>
        <v>0.55555555555555558</v>
      </c>
      <c r="I18" s="68" t="s">
        <v>310</v>
      </c>
      <c r="J18" s="410" t="s">
        <v>15</v>
      </c>
      <c r="K18" s="411"/>
      <c r="L18" s="166">
        <f>SUM(L19:L21)</f>
        <v>272</v>
      </c>
      <c r="M18" s="166">
        <f>SUM(M19:M21)</f>
        <v>252</v>
      </c>
      <c r="N18" s="159">
        <f t="shared" ref="N18:N26" si="2">IF(M18="--", 0, M18/L18)</f>
        <v>0.92647058823529416</v>
      </c>
      <c r="O18" s="73"/>
      <c r="P18" s="418" t="s">
        <v>246</v>
      </c>
      <c r="Q18" s="419"/>
      <c r="R18" s="419"/>
      <c r="S18" s="185">
        <f>IFERROR(VLOOKUP("165",MMWR_TRAD_AGG_NATIONAL[],2,0),"--")</f>
        <v>10152</v>
      </c>
      <c r="T18" s="28"/>
      <c r="U18" s="71"/>
      <c r="V18" s="25"/>
    </row>
    <row r="19" spans="1:22" s="1" customFormat="1" ht="41.25" customHeight="1" x14ac:dyDescent="0.4">
      <c r="A19" s="25"/>
      <c r="B19" s="325" t="s">
        <v>254</v>
      </c>
      <c r="C19" s="326"/>
      <c r="D19" s="326"/>
      <c r="E19" s="398"/>
      <c r="F19" s="169" t="str">
        <f>IFERROR(VLOOKUP(MID(B19,4,3),MMWR_TRAD_AGG_NATIONAL[],2,0),"--")</f>
        <v>--</v>
      </c>
      <c r="G19" s="170" t="str">
        <f>IFERROR(VLOOKUP(MID(B19,4,3),MMWR_TRAD_AGG_NATIONAL[],3,0),"--")</f>
        <v>--</v>
      </c>
      <c r="H19" s="171">
        <f t="shared" si="0"/>
        <v>0</v>
      </c>
      <c r="I19" s="68" t="s">
        <v>310</v>
      </c>
      <c r="J19" s="325" t="s">
        <v>274</v>
      </c>
      <c r="K19" s="398"/>
      <c r="L19" s="169">
        <f>IFERROR(VLOOKUP(MID(J19,4,3),MMWR_TRAD_AGG_NATIONAL[],2,0),"--")</f>
        <v>192</v>
      </c>
      <c r="M19" s="170">
        <f>IFERROR(VLOOKUP(MID(J19,4,3),MMWR_TRAD_AGG_NATIONAL[],3,0),"--")</f>
        <v>192</v>
      </c>
      <c r="N19" s="171">
        <f t="shared" si="2"/>
        <v>1</v>
      </c>
      <c r="O19" s="56"/>
      <c r="P19" s="25"/>
      <c r="Q19" s="25"/>
      <c r="R19" s="25"/>
      <c r="S19" s="25"/>
      <c r="T19" s="28"/>
      <c r="U19" s="71"/>
      <c r="V19" s="25"/>
    </row>
    <row r="20" spans="1:22" s="1" customFormat="1" ht="40.5" customHeight="1" x14ac:dyDescent="0.4">
      <c r="A20" s="25"/>
      <c r="B20" s="325" t="s">
        <v>255</v>
      </c>
      <c r="C20" s="326"/>
      <c r="D20" s="326"/>
      <c r="E20" s="398"/>
      <c r="F20" s="169">
        <f>IFERROR(VLOOKUP(MID(B20,4,3),MMWR_TRAD_AGG_NATIONAL[],2,0),"--")</f>
        <v>12</v>
      </c>
      <c r="G20" s="170">
        <f>IFERROR(VLOOKUP(MID(B20,4,3),MMWR_TRAD_AGG_NATIONAL[],3,0),"--")</f>
        <v>0</v>
      </c>
      <c r="H20" s="171">
        <f t="shared" si="0"/>
        <v>0</v>
      </c>
      <c r="I20" s="68" t="s">
        <v>310</v>
      </c>
      <c r="J20" s="325" t="s">
        <v>297</v>
      </c>
      <c r="K20" s="398"/>
      <c r="L20" s="169">
        <f>IFERROR(VLOOKUP(MID(J20,4,3),MMWR_TRAD_AGG_NATIONAL[],2,0),"--")</f>
        <v>51</v>
      </c>
      <c r="M20" s="170">
        <f>IFERROR(VLOOKUP(MID(J20,4,3),MMWR_TRAD_AGG_NATIONAL[],3,0),"--")</f>
        <v>44</v>
      </c>
      <c r="N20" s="171">
        <f t="shared" si="2"/>
        <v>0.86274509803921573</v>
      </c>
      <c r="O20" s="56"/>
      <c r="P20" s="56"/>
      <c r="Q20" s="56"/>
      <c r="R20" s="56"/>
      <c r="S20" s="56"/>
      <c r="T20" s="56"/>
      <c r="U20" s="74"/>
      <c r="V20" s="25"/>
    </row>
    <row r="21" spans="1:22" s="1" customFormat="1" ht="39" customHeight="1" thickBot="1" x14ac:dyDescent="0.45">
      <c r="A21" s="25"/>
      <c r="B21" s="325" t="s">
        <v>256</v>
      </c>
      <c r="C21" s="326"/>
      <c r="D21" s="326"/>
      <c r="E21" s="398"/>
      <c r="F21" s="169">
        <f>IFERROR(VLOOKUP(MID(B21,4,3),MMWR_TRAD_AGG_NATIONAL[],2,0),"--")</f>
        <v>234</v>
      </c>
      <c r="G21" s="170">
        <f>IFERROR(VLOOKUP(MID(B21,4,3),MMWR_TRAD_AGG_NATIONAL[],3,0),"--")</f>
        <v>71</v>
      </c>
      <c r="H21" s="171">
        <f t="shared" si="0"/>
        <v>0.3034188034188034</v>
      </c>
      <c r="I21" s="68" t="s">
        <v>310</v>
      </c>
      <c r="J21" s="325" t="s">
        <v>275</v>
      </c>
      <c r="K21" s="398"/>
      <c r="L21" s="169">
        <f>IFERROR(VLOOKUP(MID(J21,4,3),MMWR_TRAD_AGG_NATIONAL[],2,0),"--")</f>
        <v>29</v>
      </c>
      <c r="M21" s="170">
        <f>IFERROR(VLOOKUP(MID(J21,4,3),MMWR_TRAD_AGG_NATIONAL[],3,0),"--")</f>
        <v>16</v>
      </c>
      <c r="N21" s="171">
        <f t="shared" si="2"/>
        <v>0.55172413793103448</v>
      </c>
      <c r="O21" s="56"/>
      <c r="P21" s="56"/>
      <c r="Q21" s="56"/>
      <c r="R21" s="56"/>
      <c r="S21" s="56"/>
      <c r="T21" s="56"/>
      <c r="U21" s="74"/>
      <c r="V21" s="25"/>
    </row>
    <row r="22" spans="1:22" s="1" customFormat="1" ht="32.25" customHeight="1" thickBot="1" x14ac:dyDescent="0.45">
      <c r="A22" s="25"/>
      <c r="B22" s="410" t="s">
        <v>13</v>
      </c>
      <c r="C22" s="411"/>
      <c r="D22" s="411"/>
      <c r="E22" s="411"/>
      <c r="F22" s="166">
        <f>SUM(F23:F29)</f>
        <v>455192</v>
      </c>
      <c r="G22" s="167">
        <f>SUM(G23:G29)</f>
        <v>234654</v>
      </c>
      <c r="H22" s="168">
        <f t="shared" si="0"/>
        <v>0.51550554491291589</v>
      </c>
      <c r="I22" s="25"/>
      <c r="J22" s="410" t="s">
        <v>224</v>
      </c>
      <c r="K22" s="411"/>
      <c r="L22" s="166">
        <f>SUM(L23:L26)</f>
        <v>1653</v>
      </c>
      <c r="M22" s="166">
        <f>SUM(M23:M26)</f>
        <v>469</v>
      </c>
      <c r="N22" s="159">
        <f t="shared" si="2"/>
        <v>0.28372655777374473</v>
      </c>
      <c r="O22" s="56"/>
      <c r="P22" s="25"/>
      <c r="Q22" s="25"/>
      <c r="R22" s="25"/>
      <c r="S22" s="25"/>
      <c r="T22" s="56"/>
      <c r="U22" s="74"/>
      <c r="V22" s="25"/>
    </row>
    <row r="23" spans="1:22" s="1" customFormat="1" ht="26.25" customHeight="1" x14ac:dyDescent="0.4">
      <c r="A23" s="25"/>
      <c r="B23" s="404" t="s">
        <v>257</v>
      </c>
      <c r="C23" s="405"/>
      <c r="D23" s="405"/>
      <c r="E23" s="406"/>
      <c r="F23" s="169">
        <f>IFERROR(VLOOKUP(MID(B23,4,3),MMWR_TRAD_AGG_NATIONAL[],2,0),"--")</f>
        <v>145219</v>
      </c>
      <c r="G23" s="170">
        <f>IFERROR(VLOOKUP(MID(B23,4,3),MMWR_TRAD_AGG_NATIONAL[],3,0),"--")</f>
        <v>95327</v>
      </c>
      <c r="H23" s="171">
        <f t="shared" si="0"/>
        <v>0.65643614127627925</v>
      </c>
      <c r="I23" s="25"/>
      <c r="J23" s="421" t="s">
        <v>278</v>
      </c>
      <c r="K23" s="422"/>
      <c r="L23" s="172">
        <f>IFERROR(VLOOKUP(MID(J23,4,3),MMWR_TRAD_AGG_NATIONAL[],2,0),"--")</f>
        <v>208</v>
      </c>
      <c r="M23" s="173">
        <f>IFERROR(VLOOKUP(MID(J23,4,3),MMWR_TRAD_AGG_NATIONAL[],3,0),"--")</f>
        <v>70</v>
      </c>
      <c r="N23" s="174">
        <f t="shared" si="2"/>
        <v>0.33653846153846156</v>
      </c>
      <c r="O23" s="56"/>
      <c r="P23" s="25"/>
      <c r="Q23" s="25"/>
      <c r="R23" s="25"/>
      <c r="S23" s="25"/>
      <c r="T23" s="56"/>
      <c r="U23" s="74"/>
      <c r="V23" s="25"/>
    </row>
    <row r="24" spans="1:22" s="1" customFormat="1" ht="39.75" customHeight="1" x14ac:dyDescent="0.4">
      <c r="A24" s="25"/>
      <c r="B24" s="404" t="s">
        <v>258</v>
      </c>
      <c r="C24" s="405"/>
      <c r="D24" s="405"/>
      <c r="E24" s="406"/>
      <c r="F24" s="169">
        <f>IFERROR(VLOOKUP(MID(B24,4,3),MMWR_TRAD_AGG_NATIONAL[],2,0),"--")</f>
        <v>129</v>
      </c>
      <c r="G24" s="170">
        <f>IFERROR(VLOOKUP(MID(B24,4,3),MMWR_TRAD_AGG_NATIONAL[],3,0),"--")</f>
        <v>90</v>
      </c>
      <c r="H24" s="171">
        <f t="shared" si="0"/>
        <v>0.69767441860465118</v>
      </c>
      <c r="I24" s="25"/>
      <c r="J24" s="325" t="s">
        <v>277</v>
      </c>
      <c r="K24" s="398"/>
      <c r="L24" s="169">
        <f>IFERROR(VLOOKUP(MID(J24,4,3),MMWR_TRAD_AGG_NATIONAL[],2,0),"--")</f>
        <v>559</v>
      </c>
      <c r="M24" s="170">
        <f>IFERROR(VLOOKUP(MID(J24,4,3),MMWR_TRAD_AGG_NATIONAL[],3,0),"--")</f>
        <v>24</v>
      </c>
      <c r="N24" s="171">
        <f t="shared" si="2"/>
        <v>4.2933810375670838E-2</v>
      </c>
      <c r="O24" s="56"/>
      <c r="P24" s="25"/>
      <c r="Q24" s="25"/>
      <c r="R24" s="25"/>
      <c r="S24" s="25"/>
      <c r="T24" s="56"/>
      <c r="U24" s="74"/>
      <c r="V24" s="25"/>
    </row>
    <row r="25" spans="1:22" s="1" customFormat="1" ht="37.5" customHeight="1" x14ac:dyDescent="0.4">
      <c r="A25" s="25"/>
      <c r="B25" s="404" t="s">
        <v>259</v>
      </c>
      <c r="C25" s="405"/>
      <c r="D25" s="405"/>
      <c r="E25" s="406"/>
      <c r="F25" s="169">
        <f>IFERROR(VLOOKUP(MID(B25,4,3),MMWR_TRAD_AGG_NATIONAL[],2,0),"--")</f>
        <v>330</v>
      </c>
      <c r="G25" s="170">
        <f>IFERROR(VLOOKUP(MID(B25,4,3),MMWR_TRAD_AGG_NATIONAL[],3,0),"--")</f>
        <v>251</v>
      </c>
      <c r="H25" s="171">
        <f t="shared" si="0"/>
        <v>0.76060606060606062</v>
      </c>
      <c r="I25" s="25"/>
      <c r="J25" s="325" t="s">
        <v>276</v>
      </c>
      <c r="K25" s="398"/>
      <c r="L25" s="169">
        <f>IFERROR(VLOOKUP(MID(J25,4,3),MMWR_TRAD_AGG_NATIONAL[],2,0),"--")</f>
        <v>840</v>
      </c>
      <c r="M25" s="170">
        <f>IFERROR(VLOOKUP(MID(J25,4,3),MMWR_TRAD_AGG_NATIONAL[],3,0),"--")</f>
        <v>343</v>
      </c>
      <c r="N25" s="171">
        <f t="shared" si="2"/>
        <v>0.40833333333333333</v>
      </c>
      <c r="O25" s="56"/>
      <c r="P25" s="56"/>
      <c r="Q25" s="56"/>
      <c r="R25" s="56"/>
      <c r="S25" s="56"/>
      <c r="T25" s="56"/>
      <c r="U25" s="74"/>
      <c r="V25" s="25"/>
    </row>
    <row r="26" spans="1:22" s="1" customFormat="1" ht="37.5" customHeight="1" thickBot="1" x14ac:dyDescent="0.45">
      <c r="A26" s="25"/>
      <c r="B26" s="404" t="s">
        <v>260</v>
      </c>
      <c r="C26" s="405"/>
      <c r="D26" s="405"/>
      <c r="E26" s="406"/>
      <c r="F26" s="169">
        <f>IFERROR(VLOOKUP(MID(B26,4,3),MMWR_TRAD_AGG_NATIONAL[],2,0),"--")</f>
        <v>96337</v>
      </c>
      <c r="G26" s="170">
        <f>IFERROR(VLOOKUP(MID(B26,4,3),MMWR_TRAD_AGG_NATIONAL[],3,0),"--")</f>
        <v>74197</v>
      </c>
      <c r="H26" s="171">
        <f t="shared" si="0"/>
        <v>0.77018175778776587</v>
      </c>
      <c r="I26" s="56"/>
      <c r="J26" s="327" t="s">
        <v>313</v>
      </c>
      <c r="K26" s="400"/>
      <c r="L26" s="175">
        <f>IFERROR(VLOOKUP(MID(J26,4,3),MMWR_TRAD_AGG_NATIONAL[],2,0),"--")</f>
        <v>46</v>
      </c>
      <c r="M26" s="176">
        <f>IFERROR(VLOOKUP(MID(J26,4,3),MMWR_TRAD_AGG_NATIONAL[],3,0),"--")</f>
        <v>32</v>
      </c>
      <c r="N26" s="177">
        <f t="shared" si="2"/>
        <v>0.69565217391304346</v>
      </c>
      <c r="O26" s="56"/>
      <c r="P26" s="56"/>
      <c r="Q26" s="56"/>
      <c r="R26" s="56"/>
      <c r="S26" s="56"/>
      <c r="T26" s="56"/>
      <c r="U26" s="74"/>
      <c r="V26" s="25"/>
    </row>
    <row r="27" spans="1:22" s="1" customFormat="1" ht="26.25" customHeight="1" thickBot="1" x14ac:dyDescent="0.45">
      <c r="A27" s="25"/>
      <c r="B27" s="404" t="s">
        <v>261</v>
      </c>
      <c r="C27" s="405"/>
      <c r="D27" s="405"/>
      <c r="E27" s="406"/>
      <c r="F27" s="169">
        <f>IFERROR(VLOOKUP(MID(B27,4,3),MMWR_TRAD_AGG_NATIONAL[],2,0),"--")</f>
        <v>233</v>
      </c>
      <c r="G27" s="170">
        <f>IFERROR(VLOOKUP(MID(B27,4,3),MMWR_TRAD_AGG_NATIONAL[],3,0),"--")</f>
        <v>193</v>
      </c>
      <c r="H27" s="171">
        <f t="shared" si="0"/>
        <v>0.8283261802575107</v>
      </c>
      <c r="I27" s="56"/>
      <c r="J27" s="56"/>
      <c r="K27" s="56"/>
      <c r="L27" s="56"/>
      <c r="M27" s="56"/>
      <c r="N27" s="56"/>
      <c r="O27" s="56"/>
      <c r="P27" s="56"/>
      <c r="Q27" s="56"/>
      <c r="R27" s="56"/>
      <c r="S27" s="56"/>
      <c r="T27" s="56"/>
      <c r="U27" s="74"/>
      <c r="V27" s="25"/>
    </row>
    <row r="28" spans="1:22" s="1" customFormat="1" ht="32.25" customHeight="1" x14ac:dyDescent="0.4">
      <c r="A28" s="25"/>
      <c r="B28" s="404" t="s">
        <v>262</v>
      </c>
      <c r="C28" s="405"/>
      <c r="D28" s="405"/>
      <c r="E28" s="406"/>
      <c r="F28" s="169">
        <f>IFERROR(VLOOKUP(MID(B28,4,3),MMWR_TRAD_AGG_NATIONAL[],2,0),"--")</f>
        <v>16985</v>
      </c>
      <c r="G28" s="170">
        <f>IFERROR(VLOOKUP(MID(B28,4,3),MMWR_TRAD_AGG_NATIONAL[],3,0),"--")</f>
        <v>2706</v>
      </c>
      <c r="H28" s="171">
        <f t="shared" si="0"/>
        <v>0.15931704445098616</v>
      </c>
      <c r="I28" s="68" t="s">
        <v>310</v>
      </c>
      <c r="J28" s="448" t="s">
        <v>312</v>
      </c>
      <c r="K28" s="449"/>
      <c r="L28" s="449"/>
      <c r="M28" s="449"/>
      <c r="N28" s="450"/>
      <c r="O28" s="420" t="s">
        <v>310</v>
      </c>
      <c r="P28" s="75"/>
      <c r="Q28" s="56"/>
      <c r="R28" s="56"/>
      <c r="S28" s="56"/>
      <c r="T28" s="56"/>
      <c r="U28" s="74"/>
      <c r="V28" s="25"/>
    </row>
    <row r="29" spans="1:22" s="1" customFormat="1" ht="27" customHeight="1" thickBot="1" x14ac:dyDescent="0.45">
      <c r="A29" s="25"/>
      <c r="B29" s="404" t="s">
        <v>263</v>
      </c>
      <c r="C29" s="405"/>
      <c r="D29" s="405"/>
      <c r="E29" s="406"/>
      <c r="F29" s="169">
        <f>IFERROR(VLOOKUP(MID(B29,4,3),MMWR_TRAD_AGG_NATIONAL[],2,0),"--")</f>
        <v>195959</v>
      </c>
      <c r="G29" s="170">
        <f>IFERROR(VLOOKUP(MID(B29,4,3),MMWR_TRAD_AGG_NATIONAL[],3,0),"--")</f>
        <v>61890</v>
      </c>
      <c r="H29" s="171">
        <f t="shared" si="0"/>
        <v>0.3158313728892268</v>
      </c>
      <c r="I29" s="56"/>
      <c r="J29" s="451"/>
      <c r="K29" s="452"/>
      <c r="L29" s="452"/>
      <c r="M29" s="452"/>
      <c r="N29" s="453"/>
      <c r="O29" s="420"/>
      <c r="P29" s="76"/>
      <c r="Q29" s="56"/>
      <c r="R29" s="56"/>
      <c r="S29" s="56"/>
      <c r="T29" s="56"/>
      <c r="U29" s="74"/>
      <c r="V29" s="25"/>
    </row>
    <row r="30" spans="1:22" s="1" customFormat="1" ht="32.25" customHeight="1" thickBot="1" x14ac:dyDescent="0.45">
      <c r="A30" s="25"/>
      <c r="B30" s="410" t="s">
        <v>29</v>
      </c>
      <c r="C30" s="411"/>
      <c r="D30" s="411"/>
      <c r="E30" s="411"/>
      <c r="F30" s="167">
        <f>SUM(F31:F37)</f>
        <v>125368</v>
      </c>
      <c r="G30" s="167">
        <f>SUM(G31:G37)</f>
        <v>97515</v>
      </c>
      <c r="H30" s="159">
        <f t="shared" si="0"/>
        <v>0.77783006827898671</v>
      </c>
      <c r="I30" s="56"/>
      <c r="J30" s="28"/>
      <c r="K30" s="28"/>
      <c r="L30" s="28"/>
      <c r="M30" s="28"/>
      <c r="N30" s="28"/>
      <c r="O30" s="28"/>
      <c r="P30" s="56"/>
      <c r="Q30" s="56"/>
      <c r="R30" s="56"/>
      <c r="S30" s="56"/>
      <c r="T30" s="56"/>
      <c r="U30" s="74"/>
      <c r="V30" s="25"/>
    </row>
    <row r="31" spans="1:22" s="1" customFormat="1" ht="33.75" customHeight="1" x14ac:dyDescent="0.4">
      <c r="A31" s="25"/>
      <c r="B31" s="325" t="s">
        <v>280</v>
      </c>
      <c r="C31" s="326"/>
      <c r="D31" s="326"/>
      <c r="E31" s="398"/>
      <c r="F31" s="169">
        <f>IFERROR(VLOOKUP(MID(B31,4,3),MMWR_TRAD_AGG_NATIONAL[],2,0),"--")</f>
        <v>26</v>
      </c>
      <c r="G31" s="170">
        <f>IFERROR(VLOOKUP(MID(B31,4,3),MMWR_TRAD_AGG_NATIONAL[],3,0),"--")</f>
        <v>24</v>
      </c>
      <c r="H31" s="171">
        <f t="shared" si="0"/>
        <v>0.92307692307692313</v>
      </c>
      <c r="I31" s="56"/>
      <c r="J31" s="56"/>
      <c r="K31" s="56"/>
      <c r="L31" s="56"/>
      <c r="M31" s="56"/>
      <c r="N31" s="56"/>
      <c r="O31" s="56"/>
      <c r="P31" s="56"/>
      <c r="Q31" s="56"/>
      <c r="R31" s="56"/>
      <c r="S31" s="56"/>
      <c r="T31" s="56"/>
      <c r="U31" s="74"/>
      <c r="V31" s="25"/>
    </row>
    <row r="32" spans="1:22" s="1" customFormat="1" ht="32.25" customHeight="1" x14ac:dyDescent="0.4">
      <c r="A32" s="25"/>
      <c r="B32" s="325" t="s">
        <v>281</v>
      </c>
      <c r="C32" s="326"/>
      <c r="D32" s="326"/>
      <c r="E32" s="398"/>
      <c r="F32" s="169">
        <f>IFERROR(VLOOKUP(MID(B32,4,3),MMWR_TRAD_AGG_NATIONAL[],2,0),"--")</f>
        <v>35112</v>
      </c>
      <c r="G32" s="170">
        <f>IFERROR(VLOOKUP(MID(B32,4,3),MMWR_TRAD_AGG_NATIONAL[],3,0),"--")</f>
        <v>24139</v>
      </c>
      <c r="H32" s="171">
        <f t="shared" si="0"/>
        <v>0.68748575985418092</v>
      </c>
      <c r="I32" s="56"/>
      <c r="J32" s="56"/>
      <c r="K32" s="56"/>
      <c r="L32" s="56"/>
      <c r="M32" s="56"/>
      <c r="N32" s="56"/>
      <c r="O32" s="56"/>
      <c r="P32" s="56"/>
      <c r="Q32" s="56"/>
      <c r="R32" s="56"/>
      <c r="S32" s="56"/>
      <c r="T32" s="56"/>
      <c r="U32" s="74"/>
      <c r="V32" s="25"/>
    </row>
    <row r="33" spans="1:22" s="1" customFormat="1" ht="32.25" customHeight="1" x14ac:dyDescent="0.4">
      <c r="A33" s="25"/>
      <c r="B33" s="325" t="s">
        <v>282</v>
      </c>
      <c r="C33" s="326"/>
      <c r="D33" s="326"/>
      <c r="E33" s="398"/>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325" t="s">
        <v>283</v>
      </c>
      <c r="C34" s="326"/>
      <c r="D34" s="326"/>
      <c r="E34" s="398"/>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325" t="s">
        <v>284</v>
      </c>
      <c r="C35" s="326"/>
      <c r="D35" s="326"/>
      <c r="E35" s="398"/>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325" t="s">
        <v>285</v>
      </c>
      <c r="C36" s="326"/>
      <c r="D36" s="326"/>
      <c r="E36" s="398"/>
      <c r="F36" s="169">
        <f>IFERROR(VLOOKUP(MID(B36,4,3),MMWR_TRAD_AGG_NATIONAL[],2,0),"--")</f>
        <v>24007</v>
      </c>
      <c r="G36" s="170">
        <f>IFERROR(VLOOKUP(MID(B36,4,3),MMWR_TRAD_AGG_NATIONAL[],3,0),"--")</f>
        <v>16605</v>
      </c>
      <c r="H36" s="171">
        <f t="shared" si="0"/>
        <v>0.69167326196526013</v>
      </c>
      <c r="I36" s="56"/>
      <c r="J36" s="56"/>
      <c r="K36" s="56"/>
      <c r="L36" s="56"/>
      <c r="M36" s="56"/>
      <c r="N36" s="56"/>
      <c r="O36" s="56"/>
      <c r="P36" s="56"/>
      <c r="Q36" s="56"/>
      <c r="R36" s="56"/>
      <c r="S36" s="56"/>
      <c r="T36" s="56"/>
      <c r="U36" s="74"/>
      <c r="V36" s="25"/>
    </row>
    <row r="37" spans="1:22" s="1" customFormat="1" ht="27" customHeight="1" thickBot="1" x14ac:dyDescent="0.45">
      <c r="A37" s="25"/>
      <c r="B37" s="325" t="s">
        <v>286</v>
      </c>
      <c r="C37" s="326"/>
      <c r="D37" s="326"/>
      <c r="E37" s="398"/>
      <c r="F37" s="169">
        <f>IFERROR(VLOOKUP(MID(B37,4,3)&amp;"G",MMWR_TRAD_AGG_NATIONAL[],2,0),"--")</f>
        <v>66223</v>
      </c>
      <c r="G37" s="170">
        <f>IFERROR(VLOOKUP(MID(B37,4,3)&amp;"G",MMWR_TRAD_AGG_NATIONAL[],3,0),"--")</f>
        <v>56747</v>
      </c>
      <c r="H37" s="171">
        <f t="shared" si="0"/>
        <v>0.85690772088247291</v>
      </c>
      <c r="I37" s="56"/>
      <c r="J37" s="56"/>
      <c r="K37" s="56"/>
      <c r="L37" s="56"/>
      <c r="M37" s="56"/>
      <c r="N37" s="56"/>
      <c r="O37" s="56"/>
      <c r="P37" s="56"/>
      <c r="Q37" s="56"/>
      <c r="R37" s="56"/>
      <c r="S37" s="56"/>
      <c r="T37" s="56"/>
      <c r="U37" s="74"/>
      <c r="V37" s="25"/>
    </row>
    <row r="38" spans="1:22" s="1" customFormat="1" ht="32.25" customHeight="1" thickBot="1" x14ac:dyDescent="0.45">
      <c r="A38" s="25"/>
      <c r="B38" s="410" t="s">
        <v>238</v>
      </c>
      <c r="C38" s="411"/>
      <c r="D38" s="411"/>
      <c r="E38" s="411"/>
      <c r="F38" s="166">
        <f>SUM(F39:F44)</f>
        <v>174079</v>
      </c>
      <c r="G38" s="167">
        <f>SUM(G39:G44)</f>
        <v>117095</v>
      </c>
      <c r="H38" s="168">
        <f t="shared" si="0"/>
        <v>0.67265436956783986</v>
      </c>
      <c r="I38" s="56"/>
      <c r="J38" s="56"/>
      <c r="K38" s="75"/>
      <c r="L38" s="75"/>
      <c r="M38" s="75"/>
      <c r="N38" s="75"/>
      <c r="O38" s="75"/>
      <c r="P38" s="56"/>
      <c r="Q38" s="56"/>
      <c r="R38" s="56"/>
      <c r="S38" s="56"/>
      <c r="T38" s="56"/>
      <c r="U38" s="74"/>
      <c r="V38" s="25"/>
    </row>
    <row r="39" spans="1:22" s="1" customFormat="1" ht="26.25" customHeight="1" x14ac:dyDescent="0.4">
      <c r="A39" s="25"/>
      <c r="B39" s="421" t="s">
        <v>287</v>
      </c>
      <c r="C39" s="440"/>
      <c r="D39" s="440"/>
      <c r="E39" s="422"/>
      <c r="F39" s="172">
        <f>IFERROR(VLOOKUP(MID(B39,4,3),MMWR_TRAD_AGG_NATIONAL[],2,0),"--")</f>
        <v>8059</v>
      </c>
      <c r="G39" s="173">
        <f>IFERROR(VLOOKUP(MID(B39,4,3),MMWR_TRAD_AGG_NATIONAL[],3,0),"--")</f>
        <v>6107</v>
      </c>
      <c r="H39" s="174">
        <f t="shared" si="0"/>
        <v>0.75778632584687922</v>
      </c>
      <c r="I39" s="56"/>
      <c r="J39" s="56"/>
      <c r="K39" s="75"/>
      <c r="L39" s="75"/>
      <c r="M39" s="75"/>
      <c r="N39" s="75"/>
      <c r="O39" s="75"/>
      <c r="P39" s="56"/>
      <c r="Q39" s="56"/>
      <c r="R39" s="56"/>
      <c r="S39" s="56"/>
      <c r="T39" s="56"/>
      <c r="U39" s="74"/>
      <c r="V39" s="25"/>
    </row>
    <row r="40" spans="1:22" s="1" customFormat="1" ht="26.25" customHeight="1" x14ac:dyDescent="0.4">
      <c r="A40" s="25"/>
      <c r="B40" s="325" t="s">
        <v>288</v>
      </c>
      <c r="C40" s="326"/>
      <c r="D40" s="326"/>
      <c r="E40" s="398"/>
      <c r="F40" s="169">
        <f>IFERROR(VLOOKUP(MID(B40,4,3),MMWR_TRAD_AGG_NATIONAL[],2,0),"--")</f>
        <v>66627</v>
      </c>
      <c r="G40" s="170">
        <f>IFERROR(VLOOKUP(MID(B40,4,3),MMWR_TRAD_AGG_NATIONAL[],3,0),"--")</f>
        <v>50772</v>
      </c>
      <c r="H40" s="171">
        <f t="shared" si="0"/>
        <v>0.76203340987887791</v>
      </c>
      <c r="I40" s="56"/>
      <c r="J40" s="56"/>
      <c r="K40" s="56"/>
      <c r="L40" s="56"/>
      <c r="M40" s="56"/>
      <c r="N40" s="56"/>
      <c r="O40" s="56"/>
      <c r="P40" s="56"/>
      <c r="Q40" s="56"/>
      <c r="R40" s="56"/>
      <c r="S40" s="56"/>
      <c r="T40" s="56"/>
      <c r="U40" s="74"/>
      <c r="V40" s="25"/>
    </row>
    <row r="41" spans="1:22" s="1" customFormat="1" ht="26.25" customHeight="1" x14ac:dyDescent="0.4">
      <c r="A41" s="25"/>
      <c r="B41" s="325" t="s">
        <v>289</v>
      </c>
      <c r="C41" s="326"/>
      <c r="D41" s="326"/>
      <c r="E41" s="398"/>
      <c r="F41" s="169">
        <f>IFERROR(VLOOKUP(MID(B41,4,3),MMWR_TRAD_AGG_NATIONAL[],2,0),"--")</f>
        <v>1106</v>
      </c>
      <c r="G41" s="170">
        <f>IFERROR(VLOOKUP(MID(B41,4,3),MMWR_TRAD_AGG_NATIONAL[],3,0),"--")</f>
        <v>354</v>
      </c>
      <c r="H41" s="171">
        <f t="shared" si="0"/>
        <v>0.32007233273056057</v>
      </c>
      <c r="I41" s="56"/>
      <c r="J41" s="56"/>
      <c r="K41" s="56"/>
      <c r="L41" s="56"/>
      <c r="M41" s="56"/>
      <c r="N41" s="56"/>
      <c r="O41" s="56"/>
      <c r="P41" s="56"/>
      <c r="Q41" s="56"/>
      <c r="R41" s="56"/>
      <c r="S41" s="56"/>
      <c r="T41" s="56"/>
      <c r="U41" s="74"/>
      <c r="V41" s="25"/>
    </row>
    <row r="42" spans="1:22" s="1" customFormat="1" ht="36" customHeight="1" x14ac:dyDescent="0.4">
      <c r="A42" s="25"/>
      <c r="B42" s="325" t="s">
        <v>290</v>
      </c>
      <c r="C42" s="326"/>
      <c r="D42" s="326"/>
      <c r="E42" s="398"/>
      <c r="F42" s="169">
        <f>IFERROR(VLOOKUP(MID(B42,4,3),MMWR_TRAD_AGG_NATIONAL[],2,0),"--")</f>
        <v>80216</v>
      </c>
      <c r="G42" s="170">
        <f>IFERROR(VLOOKUP(MID(B42,4,3),MMWR_TRAD_AGG_NATIONAL[],3,0),"--")</f>
        <v>44972</v>
      </c>
      <c r="H42" s="171">
        <f t="shared" si="0"/>
        <v>0.56063628203849603</v>
      </c>
      <c r="I42" s="56"/>
      <c r="J42" s="56"/>
      <c r="K42" s="56"/>
      <c r="L42" s="56"/>
      <c r="M42" s="56"/>
      <c r="N42" s="56"/>
      <c r="O42" s="56"/>
      <c r="P42" s="56"/>
      <c r="Q42" s="56"/>
      <c r="R42" s="56"/>
      <c r="S42" s="56"/>
      <c r="T42" s="56"/>
      <c r="U42" s="74"/>
      <c r="V42" s="25"/>
    </row>
    <row r="43" spans="1:22" s="1" customFormat="1" ht="33" customHeight="1" x14ac:dyDescent="0.4">
      <c r="A43" s="25"/>
      <c r="B43" s="325" t="s">
        <v>291</v>
      </c>
      <c r="C43" s="326"/>
      <c r="D43" s="326"/>
      <c r="E43" s="398"/>
      <c r="F43" s="169">
        <f>IFERROR(VLOOKUP(MID(B43,4,3),MMWR_TRAD_AGG_NATIONAL[],2,0),"--")</f>
        <v>17577</v>
      </c>
      <c r="G43" s="170">
        <f>IFERROR(VLOOKUP(MID(B43,4,3),MMWR_TRAD_AGG_NATIONAL[],3,0),"--")</f>
        <v>14496</v>
      </c>
      <c r="H43" s="171">
        <f t="shared" si="0"/>
        <v>0.82471411503669567</v>
      </c>
      <c r="I43" s="56"/>
      <c r="J43" s="56"/>
      <c r="K43" s="56"/>
      <c r="L43" s="56"/>
      <c r="M43" s="56"/>
      <c r="N43" s="56"/>
      <c r="O43" s="56"/>
      <c r="P43" s="56"/>
      <c r="Q43" s="56"/>
      <c r="R43" s="56"/>
      <c r="S43" s="56"/>
      <c r="T43" s="56"/>
      <c r="U43" s="74"/>
      <c r="V43" s="25"/>
    </row>
    <row r="44" spans="1:22" s="1" customFormat="1" ht="27" customHeight="1" thickBot="1" x14ac:dyDescent="0.45">
      <c r="A44" s="25"/>
      <c r="B44" s="327" t="s">
        <v>292</v>
      </c>
      <c r="C44" s="328"/>
      <c r="D44" s="328"/>
      <c r="E44" s="400"/>
      <c r="F44" s="175">
        <f>IFERROR(VLOOKUP(MID(B44,4,3),MMWR_TRAD_AGG_NATIONAL[],2,0),"--")</f>
        <v>494</v>
      </c>
      <c r="G44" s="176">
        <f>IFERROR(VLOOKUP(MID(B44,4,3),MMWR_TRAD_AGG_NATIONAL[],3,0),"--")</f>
        <v>394</v>
      </c>
      <c r="H44" s="177">
        <f t="shared" si="0"/>
        <v>0.79757085020242913</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JULY 02, 2016</v>
      </c>
      <c r="D2" s="455"/>
      <c r="E2" s="455"/>
      <c r="F2" s="455"/>
      <c r="G2" s="455"/>
      <c r="H2" s="455"/>
      <c r="I2" s="455"/>
      <c r="J2" s="455"/>
      <c r="K2" s="455"/>
      <c r="L2" s="455"/>
      <c r="M2" s="455"/>
      <c r="N2" s="455"/>
      <c r="O2" s="455"/>
      <c r="P2" s="455"/>
      <c r="Q2" s="455"/>
      <c r="R2" s="455"/>
      <c r="S2" s="456"/>
      <c r="T2" s="25"/>
    </row>
    <row r="3" spans="1:20" x14ac:dyDescent="0.2">
      <c r="A3" s="25"/>
      <c r="B3" s="26"/>
      <c r="C3" s="457" t="s">
        <v>225</v>
      </c>
      <c r="D3" s="458"/>
      <c r="E3" s="459" t="s">
        <v>205</v>
      </c>
      <c r="F3" s="460"/>
      <c r="G3" s="461"/>
      <c r="H3" s="459" t="s">
        <v>7</v>
      </c>
      <c r="I3" s="460"/>
      <c r="J3" s="461"/>
      <c r="K3" s="459" t="s">
        <v>30</v>
      </c>
      <c r="L3" s="460"/>
      <c r="M3" s="461"/>
      <c r="N3" s="459" t="s">
        <v>8</v>
      </c>
      <c r="O3" s="460"/>
      <c r="P3" s="461"/>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488</v>
      </c>
      <c r="T4" s="91"/>
    </row>
    <row r="5" spans="1:20" ht="26.25" x14ac:dyDescent="0.4">
      <c r="A5" s="25"/>
      <c r="B5" s="26"/>
      <c r="C5" s="454" t="s">
        <v>486</v>
      </c>
      <c r="D5" s="455"/>
      <c r="E5" s="455"/>
      <c r="F5" s="455"/>
      <c r="G5" s="455"/>
      <c r="H5" s="455"/>
      <c r="I5" s="455"/>
      <c r="J5" s="455"/>
      <c r="K5" s="455"/>
      <c r="L5" s="455"/>
      <c r="M5" s="455"/>
      <c r="N5" s="455"/>
      <c r="O5" s="455"/>
      <c r="P5" s="455"/>
      <c r="Q5" s="455"/>
      <c r="R5" s="455"/>
      <c r="S5" s="456"/>
      <c r="T5" s="25"/>
    </row>
    <row r="6" spans="1:20" x14ac:dyDescent="0.2">
      <c r="A6" s="92"/>
      <c r="B6" s="93" t="s">
        <v>461</v>
      </c>
      <c r="C6" s="208">
        <f>IFERROR(VLOOKUP($B6,MMWR_TRAD_AGG_DISTRICT_COMP[],C$1,0),"ERROR")</f>
        <v>244410</v>
      </c>
      <c r="D6" s="186">
        <f>IFERROR(VLOOKUP($B6,MMWR_TRAD_AGG_DISTRICT_COMP[],D$1,0),"ERROR")</f>
        <v>379.2894194182</v>
      </c>
      <c r="E6" s="194">
        <f>IFERROR(VLOOKUP($B6,MMWR_TRAD_AGG_DISTRICT_COMP[],E$1,0),"ERROR")</f>
        <v>339524</v>
      </c>
      <c r="F6" s="188">
        <f>IFERROR(VLOOKUP($B6,MMWR_TRAD_AGG_DISTRICT_COMP[],F$1,0),"ERROR")</f>
        <v>71578</v>
      </c>
      <c r="G6" s="211">
        <f t="shared" ref="G6:G69" si="0">IFERROR(F6/E6,"0%")</f>
        <v>0.21081867555754527</v>
      </c>
      <c r="H6" s="187">
        <f>IFERROR(VLOOKUP($B6,MMWR_TRAD_AGG_DISTRICT_COMP[],H$1,0),"ERROR")</f>
        <v>455192</v>
      </c>
      <c r="I6" s="188">
        <f>IFERROR(VLOOKUP($B6,MMWR_TRAD_AGG_DISTRICT_COMP[],I$1,0),"ERROR")</f>
        <v>234654</v>
      </c>
      <c r="J6" s="211">
        <f t="shared" ref="J6:J69" si="1">IFERROR(I6/H6,"0%")</f>
        <v>0.51550554491291589</v>
      </c>
      <c r="K6" s="187">
        <f>IFERROR(VLOOKUP($B6,MMWR_TRAD_AGG_DISTRICT_COMP[],K$1,0),"ERROR")</f>
        <v>129183</v>
      </c>
      <c r="L6" s="188">
        <f>IFERROR(VLOOKUP($B6,MMWR_TRAD_AGG_DISTRICT_COMP[],L$1,0),"ERROR")</f>
        <v>101171</v>
      </c>
      <c r="M6" s="211">
        <f t="shared" ref="M6:M69" si="2">IFERROR(L6/K6,"0%")</f>
        <v>0.78316032295271054</v>
      </c>
      <c r="N6" s="187">
        <f>IFERROR(VLOOKUP($B6,MMWR_TRAD_AGG_DISTRICT_COMP[],N$1,0),"ERROR")</f>
        <v>175489</v>
      </c>
      <c r="O6" s="188">
        <f>IFERROR(VLOOKUP($B6,MMWR_TRAD_AGG_DISTRICT_COMP[],O$1,0),"ERROR")</f>
        <v>117765</v>
      </c>
      <c r="P6" s="211">
        <f t="shared" ref="P6:P69" si="3">IFERROR(O6/N6,"0%")</f>
        <v>0.6710677022491438</v>
      </c>
      <c r="Q6" s="200">
        <f>IFERROR(VLOOKUP($B6,MMWR_TRAD_AGG_DISTRICT_COMP[],Q$1,0),"ERROR")</f>
        <v>23890</v>
      </c>
      <c r="R6" s="200">
        <f>IFERROR(VLOOKUP($B6,MMWR_TRAD_AGG_DISTRICT_COMP[],R$1,0),"ERROR")</f>
        <v>4467</v>
      </c>
      <c r="S6" s="203">
        <f>S7+S25+S38+S49+S62+S70</f>
        <v>314243</v>
      </c>
      <c r="T6" s="25"/>
    </row>
    <row r="7" spans="1:20" x14ac:dyDescent="0.2">
      <c r="A7" s="92"/>
      <c r="B7" s="101" t="s">
        <v>369</v>
      </c>
      <c r="C7" s="212">
        <f>IFERROR(VLOOKUP($B7,MMWR_TRAD_AGG_DISTRICT_COMP[],C$1,0),"ERROR")</f>
        <v>68176</v>
      </c>
      <c r="D7" s="197">
        <f>IFERROR(VLOOKUP($B7,MMWR_TRAD_AGG_DISTRICT_COMP[],D$1,0),"ERROR")</f>
        <v>410.10538899319999</v>
      </c>
      <c r="E7" s="213">
        <f>IFERROR(VLOOKUP($B7,MMWR_TRAD_AGG_DISTRICT_COMP[],E$1,0),"ERROR")</f>
        <v>80836</v>
      </c>
      <c r="F7" s="212">
        <f>IFERROR(VLOOKUP($B7,MMWR_TRAD_AGG_DISTRICT_COMP[],F$1,0),"ERROR")</f>
        <v>18059</v>
      </c>
      <c r="G7" s="214">
        <f t="shared" si="0"/>
        <v>0.22340293928447721</v>
      </c>
      <c r="H7" s="212">
        <f>IFERROR(VLOOKUP($B7,MMWR_TRAD_AGG_DISTRICT_COMP[],H$1,0),"ERROR")</f>
        <v>115204</v>
      </c>
      <c r="I7" s="212">
        <f>IFERROR(VLOOKUP($B7,MMWR_TRAD_AGG_DISTRICT_COMP[],I$1,0),"ERROR")</f>
        <v>63703</v>
      </c>
      <c r="J7" s="214">
        <f t="shared" si="1"/>
        <v>0.55295823061699245</v>
      </c>
      <c r="K7" s="212">
        <f>IFERROR(VLOOKUP($B7,MMWR_TRAD_AGG_DISTRICT_COMP[],K$1,0),"ERROR")</f>
        <v>37557</v>
      </c>
      <c r="L7" s="212">
        <f>IFERROR(VLOOKUP($B7,MMWR_TRAD_AGG_DISTRICT_COMP[],L$1,0),"ERROR")</f>
        <v>29936</v>
      </c>
      <c r="M7" s="214">
        <f t="shared" si="2"/>
        <v>0.79708176904438588</v>
      </c>
      <c r="N7" s="212">
        <f>IFERROR(VLOOKUP($B7,MMWR_TRAD_AGG_DISTRICT_COMP[],N$1,0),"ERROR")</f>
        <v>29126</v>
      </c>
      <c r="O7" s="212">
        <f>IFERROR(VLOOKUP($B7,MMWR_TRAD_AGG_DISTRICT_COMP[],O$1,0),"ERROR")</f>
        <v>22777</v>
      </c>
      <c r="P7" s="214">
        <f t="shared" si="3"/>
        <v>0.78201606811783286</v>
      </c>
      <c r="Q7" s="212">
        <f>IFERROR(VLOOKUP($B7,MMWR_TRAD_AGG_DISTRICT_COMP[],Q$1,0),"ERROR")</f>
        <v>13971</v>
      </c>
      <c r="R7" s="215">
        <f>IFERROR(VLOOKUP($B7,MMWR_TRAD_AGG_DISTRICT_COMP[],R$1,0),"ERROR")</f>
        <v>52</v>
      </c>
      <c r="S7" s="215">
        <f>IFERROR(VLOOKUP($B7,MMWR_APP_RO[],S$1,0),"ERROR")</f>
        <v>57254</v>
      </c>
      <c r="T7" s="25"/>
    </row>
    <row r="8" spans="1:20" x14ac:dyDescent="0.2">
      <c r="A8" s="107"/>
      <c r="B8" s="108" t="s">
        <v>33</v>
      </c>
      <c r="C8" s="209">
        <f>IFERROR(VLOOKUP($B8,MMWR_TRAD_AGG_RO_COMP[],C$1,0),"ERROR")</f>
        <v>8469</v>
      </c>
      <c r="D8" s="198">
        <f>IFERROR(VLOOKUP($B8,MMWR_TRAD_AGG_RO_COMP[],D$1,0),"ERROR")</f>
        <v>712.28940843069995</v>
      </c>
      <c r="E8" s="195">
        <f>IFERROR(VLOOKUP($B8,MMWR_TRAD_AGG_RO_COMP[],E$1,0),"ERROR")</f>
        <v>5364</v>
      </c>
      <c r="F8" s="191">
        <f>IFERROR(VLOOKUP($B8,MMWR_TRAD_AGG_RO_COMP[],F$1,0),"ERROR")</f>
        <v>1238</v>
      </c>
      <c r="G8" s="216">
        <f t="shared" si="0"/>
        <v>0.23079791200596569</v>
      </c>
      <c r="H8" s="190">
        <f>IFERROR(VLOOKUP($B8,MMWR_TRAD_AGG_RO_COMP[],H$1,0),"ERROR")</f>
        <v>11478</v>
      </c>
      <c r="I8" s="191">
        <f>IFERROR(VLOOKUP($B8,MMWR_TRAD_AGG_RO_COMP[],I$1,0),"ERROR")</f>
        <v>8117</v>
      </c>
      <c r="J8" s="216">
        <f t="shared" si="1"/>
        <v>0.70717895103676598</v>
      </c>
      <c r="K8" s="204">
        <f>IFERROR(VLOOKUP($B8,MMWR_TRAD_AGG_RO_COMP[],K$1,0),"ERROR")</f>
        <v>3478</v>
      </c>
      <c r="L8" s="205">
        <f>IFERROR(VLOOKUP($B8,MMWR_TRAD_AGG_RO_COMP[],L$1,0),"ERROR")</f>
        <v>3067</v>
      </c>
      <c r="M8" s="216">
        <f t="shared" si="2"/>
        <v>0.88182863714778603</v>
      </c>
      <c r="N8" s="204">
        <f>IFERROR(VLOOKUP($B8,MMWR_TRAD_AGG_RO_COMP[],N$1,0),"ERROR")</f>
        <v>1516</v>
      </c>
      <c r="O8" s="205">
        <f>IFERROR(VLOOKUP($B8,MMWR_TRAD_AGG_RO_COMP[],O$1,0),"ERROR")</f>
        <v>1181</v>
      </c>
      <c r="P8" s="216">
        <f t="shared" si="3"/>
        <v>0.77902374670184693</v>
      </c>
      <c r="Q8" s="201">
        <f>IFERROR(VLOOKUP($B8,MMWR_TRAD_AGG_RO_COMP[],Q$1,0),"ERROR")</f>
        <v>0</v>
      </c>
      <c r="R8" s="201">
        <f>IFERROR(VLOOKUP($B8,MMWR_TRAD_AGG_RO_COMP[],R$1,0),"ERROR")</f>
        <v>7</v>
      </c>
      <c r="S8" s="201">
        <f>IFERROR(VLOOKUP($B8,MMWR_APP_RO[],S$1,0),"ERROR")</f>
        <v>5219</v>
      </c>
      <c r="T8" s="25"/>
    </row>
    <row r="9" spans="1:20" x14ac:dyDescent="0.2">
      <c r="A9" s="107"/>
      <c r="B9" s="108" t="s">
        <v>35</v>
      </c>
      <c r="C9" s="209">
        <f>IFERROR(VLOOKUP($B9,MMWR_TRAD_AGG_RO_COMP[],C$1,0),"ERROR")</f>
        <v>3579</v>
      </c>
      <c r="D9" s="198">
        <f>IFERROR(VLOOKUP($B9,MMWR_TRAD_AGG_RO_COMP[],D$1,0),"ERROR")</f>
        <v>608.06230790719997</v>
      </c>
      <c r="E9" s="195">
        <f>IFERROR(VLOOKUP($B9,MMWR_TRAD_AGG_RO_COMP[],E$1,0),"ERROR")</f>
        <v>3160</v>
      </c>
      <c r="F9" s="191">
        <f>IFERROR(VLOOKUP($B9,MMWR_TRAD_AGG_RO_COMP[],F$1,0),"ERROR")</f>
        <v>619</v>
      </c>
      <c r="G9" s="216">
        <f t="shared" si="0"/>
        <v>0.19588607594936708</v>
      </c>
      <c r="H9" s="190">
        <f>IFERROR(VLOOKUP($B9,MMWR_TRAD_AGG_RO_COMP[],H$1,0),"ERROR")</f>
        <v>6905</v>
      </c>
      <c r="I9" s="191">
        <f>IFERROR(VLOOKUP($B9,MMWR_TRAD_AGG_RO_COMP[],I$1,0),"ERROR")</f>
        <v>3775</v>
      </c>
      <c r="J9" s="216">
        <f t="shared" si="1"/>
        <v>0.54670528602461987</v>
      </c>
      <c r="K9" s="204">
        <f>IFERROR(VLOOKUP($B9,MMWR_TRAD_AGG_RO_COMP[],K$1,0),"ERROR")</f>
        <v>2649</v>
      </c>
      <c r="L9" s="205">
        <f>IFERROR(VLOOKUP($B9,MMWR_TRAD_AGG_RO_COMP[],L$1,0),"ERROR")</f>
        <v>2096</v>
      </c>
      <c r="M9" s="216">
        <f t="shared" si="2"/>
        <v>0.79124197810494523</v>
      </c>
      <c r="N9" s="204">
        <f>IFERROR(VLOOKUP($B9,MMWR_TRAD_AGG_RO_COMP[],N$1,0),"ERROR")</f>
        <v>644</v>
      </c>
      <c r="O9" s="205">
        <f>IFERROR(VLOOKUP($B9,MMWR_TRAD_AGG_RO_COMP[],O$1,0),"ERROR")</f>
        <v>564</v>
      </c>
      <c r="P9" s="216">
        <f t="shared" si="3"/>
        <v>0.87577639751552794</v>
      </c>
      <c r="Q9" s="201">
        <f>IFERROR(VLOOKUP($B9,MMWR_TRAD_AGG_RO_COMP[],Q$1,0),"ERROR")</f>
        <v>0</v>
      </c>
      <c r="R9" s="201">
        <f>IFERROR(VLOOKUP($B9,MMWR_TRAD_AGG_RO_COMP[],R$1,0),"ERROR")</f>
        <v>3</v>
      </c>
      <c r="S9" s="201">
        <f>IFERROR(VLOOKUP($B9,MMWR_APP_RO[],S$1,0),"ERROR")</f>
        <v>3178</v>
      </c>
      <c r="T9" s="25"/>
    </row>
    <row r="10" spans="1:20" x14ac:dyDescent="0.2">
      <c r="A10" s="107"/>
      <c r="B10" s="108" t="s">
        <v>24</v>
      </c>
      <c r="C10" s="209">
        <f>IFERROR(VLOOKUP($B10,MMWR_TRAD_AGG_RO_COMP[],C$1,0),"ERROR")</f>
        <v>565</v>
      </c>
      <c r="D10" s="198">
        <f>IFERROR(VLOOKUP($B10,MMWR_TRAD_AGG_RO_COMP[],D$1,0),"ERROR")</f>
        <v>199.47433628319999</v>
      </c>
      <c r="E10" s="195">
        <f>IFERROR(VLOOKUP($B10,MMWR_TRAD_AGG_RO_COMP[],E$1,0),"ERROR")</f>
        <v>3833</v>
      </c>
      <c r="F10" s="191">
        <f>IFERROR(VLOOKUP($B10,MMWR_TRAD_AGG_RO_COMP[],F$1,0),"ERROR")</f>
        <v>786</v>
      </c>
      <c r="G10" s="216">
        <f t="shared" si="0"/>
        <v>0.20506130967910252</v>
      </c>
      <c r="H10" s="190">
        <f>IFERROR(VLOOKUP($B10,MMWR_TRAD_AGG_RO_COMP[],H$1,0),"ERROR")</f>
        <v>2887</v>
      </c>
      <c r="I10" s="191">
        <f>IFERROR(VLOOKUP($B10,MMWR_TRAD_AGG_RO_COMP[],I$1,0),"ERROR")</f>
        <v>917</v>
      </c>
      <c r="J10" s="216">
        <f t="shared" si="1"/>
        <v>0.31763075857291306</v>
      </c>
      <c r="K10" s="204">
        <f>IFERROR(VLOOKUP($B10,MMWR_TRAD_AGG_RO_COMP[],K$1,0),"ERROR")</f>
        <v>969</v>
      </c>
      <c r="L10" s="205">
        <f>IFERROR(VLOOKUP($B10,MMWR_TRAD_AGG_RO_COMP[],L$1,0),"ERROR")</f>
        <v>658</v>
      </c>
      <c r="M10" s="216">
        <f t="shared" si="2"/>
        <v>0.67905056759545923</v>
      </c>
      <c r="N10" s="204">
        <f>IFERROR(VLOOKUP($B10,MMWR_TRAD_AGG_RO_COMP[],N$1,0),"ERROR")</f>
        <v>314</v>
      </c>
      <c r="O10" s="205">
        <f>IFERROR(VLOOKUP($B10,MMWR_TRAD_AGG_RO_COMP[],O$1,0),"ERROR")</f>
        <v>146</v>
      </c>
      <c r="P10" s="216">
        <f t="shared" si="3"/>
        <v>0.46496815286624205</v>
      </c>
      <c r="Q10" s="201">
        <f>IFERROR(VLOOKUP($B10,MMWR_TRAD_AGG_RO_COMP[],Q$1,0),"ERROR")</f>
        <v>0</v>
      </c>
      <c r="R10" s="201">
        <f>IFERROR(VLOOKUP($B10,MMWR_TRAD_AGG_RO_COMP[],R$1,0),"ERROR")</f>
        <v>0</v>
      </c>
      <c r="S10" s="201">
        <f>IFERROR(VLOOKUP($B10,MMWR_APP_RO[],S$1,0),"ERROR")</f>
        <v>2090</v>
      </c>
      <c r="T10" s="25"/>
    </row>
    <row r="11" spans="1:20" x14ac:dyDescent="0.2">
      <c r="A11" s="107"/>
      <c r="B11" s="108" t="s">
        <v>44</v>
      </c>
      <c r="C11" s="209">
        <f>IFERROR(VLOOKUP($B11,MMWR_TRAD_AGG_RO_COMP[],C$1,0),"ERROR")</f>
        <v>600</v>
      </c>
      <c r="D11" s="198">
        <f>IFERROR(VLOOKUP($B11,MMWR_TRAD_AGG_RO_COMP[],D$1,0),"ERROR")</f>
        <v>281.50333333330002</v>
      </c>
      <c r="E11" s="195">
        <f>IFERROR(VLOOKUP($B11,MMWR_TRAD_AGG_RO_COMP[],E$1,0),"ERROR")</f>
        <v>1842</v>
      </c>
      <c r="F11" s="191">
        <f>IFERROR(VLOOKUP($B11,MMWR_TRAD_AGG_RO_COMP[],F$1,0),"ERROR")</f>
        <v>277</v>
      </c>
      <c r="G11" s="216">
        <f t="shared" si="0"/>
        <v>0.15038002171552661</v>
      </c>
      <c r="H11" s="190">
        <f>IFERROR(VLOOKUP($B11,MMWR_TRAD_AGG_RO_COMP[],H$1,0),"ERROR")</f>
        <v>2477</v>
      </c>
      <c r="I11" s="191">
        <f>IFERROR(VLOOKUP($B11,MMWR_TRAD_AGG_RO_COMP[],I$1,0),"ERROR")</f>
        <v>647</v>
      </c>
      <c r="J11" s="216">
        <f t="shared" si="1"/>
        <v>0.26120306822769479</v>
      </c>
      <c r="K11" s="204">
        <f>IFERROR(VLOOKUP($B11,MMWR_TRAD_AGG_RO_COMP[],K$1,0),"ERROR")</f>
        <v>450</v>
      </c>
      <c r="L11" s="205">
        <f>IFERROR(VLOOKUP($B11,MMWR_TRAD_AGG_RO_COMP[],L$1,0),"ERROR")</f>
        <v>241</v>
      </c>
      <c r="M11" s="216">
        <f t="shared" si="2"/>
        <v>0.53555555555555556</v>
      </c>
      <c r="N11" s="204">
        <f>IFERROR(VLOOKUP($B11,MMWR_TRAD_AGG_RO_COMP[],N$1,0),"ERROR")</f>
        <v>800</v>
      </c>
      <c r="O11" s="205">
        <f>IFERROR(VLOOKUP($B11,MMWR_TRAD_AGG_RO_COMP[],O$1,0),"ERROR")</f>
        <v>651</v>
      </c>
      <c r="P11" s="216">
        <f t="shared" si="3"/>
        <v>0.81374999999999997</v>
      </c>
      <c r="Q11" s="201">
        <f>IFERROR(VLOOKUP($B11,MMWR_TRAD_AGG_RO_COMP[],Q$1,0),"ERROR")</f>
        <v>0</v>
      </c>
      <c r="R11" s="201">
        <f>IFERROR(VLOOKUP($B11,MMWR_TRAD_AGG_RO_COMP[],R$1,0),"ERROR")</f>
        <v>5</v>
      </c>
      <c r="S11" s="201">
        <f>IFERROR(VLOOKUP($B11,MMWR_APP_RO[],S$1,0),"ERROR")</f>
        <v>1305</v>
      </c>
      <c r="T11" s="25"/>
    </row>
    <row r="12" spans="1:20" x14ac:dyDescent="0.2">
      <c r="A12" s="107"/>
      <c r="B12" s="108" t="s">
        <v>47</v>
      </c>
      <c r="C12" s="209">
        <f>IFERROR(VLOOKUP($B12,MMWR_TRAD_AGG_RO_COMP[],C$1,0),"ERROR")</f>
        <v>1927</v>
      </c>
      <c r="D12" s="198">
        <f>IFERROR(VLOOKUP($B12,MMWR_TRAD_AGG_RO_COMP[],D$1,0),"ERROR")</f>
        <v>274.28956927870001</v>
      </c>
      <c r="E12" s="195">
        <f>IFERROR(VLOOKUP($B12,MMWR_TRAD_AGG_RO_COMP[],E$1,0),"ERROR")</f>
        <v>2343</v>
      </c>
      <c r="F12" s="191">
        <f>IFERROR(VLOOKUP($B12,MMWR_TRAD_AGG_RO_COMP[],F$1,0),"ERROR")</f>
        <v>410</v>
      </c>
      <c r="G12" s="216">
        <f t="shared" si="0"/>
        <v>0.17498932991890739</v>
      </c>
      <c r="H12" s="190">
        <f>IFERROR(VLOOKUP($B12,MMWR_TRAD_AGG_RO_COMP[],H$1,0),"ERROR")</f>
        <v>3595</v>
      </c>
      <c r="I12" s="191">
        <f>IFERROR(VLOOKUP($B12,MMWR_TRAD_AGG_RO_COMP[],I$1,0),"ERROR")</f>
        <v>2004</v>
      </c>
      <c r="J12" s="216">
        <f t="shared" si="1"/>
        <v>0.55744089012517384</v>
      </c>
      <c r="K12" s="204">
        <f>IFERROR(VLOOKUP($B12,MMWR_TRAD_AGG_RO_COMP[],K$1,0),"ERROR")</f>
        <v>452</v>
      </c>
      <c r="L12" s="205">
        <f>IFERROR(VLOOKUP($B12,MMWR_TRAD_AGG_RO_COMP[],L$1,0),"ERROR")</f>
        <v>364</v>
      </c>
      <c r="M12" s="216">
        <f t="shared" si="2"/>
        <v>0.80530973451327437</v>
      </c>
      <c r="N12" s="204">
        <f>IFERROR(VLOOKUP($B12,MMWR_TRAD_AGG_RO_COMP[],N$1,0),"ERROR")</f>
        <v>1258</v>
      </c>
      <c r="O12" s="205">
        <f>IFERROR(VLOOKUP($B12,MMWR_TRAD_AGG_RO_COMP[],O$1,0),"ERROR")</f>
        <v>939</v>
      </c>
      <c r="P12" s="216">
        <f t="shared" si="3"/>
        <v>0.74642289348171698</v>
      </c>
      <c r="Q12" s="201">
        <f>IFERROR(VLOOKUP($B12,MMWR_TRAD_AGG_RO_COMP[],Q$1,0),"ERROR")</f>
        <v>0</v>
      </c>
      <c r="R12" s="201">
        <f>IFERROR(VLOOKUP($B12,MMWR_TRAD_AGG_RO_COMP[],R$1,0),"ERROR")</f>
        <v>8</v>
      </c>
      <c r="S12" s="201">
        <f>IFERROR(VLOOKUP($B12,MMWR_APP_RO[],S$1,0),"ERROR")</f>
        <v>2290</v>
      </c>
      <c r="T12" s="25"/>
    </row>
    <row r="13" spans="1:20" x14ac:dyDescent="0.2">
      <c r="A13" s="107"/>
      <c r="B13" s="108" t="s">
        <v>54</v>
      </c>
      <c r="C13" s="209">
        <f>IFERROR(VLOOKUP($B13,MMWR_TRAD_AGG_RO_COMP[],C$1,0),"ERROR")</f>
        <v>999</v>
      </c>
      <c r="D13" s="198">
        <f>IFERROR(VLOOKUP($B13,MMWR_TRAD_AGG_RO_COMP[],D$1,0),"ERROR")</f>
        <v>282.12112112109997</v>
      </c>
      <c r="E13" s="195">
        <f>IFERROR(VLOOKUP($B13,MMWR_TRAD_AGG_RO_COMP[],E$1,0),"ERROR")</f>
        <v>1185</v>
      </c>
      <c r="F13" s="191">
        <f>IFERROR(VLOOKUP($B13,MMWR_TRAD_AGG_RO_COMP[],F$1,0),"ERROR")</f>
        <v>172</v>
      </c>
      <c r="G13" s="216">
        <f t="shared" si="0"/>
        <v>0.1451476793248945</v>
      </c>
      <c r="H13" s="190">
        <f>IFERROR(VLOOKUP($B13,MMWR_TRAD_AGG_RO_COMP[],H$1,0),"ERROR")</f>
        <v>1843</v>
      </c>
      <c r="I13" s="191">
        <f>IFERROR(VLOOKUP($B13,MMWR_TRAD_AGG_RO_COMP[],I$1,0),"ERROR")</f>
        <v>785</v>
      </c>
      <c r="J13" s="216">
        <f t="shared" si="1"/>
        <v>0.42593597395550731</v>
      </c>
      <c r="K13" s="204">
        <f>IFERROR(VLOOKUP($B13,MMWR_TRAD_AGG_RO_COMP[],K$1,0),"ERROR")</f>
        <v>212</v>
      </c>
      <c r="L13" s="205">
        <f>IFERROR(VLOOKUP($B13,MMWR_TRAD_AGG_RO_COMP[],L$1,0),"ERROR")</f>
        <v>150</v>
      </c>
      <c r="M13" s="216">
        <f t="shared" si="2"/>
        <v>0.70754716981132071</v>
      </c>
      <c r="N13" s="204">
        <f>IFERROR(VLOOKUP($B13,MMWR_TRAD_AGG_RO_COMP[],N$1,0),"ERROR")</f>
        <v>127</v>
      </c>
      <c r="O13" s="205">
        <f>IFERROR(VLOOKUP($B13,MMWR_TRAD_AGG_RO_COMP[],O$1,0),"ERROR")</f>
        <v>53</v>
      </c>
      <c r="P13" s="216">
        <f t="shared" si="3"/>
        <v>0.41732283464566927</v>
      </c>
      <c r="Q13" s="201">
        <f>IFERROR(VLOOKUP($B13,MMWR_TRAD_AGG_RO_COMP[],Q$1,0),"ERROR")</f>
        <v>0</v>
      </c>
      <c r="R13" s="201">
        <f>IFERROR(VLOOKUP($B13,MMWR_TRAD_AGG_RO_COMP[],R$1,0),"ERROR")</f>
        <v>1</v>
      </c>
      <c r="S13" s="201">
        <f>IFERROR(VLOOKUP($B13,MMWR_APP_RO[],S$1,0),"ERROR")</f>
        <v>596</v>
      </c>
      <c r="T13" s="25"/>
    </row>
    <row r="14" spans="1:20" x14ac:dyDescent="0.2">
      <c r="A14" s="107"/>
      <c r="B14" s="108" t="s">
        <v>60</v>
      </c>
      <c r="C14" s="209">
        <f>IFERROR(VLOOKUP($B14,MMWR_TRAD_AGG_RO_COMP[],C$1,0),"ERROR")</f>
        <v>2483</v>
      </c>
      <c r="D14" s="198">
        <f>IFERROR(VLOOKUP($B14,MMWR_TRAD_AGG_RO_COMP[],D$1,0),"ERROR")</f>
        <v>310.24043495770002</v>
      </c>
      <c r="E14" s="195">
        <f>IFERROR(VLOOKUP($B14,MMWR_TRAD_AGG_RO_COMP[],E$1,0),"ERROR")</f>
        <v>4878</v>
      </c>
      <c r="F14" s="191">
        <f>IFERROR(VLOOKUP($B14,MMWR_TRAD_AGG_RO_COMP[],F$1,0),"ERROR")</f>
        <v>1328</v>
      </c>
      <c r="G14" s="216">
        <f t="shared" si="0"/>
        <v>0.27224272242722425</v>
      </c>
      <c r="H14" s="190">
        <f>IFERROR(VLOOKUP($B14,MMWR_TRAD_AGG_RO_COMP[],H$1,0),"ERROR")</f>
        <v>5353</v>
      </c>
      <c r="I14" s="191">
        <f>IFERROR(VLOOKUP($B14,MMWR_TRAD_AGG_RO_COMP[],I$1,0),"ERROR")</f>
        <v>2135</v>
      </c>
      <c r="J14" s="216">
        <f t="shared" si="1"/>
        <v>0.39884177096954976</v>
      </c>
      <c r="K14" s="204">
        <f>IFERROR(VLOOKUP($B14,MMWR_TRAD_AGG_RO_COMP[],K$1,0),"ERROR")</f>
        <v>2210</v>
      </c>
      <c r="L14" s="205">
        <f>IFERROR(VLOOKUP($B14,MMWR_TRAD_AGG_RO_COMP[],L$1,0),"ERROR")</f>
        <v>1939</v>
      </c>
      <c r="M14" s="216">
        <f t="shared" si="2"/>
        <v>0.87737556561085972</v>
      </c>
      <c r="N14" s="204">
        <f>IFERROR(VLOOKUP($B14,MMWR_TRAD_AGG_RO_COMP[],N$1,0),"ERROR")</f>
        <v>4006</v>
      </c>
      <c r="O14" s="205">
        <f>IFERROR(VLOOKUP($B14,MMWR_TRAD_AGG_RO_COMP[],O$1,0),"ERROR")</f>
        <v>2172</v>
      </c>
      <c r="P14" s="216">
        <f t="shared" si="3"/>
        <v>0.5421867199201198</v>
      </c>
      <c r="Q14" s="201">
        <f>IFERROR(VLOOKUP($B14,MMWR_TRAD_AGG_RO_COMP[],Q$1,0),"ERROR")</f>
        <v>0</v>
      </c>
      <c r="R14" s="201">
        <f>IFERROR(VLOOKUP($B14,MMWR_TRAD_AGG_RO_COMP[],R$1,0),"ERROR")</f>
        <v>1</v>
      </c>
      <c r="S14" s="201">
        <f>IFERROR(VLOOKUP($B14,MMWR_APP_RO[],S$1,0),"ERROR")</f>
        <v>3352</v>
      </c>
      <c r="T14" s="25"/>
    </row>
    <row r="15" spans="1:20" x14ac:dyDescent="0.2">
      <c r="A15" s="107"/>
      <c r="B15" s="108" t="s">
        <v>61</v>
      </c>
      <c r="C15" s="209">
        <f>IFERROR(VLOOKUP($B15,MMWR_TRAD_AGG_RO_COMP[],C$1,0),"ERROR")</f>
        <v>454</v>
      </c>
      <c r="D15" s="198">
        <f>IFERROR(VLOOKUP($B15,MMWR_TRAD_AGG_RO_COMP[],D$1,0),"ERROR")</f>
        <v>266.58810572689998</v>
      </c>
      <c r="E15" s="195">
        <f>IFERROR(VLOOKUP($B15,MMWR_TRAD_AGG_RO_COMP[],E$1,0),"ERROR")</f>
        <v>2717</v>
      </c>
      <c r="F15" s="191">
        <f>IFERROR(VLOOKUP($B15,MMWR_TRAD_AGG_RO_COMP[],F$1,0),"ERROR")</f>
        <v>691</v>
      </c>
      <c r="G15" s="216">
        <f t="shared" si="0"/>
        <v>0.25432462274567535</v>
      </c>
      <c r="H15" s="190">
        <f>IFERROR(VLOOKUP($B15,MMWR_TRAD_AGG_RO_COMP[],H$1,0),"ERROR")</f>
        <v>1688</v>
      </c>
      <c r="I15" s="191">
        <f>IFERROR(VLOOKUP($B15,MMWR_TRAD_AGG_RO_COMP[],I$1,0),"ERROR")</f>
        <v>361</v>
      </c>
      <c r="J15" s="216">
        <f t="shared" si="1"/>
        <v>0.21386255924170616</v>
      </c>
      <c r="K15" s="204">
        <f>IFERROR(VLOOKUP($B15,MMWR_TRAD_AGG_RO_COMP[],K$1,0),"ERROR")</f>
        <v>565</v>
      </c>
      <c r="L15" s="205">
        <f>IFERROR(VLOOKUP($B15,MMWR_TRAD_AGG_RO_COMP[],L$1,0),"ERROR")</f>
        <v>528</v>
      </c>
      <c r="M15" s="216">
        <f t="shared" si="2"/>
        <v>0.93451327433628317</v>
      </c>
      <c r="N15" s="204">
        <f>IFERROR(VLOOKUP($B15,MMWR_TRAD_AGG_RO_COMP[],N$1,0),"ERROR")</f>
        <v>1494</v>
      </c>
      <c r="O15" s="205">
        <f>IFERROR(VLOOKUP($B15,MMWR_TRAD_AGG_RO_COMP[],O$1,0),"ERROR")</f>
        <v>1226</v>
      </c>
      <c r="P15" s="216">
        <f t="shared" si="3"/>
        <v>0.82061579651941097</v>
      </c>
      <c r="Q15" s="201">
        <f>IFERROR(VLOOKUP($B15,MMWR_TRAD_AGG_RO_COMP[],Q$1,0),"ERROR")</f>
        <v>0</v>
      </c>
      <c r="R15" s="201">
        <f>IFERROR(VLOOKUP($B15,MMWR_TRAD_AGG_RO_COMP[],R$1,0),"ERROR")</f>
        <v>1</v>
      </c>
      <c r="S15" s="201">
        <f>IFERROR(VLOOKUP($B15,MMWR_APP_RO[],S$1,0),"ERROR")</f>
        <v>2544</v>
      </c>
      <c r="T15" s="25"/>
    </row>
    <row r="16" spans="1:20" x14ac:dyDescent="0.2">
      <c r="A16" s="107"/>
      <c r="B16" s="108" t="s">
        <v>63</v>
      </c>
      <c r="C16" s="209">
        <f>IFERROR(VLOOKUP($B16,MMWR_TRAD_AGG_RO_COMP[],C$1,0),"ERROR")</f>
        <v>4457</v>
      </c>
      <c r="D16" s="198">
        <f>IFERROR(VLOOKUP($B16,MMWR_TRAD_AGG_RO_COMP[],D$1,0),"ERROR")</f>
        <v>456.06932914520002</v>
      </c>
      <c r="E16" s="195">
        <f>IFERROR(VLOOKUP($B16,MMWR_TRAD_AGG_RO_COMP[],E$1,0),"ERROR")</f>
        <v>14475</v>
      </c>
      <c r="F16" s="191">
        <f>IFERROR(VLOOKUP($B16,MMWR_TRAD_AGG_RO_COMP[],F$1,0),"ERROR")</f>
        <v>3472</v>
      </c>
      <c r="G16" s="216">
        <f t="shared" si="0"/>
        <v>0.23986183074265977</v>
      </c>
      <c r="H16" s="190">
        <f>IFERROR(VLOOKUP($B16,MMWR_TRAD_AGG_RO_COMP[],H$1,0),"ERROR")</f>
        <v>8518</v>
      </c>
      <c r="I16" s="191">
        <f>IFERROR(VLOOKUP($B16,MMWR_TRAD_AGG_RO_COMP[],I$1,0),"ERROR")</f>
        <v>4789</v>
      </c>
      <c r="J16" s="216">
        <f t="shared" si="1"/>
        <v>0.56222117868044141</v>
      </c>
      <c r="K16" s="204">
        <f>IFERROR(VLOOKUP($B16,MMWR_TRAD_AGG_RO_COMP[],K$1,0),"ERROR")</f>
        <v>1751</v>
      </c>
      <c r="L16" s="205">
        <f>IFERROR(VLOOKUP($B16,MMWR_TRAD_AGG_RO_COMP[],L$1,0),"ERROR")</f>
        <v>1443</v>
      </c>
      <c r="M16" s="216">
        <f t="shared" si="2"/>
        <v>0.82410051399200457</v>
      </c>
      <c r="N16" s="204">
        <f>IFERROR(VLOOKUP($B16,MMWR_TRAD_AGG_RO_COMP[],N$1,0),"ERROR")</f>
        <v>7091</v>
      </c>
      <c r="O16" s="205">
        <f>IFERROR(VLOOKUP($B16,MMWR_TRAD_AGG_RO_COMP[],O$1,0),"ERROR")</f>
        <v>6412</v>
      </c>
      <c r="P16" s="216">
        <f t="shared" si="3"/>
        <v>0.9042448173741362</v>
      </c>
      <c r="Q16" s="201">
        <f>IFERROR(VLOOKUP($B16,MMWR_TRAD_AGG_RO_COMP[],Q$1,0),"ERROR")</f>
        <v>13964</v>
      </c>
      <c r="R16" s="201">
        <f>IFERROR(VLOOKUP($B16,MMWR_TRAD_AGG_RO_COMP[],R$1,0),"ERROR")</f>
        <v>0</v>
      </c>
      <c r="S16" s="201">
        <f>IFERROR(VLOOKUP($B16,MMWR_APP_RO[],S$1,0),"ERROR")</f>
        <v>5830</v>
      </c>
      <c r="T16" s="25"/>
    </row>
    <row r="17" spans="1:20" x14ac:dyDescent="0.2">
      <c r="A17" s="107"/>
      <c r="B17" s="108" t="s">
        <v>65</v>
      </c>
      <c r="C17" s="209">
        <f>IFERROR(VLOOKUP($B17,MMWR_TRAD_AGG_RO_COMP[],C$1,0),"ERROR")</f>
        <v>3314</v>
      </c>
      <c r="D17" s="198">
        <f>IFERROR(VLOOKUP($B17,MMWR_TRAD_AGG_RO_COMP[],D$1,0),"ERROR")</f>
        <v>411.0467712734</v>
      </c>
      <c r="E17" s="195">
        <f>IFERROR(VLOOKUP($B17,MMWR_TRAD_AGG_RO_COMP[],E$1,0),"ERROR")</f>
        <v>5289</v>
      </c>
      <c r="F17" s="191">
        <f>IFERROR(VLOOKUP($B17,MMWR_TRAD_AGG_RO_COMP[],F$1,0),"ERROR")</f>
        <v>1618</v>
      </c>
      <c r="G17" s="216">
        <f t="shared" si="0"/>
        <v>0.30591794290035923</v>
      </c>
      <c r="H17" s="190">
        <f>IFERROR(VLOOKUP($B17,MMWR_TRAD_AGG_RO_COMP[],H$1,0),"ERROR")</f>
        <v>5827</v>
      </c>
      <c r="I17" s="191">
        <f>IFERROR(VLOOKUP($B17,MMWR_TRAD_AGG_RO_COMP[],I$1,0),"ERROR")</f>
        <v>3306</v>
      </c>
      <c r="J17" s="216">
        <f t="shared" si="1"/>
        <v>0.56735884674789772</v>
      </c>
      <c r="K17" s="204">
        <f>IFERROR(VLOOKUP($B17,MMWR_TRAD_AGG_RO_COMP[],K$1,0),"ERROR")</f>
        <v>455</v>
      </c>
      <c r="L17" s="205">
        <f>IFERROR(VLOOKUP($B17,MMWR_TRAD_AGG_RO_COMP[],L$1,0),"ERROR")</f>
        <v>350</v>
      </c>
      <c r="M17" s="216">
        <f t="shared" si="2"/>
        <v>0.76923076923076927</v>
      </c>
      <c r="N17" s="204">
        <f>IFERROR(VLOOKUP($B17,MMWR_TRAD_AGG_RO_COMP[],N$1,0),"ERROR")</f>
        <v>780</v>
      </c>
      <c r="O17" s="205">
        <f>IFERROR(VLOOKUP($B17,MMWR_TRAD_AGG_RO_COMP[],O$1,0),"ERROR")</f>
        <v>581</v>
      </c>
      <c r="P17" s="216">
        <f t="shared" si="3"/>
        <v>0.74487179487179489</v>
      </c>
      <c r="Q17" s="201">
        <f>IFERROR(VLOOKUP($B17,MMWR_TRAD_AGG_RO_COMP[],Q$1,0),"ERROR")</f>
        <v>0</v>
      </c>
      <c r="R17" s="201">
        <f>IFERROR(VLOOKUP($B17,MMWR_TRAD_AGG_RO_COMP[],R$1,0),"ERROR")</f>
        <v>1</v>
      </c>
      <c r="S17" s="201">
        <f>IFERROR(VLOOKUP($B17,MMWR_APP_RO[],S$1,0),"ERROR")</f>
        <v>4970</v>
      </c>
      <c r="T17" s="25"/>
    </row>
    <row r="18" spans="1:20" x14ac:dyDescent="0.2">
      <c r="A18" s="107"/>
      <c r="B18" s="108" t="s">
        <v>67</v>
      </c>
      <c r="C18" s="209">
        <f>IFERROR(VLOOKUP($B18,MMWR_TRAD_AGG_RO_COMP[],C$1,0),"ERROR")</f>
        <v>775</v>
      </c>
      <c r="D18" s="198">
        <f>IFERROR(VLOOKUP($B18,MMWR_TRAD_AGG_RO_COMP[],D$1,0),"ERROR")</f>
        <v>228.25935483870001</v>
      </c>
      <c r="E18" s="195">
        <f>IFERROR(VLOOKUP($B18,MMWR_TRAD_AGG_RO_COMP[],E$1,0),"ERROR")</f>
        <v>2646</v>
      </c>
      <c r="F18" s="191">
        <f>IFERROR(VLOOKUP($B18,MMWR_TRAD_AGG_RO_COMP[],F$1,0),"ERROR")</f>
        <v>371</v>
      </c>
      <c r="G18" s="216">
        <f t="shared" si="0"/>
        <v>0.1402116402116402</v>
      </c>
      <c r="H18" s="190">
        <f>IFERROR(VLOOKUP($B18,MMWR_TRAD_AGG_RO_COMP[],H$1,0),"ERROR")</f>
        <v>3358</v>
      </c>
      <c r="I18" s="191">
        <f>IFERROR(VLOOKUP($B18,MMWR_TRAD_AGG_RO_COMP[],I$1,0),"ERROR")</f>
        <v>746</v>
      </c>
      <c r="J18" s="216">
        <f t="shared" si="1"/>
        <v>0.22215604526503871</v>
      </c>
      <c r="K18" s="204">
        <f>IFERROR(VLOOKUP($B18,MMWR_TRAD_AGG_RO_COMP[],K$1,0),"ERROR")</f>
        <v>1497</v>
      </c>
      <c r="L18" s="205">
        <f>IFERROR(VLOOKUP($B18,MMWR_TRAD_AGG_RO_COMP[],L$1,0),"ERROR")</f>
        <v>1421</v>
      </c>
      <c r="M18" s="216">
        <f t="shared" si="2"/>
        <v>0.94923179692718773</v>
      </c>
      <c r="N18" s="204">
        <f>IFERROR(VLOOKUP($B18,MMWR_TRAD_AGG_RO_COMP[],N$1,0),"ERROR")</f>
        <v>438</v>
      </c>
      <c r="O18" s="205">
        <f>IFERROR(VLOOKUP($B18,MMWR_TRAD_AGG_RO_COMP[],O$1,0),"ERROR")</f>
        <v>259</v>
      </c>
      <c r="P18" s="216">
        <f t="shared" si="3"/>
        <v>0.591324200913242</v>
      </c>
      <c r="Q18" s="201">
        <f>IFERROR(VLOOKUP($B18,MMWR_TRAD_AGG_RO_COMP[],Q$1,0),"ERROR")</f>
        <v>0</v>
      </c>
      <c r="R18" s="201">
        <f>IFERROR(VLOOKUP($B18,MMWR_TRAD_AGG_RO_COMP[],R$1,0),"ERROR")</f>
        <v>0</v>
      </c>
      <c r="S18" s="201">
        <f>IFERROR(VLOOKUP($B18,MMWR_APP_RO[],S$1,0),"ERROR")</f>
        <v>769</v>
      </c>
      <c r="T18" s="25"/>
    </row>
    <row r="19" spans="1:20" x14ac:dyDescent="0.2">
      <c r="A19" s="107"/>
      <c r="B19" s="108" t="s">
        <v>69</v>
      </c>
      <c r="C19" s="209">
        <f>IFERROR(VLOOKUP($B19,MMWR_TRAD_AGG_RO_COMP[],C$1,0),"ERROR")</f>
        <v>15928</v>
      </c>
      <c r="D19" s="198">
        <f>IFERROR(VLOOKUP($B19,MMWR_TRAD_AGG_RO_COMP[],D$1,0),"ERROR")</f>
        <v>369.68144148670001</v>
      </c>
      <c r="E19" s="195">
        <f>IFERROR(VLOOKUP($B19,MMWR_TRAD_AGG_RO_COMP[],E$1,0),"ERROR")</f>
        <v>11373</v>
      </c>
      <c r="F19" s="191">
        <f>IFERROR(VLOOKUP($B19,MMWR_TRAD_AGG_RO_COMP[],F$1,0),"ERROR")</f>
        <v>2064</v>
      </c>
      <c r="G19" s="216">
        <f t="shared" si="0"/>
        <v>0.18148245845423372</v>
      </c>
      <c r="H19" s="190">
        <f>IFERROR(VLOOKUP($B19,MMWR_TRAD_AGG_RO_COMP[],H$1,0),"ERROR")</f>
        <v>21880</v>
      </c>
      <c r="I19" s="191">
        <f>IFERROR(VLOOKUP($B19,MMWR_TRAD_AGG_RO_COMP[],I$1,0),"ERROR")</f>
        <v>12131</v>
      </c>
      <c r="J19" s="216">
        <f t="shared" si="1"/>
        <v>0.55443327239488116</v>
      </c>
      <c r="K19" s="204">
        <f>IFERROR(VLOOKUP($B19,MMWR_TRAD_AGG_RO_COMP[],K$1,0),"ERROR")</f>
        <v>8286</v>
      </c>
      <c r="L19" s="205">
        <f>IFERROR(VLOOKUP($B19,MMWR_TRAD_AGG_RO_COMP[],L$1,0),"ERROR")</f>
        <v>6922</v>
      </c>
      <c r="M19" s="216">
        <f t="shared" si="2"/>
        <v>0.83538498672459571</v>
      </c>
      <c r="N19" s="204">
        <f>IFERROR(VLOOKUP($B19,MMWR_TRAD_AGG_RO_COMP[],N$1,0),"ERROR")</f>
        <v>4617</v>
      </c>
      <c r="O19" s="205">
        <f>IFERROR(VLOOKUP($B19,MMWR_TRAD_AGG_RO_COMP[],O$1,0),"ERROR")</f>
        <v>3999</v>
      </c>
      <c r="P19" s="216">
        <f t="shared" si="3"/>
        <v>0.86614684860298896</v>
      </c>
      <c r="Q19" s="201">
        <f>IFERROR(VLOOKUP($B19,MMWR_TRAD_AGG_RO_COMP[],Q$1,0),"ERROR")</f>
        <v>5</v>
      </c>
      <c r="R19" s="201">
        <f>IFERROR(VLOOKUP($B19,MMWR_TRAD_AGG_RO_COMP[],R$1,0),"ERROR")</f>
        <v>7</v>
      </c>
      <c r="S19" s="201">
        <f>IFERROR(VLOOKUP($B19,MMWR_APP_RO[],S$1,0),"ERROR")</f>
        <v>15117</v>
      </c>
      <c r="T19" s="25"/>
    </row>
    <row r="20" spans="1:20" x14ac:dyDescent="0.2">
      <c r="A20" s="107"/>
      <c r="B20" s="108" t="s">
        <v>78</v>
      </c>
      <c r="C20" s="209">
        <f>IFERROR(VLOOKUP($B20,MMWR_TRAD_AGG_RO_COMP[],C$1,0),"ERROR")</f>
        <v>1251</v>
      </c>
      <c r="D20" s="198">
        <f>IFERROR(VLOOKUP($B20,MMWR_TRAD_AGG_RO_COMP[],D$1,0),"ERROR")</f>
        <v>286.6762589928</v>
      </c>
      <c r="E20" s="195">
        <f>IFERROR(VLOOKUP($B20,MMWR_TRAD_AGG_RO_COMP[],E$1,0),"ERROR")</f>
        <v>1303</v>
      </c>
      <c r="F20" s="191">
        <f>IFERROR(VLOOKUP($B20,MMWR_TRAD_AGG_RO_COMP[],F$1,0),"ERROR")</f>
        <v>156</v>
      </c>
      <c r="G20" s="216">
        <f t="shared" si="0"/>
        <v>0.11972371450498849</v>
      </c>
      <c r="H20" s="190">
        <f>IFERROR(VLOOKUP($B20,MMWR_TRAD_AGG_RO_COMP[],H$1,0),"ERROR")</f>
        <v>2329</v>
      </c>
      <c r="I20" s="191">
        <f>IFERROR(VLOOKUP($B20,MMWR_TRAD_AGG_RO_COMP[],I$1,0),"ERROR")</f>
        <v>957</v>
      </c>
      <c r="J20" s="216">
        <f t="shared" si="1"/>
        <v>0.41090596822670672</v>
      </c>
      <c r="K20" s="204">
        <f>IFERROR(VLOOKUP($B20,MMWR_TRAD_AGG_RO_COMP[],K$1,0),"ERROR")</f>
        <v>846</v>
      </c>
      <c r="L20" s="205">
        <f>IFERROR(VLOOKUP($B20,MMWR_TRAD_AGG_RO_COMP[],L$1,0),"ERROR")</f>
        <v>632</v>
      </c>
      <c r="M20" s="216">
        <f t="shared" si="2"/>
        <v>0.74704491725768318</v>
      </c>
      <c r="N20" s="204">
        <f>IFERROR(VLOOKUP($B20,MMWR_TRAD_AGG_RO_COMP[],N$1,0),"ERROR")</f>
        <v>243</v>
      </c>
      <c r="O20" s="205">
        <f>IFERROR(VLOOKUP($B20,MMWR_TRAD_AGG_RO_COMP[],O$1,0),"ERROR")</f>
        <v>166</v>
      </c>
      <c r="P20" s="216">
        <f t="shared" si="3"/>
        <v>0.6831275720164609</v>
      </c>
      <c r="Q20" s="201">
        <f>IFERROR(VLOOKUP($B20,MMWR_TRAD_AGG_RO_COMP[],Q$1,0),"ERROR")</f>
        <v>1</v>
      </c>
      <c r="R20" s="201">
        <f>IFERROR(VLOOKUP($B20,MMWR_TRAD_AGG_RO_COMP[],R$1,0),"ERROR")</f>
        <v>0</v>
      </c>
      <c r="S20" s="201">
        <f>IFERROR(VLOOKUP($B20,MMWR_APP_RO[],S$1,0),"ERROR")</f>
        <v>1016</v>
      </c>
      <c r="T20" s="25"/>
    </row>
    <row r="21" spans="1:20" x14ac:dyDescent="0.2">
      <c r="A21" s="107"/>
      <c r="B21" s="108" t="s">
        <v>430</v>
      </c>
      <c r="C21" s="209">
        <f>IFERROR(VLOOKUP($B21,MMWR_TRAD_AGG_RO_COMP[],C$1,0),"ERROR")</f>
        <v>5361</v>
      </c>
      <c r="D21" s="198">
        <f>IFERROR(VLOOKUP($B21,MMWR_TRAD_AGG_RO_COMP[],D$1,0),"ERROR")</f>
        <v>409.91550083940001</v>
      </c>
      <c r="E21" s="195">
        <f>IFERROR(VLOOKUP($B21,MMWR_TRAD_AGG_RO_COMP[],E$1,0),"ERROR")</f>
        <v>847</v>
      </c>
      <c r="F21" s="191">
        <f>IFERROR(VLOOKUP($B21,MMWR_TRAD_AGG_RO_COMP[],F$1,0),"ERROR")</f>
        <v>162</v>
      </c>
      <c r="G21" s="216">
        <f t="shared" si="0"/>
        <v>0.19126328217237309</v>
      </c>
      <c r="H21" s="190">
        <f>IFERROR(VLOOKUP($B21,MMWR_TRAD_AGG_RO_COMP[],H$1,0),"ERROR")</f>
        <v>5784</v>
      </c>
      <c r="I21" s="191">
        <f>IFERROR(VLOOKUP($B21,MMWR_TRAD_AGG_RO_COMP[],I$1,0),"ERROR")</f>
        <v>4261</v>
      </c>
      <c r="J21" s="216">
        <f t="shared" si="1"/>
        <v>0.73668741355463352</v>
      </c>
      <c r="K21" s="204">
        <f>IFERROR(VLOOKUP($B21,MMWR_TRAD_AGG_RO_COMP[],K$1,0),"ERROR")</f>
        <v>1098</v>
      </c>
      <c r="L21" s="205">
        <f>IFERROR(VLOOKUP($B21,MMWR_TRAD_AGG_RO_COMP[],L$1,0),"ERROR")</f>
        <v>722</v>
      </c>
      <c r="M21" s="216">
        <f t="shared" si="2"/>
        <v>0.65755919854280509</v>
      </c>
      <c r="N21" s="204">
        <f>IFERROR(VLOOKUP($B21,MMWR_TRAD_AGG_RO_COMP[],N$1,0),"ERROR")</f>
        <v>1202</v>
      </c>
      <c r="O21" s="205">
        <f>IFERROR(VLOOKUP($B21,MMWR_TRAD_AGG_RO_COMP[],O$1,0),"ERROR")</f>
        <v>1185</v>
      </c>
      <c r="P21" s="216">
        <f t="shared" si="3"/>
        <v>0.9858569051580699</v>
      </c>
      <c r="Q21" s="201">
        <f>IFERROR(VLOOKUP($B21,MMWR_TRAD_AGG_RO_COMP[],Q$1,0),"ERROR")</f>
        <v>0</v>
      </c>
      <c r="R21" s="201">
        <f>IFERROR(VLOOKUP($B21,MMWR_TRAD_AGG_RO_COMP[],R$1,0),"ERROR")</f>
        <v>0</v>
      </c>
      <c r="S21" s="201">
        <f>IFERROR(VLOOKUP($B21,MMWR_APP_RO[],S$1,0),"ERROR")</f>
        <v>30</v>
      </c>
      <c r="T21" s="25"/>
    </row>
    <row r="22" spans="1:20" x14ac:dyDescent="0.2">
      <c r="A22" s="107"/>
      <c r="B22" s="108" t="s">
        <v>135</v>
      </c>
      <c r="C22" s="209">
        <f>IFERROR(VLOOKUP($B22,MMWR_TRAD_AGG_RO_COMP[],C$1,0),"ERROR")</f>
        <v>523</v>
      </c>
      <c r="D22" s="198">
        <f>IFERROR(VLOOKUP($B22,MMWR_TRAD_AGG_RO_COMP[],D$1,0),"ERROR")</f>
        <v>348.34799235179997</v>
      </c>
      <c r="E22" s="195">
        <f>IFERROR(VLOOKUP($B22,MMWR_TRAD_AGG_RO_COMP[],E$1,0),"ERROR")</f>
        <v>537</v>
      </c>
      <c r="F22" s="191">
        <f>IFERROR(VLOOKUP($B22,MMWR_TRAD_AGG_RO_COMP[],F$1,0),"ERROR")</f>
        <v>155</v>
      </c>
      <c r="G22" s="216">
        <f t="shared" si="0"/>
        <v>0.28864059590316571</v>
      </c>
      <c r="H22" s="190">
        <f>IFERROR(VLOOKUP($B22,MMWR_TRAD_AGG_RO_COMP[],H$1,0),"ERROR")</f>
        <v>1118</v>
      </c>
      <c r="I22" s="191">
        <f>IFERROR(VLOOKUP($B22,MMWR_TRAD_AGG_RO_COMP[],I$1,0),"ERROR")</f>
        <v>468</v>
      </c>
      <c r="J22" s="216">
        <f t="shared" si="1"/>
        <v>0.41860465116279072</v>
      </c>
      <c r="K22" s="204">
        <f>IFERROR(VLOOKUP($B22,MMWR_TRAD_AGG_RO_COMP[],K$1,0),"ERROR")</f>
        <v>147</v>
      </c>
      <c r="L22" s="205">
        <f>IFERROR(VLOOKUP($B22,MMWR_TRAD_AGG_RO_COMP[],L$1,0),"ERROR")</f>
        <v>116</v>
      </c>
      <c r="M22" s="216">
        <f t="shared" si="2"/>
        <v>0.78911564625850339</v>
      </c>
      <c r="N22" s="204">
        <f>IFERROR(VLOOKUP($B22,MMWR_TRAD_AGG_RO_COMP[],N$1,0),"ERROR")</f>
        <v>184</v>
      </c>
      <c r="O22" s="205">
        <f>IFERROR(VLOOKUP($B22,MMWR_TRAD_AGG_RO_COMP[],O$1,0),"ERROR")</f>
        <v>88</v>
      </c>
      <c r="P22" s="216">
        <f t="shared" si="3"/>
        <v>0.47826086956521741</v>
      </c>
      <c r="Q22" s="201">
        <f>IFERROR(VLOOKUP($B22,MMWR_TRAD_AGG_RO_COMP[],Q$1,0),"ERROR")</f>
        <v>0</v>
      </c>
      <c r="R22" s="201">
        <f>IFERROR(VLOOKUP($B22,MMWR_TRAD_AGG_RO_COMP[],R$1,0),"ERROR")</f>
        <v>2</v>
      </c>
      <c r="S22" s="201">
        <f>IFERROR(VLOOKUP($B22,MMWR_APP_RO[],S$1,0),"ERROR")</f>
        <v>195</v>
      </c>
      <c r="T22" s="25"/>
    </row>
    <row r="23" spans="1:20" x14ac:dyDescent="0.2">
      <c r="A23" s="107"/>
      <c r="B23" s="108" t="s">
        <v>82</v>
      </c>
      <c r="C23" s="209">
        <f>IFERROR(VLOOKUP($B23,MMWR_TRAD_AGG_RO_COMP[],C$1,0),"ERROR")</f>
        <v>528</v>
      </c>
      <c r="D23" s="198">
        <f>IFERROR(VLOOKUP($B23,MMWR_TRAD_AGG_RO_COMP[],D$1,0),"ERROR")</f>
        <v>433.45265151519999</v>
      </c>
      <c r="E23" s="195">
        <f>IFERROR(VLOOKUP($B23,MMWR_TRAD_AGG_RO_COMP[],E$1,0),"ERROR")</f>
        <v>773</v>
      </c>
      <c r="F23" s="191">
        <f>IFERROR(VLOOKUP($B23,MMWR_TRAD_AGG_RO_COMP[],F$1,0),"ERROR")</f>
        <v>168</v>
      </c>
      <c r="G23" s="216">
        <f t="shared" si="0"/>
        <v>0.21733505821474774</v>
      </c>
      <c r="H23" s="190">
        <f>IFERROR(VLOOKUP($B23,MMWR_TRAD_AGG_RO_COMP[],H$1,0),"ERROR")</f>
        <v>875</v>
      </c>
      <c r="I23" s="191">
        <f>IFERROR(VLOOKUP($B23,MMWR_TRAD_AGG_RO_COMP[],I$1,0),"ERROR")</f>
        <v>458</v>
      </c>
      <c r="J23" s="216">
        <f t="shared" si="1"/>
        <v>0.52342857142857147</v>
      </c>
      <c r="K23" s="204">
        <f>IFERROR(VLOOKUP($B23,MMWR_TRAD_AGG_RO_COMP[],K$1,0),"ERROR")</f>
        <v>48</v>
      </c>
      <c r="L23" s="205">
        <f>IFERROR(VLOOKUP($B23,MMWR_TRAD_AGG_RO_COMP[],L$1,0),"ERROR")</f>
        <v>46</v>
      </c>
      <c r="M23" s="216">
        <f t="shared" si="2"/>
        <v>0.95833333333333337</v>
      </c>
      <c r="N23" s="204">
        <f>IFERROR(VLOOKUP($B23,MMWR_TRAD_AGG_RO_COMP[],N$1,0),"ERROR")</f>
        <v>88</v>
      </c>
      <c r="O23" s="205">
        <f>IFERROR(VLOOKUP($B23,MMWR_TRAD_AGG_RO_COMP[],O$1,0),"ERROR")</f>
        <v>45</v>
      </c>
      <c r="P23" s="216">
        <f t="shared" si="3"/>
        <v>0.51136363636363635</v>
      </c>
      <c r="Q23" s="201">
        <f>IFERROR(VLOOKUP($B23,MMWR_TRAD_AGG_RO_COMP[],Q$1,0),"ERROR")</f>
        <v>0</v>
      </c>
      <c r="R23" s="201">
        <f>IFERROR(VLOOKUP($B23,MMWR_TRAD_AGG_RO_COMP[],R$1,0),"ERROR")</f>
        <v>0</v>
      </c>
      <c r="S23" s="201">
        <f>IFERROR(VLOOKUP($B23,MMWR_APP_RO[],S$1,0),"ERROR")</f>
        <v>160</v>
      </c>
      <c r="T23" s="25"/>
    </row>
    <row r="24" spans="1:20" x14ac:dyDescent="0.2">
      <c r="A24" s="92"/>
      <c r="B24" s="116" t="s">
        <v>83</v>
      </c>
      <c r="C24" s="210">
        <f>IFERROR(VLOOKUP($B24,MMWR_TRAD_AGG_RO_COMP[],C$1,0),"ERROR")</f>
        <v>16963</v>
      </c>
      <c r="D24" s="199">
        <f>IFERROR(VLOOKUP($B24,MMWR_TRAD_AGG_RO_COMP[],D$1,0),"ERROR")</f>
        <v>314.80386724049998</v>
      </c>
      <c r="E24" s="196">
        <f>IFERROR(VLOOKUP($B24,MMWR_TRAD_AGG_RO_COMP[],E$1,0),"ERROR")</f>
        <v>18271</v>
      </c>
      <c r="F24" s="193">
        <f>IFERROR(VLOOKUP($B24,MMWR_TRAD_AGG_RO_COMP[],F$1,0),"ERROR")</f>
        <v>4372</v>
      </c>
      <c r="G24" s="217">
        <f t="shared" si="0"/>
        <v>0.23928630069509058</v>
      </c>
      <c r="H24" s="192">
        <f>IFERROR(VLOOKUP($B24,MMWR_TRAD_AGG_RO_COMP[],H$1,0),"ERROR")</f>
        <v>29289</v>
      </c>
      <c r="I24" s="193">
        <f>IFERROR(VLOOKUP($B24,MMWR_TRAD_AGG_RO_COMP[],I$1,0),"ERROR")</f>
        <v>17846</v>
      </c>
      <c r="J24" s="217">
        <f t="shared" si="1"/>
        <v>0.60930724845505135</v>
      </c>
      <c r="K24" s="206">
        <f>IFERROR(VLOOKUP($B24,MMWR_TRAD_AGG_RO_COMP[],K$1,0),"ERROR")</f>
        <v>12444</v>
      </c>
      <c r="L24" s="207">
        <f>IFERROR(VLOOKUP($B24,MMWR_TRAD_AGG_RO_COMP[],L$1,0),"ERROR")</f>
        <v>9241</v>
      </c>
      <c r="M24" s="217">
        <f t="shared" si="2"/>
        <v>0.74260687881710064</v>
      </c>
      <c r="N24" s="206">
        <f>IFERROR(VLOOKUP($B24,MMWR_TRAD_AGG_RO_COMP[],N$1,0),"ERROR")</f>
        <v>4324</v>
      </c>
      <c r="O24" s="207">
        <f>IFERROR(VLOOKUP($B24,MMWR_TRAD_AGG_RO_COMP[],O$1,0),"ERROR")</f>
        <v>3110</v>
      </c>
      <c r="P24" s="217">
        <f t="shared" si="3"/>
        <v>0.71924144310823312</v>
      </c>
      <c r="Q24" s="202">
        <f>IFERROR(VLOOKUP($B24,MMWR_TRAD_AGG_RO_COMP[],Q$1,0),"ERROR")</f>
        <v>1</v>
      </c>
      <c r="R24" s="202">
        <f>IFERROR(VLOOKUP($B24,MMWR_TRAD_AGG_RO_COMP[],R$1,0),"ERROR")</f>
        <v>16</v>
      </c>
      <c r="S24" s="201">
        <f>IFERROR(VLOOKUP($B24,MMWR_APP_RO[],S$1,0),"ERROR")</f>
        <v>8593</v>
      </c>
      <c r="T24" s="25"/>
    </row>
    <row r="25" spans="1:20" x14ac:dyDescent="0.2">
      <c r="A25" s="107"/>
      <c r="B25" s="101" t="s">
        <v>390</v>
      </c>
      <c r="C25" s="212">
        <f>IFERROR(VLOOKUP($B25,MMWR_TRAD_AGG_DISTRICT_COMP[],C$1,0),"ERROR")</f>
        <v>32898</v>
      </c>
      <c r="D25" s="197">
        <f>IFERROR(VLOOKUP($B25,MMWR_TRAD_AGG_DISTRICT_COMP[],D$1,0),"ERROR")</f>
        <v>338.2138427868</v>
      </c>
      <c r="E25" s="213">
        <f>IFERROR(VLOOKUP($B25,MMWR_TRAD_AGG_DISTRICT_COMP[],E$1,0),"ERROR")</f>
        <v>58676</v>
      </c>
      <c r="F25" s="218">
        <f>IFERROR(VLOOKUP($B25,MMWR_TRAD_AGG_DISTRICT_COMP[],F$1,0),"ERROR")</f>
        <v>10716</v>
      </c>
      <c r="G25" s="214">
        <f t="shared" si="0"/>
        <v>0.1826300361306156</v>
      </c>
      <c r="H25" s="218">
        <f>IFERROR(VLOOKUP($B25,MMWR_TRAD_AGG_DISTRICT_COMP[],H$1,0),"ERROR")</f>
        <v>74349</v>
      </c>
      <c r="I25" s="218">
        <f>IFERROR(VLOOKUP($B25,MMWR_TRAD_AGG_DISTRICT_COMP[],I$1,0),"ERROR")</f>
        <v>30475</v>
      </c>
      <c r="J25" s="214">
        <f t="shared" si="1"/>
        <v>0.4098911888525737</v>
      </c>
      <c r="K25" s="212">
        <f>IFERROR(VLOOKUP($B25,MMWR_TRAD_AGG_DISTRICT_COMP[],K$1,0),"ERROR")</f>
        <v>19636</v>
      </c>
      <c r="L25" s="212">
        <f>IFERROR(VLOOKUP($B25,MMWR_TRAD_AGG_DISTRICT_COMP[],L$1,0),"ERROR")</f>
        <v>15336</v>
      </c>
      <c r="M25" s="214">
        <f t="shared" si="2"/>
        <v>0.78101446323080059</v>
      </c>
      <c r="N25" s="212">
        <f>IFERROR(VLOOKUP($B25,MMWR_TRAD_AGG_DISTRICT_COMP[],N$1,0),"ERROR")</f>
        <v>12083</v>
      </c>
      <c r="O25" s="212">
        <f>IFERROR(VLOOKUP($B25,MMWR_TRAD_AGG_DISTRICT_COMP[],O$1,0),"ERROR")</f>
        <v>8411</v>
      </c>
      <c r="P25" s="214">
        <f t="shared" si="3"/>
        <v>0.69610196143341885</v>
      </c>
      <c r="Q25" s="212">
        <f>IFERROR(VLOOKUP($B25,MMWR_TRAD_AGG_DISTRICT_COMP[],Q$1,0),"ERROR")</f>
        <v>9239</v>
      </c>
      <c r="R25" s="215">
        <f>IFERROR(VLOOKUP($B25,MMWR_TRAD_AGG_DISTRICT_COMP[],R$1,0),"ERROR")</f>
        <v>1082</v>
      </c>
      <c r="S25" s="215">
        <f>IFERROR(VLOOKUP($B25,MMWR_APP_RO[],S$1,0),"ERROR")</f>
        <v>51791</v>
      </c>
      <c r="T25" s="25"/>
    </row>
    <row r="26" spans="1:20" x14ac:dyDescent="0.2">
      <c r="A26" s="107"/>
      <c r="B26" s="108" t="s">
        <v>37</v>
      </c>
      <c r="C26" s="209">
        <f>IFERROR(VLOOKUP($B26,MMWR_TRAD_AGG_RO_COMP[],C$1,0),"ERROR")</f>
        <v>4689</v>
      </c>
      <c r="D26" s="198">
        <f>IFERROR(VLOOKUP($B26,MMWR_TRAD_AGG_RO_COMP[],D$1,0),"ERROR")</f>
        <v>509.12348048619998</v>
      </c>
      <c r="E26" s="195">
        <f>IFERROR(VLOOKUP($B26,MMWR_TRAD_AGG_RO_COMP[],E$1,0),"ERROR")</f>
        <v>6534</v>
      </c>
      <c r="F26" s="191">
        <f>IFERROR(VLOOKUP($B26,MMWR_TRAD_AGG_RO_COMP[],F$1,0),"ERROR")</f>
        <v>1575</v>
      </c>
      <c r="G26" s="216">
        <f t="shared" si="0"/>
        <v>0.24104683195592286</v>
      </c>
      <c r="H26" s="190">
        <f>IFERROR(VLOOKUP($B26,MMWR_TRAD_AGG_RO_COMP[],H$1,0),"ERROR")</f>
        <v>7841</v>
      </c>
      <c r="I26" s="191">
        <f>IFERROR(VLOOKUP($B26,MMWR_TRAD_AGG_RO_COMP[],I$1,0),"ERROR")</f>
        <v>4546</v>
      </c>
      <c r="J26" s="216">
        <f t="shared" si="1"/>
        <v>0.57977298813926792</v>
      </c>
      <c r="K26" s="204">
        <f>IFERROR(VLOOKUP($B26,MMWR_TRAD_AGG_RO_COMP[],K$1,0),"ERROR")</f>
        <v>1746</v>
      </c>
      <c r="L26" s="205">
        <f>IFERROR(VLOOKUP($B26,MMWR_TRAD_AGG_RO_COMP[],L$1,0),"ERROR")</f>
        <v>1619</v>
      </c>
      <c r="M26" s="216">
        <f t="shared" si="2"/>
        <v>0.92726231386025204</v>
      </c>
      <c r="N26" s="204">
        <f>IFERROR(VLOOKUP($B26,MMWR_TRAD_AGG_RO_COMP[],N$1,0),"ERROR")</f>
        <v>1403</v>
      </c>
      <c r="O26" s="205">
        <f>IFERROR(VLOOKUP($B26,MMWR_TRAD_AGG_RO_COMP[],O$1,0),"ERROR")</f>
        <v>846</v>
      </c>
      <c r="P26" s="216">
        <f t="shared" si="3"/>
        <v>0.60299358517462576</v>
      </c>
      <c r="Q26" s="201">
        <f>IFERROR(VLOOKUP($B26,MMWR_TRAD_AGG_RO_COMP[],Q$1,0),"ERROR")</f>
        <v>1</v>
      </c>
      <c r="R26" s="201">
        <f>IFERROR(VLOOKUP($B26,MMWR_TRAD_AGG_RO_COMP[],R$1,0),"ERROR")</f>
        <v>220</v>
      </c>
      <c r="S26" s="201">
        <f>IFERROR(VLOOKUP($B26,MMWR_APP_RO[],S$1,0),"ERROR")</f>
        <v>8294</v>
      </c>
      <c r="T26" s="25"/>
    </row>
    <row r="27" spans="1:20" x14ac:dyDescent="0.2">
      <c r="A27" s="107"/>
      <c r="B27" s="108" t="s">
        <v>38</v>
      </c>
      <c r="C27" s="209">
        <f>IFERROR(VLOOKUP($B27,MMWR_TRAD_AGG_RO_COMP[],C$1,0),"ERROR")</f>
        <v>4186</v>
      </c>
      <c r="D27" s="198">
        <f>IFERROR(VLOOKUP($B27,MMWR_TRAD_AGG_RO_COMP[],D$1,0),"ERROR")</f>
        <v>420.2283803153</v>
      </c>
      <c r="E27" s="195">
        <f>IFERROR(VLOOKUP($B27,MMWR_TRAD_AGG_RO_COMP[],E$1,0),"ERROR")</f>
        <v>7733</v>
      </c>
      <c r="F27" s="191">
        <f>IFERROR(VLOOKUP($B27,MMWR_TRAD_AGG_RO_COMP[],F$1,0),"ERROR")</f>
        <v>1339</v>
      </c>
      <c r="G27" s="216">
        <f t="shared" si="0"/>
        <v>0.17315401525927843</v>
      </c>
      <c r="H27" s="190">
        <f>IFERROR(VLOOKUP($B27,MMWR_TRAD_AGG_RO_COMP[],H$1,0),"ERROR")</f>
        <v>8010</v>
      </c>
      <c r="I27" s="191">
        <f>IFERROR(VLOOKUP($B27,MMWR_TRAD_AGG_RO_COMP[],I$1,0),"ERROR")</f>
        <v>3366</v>
      </c>
      <c r="J27" s="216">
        <f t="shared" si="1"/>
        <v>0.42022471910112358</v>
      </c>
      <c r="K27" s="204">
        <f>IFERROR(VLOOKUP($B27,MMWR_TRAD_AGG_RO_COMP[],K$1,0),"ERROR")</f>
        <v>1823</v>
      </c>
      <c r="L27" s="205">
        <f>IFERROR(VLOOKUP($B27,MMWR_TRAD_AGG_RO_COMP[],L$1,0),"ERROR")</f>
        <v>1640</v>
      </c>
      <c r="M27" s="216">
        <f t="shared" si="2"/>
        <v>0.8996160175534833</v>
      </c>
      <c r="N27" s="204">
        <f>IFERROR(VLOOKUP($B27,MMWR_TRAD_AGG_RO_COMP[],N$1,0),"ERROR")</f>
        <v>2889</v>
      </c>
      <c r="O27" s="205">
        <f>IFERROR(VLOOKUP($B27,MMWR_TRAD_AGG_RO_COMP[],O$1,0),"ERROR")</f>
        <v>2208</v>
      </c>
      <c r="P27" s="216">
        <f t="shared" si="3"/>
        <v>0.76427829698857741</v>
      </c>
      <c r="Q27" s="201">
        <f>IFERROR(VLOOKUP($B27,MMWR_TRAD_AGG_RO_COMP[],Q$1,0),"ERROR")</f>
        <v>1</v>
      </c>
      <c r="R27" s="201">
        <f>IFERROR(VLOOKUP($B27,MMWR_TRAD_AGG_RO_COMP[],R$1,0),"ERROR")</f>
        <v>323</v>
      </c>
      <c r="S27" s="201">
        <f>IFERROR(VLOOKUP($B27,MMWR_APP_RO[],S$1,0),"ERROR")</f>
        <v>12616</v>
      </c>
      <c r="T27" s="25"/>
    </row>
    <row r="28" spans="1:20" x14ac:dyDescent="0.2">
      <c r="A28" s="107"/>
      <c r="B28" s="108" t="s">
        <v>41</v>
      </c>
      <c r="C28" s="209">
        <f>IFERROR(VLOOKUP($B28,MMWR_TRAD_AGG_RO_COMP[],C$1,0),"ERROR")</f>
        <v>577</v>
      </c>
      <c r="D28" s="198">
        <f>IFERROR(VLOOKUP($B28,MMWR_TRAD_AGG_RO_COMP[],D$1,0),"ERROR")</f>
        <v>127.07798960140001</v>
      </c>
      <c r="E28" s="195">
        <f>IFERROR(VLOOKUP($B28,MMWR_TRAD_AGG_RO_COMP[],E$1,0),"ERROR")</f>
        <v>2287</v>
      </c>
      <c r="F28" s="191">
        <f>IFERROR(VLOOKUP($B28,MMWR_TRAD_AGG_RO_COMP[],F$1,0),"ERROR")</f>
        <v>335</v>
      </c>
      <c r="G28" s="216">
        <f t="shared" si="0"/>
        <v>0.14648010494097069</v>
      </c>
      <c r="H28" s="190">
        <f>IFERROR(VLOOKUP($B28,MMWR_TRAD_AGG_RO_COMP[],H$1,0),"ERROR")</f>
        <v>2010</v>
      </c>
      <c r="I28" s="191">
        <f>IFERROR(VLOOKUP($B28,MMWR_TRAD_AGG_RO_COMP[],I$1,0),"ERROR")</f>
        <v>251</v>
      </c>
      <c r="J28" s="216">
        <f t="shared" si="1"/>
        <v>0.12487562189054727</v>
      </c>
      <c r="K28" s="204">
        <f>IFERROR(VLOOKUP($B28,MMWR_TRAD_AGG_RO_COMP[],K$1,0),"ERROR")</f>
        <v>148</v>
      </c>
      <c r="L28" s="205">
        <f>IFERROR(VLOOKUP($B28,MMWR_TRAD_AGG_RO_COMP[],L$1,0),"ERROR")</f>
        <v>90</v>
      </c>
      <c r="M28" s="216">
        <f t="shared" si="2"/>
        <v>0.60810810810810811</v>
      </c>
      <c r="N28" s="204">
        <f>IFERROR(VLOOKUP($B28,MMWR_TRAD_AGG_RO_COMP[],N$1,0),"ERROR")</f>
        <v>194</v>
      </c>
      <c r="O28" s="205">
        <f>IFERROR(VLOOKUP($B28,MMWR_TRAD_AGG_RO_COMP[],O$1,0),"ERROR")</f>
        <v>93</v>
      </c>
      <c r="P28" s="216">
        <f t="shared" si="3"/>
        <v>0.47938144329896909</v>
      </c>
      <c r="Q28" s="201">
        <f>IFERROR(VLOOKUP($B28,MMWR_TRAD_AGG_RO_COMP[],Q$1,0),"ERROR")</f>
        <v>0</v>
      </c>
      <c r="R28" s="201">
        <f>IFERROR(VLOOKUP($B28,MMWR_TRAD_AGG_RO_COMP[],R$1,0),"ERROR")</f>
        <v>9</v>
      </c>
      <c r="S28" s="201">
        <f>IFERROR(VLOOKUP($B28,MMWR_APP_RO[],S$1,0),"ERROR")</f>
        <v>1478</v>
      </c>
      <c r="T28" s="25"/>
    </row>
    <row r="29" spans="1:20" x14ac:dyDescent="0.2">
      <c r="A29" s="107"/>
      <c r="B29" s="108" t="s">
        <v>42</v>
      </c>
      <c r="C29" s="209">
        <f>IFERROR(VLOOKUP($B29,MMWR_TRAD_AGG_RO_COMP[],C$1,0),"ERROR")</f>
        <v>2870</v>
      </c>
      <c r="D29" s="198">
        <f>IFERROR(VLOOKUP($B29,MMWR_TRAD_AGG_RO_COMP[],D$1,0),"ERROR")</f>
        <v>360.56759581879999</v>
      </c>
      <c r="E29" s="195">
        <f>IFERROR(VLOOKUP($B29,MMWR_TRAD_AGG_RO_COMP[],E$1,0),"ERROR")</f>
        <v>7405</v>
      </c>
      <c r="F29" s="191">
        <f>IFERROR(VLOOKUP($B29,MMWR_TRAD_AGG_RO_COMP[],F$1,0),"ERROR")</f>
        <v>1925</v>
      </c>
      <c r="G29" s="216">
        <f t="shared" si="0"/>
        <v>0.25995948683322079</v>
      </c>
      <c r="H29" s="190">
        <f>IFERROR(VLOOKUP($B29,MMWR_TRAD_AGG_RO_COMP[],H$1,0),"ERROR")</f>
        <v>8906</v>
      </c>
      <c r="I29" s="191">
        <f>IFERROR(VLOOKUP($B29,MMWR_TRAD_AGG_RO_COMP[],I$1,0),"ERROR")</f>
        <v>3952</v>
      </c>
      <c r="J29" s="216">
        <f t="shared" si="1"/>
        <v>0.44374578935549069</v>
      </c>
      <c r="K29" s="204">
        <f>IFERROR(VLOOKUP($B29,MMWR_TRAD_AGG_RO_COMP[],K$1,0),"ERROR")</f>
        <v>3001</v>
      </c>
      <c r="L29" s="205">
        <f>IFERROR(VLOOKUP($B29,MMWR_TRAD_AGG_RO_COMP[],L$1,0),"ERROR")</f>
        <v>2576</v>
      </c>
      <c r="M29" s="216">
        <f t="shared" si="2"/>
        <v>0.85838053982006002</v>
      </c>
      <c r="N29" s="204">
        <f>IFERROR(VLOOKUP($B29,MMWR_TRAD_AGG_RO_COMP[],N$1,0),"ERROR")</f>
        <v>785</v>
      </c>
      <c r="O29" s="205">
        <f>IFERROR(VLOOKUP($B29,MMWR_TRAD_AGG_RO_COMP[],O$1,0),"ERROR")</f>
        <v>504</v>
      </c>
      <c r="P29" s="216">
        <f t="shared" si="3"/>
        <v>0.64203821656050952</v>
      </c>
      <c r="Q29" s="201">
        <f>IFERROR(VLOOKUP($B29,MMWR_TRAD_AGG_RO_COMP[],Q$1,0),"ERROR")</f>
        <v>2</v>
      </c>
      <c r="R29" s="201">
        <f>IFERROR(VLOOKUP($B29,MMWR_TRAD_AGG_RO_COMP[],R$1,0),"ERROR")</f>
        <v>223</v>
      </c>
      <c r="S29" s="201">
        <f>IFERROR(VLOOKUP($B29,MMWR_APP_RO[],S$1,0),"ERROR")</f>
        <v>5162</v>
      </c>
      <c r="T29" s="25"/>
    </row>
    <row r="30" spans="1:20" x14ac:dyDescent="0.2">
      <c r="A30" s="107"/>
      <c r="B30" s="108" t="s">
        <v>43</v>
      </c>
      <c r="C30" s="209">
        <f>IFERROR(VLOOKUP($B30,MMWR_TRAD_AGG_RO_COMP[],C$1,0),"ERROR")</f>
        <v>191</v>
      </c>
      <c r="D30" s="198">
        <f>IFERROR(VLOOKUP($B30,MMWR_TRAD_AGG_RO_COMP[],D$1,0),"ERROR")</f>
        <v>90.015706806300003</v>
      </c>
      <c r="E30" s="195">
        <f>IFERROR(VLOOKUP($B30,MMWR_TRAD_AGG_RO_COMP[],E$1,0),"ERROR")</f>
        <v>915</v>
      </c>
      <c r="F30" s="191">
        <f>IFERROR(VLOOKUP($B30,MMWR_TRAD_AGG_RO_COMP[],F$1,0),"ERROR")</f>
        <v>124</v>
      </c>
      <c r="G30" s="216">
        <f t="shared" si="0"/>
        <v>0.1355191256830601</v>
      </c>
      <c r="H30" s="190">
        <f>IFERROR(VLOOKUP($B30,MMWR_TRAD_AGG_RO_COMP[],H$1,0),"ERROR")</f>
        <v>953</v>
      </c>
      <c r="I30" s="191">
        <f>IFERROR(VLOOKUP($B30,MMWR_TRAD_AGG_RO_COMP[],I$1,0),"ERROR")</f>
        <v>19</v>
      </c>
      <c r="J30" s="216">
        <f t="shared" si="1"/>
        <v>1.993704092339979E-2</v>
      </c>
      <c r="K30" s="204">
        <f>IFERROR(VLOOKUP($B30,MMWR_TRAD_AGG_RO_COMP[],K$1,0),"ERROR")</f>
        <v>127</v>
      </c>
      <c r="L30" s="205">
        <f>IFERROR(VLOOKUP($B30,MMWR_TRAD_AGG_RO_COMP[],L$1,0),"ERROR")</f>
        <v>50</v>
      </c>
      <c r="M30" s="216">
        <f t="shared" si="2"/>
        <v>0.39370078740157483</v>
      </c>
      <c r="N30" s="204">
        <f>IFERROR(VLOOKUP($B30,MMWR_TRAD_AGG_RO_COMP[],N$1,0),"ERROR")</f>
        <v>74</v>
      </c>
      <c r="O30" s="205">
        <f>IFERROR(VLOOKUP($B30,MMWR_TRAD_AGG_RO_COMP[],O$1,0),"ERROR")</f>
        <v>36</v>
      </c>
      <c r="P30" s="216">
        <f t="shared" si="3"/>
        <v>0.48648648648648651</v>
      </c>
      <c r="Q30" s="201">
        <f>IFERROR(VLOOKUP($B30,MMWR_TRAD_AGG_RO_COMP[],Q$1,0),"ERROR")</f>
        <v>0</v>
      </c>
      <c r="R30" s="201">
        <f>IFERROR(VLOOKUP($B30,MMWR_TRAD_AGG_RO_COMP[],R$1,0),"ERROR")</f>
        <v>0</v>
      </c>
      <c r="S30" s="201">
        <f>IFERROR(VLOOKUP($B30,MMWR_APP_RO[],S$1,0),"ERROR")</f>
        <v>591</v>
      </c>
      <c r="T30" s="25"/>
    </row>
    <row r="31" spans="1:20" x14ac:dyDescent="0.2">
      <c r="A31" s="107"/>
      <c r="B31" s="108" t="s">
        <v>48</v>
      </c>
      <c r="C31" s="209">
        <f>IFERROR(VLOOKUP($B31,MMWR_TRAD_AGG_RO_COMP[],C$1,0),"ERROR")</f>
        <v>5767</v>
      </c>
      <c r="D31" s="198">
        <f>IFERROR(VLOOKUP($B31,MMWR_TRAD_AGG_RO_COMP[],D$1,0),"ERROR")</f>
        <v>550.90324258709995</v>
      </c>
      <c r="E31" s="195">
        <f>IFERROR(VLOOKUP($B31,MMWR_TRAD_AGG_RO_COMP[],E$1,0),"ERROR")</f>
        <v>4641</v>
      </c>
      <c r="F31" s="191">
        <f>IFERROR(VLOOKUP($B31,MMWR_TRAD_AGG_RO_COMP[],F$1,0),"ERROR")</f>
        <v>801</v>
      </c>
      <c r="G31" s="216">
        <f t="shared" si="0"/>
        <v>0.17259211376858435</v>
      </c>
      <c r="H31" s="190">
        <f>IFERROR(VLOOKUP($B31,MMWR_TRAD_AGG_RO_COMP[],H$1,0),"ERROR")</f>
        <v>11628</v>
      </c>
      <c r="I31" s="191">
        <f>IFERROR(VLOOKUP($B31,MMWR_TRAD_AGG_RO_COMP[],I$1,0),"ERROR")</f>
        <v>7472</v>
      </c>
      <c r="J31" s="216">
        <f t="shared" si="1"/>
        <v>0.6425868593051256</v>
      </c>
      <c r="K31" s="204">
        <f>IFERROR(VLOOKUP($B31,MMWR_TRAD_AGG_RO_COMP[],K$1,0),"ERROR")</f>
        <v>2215</v>
      </c>
      <c r="L31" s="205">
        <f>IFERROR(VLOOKUP($B31,MMWR_TRAD_AGG_RO_COMP[],L$1,0),"ERROR")</f>
        <v>1619</v>
      </c>
      <c r="M31" s="216">
        <f t="shared" si="2"/>
        <v>0.73092550790067723</v>
      </c>
      <c r="N31" s="204">
        <f>IFERROR(VLOOKUP($B31,MMWR_TRAD_AGG_RO_COMP[],N$1,0),"ERROR")</f>
        <v>2390</v>
      </c>
      <c r="O31" s="205">
        <f>IFERROR(VLOOKUP($B31,MMWR_TRAD_AGG_RO_COMP[],O$1,0),"ERROR")</f>
        <v>1756</v>
      </c>
      <c r="P31" s="216">
        <f t="shared" si="3"/>
        <v>0.73472803347280335</v>
      </c>
      <c r="Q31" s="201">
        <f>IFERROR(VLOOKUP($B31,MMWR_TRAD_AGG_RO_COMP[],Q$1,0),"ERROR")</f>
        <v>1</v>
      </c>
      <c r="R31" s="201">
        <f>IFERROR(VLOOKUP($B31,MMWR_TRAD_AGG_RO_COMP[],R$1,0),"ERROR")</f>
        <v>232</v>
      </c>
      <c r="S31" s="201">
        <f>IFERROR(VLOOKUP($B31,MMWR_APP_RO[],S$1,0),"ERROR")</f>
        <v>8080</v>
      </c>
      <c r="T31" s="25"/>
    </row>
    <row r="32" spans="1:20" x14ac:dyDescent="0.2">
      <c r="A32" s="107"/>
      <c r="B32" s="108" t="s">
        <v>50</v>
      </c>
      <c r="C32" s="209">
        <f>IFERROR(VLOOKUP($B32,MMWR_TRAD_AGG_RO_COMP[],C$1,0),"ERROR")</f>
        <v>1450</v>
      </c>
      <c r="D32" s="198">
        <f>IFERROR(VLOOKUP($B32,MMWR_TRAD_AGG_RO_COMP[],D$1,0),"ERROR")</f>
        <v>132.74275862069999</v>
      </c>
      <c r="E32" s="195">
        <f>IFERROR(VLOOKUP($B32,MMWR_TRAD_AGG_RO_COMP[],E$1,0),"ERROR")</f>
        <v>1846</v>
      </c>
      <c r="F32" s="191">
        <f>IFERROR(VLOOKUP($B32,MMWR_TRAD_AGG_RO_COMP[],F$1,0),"ERROR")</f>
        <v>247</v>
      </c>
      <c r="G32" s="216">
        <f t="shared" si="0"/>
        <v>0.13380281690140844</v>
      </c>
      <c r="H32" s="190">
        <f>IFERROR(VLOOKUP($B32,MMWR_TRAD_AGG_RO_COMP[],H$1,0),"ERROR")</f>
        <v>3179</v>
      </c>
      <c r="I32" s="191">
        <f>IFERROR(VLOOKUP($B32,MMWR_TRAD_AGG_RO_COMP[],I$1,0),"ERROR")</f>
        <v>915</v>
      </c>
      <c r="J32" s="216">
        <f t="shared" si="1"/>
        <v>0.28782636049072036</v>
      </c>
      <c r="K32" s="204">
        <f>IFERROR(VLOOKUP($B32,MMWR_TRAD_AGG_RO_COMP[],K$1,0),"ERROR")</f>
        <v>720</v>
      </c>
      <c r="L32" s="205">
        <f>IFERROR(VLOOKUP($B32,MMWR_TRAD_AGG_RO_COMP[],L$1,0),"ERROR")</f>
        <v>464</v>
      </c>
      <c r="M32" s="216">
        <f t="shared" si="2"/>
        <v>0.64444444444444449</v>
      </c>
      <c r="N32" s="204">
        <f>IFERROR(VLOOKUP($B32,MMWR_TRAD_AGG_RO_COMP[],N$1,0),"ERROR")</f>
        <v>559</v>
      </c>
      <c r="O32" s="205">
        <f>IFERROR(VLOOKUP($B32,MMWR_TRAD_AGG_RO_COMP[],O$1,0),"ERROR")</f>
        <v>413</v>
      </c>
      <c r="P32" s="216">
        <f t="shared" si="3"/>
        <v>0.73881932021466901</v>
      </c>
      <c r="Q32" s="201">
        <f>IFERROR(VLOOKUP($B32,MMWR_TRAD_AGG_RO_COMP[],Q$1,0),"ERROR")</f>
        <v>1</v>
      </c>
      <c r="R32" s="201">
        <f>IFERROR(VLOOKUP($B32,MMWR_TRAD_AGG_RO_COMP[],R$1,0),"ERROR")</f>
        <v>18</v>
      </c>
      <c r="S32" s="201">
        <f>IFERROR(VLOOKUP($B32,MMWR_APP_RO[],S$1,0),"ERROR")</f>
        <v>1162</v>
      </c>
      <c r="T32" s="25"/>
    </row>
    <row r="33" spans="1:20" x14ac:dyDescent="0.2">
      <c r="A33" s="107"/>
      <c r="B33" s="108" t="s">
        <v>56</v>
      </c>
      <c r="C33" s="209">
        <f>IFERROR(VLOOKUP($B33,MMWR_TRAD_AGG_RO_COMP[],C$1,0),"ERROR")</f>
        <v>4656</v>
      </c>
      <c r="D33" s="198">
        <f>IFERROR(VLOOKUP($B33,MMWR_TRAD_AGG_RO_COMP[],D$1,0),"ERROR")</f>
        <v>174.46821305840001</v>
      </c>
      <c r="E33" s="195">
        <f>IFERROR(VLOOKUP($B33,MMWR_TRAD_AGG_RO_COMP[],E$1,0),"ERROR")</f>
        <v>6554</v>
      </c>
      <c r="F33" s="191">
        <f>IFERROR(VLOOKUP($B33,MMWR_TRAD_AGG_RO_COMP[],F$1,0),"ERROR")</f>
        <v>1034</v>
      </c>
      <c r="G33" s="216">
        <f t="shared" si="0"/>
        <v>0.15776624961855357</v>
      </c>
      <c r="H33" s="190">
        <f>IFERROR(VLOOKUP($B33,MMWR_TRAD_AGG_RO_COMP[],H$1,0),"ERROR")</f>
        <v>8239</v>
      </c>
      <c r="I33" s="191">
        <f>IFERROR(VLOOKUP($B33,MMWR_TRAD_AGG_RO_COMP[],I$1,0),"ERROR")</f>
        <v>2459</v>
      </c>
      <c r="J33" s="216">
        <f t="shared" si="1"/>
        <v>0.29845855079499939</v>
      </c>
      <c r="K33" s="204">
        <f>IFERROR(VLOOKUP($B33,MMWR_TRAD_AGG_RO_COMP[],K$1,0),"ERROR")</f>
        <v>770</v>
      </c>
      <c r="L33" s="205">
        <f>IFERROR(VLOOKUP($B33,MMWR_TRAD_AGG_RO_COMP[],L$1,0),"ERROR")</f>
        <v>532</v>
      </c>
      <c r="M33" s="216">
        <f t="shared" si="2"/>
        <v>0.69090909090909092</v>
      </c>
      <c r="N33" s="204">
        <f>IFERROR(VLOOKUP($B33,MMWR_TRAD_AGG_RO_COMP[],N$1,0),"ERROR")</f>
        <v>614</v>
      </c>
      <c r="O33" s="205">
        <f>IFERROR(VLOOKUP($B33,MMWR_TRAD_AGG_RO_COMP[],O$1,0),"ERROR")</f>
        <v>366</v>
      </c>
      <c r="P33" s="216">
        <f t="shared" si="3"/>
        <v>0.59609120521172643</v>
      </c>
      <c r="Q33" s="201">
        <f>IFERROR(VLOOKUP($B33,MMWR_TRAD_AGG_RO_COMP[],Q$1,0),"ERROR")</f>
        <v>9201</v>
      </c>
      <c r="R33" s="201">
        <f>IFERROR(VLOOKUP($B33,MMWR_TRAD_AGG_RO_COMP[],R$1,0),"ERROR")</f>
        <v>0</v>
      </c>
      <c r="S33" s="201">
        <f>IFERROR(VLOOKUP($B33,MMWR_APP_RO[],S$1,0),"ERROR")</f>
        <v>3112</v>
      </c>
      <c r="T33" s="25"/>
    </row>
    <row r="34" spans="1:20" x14ac:dyDescent="0.2">
      <c r="A34" s="107"/>
      <c r="B34" s="108" t="s">
        <v>74</v>
      </c>
      <c r="C34" s="209">
        <f>IFERROR(VLOOKUP($B34,MMWR_TRAD_AGG_RO_COMP[],C$1,0),"ERROR")</f>
        <v>216</v>
      </c>
      <c r="D34" s="198">
        <f>IFERROR(VLOOKUP($B34,MMWR_TRAD_AGG_RO_COMP[],D$1,0),"ERROR")</f>
        <v>121.9351851852</v>
      </c>
      <c r="E34" s="195">
        <f>IFERROR(VLOOKUP($B34,MMWR_TRAD_AGG_RO_COMP[],E$1,0),"ERROR")</f>
        <v>1168</v>
      </c>
      <c r="F34" s="191">
        <f>IFERROR(VLOOKUP($B34,MMWR_TRAD_AGG_RO_COMP[],F$1,0),"ERROR")</f>
        <v>260</v>
      </c>
      <c r="G34" s="216">
        <f t="shared" si="0"/>
        <v>0.2226027397260274</v>
      </c>
      <c r="H34" s="190">
        <f>IFERROR(VLOOKUP($B34,MMWR_TRAD_AGG_RO_COMP[],H$1,0),"ERROR")</f>
        <v>1016</v>
      </c>
      <c r="I34" s="191">
        <f>IFERROR(VLOOKUP($B34,MMWR_TRAD_AGG_RO_COMP[],I$1,0),"ERROR")</f>
        <v>69</v>
      </c>
      <c r="J34" s="216">
        <f t="shared" si="1"/>
        <v>6.7913385826771658E-2</v>
      </c>
      <c r="K34" s="204">
        <f>IFERROR(VLOOKUP($B34,MMWR_TRAD_AGG_RO_COMP[],K$1,0),"ERROR")</f>
        <v>288</v>
      </c>
      <c r="L34" s="205">
        <f>IFERROR(VLOOKUP($B34,MMWR_TRAD_AGG_RO_COMP[],L$1,0),"ERROR")</f>
        <v>103</v>
      </c>
      <c r="M34" s="216">
        <f t="shared" si="2"/>
        <v>0.3576388888888889</v>
      </c>
      <c r="N34" s="204">
        <f>IFERROR(VLOOKUP($B34,MMWR_TRAD_AGG_RO_COMP[],N$1,0),"ERROR")</f>
        <v>25</v>
      </c>
      <c r="O34" s="205">
        <f>IFERROR(VLOOKUP($B34,MMWR_TRAD_AGG_RO_COMP[],O$1,0),"ERROR")</f>
        <v>15</v>
      </c>
      <c r="P34" s="216">
        <f t="shared" si="3"/>
        <v>0.6</v>
      </c>
      <c r="Q34" s="201">
        <f>IFERROR(VLOOKUP($B34,MMWR_TRAD_AGG_RO_COMP[],Q$1,0),"ERROR")</f>
        <v>0</v>
      </c>
      <c r="R34" s="201">
        <f>IFERROR(VLOOKUP($B34,MMWR_TRAD_AGG_RO_COMP[],R$1,0),"ERROR")</f>
        <v>0</v>
      </c>
      <c r="S34" s="201">
        <f>IFERROR(VLOOKUP($B34,MMWR_APP_RO[],S$1,0),"ERROR")</f>
        <v>252</v>
      </c>
      <c r="T34" s="25"/>
    </row>
    <row r="35" spans="1:20" x14ac:dyDescent="0.2">
      <c r="A35" s="107"/>
      <c r="B35" s="108" t="s">
        <v>75</v>
      </c>
      <c r="C35" s="209">
        <f>IFERROR(VLOOKUP($B35,MMWR_TRAD_AGG_RO_COMP[],C$1,0),"ERROR")</f>
        <v>3188</v>
      </c>
      <c r="D35" s="198">
        <f>IFERROR(VLOOKUP($B35,MMWR_TRAD_AGG_RO_COMP[],D$1,0),"ERROR")</f>
        <v>224.77446675030001</v>
      </c>
      <c r="E35" s="195">
        <f>IFERROR(VLOOKUP($B35,MMWR_TRAD_AGG_RO_COMP[],E$1,0),"ERROR")</f>
        <v>6342</v>
      </c>
      <c r="F35" s="191">
        <f>IFERROR(VLOOKUP($B35,MMWR_TRAD_AGG_RO_COMP[],F$1,0),"ERROR")</f>
        <v>1059</v>
      </c>
      <c r="G35" s="216">
        <f t="shared" si="0"/>
        <v>0.16698202459791864</v>
      </c>
      <c r="H35" s="190">
        <f>IFERROR(VLOOKUP($B35,MMWR_TRAD_AGG_RO_COMP[],H$1,0),"ERROR")</f>
        <v>6490</v>
      </c>
      <c r="I35" s="191">
        <f>IFERROR(VLOOKUP($B35,MMWR_TRAD_AGG_RO_COMP[],I$1,0),"ERROR")</f>
        <v>2633</v>
      </c>
      <c r="J35" s="216">
        <f t="shared" si="1"/>
        <v>0.40570107858243454</v>
      </c>
      <c r="K35" s="204">
        <f>IFERROR(VLOOKUP($B35,MMWR_TRAD_AGG_RO_COMP[],K$1,0),"ERROR")</f>
        <v>2067</v>
      </c>
      <c r="L35" s="205">
        <f>IFERROR(VLOOKUP($B35,MMWR_TRAD_AGG_RO_COMP[],L$1,0),"ERROR")</f>
        <v>1749</v>
      </c>
      <c r="M35" s="216">
        <f t="shared" si="2"/>
        <v>0.84615384615384615</v>
      </c>
      <c r="N35" s="204">
        <f>IFERROR(VLOOKUP($B35,MMWR_TRAD_AGG_RO_COMP[],N$1,0),"ERROR")</f>
        <v>1660</v>
      </c>
      <c r="O35" s="205">
        <f>IFERROR(VLOOKUP($B35,MMWR_TRAD_AGG_RO_COMP[],O$1,0),"ERROR")</f>
        <v>1360</v>
      </c>
      <c r="P35" s="216">
        <f t="shared" si="3"/>
        <v>0.81927710843373491</v>
      </c>
      <c r="Q35" s="201">
        <f>IFERROR(VLOOKUP($B35,MMWR_TRAD_AGG_RO_COMP[],Q$1,0),"ERROR")</f>
        <v>0</v>
      </c>
      <c r="R35" s="201">
        <f>IFERROR(VLOOKUP($B35,MMWR_TRAD_AGG_RO_COMP[],R$1,0),"ERROR")</f>
        <v>51</v>
      </c>
      <c r="S35" s="201">
        <f>IFERROR(VLOOKUP($B35,MMWR_APP_RO[],S$1,0),"ERROR")</f>
        <v>5910</v>
      </c>
      <c r="T35" s="25"/>
    </row>
    <row r="36" spans="1:20" x14ac:dyDescent="0.2">
      <c r="A36" s="28"/>
      <c r="B36" s="108" t="s">
        <v>76</v>
      </c>
      <c r="C36" s="219">
        <f>IFERROR(VLOOKUP($B36,MMWR_TRAD_AGG_RO_COMP[],C$1,0),"ERROR")</f>
        <v>3534</v>
      </c>
      <c r="D36" s="220">
        <f>IFERROR(VLOOKUP($B36,MMWR_TRAD_AGG_RO_COMP[],D$1,0),"ERROR")</f>
        <v>169.1151669496</v>
      </c>
      <c r="E36" s="221">
        <f>IFERROR(VLOOKUP($B36,MMWR_TRAD_AGG_RO_COMP[],E$1,0),"ERROR")</f>
        <v>10919</v>
      </c>
      <c r="F36" s="222">
        <f>IFERROR(VLOOKUP($B36,MMWR_TRAD_AGG_RO_COMP[],F$1,0),"ERROR")</f>
        <v>1653</v>
      </c>
      <c r="G36" s="223">
        <f t="shared" si="0"/>
        <v>0.1513874896968587</v>
      </c>
      <c r="H36" s="224">
        <f>IFERROR(VLOOKUP($B36,MMWR_TRAD_AGG_RO_COMP[],H$1,0),"ERROR")</f>
        <v>12944</v>
      </c>
      <c r="I36" s="222">
        <f>IFERROR(VLOOKUP($B36,MMWR_TRAD_AGG_RO_COMP[],I$1,0),"ERROR")</f>
        <v>3672</v>
      </c>
      <c r="J36" s="223">
        <f t="shared" si="1"/>
        <v>0.28368355995055622</v>
      </c>
      <c r="K36" s="225">
        <f>IFERROR(VLOOKUP($B36,MMWR_TRAD_AGG_RO_COMP[],K$1,0),"ERROR")</f>
        <v>5651</v>
      </c>
      <c r="L36" s="226">
        <f>IFERROR(VLOOKUP($B36,MMWR_TRAD_AGG_RO_COMP[],L$1,0),"ERROR")</f>
        <v>4370</v>
      </c>
      <c r="M36" s="223">
        <f t="shared" si="2"/>
        <v>0.77331445761812068</v>
      </c>
      <c r="N36" s="225">
        <f>IFERROR(VLOOKUP($B36,MMWR_TRAD_AGG_RO_COMP[],N$1,0),"ERROR")</f>
        <v>1234</v>
      </c>
      <c r="O36" s="226">
        <f>IFERROR(VLOOKUP($B36,MMWR_TRAD_AGG_RO_COMP[],O$1,0),"ERROR")</f>
        <v>679</v>
      </c>
      <c r="P36" s="223">
        <f t="shared" si="3"/>
        <v>0.55024311183144248</v>
      </c>
      <c r="Q36" s="227">
        <f>IFERROR(VLOOKUP($B36,MMWR_TRAD_AGG_RO_COMP[],Q$1,0),"ERROR")</f>
        <v>32</v>
      </c>
      <c r="R36" s="227">
        <f>IFERROR(VLOOKUP($B36,MMWR_TRAD_AGG_RO_COMP[],R$1,0),"ERROR")</f>
        <v>0</v>
      </c>
      <c r="S36" s="201">
        <f>IFERROR(VLOOKUP($B36,MMWR_APP_RO[],S$1,0),"ERROR")</f>
        <v>3803</v>
      </c>
      <c r="T36" s="28"/>
    </row>
    <row r="37" spans="1:20" x14ac:dyDescent="0.2">
      <c r="A37" s="28"/>
      <c r="B37" s="116" t="s">
        <v>81</v>
      </c>
      <c r="C37" s="228">
        <f>IFERROR(VLOOKUP($B37,MMWR_TRAD_AGG_RO_COMP[],C$1,0),"ERROR")</f>
        <v>1574</v>
      </c>
      <c r="D37" s="229">
        <f>IFERROR(VLOOKUP($B37,MMWR_TRAD_AGG_RO_COMP[],D$1,0),"ERROR")</f>
        <v>211.19758576870001</v>
      </c>
      <c r="E37" s="230">
        <f>IFERROR(VLOOKUP($B37,MMWR_TRAD_AGG_RO_COMP[],E$1,0),"ERROR")</f>
        <v>2332</v>
      </c>
      <c r="F37" s="231">
        <f>IFERROR(VLOOKUP($B37,MMWR_TRAD_AGG_RO_COMP[],F$1,0),"ERROR")</f>
        <v>364</v>
      </c>
      <c r="G37" s="232">
        <f t="shared" si="0"/>
        <v>0.15608919382504288</v>
      </c>
      <c r="H37" s="233">
        <f>IFERROR(VLOOKUP($B37,MMWR_TRAD_AGG_RO_COMP[],H$1,0),"ERROR")</f>
        <v>3133</v>
      </c>
      <c r="I37" s="231">
        <f>IFERROR(VLOOKUP($B37,MMWR_TRAD_AGG_RO_COMP[],I$1,0),"ERROR")</f>
        <v>1121</v>
      </c>
      <c r="J37" s="232">
        <f t="shared" si="1"/>
        <v>0.35780402170443665</v>
      </c>
      <c r="K37" s="234">
        <f>IFERROR(VLOOKUP($B37,MMWR_TRAD_AGG_RO_COMP[],K$1,0),"ERROR")</f>
        <v>1080</v>
      </c>
      <c r="L37" s="235">
        <f>IFERROR(VLOOKUP($B37,MMWR_TRAD_AGG_RO_COMP[],L$1,0),"ERROR")</f>
        <v>524</v>
      </c>
      <c r="M37" s="232">
        <f t="shared" si="2"/>
        <v>0.48518518518518516</v>
      </c>
      <c r="N37" s="234">
        <f>IFERROR(VLOOKUP($B37,MMWR_TRAD_AGG_RO_COMP[],N$1,0),"ERROR")</f>
        <v>256</v>
      </c>
      <c r="O37" s="235">
        <f>IFERROR(VLOOKUP($B37,MMWR_TRAD_AGG_RO_COMP[],O$1,0),"ERROR")</f>
        <v>135</v>
      </c>
      <c r="P37" s="232">
        <f t="shared" si="3"/>
        <v>0.52734375</v>
      </c>
      <c r="Q37" s="236">
        <f>IFERROR(VLOOKUP($B37,MMWR_TRAD_AGG_RO_COMP[],Q$1,0),"ERROR")</f>
        <v>0</v>
      </c>
      <c r="R37" s="236">
        <f>IFERROR(VLOOKUP($B37,MMWR_TRAD_AGG_RO_COMP[],R$1,0),"ERROR")</f>
        <v>6</v>
      </c>
      <c r="S37" s="201">
        <f>IFERROR(VLOOKUP($B37,MMWR_APP_RO[],S$1,0),"ERROR")</f>
        <v>1331</v>
      </c>
      <c r="T37" s="28"/>
    </row>
    <row r="38" spans="1:20" x14ac:dyDescent="0.2">
      <c r="A38" s="28"/>
      <c r="B38" s="101" t="s">
        <v>385</v>
      </c>
      <c r="C38" s="212">
        <f>IFERROR(VLOOKUP($B38,MMWR_TRAD_AGG_DISTRICT_COMP[],C$1,0),"ERROR")</f>
        <v>40622</v>
      </c>
      <c r="D38" s="197">
        <f>IFERROR(VLOOKUP($B38,MMWR_TRAD_AGG_DISTRICT_COMP[],D$1,0),"ERROR")</f>
        <v>358.40746393580002</v>
      </c>
      <c r="E38" s="213">
        <f>IFERROR(VLOOKUP($B38,MMWR_TRAD_AGG_DISTRICT_COMP[],E$1,0),"ERROR")</f>
        <v>63950</v>
      </c>
      <c r="F38" s="218">
        <f>IFERROR(VLOOKUP($B38,MMWR_TRAD_AGG_DISTRICT_COMP[],F$1,0),"ERROR")</f>
        <v>13421</v>
      </c>
      <c r="G38" s="214">
        <f t="shared" si="0"/>
        <v>0.20986708365910867</v>
      </c>
      <c r="H38" s="218">
        <f>IFERROR(VLOOKUP($B38,MMWR_TRAD_AGG_DISTRICT_COMP[],H$1,0),"ERROR")</f>
        <v>80698</v>
      </c>
      <c r="I38" s="218">
        <f>IFERROR(VLOOKUP($B38,MMWR_TRAD_AGG_DISTRICT_COMP[],I$1,0),"ERROR")</f>
        <v>38899</v>
      </c>
      <c r="J38" s="214">
        <f t="shared" si="1"/>
        <v>0.48203177278247294</v>
      </c>
      <c r="K38" s="212">
        <f>IFERROR(VLOOKUP($B38,MMWR_TRAD_AGG_DISTRICT_COMP[],K$1,0),"ERROR")</f>
        <v>21275</v>
      </c>
      <c r="L38" s="212">
        <f>IFERROR(VLOOKUP($B38,MMWR_TRAD_AGG_DISTRICT_COMP[],L$1,0),"ERROR")</f>
        <v>15171</v>
      </c>
      <c r="M38" s="214">
        <f t="shared" si="2"/>
        <v>0.71309048178613399</v>
      </c>
      <c r="N38" s="212">
        <f>IFERROR(VLOOKUP($B38,MMWR_TRAD_AGG_DISTRICT_COMP[],N$1,0),"ERROR")</f>
        <v>18272</v>
      </c>
      <c r="O38" s="212">
        <f>IFERROR(VLOOKUP($B38,MMWR_TRAD_AGG_DISTRICT_COMP[],O$1,0),"ERROR")</f>
        <v>10875</v>
      </c>
      <c r="P38" s="214">
        <f t="shared" si="3"/>
        <v>0.59517294220665495</v>
      </c>
      <c r="Q38" s="212">
        <f>IFERROR(VLOOKUP($B38,MMWR_TRAD_AGG_DISTRICT_COMP[],Q$1,0),"ERROR")</f>
        <v>51</v>
      </c>
      <c r="R38" s="215">
        <f>IFERROR(VLOOKUP($B38,MMWR_TRAD_AGG_DISTRICT_COMP[],R$1,0),"ERROR")</f>
        <v>1167</v>
      </c>
      <c r="S38" s="215">
        <f>IFERROR(VLOOKUP($B38,MMWR_APP_RO[],S$1,0),"ERROR")</f>
        <v>67951</v>
      </c>
      <c r="T38" s="28"/>
    </row>
    <row r="39" spans="1:20" x14ac:dyDescent="0.2">
      <c r="A39" s="28"/>
      <c r="B39" s="108" t="s">
        <v>36</v>
      </c>
      <c r="C39" s="219">
        <f>IFERROR(VLOOKUP($B39,MMWR_TRAD_AGG_RO_COMP[],C$1,0),"ERROR")</f>
        <v>241</v>
      </c>
      <c r="D39" s="220">
        <f>IFERROR(VLOOKUP($B39,MMWR_TRAD_AGG_RO_COMP[],D$1,0),"ERROR")</f>
        <v>252.34854771779999</v>
      </c>
      <c r="E39" s="221">
        <f>IFERROR(VLOOKUP($B39,MMWR_TRAD_AGG_RO_COMP[],E$1,0),"ERROR")</f>
        <v>707</v>
      </c>
      <c r="F39" s="222">
        <f>IFERROR(VLOOKUP($B39,MMWR_TRAD_AGG_RO_COMP[],F$1,0),"ERROR")</f>
        <v>77</v>
      </c>
      <c r="G39" s="223">
        <f t="shared" si="0"/>
        <v>0.10891089108910891</v>
      </c>
      <c r="H39" s="224">
        <f>IFERROR(VLOOKUP($B39,MMWR_TRAD_AGG_RO_COMP[],H$1,0),"ERROR")</f>
        <v>680</v>
      </c>
      <c r="I39" s="222">
        <f>IFERROR(VLOOKUP($B39,MMWR_TRAD_AGG_RO_COMP[],I$1,0),"ERROR")</f>
        <v>209</v>
      </c>
      <c r="J39" s="223">
        <f t="shared" si="1"/>
        <v>0.30735294117647061</v>
      </c>
      <c r="K39" s="225">
        <f>IFERROR(VLOOKUP($B39,MMWR_TRAD_AGG_RO_COMP[],K$1,0),"ERROR")</f>
        <v>175</v>
      </c>
      <c r="L39" s="226">
        <f>IFERROR(VLOOKUP($B39,MMWR_TRAD_AGG_RO_COMP[],L$1,0),"ERROR")</f>
        <v>91</v>
      </c>
      <c r="M39" s="223">
        <f t="shared" si="2"/>
        <v>0.52</v>
      </c>
      <c r="N39" s="225">
        <f>IFERROR(VLOOKUP($B39,MMWR_TRAD_AGG_RO_COMP[],N$1,0),"ERROR")</f>
        <v>111</v>
      </c>
      <c r="O39" s="226">
        <f>IFERROR(VLOOKUP($B39,MMWR_TRAD_AGG_RO_COMP[],O$1,0),"ERROR")</f>
        <v>43</v>
      </c>
      <c r="P39" s="223">
        <f t="shared" si="3"/>
        <v>0.38738738738738737</v>
      </c>
      <c r="Q39" s="227">
        <f>IFERROR(VLOOKUP($B39,MMWR_TRAD_AGG_RO_COMP[],Q$1,0),"ERROR")</f>
        <v>2</v>
      </c>
      <c r="R39" s="227">
        <f>IFERROR(VLOOKUP($B39,MMWR_TRAD_AGG_RO_COMP[],R$1,0),"ERROR")</f>
        <v>6</v>
      </c>
      <c r="S39" s="201">
        <f>IFERROR(VLOOKUP($B39,MMWR_APP_RO[],S$1,0),"ERROR")</f>
        <v>268</v>
      </c>
      <c r="T39" s="28"/>
    </row>
    <row r="40" spans="1:20" x14ac:dyDescent="0.2">
      <c r="A40" s="28"/>
      <c r="B40" s="108" t="s">
        <v>40</v>
      </c>
      <c r="C40" s="219">
        <f>IFERROR(VLOOKUP($B40,MMWR_TRAD_AGG_RO_COMP[],C$1,0),"ERROR")</f>
        <v>5400</v>
      </c>
      <c r="D40" s="220">
        <f>IFERROR(VLOOKUP($B40,MMWR_TRAD_AGG_RO_COMP[],D$1,0),"ERROR")</f>
        <v>411.46944444439998</v>
      </c>
      <c r="E40" s="221">
        <f>IFERROR(VLOOKUP($B40,MMWR_TRAD_AGG_RO_COMP[],E$1,0),"ERROR")</f>
        <v>7171</v>
      </c>
      <c r="F40" s="222">
        <f>IFERROR(VLOOKUP($B40,MMWR_TRAD_AGG_RO_COMP[],F$1,0),"ERROR")</f>
        <v>2197</v>
      </c>
      <c r="G40" s="223">
        <f t="shared" si="0"/>
        <v>0.3063728908102078</v>
      </c>
      <c r="H40" s="224">
        <f>IFERROR(VLOOKUP($B40,MMWR_TRAD_AGG_RO_COMP[],H$1,0),"ERROR")</f>
        <v>9840</v>
      </c>
      <c r="I40" s="222">
        <f>IFERROR(VLOOKUP($B40,MMWR_TRAD_AGG_RO_COMP[],I$1,0),"ERROR")</f>
        <v>5337</v>
      </c>
      <c r="J40" s="223">
        <f t="shared" si="1"/>
        <v>0.54237804878048779</v>
      </c>
      <c r="K40" s="225">
        <f>IFERROR(VLOOKUP($B40,MMWR_TRAD_AGG_RO_COMP[],K$1,0),"ERROR")</f>
        <v>3937</v>
      </c>
      <c r="L40" s="226">
        <f>IFERROR(VLOOKUP($B40,MMWR_TRAD_AGG_RO_COMP[],L$1,0),"ERROR")</f>
        <v>3301</v>
      </c>
      <c r="M40" s="223">
        <f t="shared" si="2"/>
        <v>0.83845567691135381</v>
      </c>
      <c r="N40" s="225">
        <f>IFERROR(VLOOKUP($B40,MMWR_TRAD_AGG_RO_COMP[],N$1,0),"ERROR")</f>
        <v>677</v>
      </c>
      <c r="O40" s="226">
        <f>IFERROR(VLOOKUP($B40,MMWR_TRAD_AGG_RO_COMP[],O$1,0),"ERROR")</f>
        <v>481</v>
      </c>
      <c r="P40" s="223">
        <f t="shared" si="3"/>
        <v>0.71048744460856716</v>
      </c>
      <c r="Q40" s="227">
        <f>IFERROR(VLOOKUP($B40,MMWR_TRAD_AGG_RO_COMP[],Q$1,0),"ERROR")</f>
        <v>0</v>
      </c>
      <c r="R40" s="227">
        <f>IFERROR(VLOOKUP($B40,MMWR_TRAD_AGG_RO_COMP[],R$1,0),"ERROR")</f>
        <v>51</v>
      </c>
      <c r="S40" s="201">
        <f>IFERROR(VLOOKUP($B40,MMWR_APP_RO[],S$1,0),"ERROR")</f>
        <v>6618</v>
      </c>
      <c r="T40" s="28"/>
    </row>
    <row r="41" spans="1:20" x14ac:dyDescent="0.2">
      <c r="A41" s="28"/>
      <c r="B41" s="108" t="s">
        <v>181</v>
      </c>
      <c r="C41" s="219">
        <f>IFERROR(VLOOKUP($B41,MMWR_TRAD_AGG_RO_COMP[],C$1,0),"ERROR")</f>
        <v>270</v>
      </c>
      <c r="D41" s="220">
        <f>IFERROR(VLOOKUP($B41,MMWR_TRAD_AGG_RO_COMP[],D$1,0),"ERROR")</f>
        <v>209.95925925930001</v>
      </c>
      <c r="E41" s="221">
        <f>IFERROR(VLOOKUP($B41,MMWR_TRAD_AGG_RO_COMP[],E$1,0),"ERROR")</f>
        <v>650</v>
      </c>
      <c r="F41" s="222">
        <f>IFERROR(VLOOKUP($B41,MMWR_TRAD_AGG_RO_COMP[],F$1,0),"ERROR")</f>
        <v>47</v>
      </c>
      <c r="G41" s="223">
        <f t="shared" si="0"/>
        <v>7.2307692307692309E-2</v>
      </c>
      <c r="H41" s="224">
        <f>IFERROR(VLOOKUP($B41,MMWR_TRAD_AGG_RO_COMP[],H$1,0),"ERROR")</f>
        <v>1056</v>
      </c>
      <c r="I41" s="222">
        <f>IFERROR(VLOOKUP($B41,MMWR_TRAD_AGG_RO_COMP[],I$1,0),"ERROR")</f>
        <v>101</v>
      </c>
      <c r="J41" s="223">
        <f t="shared" si="1"/>
        <v>9.5643939393939392E-2</v>
      </c>
      <c r="K41" s="225">
        <f>IFERROR(VLOOKUP($B41,MMWR_TRAD_AGG_RO_COMP[],K$1,0),"ERROR")</f>
        <v>415</v>
      </c>
      <c r="L41" s="226">
        <f>IFERROR(VLOOKUP($B41,MMWR_TRAD_AGG_RO_COMP[],L$1,0),"ERROR")</f>
        <v>245</v>
      </c>
      <c r="M41" s="223">
        <f t="shared" si="2"/>
        <v>0.59036144578313254</v>
      </c>
      <c r="N41" s="225">
        <f>IFERROR(VLOOKUP($B41,MMWR_TRAD_AGG_RO_COMP[],N$1,0),"ERROR")</f>
        <v>239</v>
      </c>
      <c r="O41" s="226">
        <f>IFERROR(VLOOKUP($B41,MMWR_TRAD_AGG_RO_COMP[],O$1,0),"ERROR")</f>
        <v>120</v>
      </c>
      <c r="P41" s="223">
        <f t="shared" si="3"/>
        <v>0.502092050209205</v>
      </c>
      <c r="Q41" s="227">
        <f>IFERROR(VLOOKUP($B41,MMWR_TRAD_AGG_RO_COMP[],Q$1,0),"ERROR")</f>
        <v>0</v>
      </c>
      <c r="R41" s="227">
        <f>IFERROR(VLOOKUP($B41,MMWR_TRAD_AGG_RO_COMP[],R$1,0),"ERROR")</f>
        <v>3</v>
      </c>
      <c r="S41" s="201">
        <f>IFERROR(VLOOKUP($B41,MMWR_APP_RO[],S$1,0),"ERROR")</f>
        <v>359</v>
      </c>
      <c r="T41" s="28"/>
    </row>
    <row r="42" spans="1:20" x14ac:dyDescent="0.2">
      <c r="A42" s="28"/>
      <c r="B42" s="108" t="s">
        <v>46</v>
      </c>
      <c r="C42" s="219">
        <f>IFERROR(VLOOKUP($B42,MMWR_TRAD_AGG_RO_COMP[],C$1,0),"ERROR")</f>
        <v>10384</v>
      </c>
      <c r="D42" s="220">
        <f>IFERROR(VLOOKUP($B42,MMWR_TRAD_AGG_RO_COMP[],D$1,0),"ERROR")</f>
        <v>381.76839368259999</v>
      </c>
      <c r="E42" s="221">
        <f>IFERROR(VLOOKUP($B42,MMWR_TRAD_AGG_RO_COMP[],E$1,0),"ERROR")</f>
        <v>17212</v>
      </c>
      <c r="F42" s="222">
        <f>IFERROR(VLOOKUP($B42,MMWR_TRAD_AGG_RO_COMP[],F$1,0),"ERROR")</f>
        <v>4207</v>
      </c>
      <c r="G42" s="223">
        <f t="shared" si="0"/>
        <v>0.24442249593306994</v>
      </c>
      <c r="H42" s="224">
        <f>IFERROR(VLOOKUP($B42,MMWR_TRAD_AGG_RO_COMP[],H$1,0),"ERROR")</f>
        <v>17840</v>
      </c>
      <c r="I42" s="222">
        <f>IFERROR(VLOOKUP($B42,MMWR_TRAD_AGG_RO_COMP[],I$1,0),"ERROR")</f>
        <v>10391</v>
      </c>
      <c r="J42" s="223">
        <f t="shared" si="1"/>
        <v>0.58245515695067263</v>
      </c>
      <c r="K42" s="225">
        <f>IFERROR(VLOOKUP($B42,MMWR_TRAD_AGG_RO_COMP[],K$1,0),"ERROR")</f>
        <v>3663</v>
      </c>
      <c r="L42" s="226">
        <f>IFERROR(VLOOKUP($B42,MMWR_TRAD_AGG_RO_COMP[],L$1,0),"ERROR")</f>
        <v>2954</v>
      </c>
      <c r="M42" s="223">
        <f t="shared" si="2"/>
        <v>0.80644280644280641</v>
      </c>
      <c r="N42" s="225">
        <f>IFERROR(VLOOKUP($B42,MMWR_TRAD_AGG_RO_COMP[],N$1,0),"ERROR")</f>
        <v>3299</v>
      </c>
      <c r="O42" s="226">
        <f>IFERROR(VLOOKUP($B42,MMWR_TRAD_AGG_RO_COMP[],O$1,0),"ERROR")</f>
        <v>2728</v>
      </c>
      <c r="P42" s="223">
        <f t="shared" si="3"/>
        <v>0.82691724765080332</v>
      </c>
      <c r="Q42" s="227">
        <f>IFERROR(VLOOKUP($B42,MMWR_TRAD_AGG_RO_COMP[],Q$1,0),"ERROR")</f>
        <v>2</v>
      </c>
      <c r="R42" s="227">
        <f>IFERROR(VLOOKUP($B42,MMWR_TRAD_AGG_RO_COMP[],R$1,0),"ERROR")</f>
        <v>250</v>
      </c>
      <c r="S42" s="201">
        <f>IFERROR(VLOOKUP($B42,MMWR_APP_RO[],S$1,0),"ERROR")</f>
        <v>19766</v>
      </c>
      <c r="T42" s="28"/>
    </row>
    <row r="43" spans="1:20" x14ac:dyDescent="0.2">
      <c r="A43" s="28"/>
      <c r="B43" s="108" t="s">
        <v>49</v>
      </c>
      <c r="C43" s="219">
        <f>IFERROR(VLOOKUP($B43,MMWR_TRAD_AGG_RO_COMP[],C$1,0),"ERROR")</f>
        <v>3218</v>
      </c>
      <c r="D43" s="220">
        <f>IFERROR(VLOOKUP($B43,MMWR_TRAD_AGG_RO_COMP[],D$1,0),"ERROR")</f>
        <v>416.77501553759998</v>
      </c>
      <c r="E43" s="221">
        <f>IFERROR(VLOOKUP($B43,MMWR_TRAD_AGG_RO_COMP[],E$1,0),"ERROR")</f>
        <v>4564</v>
      </c>
      <c r="F43" s="222">
        <f>IFERROR(VLOOKUP($B43,MMWR_TRAD_AGG_RO_COMP[],F$1,0),"ERROR")</f>
        <v>1415</v>
      </c>
      <c r="G43" s="223">
        <f t="shared" si="0"/>
        <v>0.31003505696757233</v>
      </c>
      <c r="H43" s="224">
        <f>IFERROR(VLOOKUP($B43,MMWR_TRAD_AGG_RO_COMP[],H$1,0),"ERROR")</f>
        <v>7117</v>
      </c>
      <c r="I43" s="222">
        <f>IFERROR(VLOOKUP($B43,MMWR_TRAD_AGG_RO_COMP[],I$1,0),"ERROR")</f>
        <v>4225</v>
      </c>
      <c r="J43" s="223">
        <f t="shared" si="1"/>
        <v>0.59364900941407894</v>
      </c>
      <c r="K43" s="225">
        <f>IFERROR(VLOOKUP($B43,MMWR_TRAD_AGG_RO_COMP[],K$1,0),"ERROR")</f>
        <v>2541</v>
      </c>
      <c r="L43" s="226">
        <f>IFERROR(VLOOKUP($B43,MMWR_TRAD_AGG_RO_COMP[],L$1,0),"ERROR")</f>
        <v>1979</v>
      </c>
      <c r="M43" s="223">
        <f t="shared" si="2"/>
        <v>0.77882723337268789</v>
      </c>
      <c r="N43" s="225">
        <f>IFERROR(VLOOKUP($B43,MMWR_TRAD_AGG_RO_COMP[],N$1,0),"ERROR")</f>
        <v>816</v>
      </c>
      <c r="O43" s="226">
        <f>IFERROR(VLOOKUP($B43,MMWR_TRAD_AGG_RO_COMP[],O$1,0),"ERROR")</f>
        <v>607</v>
      </c>
      <c r="P43" s="223">
        <f t="shared" si="3"/>
        <v>0.74387254901960786</v>
      </c>
      <c r="Q43" s="227">
        <f>IFERROR(VLOOKUP($B43,MMWR_TRAD_AGG_RO_COMP[],Q$1,0),"ERROR")</f>
        <v>42</v>
      </c>
      <c r="R43" s="227">
        <f>IFERROR(VLOOKUP($B43,MMWR_TRAD_AGG_RO_COMP[],R$1,0),"ERROR")</f>
        <v>275</v>
      </c>
      <c r="S43" s="201">
        <f>IFERROR(VLOOKUP($B43,MMWR_APP_RO[],S$1,0),"ERROR")</f>
        <v>4665</v>
      </c>
      <c r="T43" s="28"/>
    </row>
    <row r="44" spans="1:20" x14ac:dyDescent="0.2">
      <c r="A44" s="28"/>
      <c r="B44" s="108" t="s">
        <v>51</v>
      </c>
      <c r="C44" s="219">
        <f>IFERROR(VLOOKUP($B44,MMWR_TRAD_AGG_RO_COMP[],C$1,0),"ERROR")</f>
        <v>3783</v>
      </c>
      <c r="D44" s="220">
        <f>IFERROR(VLOOKUP($B44,MMWR_TRAD_AGG_RO_COMP[],D$1,0),"ERROR")</f>
        <v>303.90430874970002</v>
      </c>
      <c r="E44" s="221">
        <f>IFERROR(VLOOKUP($B44,MMWR_TRAD_AGG_RO_COMP[],E$1,0),"ERROR")</f>
        <v>3037</v>
      </c>
      <c r="F44" s="222">
        <f>IFERROR(VLOOKUP($B44,MMWR_TRAD_AGG_RO_COMP[],F$1,0),"ERROR")</f>
        <v>466</v>
      </c>
      <c r="G44" s="223">
        <f t="shared" si="0"/>
        <v>0.15344089562067831</v>
      </c>
      <c r="H44" s="224">
        <f>IFERROR(VLOOKUP($B44,MMWR_TRAD_AGG_RO_COMP[],H$1,0),"ERROR")</f>
        <v>7932</v>
      </c>
      <c r="I44" s="222">
        <f>IFERROR(VLOOKUP($B44,MMWR_TRAD_AGG_RO_COMP[],I$1,0),"ERROR")</f>
        <v>3282</v>
      </c>
      <c r="J44" s="223">
        <f t="shared" si="1"/>
        <v>0.41376701966717094</v>
      </c>
      <c r="K44" s="225">
        <f>IFERROR(VLOOKUP($B44,MMWR_TRAD_AGG_RO_COMP[],K$1,0),"ERROR")</f>
        <v>3722</v>
      </c>
      <c r="L44" s="226">
        <f>IFERROR(VLOOKUP($B44,MMWR_TRAD_AGG_RO_COMP[],L$1,0),"ERROR")</f>
        <v>2620</v>
      </c>
      <c r="M44" s="223">
        <f t="shared" si="2"/>
        <v>0.70392262224610425</v>
      </c>
      <c r="N44" s="225">
        <f>IFERROR(VLOOKUP($B44,MMWR_TRAD_AGG_RO_COMP[],N$1,0),"ERROR")</f>
        <v>1583</v>
      </c>
      <c r="O44" s="226">
        <f>IFERROR(VLOOKUP($B44,MMWR_TRAD_AGG_RO_COMP[],O$1,0),"ERROR")</f>
        <v>1074</v>
      </c>
      <c r="P44" s="223">
        <f t="shared" si="3"/>
        <v>0.67845862286797221</v>
      </c>
      <c r="Q44" s="227">
        <f>IFERROR(VLOOKUP($B44,MMWR_TRAD_AGG_RO_COMP[],Q$1,0),"ERROR")</f>
        <v>0</v>
      </c>
      <c r="R44" s="227">
        <f>IFERROR(VLOOKUP($B44,MMWR_TRAD_AGG_RO_COMP[],R$1,0),"ERROR")</f>
        <v>95</v>
      </c>
      <c r="S44" s="201">
        <f>IFERROR(VLOOKUP($B44,MMWR_APP_RO[],S$1,0),"ERROR")</f>
        <v>5265</v>
      </c>
      <c r="T44" s="28"/>
    </row>
    <row r="45" spans="1:20" x14ac:dyDescent="0.2">
      <c r="A45" s="28"/>
      <c r="B45" s="108" t="s">
        <v>27</v>
      </c>
      <c r="C45" s="219">
        <f>IFERROR(VLOOKUP($B45,MMWR_TRAD_AGG_RO_COMP[],C$1,0),"ERROR")</f>
        <v>1064</v>
      </c>
      <c r="D45" s="220">
        <f>IFERROR(VLOOKUP($B45,MMWR_TRAD_AGG_RO_COMP[],D$1,0),"ERROR")</f>
        <v>89.703947368399994</v>
      </c>
      <c r="E45" s="221">
        <f>IFERROR(VLOOKUP($B45,MMWR_TRAD_AGG_RO_COMP[],E$1,0),"ERROR")</f>
        <v>5274</v>
      </c>
      <c r="F45" s="222">
        <f>IFERROR(VLOOKUP($B45,MMWR_TRAD_AGG_RO_COMP[],F$1,0),"ERROR")</f>
        <v>486</v>
      </c>
      <c r="G45" s="223">
        <f t="shared" si="0"/>
        <v>9.2150170648464161E-2</v>
      </c>
      <c r="H45" s="224">
        <f>IFERROR(VLOOKUP($B45,MMWR_TRAD_AGG_RO_COMP[],H$1,0),"ERROR")</f>
        <v>6069</v>
      </c>
      <c r="I45" s="222">
        <f>IFERROR(VLOOKUP($B45,MMWR_TRAD_AGG_RO_COMP[],I$1,0),"ERROR")</f>
        <v>1144</v>
      </c>
      <c r="J45" s="223">
        <f t="shared" si="1"/>
        <v>0.18849892898335804</v>
      </c>
      <c r="K45" s="225">
        <f>IFERROR(VLOOKUP($B45,MMWR_TRAD_AGG_RO_COMP[],K$1,0),"ERROR")</f>
        <v>853</v>
      </c>
      <c r="L45" s="226">
        <f>IFERROR(VLOOKUP($B45,MMWR_TRAD_AGG_RO_COMP[],L$1,0),"ERROR")</f>
        <v>326</v>
      </c>
      <c r="M45" s="223">
        <f t="shared" si="2"/>
        <v>0.3821805392731536</v>
      </c>
      <c r="N45" s="225">
        <f>IFERROR(VLOOKUP($B45,MMWR_TRAD_AGG_RO_COMP[],N$1,0),"ERROR")</f>
        <v>1534</v>
      </c>
      <c r="O45" s="226">
        <f>IFERROR(VLOOKUP($B45,MMWR_TRAD_AGG_RO_COMP[],O$1,0),"ERROR")</f>
        <v>933</v>
      </c>
      <c r="P45" s="223">
        <f t="shared" si="3"/>
        <v>0.60821382007822689</v>
      </c>
      <c r="Q45" s="227">
        <f>IFERROR(VLOOKUP($B45,MMWR_TRAD_AGG_RO_COMP[],Q$1,0),"ERROR")</f>
        <v>0</v>
      </c>
      <c r="R45" s="227">
        <f>IFERROR(VLOOKUP($B45,MMWR_TRAD_AGG_RO_COMP[],R$1,0),"ERROR")</f>
        <v>12</v>
      </c>
      <c r="S45" s="201">
        <f>IFERROR(VLOOKUP($B45,MMWR_APP_RO[],S$1,0),"ERROR")</f>
        <v>4041</v>
      </c>
      <c r="T45" s="28"/>
    </row>
    <row r="46" spans="1:20" x14ac:dyDescent="0.2">
      <c r="A46" s="28"/>
      <c r="B46" s="108" t="s">
        <v>59</v>
      </c>
      <c r="C46" s="219">
        <f>IFERROR(VLOOKUP($B46,MMWR_TRAD_AGG_RO_COMP[],C$1,0),"ERROR")</f>
        <v>3687</v>
      </c>
      <c r="D46" s="220">
        <f>IFERROR(VLOOKUP($B46,MMWR_TRAD_AGG_RO_COMP[],D$1,0),"ERROR")</f>
        <v>454.77868185519998</v>
      </c>
      <c r="E46" s="221">
        <f>IFERROR(VLOOKUP($B46,MMWR_TRAD_AGG_RO_COMP[],E$1,0),"ERROR")</f>
        <v>5252</v>
      </c>
      <c r="F46" s="222">
        <f>IFERROR(VLOOKUP($B46,MMWR_TRAD_AGG_RO_COMP[],F$1,0),"ERROR")</f>
        <v>1125</v>
      </c>
      <c r="G46" s="223">
        <f t="shared" si="0"/>
        <v>0.2142041127189642</v>
      </c>
      <c r="H46" s="224">
        <f>IFERROR(VLOOKUP($B46,MMWR_TRAD_AGG_RO_COMP[],H$1,0),"ERROR")</f>
        <v>6577</v>
      </c>
      <c r="I46" s="222">
        <f>IFERROR(VLOOKUP($B46,MMWR_TRAD_AGG_RO_COMP[],I$1,0),"ERROR")</f>
        <v>3396</v>
      </c>
      <c r="J46" s="223">
        <f t="shared" si="1"/>
        <v>0.51634483807206932</v>
      </c>
      <c r="K46" s="225">
        <f>IFERROR(VLOOKUP($B46,MMWR_TRAD_AGG_RO_COMP[],K$1,0),"ERROR")</f>
        <v>1149</v>
      </c>
      <c r="L46" s="226">
        <f>IFERROR(VLOOKUP($B46,MMWR_TRAD_AGG_RO_COMP[],L$1,0),"ERROR")</f>
        <v>747</v>
      </c>
      <c r="M46" s="223">
        <f t="shared" si="2"/>
        <v>0.65013054830287209</v>
      </c>
      <c r="N46" s="225">
        <f>IFERROR(VLOOKUP($B46,MMWR_TRAD_AGG_RO_COMP[],N$1,0),"ERROR")</f>
        <v>1792</v>
      </c>
      <c r="O46" s="226">
        <f>IFERROR(VLOOKUP($B46,MMWR_TRAD_AGG_RO_COMP[],O$1,0),"ERROR")</f>
        <v>1241</v>
      </c>
      <c r="P46" s="223">
        <f t="shared" si="3"/>
        <v>0.6925223214285714</v>
      </c>
      <c r="Q46" s="227">
        <f>IFERROR(VLOOKUP($B46,MMWR_TRAD_AGG_RO_COMP[],Q$1,0),"ERROR")</f>
        <v>2</v>
      </c>
      <c r="R46" s="227">
        <f>IFERROR(VLOOKUP($B46,MMWR_TRAD_AGG_RO_COMP[],R$1,0),"ERROR")</f>
        <v>272</v>
      </c>
      <c r="S46" s="201">
        <f>IFERROR(VLOOKUP($B46,MMWR_APP_RO[],S$1,0),"ERROR")</f>
        <v>5884</v>
      </c>
      <c r="T46" s="28"/>
    </row>
    <row r="47" spans="1:20" x14ac:dyDescent="0.2">
      <c r="A47" s="28"/>
      <c r="B47" s="108" t="s">
        <v>70</v>
      </c>
      <c r="C47" s="219">
        <f>IFERROR(VLOOKUP($B47,MMWR_TRAD_AGG_RO_COMP[],C$1,0),"ERROR")</f>
        <v>3017</v>
      </c>
      <c r="D47" s="220">
        <f>IFERROR(VLOOKUP($B47,MMWR_TRAD_AGG_RO_COMP[],D$1,0),"ERROR")</f>
        <v>304.42492542259998</v>
      </c>
      <c r="E47" s="221">
        <f>IFERROR(VLOOKUP($B47,MMWR_TRAD_AGG_RO_COMP[],E$1,0),"ERROR")</f>
        <v>3215</v>
      </c>
      <c r="F47" s="222">
        <f>IFERROR(VLOOKUP($B47,MMWR_TRAD_AGG_RO_COMP[],F$1,0),"ERROR")</f>
        <v>506</v>
      </c>
      <c r="G47" s="223">
        <f t="shared" si="0"/>
        <v>0.15738724727838257</v>
      </c>
      <c r="H47" s="224">
        <f>IFERROR(VLOOKUP($B47,MMWR_TRAD_AGG_RO_COMP[],H$1,0),"ERROR")</f>
        <v>7403</v>
      </c>
      <c r="I47" s="222">
        <f>IFERROR(VLOOKUP($B47,MMWR_TRAD_AGG_RO_COMP[],I$1,0),"ERROR")</f>
        <v>3829</v>
      </c>
      <c r="J47" s="223">
        <f t="shared" si="1"/>
        <v>0.51722274753478314</v>
      </c>
      <c r="K47" s="225">
        <f>IFERROR(VLOOKUP($B47,MMWR_TRAD_AGG_RO_COMP[],K$1,0),"ERROR")</f>
        <v>1231</v>
      </c>
      <c r="L47" s="226">
        <f>IFERROR(VLOOKUP($B47,MMWR_TRAD_AGG_RO_COMP[],L$1,0),"ERROR")</f>
        <v>718</v>
      </c>
      <c r="M47" s="223">
        <f t="shared" si="2"/>
        <v>0.5832656376929326</v>
      </c>
      <c r="N47" s="225">
        <f>IFERROR(VLOOKUP($B47,MMWR_TRAD_AGG_RO_COMP[],N$1,0),"ERROR")</f>
        <v>424</v>
      </c>
      <c r="O47" s="226">
        <f>IFERROR(VLOOKUP($B47,MMWR_TRAD_AGG_RO_COMP[],O$1,0),"ERROR")</f>
        <v>221</v>
      </c>
      <c r="P47" s="223">
        <f t="shared" si="3"/>
        <v>0.52122641509433965</v>
      </c>
      <c r="Q47" s="227">
        <f>IFERROR(VLOOKUP($B47,MMWR_TRAD_AGG_RO_COMP[],Q$1,0),"ERROR")</f>
        <v>0</v>
      </c>
      <c r="R47" s="227">
        <f>IFERROR(VLOOKUP($B47,MMWR_TRAD_AGG_RO_COMP[],R$1,0),"ERROR")</f>
        <v>2</v>
      </c>
      <c r="S47" s="201">
        <f>IFERROR(VLOOKUP($B47,MMWR_APP_RO[],S$1,0),"ERROR")</f>
        <v>864</v>
      </c>
      <c r="T47" s="28"/>
    </row>
    <row r="48" spans="1:20" x14ac:dyDescent="0.2">
      <c r="A48" s="28"/>
      <c r="B48" s="116" t="s">
        <v>79</v>
      </c>
      <c r="C48" s="228">
        <f>IFERROR(VLOOKUP($B48,MMWR_TRAD_AGG_RO_COMP[],C$1,0),"ERROR")</f>
        <v>9558</v>
      </c>
      <c r="D48" s="229">
        <f>IFERROR(VLOOKUP($B48,MMWR_TRAD_AGG_RO_COMP[],D$1,0),"ERROR")</f>
        <v>321.61424984310003</v>
      </c>
      <c r="E48" s="230">
        <f>IFERROR(VLOOKUP($B48,MMWR_TRAD_AGG_RO_COMP[],E$1,0),"ERROR")</f>
        <v>16868</v>
      </c>
      <c r="F48" s="231">
        <f>IFERROR(VLOOKUP($B48,MMWR_TRAD_AGG_RO_COMP[],F$1,0),"ERROR")</f>
        <v>2895</v>
      </c>
      <c r="G48" s="232">
        <f t="shared" si="0"/>
        <v>0.17162674887360682</v>
      </c>
      <c r="H48" s="233">
        <f>IFERROR(VLOOKUP($B48,MMWR_TRAD_AGG_RO_COMP[],H$1,0),"ERROR")</f>
        <v>16184</v>
      </c>
      <c r="I48" s="231">
        <f>IFERROR(VLOOKUP($B48,MMWR_TRAD_AGG_RO_COMP[],I$1,0),"ERROR")</f>
        <v>6985</v>
      </c>
      <c r="J48" s="232">
        <f t="shared" si="1"/>
        <v>0.43159911023232822</v>
      </c>
      <c r="K48" s="234">
        <f>IFERROR(VLOOKUP($B48,MMWR_TRAD_AGG_RO_COMP[],K$1,0),"ERROR")</f>
        <v>3589</v>
      </c>
      <c r="L48" s="235">
        <f>IFERROR(VLOOKUP($B48,MMWR_TRAD_AGG_RO_COMP[],L$1,0),"ERROR")</f>
        <v>2190</v>
      </c>
      <c r="M48" s="232">
        <f t="shared" si="2"/>
        <v>0.61019782669267209</v>
      </c>
      <c r="N48" s="234">
        <f>IFERROR(VLOOKUP($B48,MMWR_TRAD_AGG_RO_COMP[],N$1,0),"ERROR")</f>
        <v>7797</v>
      </c>
      <c r="O48" s="235">
        <f>IFERROR(VLOOKUP($B48,MMWR_TRAD_AGG_RO_COMP[],O$1,0),"ERROR")</f>
        <v>3427</v>
      </c>
      <c r="P48" s="232">
        <f t="shared" si="3"/>
        <v>0.43952802359882004</v>
      </c>
      <c r="Q48" s="236">
        <f>IFERROR(VLOOKUP($B48,MMWR_TRAD_AGG_RO_COMP[],Q$1,0),"ERROR")</f>
        <v>3</v>
      </c>
      <c r="R48" s="236">
        <f>IFERROR(VLOOKUP($B48,MMWR_TRAD_AGG_RO_COMP[],R$1,0),"ERROR")</f>
        <v>201</v>
      </c>
      <c r="S48" s="201">
        <f>IFERROR(VLOOKUP($B48,MMWR_APP_RO[],S$1,0),"ERROR")</f>
        <v>20221</v>
      </c>
      <c r="T48" s="28"/>
    </row>
    <row r="49" spans="1:20" x14ac:dyDescent="0.2">
      <c r="A49" s="28"/>
      <c r="B49" s="101" t="s">
        <v>404</v>
      </c>
      <c r="C49" s="212">
        <f>IFERROR(VLOOKUP($B49,MMWR_TRAD_AGG_DISTRICT_COMP[],C$1,0),"ERROR")</f>
        <v>45556</v>
      </c>
      <c r="D49" s="197">
        <f>IFERROR(VLOOKUP($B49,MMWR_TRAD_AGG_DISTRICT_COMP[],D$1,0),"ERROR")</f>
        <v>401.20058828689997</v>
      </c>
      <c r="E49" s="213">
        <f>IFERROR(VLOOKUP($B49,MMWR_TRAD_AGG_DISTRICT_COMP[],E$1,0),"ERROR")</f>
        <v>62897</v>
      </c>
      <c r="F49" s="218">
        <f>IFERROR(VLOOKUP($B49,MMWR_TRAD_AGG_DISTRICT_COMP[],F$1,0),"ERROR")</f>
        <v>12103</v>
      </c>
      <c r="G49" s="214">
        <f t="shared" si="0"/>
        <v>0.19242571187815</v>
      </c>
      <c r="H49" s="218">
        <f>IFERROR(VLOOKUP($B49,MMWR_TRAD_AGG_DISTRICT_COMP[],H$1,0),"ERROR")</f>
        <v>89186</v>
      </c>
      <c r="I49" s="218">
        <f>IFERROR(VLOOKUP($B49,MMWR_TRAD_AGG_DISTRICT_COMP[],I$1,0),"ERROR")</f>
        <v>48044</v>
      </c>
      <c r="J49" s="214">
        <f t="shared" si="1"/>
        <v>0.53869441392146744</v>
      </c>
      <c r="K49" s="212">
        <f>IFERROR(VLOOKUP($B49,MMWR_TRAD_AGG_DISTRICT_COMP[],K$1,0),"ERROR")</f>
        <v>23265</v>
      </c>
      <c r="L49" s="212">
        <f>IFERROR(VLOOKUP($B49,MMWR_TRAD_AGG_DISTRICT_COMP[],L$1,0),"ERROR")</f>
        <v>17917</v>
      </c>
      <c r="M49" s="214">
        <f t="shared" si="2"/>
        <v>0.77012679991403399</v>
      </c>
      <c r="N49" s="212">
        <f>IFERROR(VLOOKUP($B49,MMWR_TRAD_AGG_DISTRICT_COMP[],N$1,0),"ERROR")</f>
        <v>19196</v>
      </c>
      <c r="O49" s="212">
        <f>IFERROR(VLOOKUP($B49,MMWR_TRAD_AGG_DISTRICT_COMP[],O$1,0),"ERROR")</f>
        <v>14655</v>
      </c>
      <c r="P49" s="214">
        <f t="shared" si="3"/>
        <v>0.76344030006251307</v>
      </c>
      <c r="Q49" s="212">
        <f>IFERROR(VLOOKUP($B49,MMWR_TRAD_AGG_DISTRICT_COMP[],Q$1,0),"ERROR")</f>
        <v>458</v>
      </c>
      <c r="R49" s="215">
        <f>IFERROR(VLOOKUP($B49,MMWR_TRAD_AGG_DISTRICT_COMP[],R$1,0),"ERROR")</f>
        <v>788</v>
      </c>
      <c r="S49" s="215">
        <f>IFERROR(VLOOKUP($B49,MMWR_APP_RO[],S$1,0),"ERROR")</f>
        <v>41184</v>
      </c>
      <c r="T49" s="28"/>
    </row>
    <row r="50" spans="1:20" x14ac:dyDescent="0.2">
      <c r="A50" s="28"/>
      <c r="B50" s="108" t="s">
        <v>31</v>
      </c>
      <c r="C50" s="219">
        <f>IFERROR(VLOOKUP($B50,MMWR_TRAD_AGG_RO_COMP[],C$1,0),"ERROR")</f>
        <v>623</v>
      </c>
      <c r="D50" s="220">
        <f>IFERROR(VLOOKUP($B50,MMWR_TRAD_AGG_RO_COMP[],D$1,0),"ERROR")</f>
        <v>161.33226324239999</v>
      </c>
      <c r="E50" s="221">
        <f>IFERROR(VLOOKUP($B50,MMWR_TRAD_AGG_RO_COMP[],E$1,0),"ERROR")</f>
        <v>2839</v>
      </c>
      <c r="F50" s="222">
        <f>IFERROR(VLOOKUP($B50,MMWR_TRAD_AGG_RO_COMP[],F$1,0),"ERROR")</f>
        <v>534</v>
      </c>
      <c r="G50" s="223">
        <f t="shared" si="0"/>
        <v>0.18809439943642128</v>
      </c>
      <c r="H50" s="224">
        <f>IFERROR(VLOOKUP($B50,MMWR_TRAD_AGG_RO_COMP[],H$1,0),"ERROR")</f>
        <v>1533</v>
      </c>
      <c r="I50" s="222">
        <f>IFERROR(VLOOKUP($B50,MMWR_TRAD_AGG_RO_COMP[],I$1,0),"ERROR")</f>
        <v>377</v>
      </c>
      <c r="J50" s="223">
        <f t="shared" si="1"/>
        <v>0.24592302674494454</v>
      </c>
      <c r="K50" s="225">
        <f>IFERROR(VLOOKUP($B50,MMWR_TRAD_AGG_RO_COMP[],K$1,0),"ERROR")</f>
        <v>279</v>
      </c>
      <c r="L50" s="226">
        <f>IFERROR(VLOOKUP($B50,MMWR_TRAD_AGG_RO_COMP[],L$1,0),"ERROR")</f>
        <v>112</v>
      </c>
      <c r="M50" s="223">
        <f t="shared" si="2"/>
        <v>0.40143369175627241</v>
      </c>
      <c r="N50" s="225">
        <f>IFERROR(VLOOKUP($B50,MMWR_TRAD_AGG_RO_COMP[],N$1,0),"ERROR")</f>
        <v>418</v>
      </c>
      <c r="O50" s="226">
        <f>IFERROR(VLOOKUP($B50,MMWR_TRAD_AGG_RO_COMP[],O$1,0),"ERROR")</f>
        <v>261</v>
      </c>
      <c r="P50" s="223">
        <f t="shared" si="3"/>
        <v>0.62440191387559807</v>
      </c>
      <c r="Q50" s="227">
        <f>IFERROR(VLOOKUP($B50,MMWR_TRAD_AGG_RO_COMP[],Q$1,0),"ERROR")</f>
        <v>0</v>
      </c>
      <c r="R50" s="227">
        <f>IFERROR(VLOOKUP($B50,MMWR_TRAD_AGG_RO_COMP[],R$1,0),"ERROR")</f>
        <v>9</v>
      </c>
      <c r="S50" s="201">
        <f>IFERROR(VLOOKUP($B50,MMWR_APP_RO[],S$1,0),"ERROR")</f>
        <v>1553</v>
      </c>
      <c r="T50" s="28"/>
    </row>
    <row r="51" spans="1:20" x14ac:dyDescent="0.2">
      <c r="A51" s="28"/>
      <c r="B51" s="108" t="s">
        <v>32</v>
      </c>
      <c r="C51" s="219">
        <f>IFERROR(VLOOKUP($B51,MMWR_TRAD_AGG_RO_COMP[],C$1,0),"ERROR")</f>
        <v>2227</v>
      </c>
      <c r="D51" s="220">
        <f>IFERROR(VLOOKUP($B51,MMWR_TRAD_AGG_RO_COMP[],D$1,0),"ERROR")</f>
        <v>569.59946115850005</v>
      </c>
      <c r="E51" s="221">
        <f>IFERROR(VLOOKUP($B51,MMWR_TRAD_AGG_RO_COMP[],E$1,0),"ERROR")</f>
        <v>1079</v>
      </c>
      <c r="F51" s="222">
        <f>IFERROR(VLOOKUP($B51,MMWR_TRAD_AGG_RO_COMP[],F$1,0),"ERROR")</f>
        <v>297</v>
      </c>
      <c r="G51" s="223">
        <f t="shared" si="0"/>
        <v>0.27525486561631141</v>
      </c>
      <c r="H51" s="224">
        <f>IFERROR(VLOOKUP($B51,MMWR_TRAD_AGG_RO_COMP[],H$1,0),"ERROR")</f>
        <v>3306</v>
      </c>
      <c r="I51" s="222">
        <f>IFERROR(VLOOKUP($B51,MMWR_TRAD_AGG_RO_COMP[],I$1,0),"ERROR")</f>
        <v>2430</v>
      </c>
      <c r="J51" s="223">
        <f t="shared" si="1"/>
        <v>0.73502722323048997</v>
      </c>
      <c r="K51" s="225">
        <f>IFERROR(VLOOKUP($B51,MMWR_TRAD_AGG_RO_COMP[],K$1,0),"ERROR")</f>
        <v>1615</v>
      </c>
      <c r="L51" s="226">
        <f>IFERROR(VLOOKUP($B51,MMWR_TRAD_AGG_RO_COMP[],L$1,0),"ERROR")</f>
        <v>1345</v>
      </c>
      <c r="M51" s="223">
        <f t="shared" si="2"/>
        <v>0.83281733746130027</v>
      </c>
      <c r="N51" s="225">
        <f>IFERROR(VLOOKUP($B51,MMWR_TRAD_AGG_RO_COMP[],N$1,0),"ERROR")</f>
        <v>175</v>
      </c>
      <c r="O51" s="226">
        <f>IFERROR(VLOOKUP($B51,MMWR_TRAD_AGG_RO_COMP[],O$1,0),"ERROR")</f>
        <v>146</v>
      </c>
      <c r="P51" s="223">
        <f t="shared" si="3"/>
        <v>0.8342857142857143</v>
      </c>
      <c r="Q51" s="227">
        <f>IFERROR(VLOOKUP($B51,MMWR_TRAD_AGG_RO_COMP[],Q$1,0),"ERROR")</f>
        <v>0</v>
      </c>
      <c r="R51" s="227">
        <f>IFERROR(VLOOKUP($B51,MMWR_TRAD_AGG_RO_COMP[],R$1,0),"ERROR")</f>
        <v>4</v>
      </c>
      <c r="S51" s="201">
        <f>IFERROR(VLOOKUP($B51,MMWR_APP_RO[],S$1,0),"ERROR")</f>
        <v>197</v>
      </c>
      <c r="T51" s="28"/>
    </row>
    <row r="52" spans="1:20" x14ac:dyDescent="0.2">
      <c r="A52" s="28"/>
      <c r="B52" s="108" t="s">
        <v>34</v>
      </c>
      <c r="C52" s="219">
        <f>IFERROR(VLOOKUP($B52,MMWR_TRAD_AGG_RO_COMP[],C$1,0),"ERROR")</f>
        <v>358</v>
      </c>
      <c r="D52" s="220">
        <f>IFERROR(VLOOKUP($B52,MMWR_TRAD_AGG_RO_COMP[],D$1,0),"ERROR")</f>
        <v>69.360335195499999</v>
      </c>
      <c r="E52" s="221">
        <f>IFERROR(VLOOKUP($B52,MMWR_TRAD_AGG_RO_COMP[],E$1,0),"ERROR")</f>
        <v>1666</v>
      </c>
      <c r="F52" s="222">
        <f>IFERROR(VLOOKUP($B52,MMWR_TRAD_AGG_RO_COMP[],F$1,0),"ERROR")</f>
        <v>395</v>
      </c>
      <c r="G52" s="223">
        <f t="shared" si="0"/>
        <v>0.23709483793517408</v>
      </c>
      <c r="H52" s="224">
        <f>IFERROR(VLOOKUP($B52,MMWR_TRAD_AGG_RO_COMP[],H$1,0),"ERROR")</f>
        <v>1133</v>
      </c>
      <c r="I52" s="222">
        <f>IFERROR(VLOOKUP($B52,MMWR_TRAD_AGG_RO_COMP[],I$1,0),"ERROR")</f>
        <v>65</v>
      </c>
      <c r="J52" s="223">
        <f t="shared" si="1"/>
        <v>5.7369814651368048E-2</v>
      </c>
      <c r="K52" s="225">
        <f>IFERROR(VLOOKUP($B52,MMWR_TRAD_AGG_RO_COMP[],K$1,0),"ERROR")</f>
        <v>99</v>
      </c>
      <c r="L52" s="226">
        <f>IFERROR(VLOOKUP($B52,MMWR_TRAD_AGG_RO_COMP[],L$1,0),"ERROR")</f>
        <v>24</v>
      </c>
      <c r="M52" s="223">
        <f t="shared" si="2"/>
        <v>0.24242424242424243</v>
      </c>
      <c r="N52" s="225">
        <f>IFERROR(VLOOKUP($B52,MMWR_TRAD_AGG_RO_COMP[],N$1,0),"ERROR")</f>
        <v>142</v>
      </c>
      <c r="O52" s="226">
        <f>IFERROR(VLOOKUP($B52,MMWR_TRAD_AGG_RO_COMP[],O$1,0),"ERROR")</f>
        <v>78</v>
      </c>
      <c r="P52" s="223">
        <f t="shared" si="3"/>
        <v>0.54929577464788737</v>
      </c>
      <c r="Q52" s="227">
        <f>IFERROR(VLOOKUP($B52,MMWR_TRAD_AGG_RO_COMP[],Q$1,0),"ERROR")</f>
        <v>0</v>
      </c>
      <c r="R52" s="227">
        <f>IFERROR(VLOOKUP($B52,MMWR_TRAD_AGG_RO_COMP[],R$1,0),"ERROR")</f>
        <v>5</v>
      </c>
      <c r="S52" s="201">
        <f>IFERROR(VLOOKUP($B52,MMWR_APP_RO[],S$1,0),"ERROR")</f>
        <v>824</v>
      </c>
      <c r="T52" s="28"/>
    </row>
    <row r="53" spans="1:20" x14ac:dyDescent="0.2">
      <c r="A53" s="28"/>
      <c r="B53" s="108" t="s">
        <v>45</v>
      </c>
      <c r="C53" s="219">
        <f>IFERROR(VLOOKUP($B53,MMWR_TRAD_AGG_RO_COMP[],C$1,0),"ERROR")</f>
        <v>1251</v>
      </c>
      <c r="D53" s="220">
        <f>IFERROR(VLOOKUP($B53,MMWR_TRAD_AGG_RO_COMP[],D$1,0),"ERROR")</f>
        <v>244.57633892889999</v>
      </c>
      <c r="E53" s="221">
        <f>IFERROR(VLOOKUP($B53,MMWR_TRAD_AGG_RO_COMP[],E$1,0),"ERROR")</f>
        <v>2356</v>
      </c>
      <c r="F53" s="222">
        <f>IFERROR(VLOOKUP($B53,MMWR_TRAD_AGG_RO_COMP[],F$1,0),"ERROR")</f>
        <v>338</v>
      </c>
      <c r="G53" s="223">
        <f t="shared" si="0"/>
        <v>0.14346349745331069</v>
      </c>
      <c r="H53" s="224">
        <f>IFERROR(VLOOKUP($B53,MMWR_TRAD_AGG_RO_COMP[],H$1,0),"ERROR")</f>
        <v>2411</v>
      </c>
      <c r="I53" s="222">
        <f>IFERROR(VLOOKUP($B53,MMWR_TRAD_AGG_RO_COMP[],I$1,0),"ERROR")</f>
        <v>833</v>
      </c>
      <c r="J53" s="223">
        <f t="shared" si="1"/>
        <v>0.34549979261717129</v>
      </c>
      <c r="K53" s="225">
        <f>IFERROR(VLOOKUP($B53,MMWR_TRAD_AGG_RO_COMP[],K$1,0),"ERROR")</f>
        <v>983</v>
      </c>
      <c r="L53" s="226">
        <f>IFERROR(VLOOKUP($B53,MMWR_TRAD_AGG_RO_COMP[],L$1,0),"ERROR")</f>
        <v>532</v>
      </c>
      <c r="M53" s="223">
        <f t="shared" si="2"/>
        <v>0.54120040691759919</v>
      </c>
      <c r="N53" s="225">
        <f>IFERROR(VLOOKUP($B53,MMWR_TRAD_AGG_RO_COMP[],N$1,0),"ERROR")</f>
        <v>227</v>
      </c>
      <c r="O53" s="226">
        <f>IFERROR(VLOOKUP($B53,MMWR_TRAD_AGG_RO_COMP[],O$1,0),"ERROR")</f>
        <v>129</v>
      </c>
      <c r="P53" s="223">
        <f t="shared" si="3"/>
        <v>0.56828193832599116</v>
      </c>
      <c r="Q53" s="227">
        <f>IFERROR(VLOOKUP($B53,MMWR_TRAD_AGG_RO_COMP[],Q$1,0),"ERROR")</f>
        <v>0</v>
      </c>
      <c r="R53" s="227">
        <f>IFERROR(VLOOKUP($B53,MMWR_TRAD_AGG_RO_COMP[],R$1,0),"ERROR")</f>
        <v>0</v>
      </c>
      <c r="S53" s="201">
        <f>IFERROR(VLOOKUP($B53,MMWR_APP_RO[],S$1,0),"ERROR")</f>
        <v>1257</v>
      </c>
      <c r="T53" s="28"/>
    </row>
    <row r="54" spans="1:20" x14ac:dyDescent="0.2">
      <c r="A54" s="28"/>
      <c r="B54" s="108" t="s">
        <v>52</v>
      </c>
      <c r="C54" s="219">
        <f>IFERROR(VLOOKUP($B54,MMWR_TRAD_AGG_RO_COMP[],C$1,0),"ERROR")</f>
        <v>6480</v>
      </c>
      <c r="D54" s="220">
        <f>IFERROR(VLOOKUP($B54,MMWR_TRAD_AGG_RO_COMP[],D$1,0),"ERROR")</f>
        <v>448.72114197529999</v>
      </c>
      <c r="E54" s="221">
        <f>IFERROR(VLOOKUP($B54,MMWR_TRAD_AGG_RO_COMP[],E$1,0),"ERROR")</f>
        <v>10536</v>
      </c>
      <c r="F54" s="222">
        <f>IFERROR(VLOOKUP($B54,MMWR_TRAD_AGG_RO_COMP[],F$1,0),"ERROR")</f>
        <v>2028</v>
      </c>
      <c r="G54" s="223">
        <f t="shared" si="0"/>
        <v>0.19248291571753987</v>
      </c>
      <c r="H54" s="224">
        <f>IFERROR(VLOOKUP($B54,MMWR_TRAD_AGG_RO_COMP[],H$1,0),"ERROR")</f>
        <v>10635</v>
      </c>
      <c r="I54" s="222">
        <f>IFERROR(VLOOKUP($B54,MMWR_TRAD_AGG_RO_COMP[],I$1,0),"ERROR")</f>
        <v>5957</v>
      </c>
      <c r="J54" s="223">
        <f t="shared" si="1"/>
        <v>0.56013164080865063</v>
      </c>
      <c r="K54" s="225">
        <f>IFERROR(VLOOKUP($B54,MMWR_TRAD_AGG_RO_COMP[],K$1,0),"ERROR")</f>
        <v>1033</v>
      </c>
      <c r="L54" s="226">
        <f>IFERROR(VLOOKUP($B54,MMWR_TRAD_AGG_RO_COMP[],L$1,0),"ERROR")</f>
        <v>889</v>
      </c>
      <c r="M54" s="223">
        <f t="shared" si="2"/>
        <v>0.86060019361084217</v>
      </c>
      <c r="N54" s="225">
        <f>IFERROR(VLOOKUP($B54,MMWR_TRAD_AGG_RO_COMP[],N$1,0),"ERROR")</f>
        <v>4040</v>
      </c>
      <c r="O54" s="226">
        <f>IFERROR(VLOOKUP($B54,MMWR_TRAD_AGG_RO_COMP[],O$1,0),"ERROR")</f>
        <v>3330</v>
      </c>
      <c r="P54" s="223">
        <f t="shared" si="3"/>
        <v>0.82425742574257421</v>
      </c>
      <c r="Q54" s="227">
        <f>IFERROR(VLOOKUP($B54,MMWR_TRAD_AGG_RO_COMP[],Q$1,0),"ERROR")</f>
        <v>4</v>
      </c>
      <c r="R54" s="227">
        <f>IFERROR(VLOOKUP($B54,MMWR_TRAD_AGG_RO_COMP[],R$1,0),"ERROR")</f>
        <v>35</v>
      </c>
      <c r="S54" s="201">
        <f>IFERROR(VLOOKUP($B54,MMWR_APP_RO[],S$1,0),"ERROR")</f>
        <v>4843</v>
      </c>
      <c r="T54" s="28"/>
    </row>
    <row r="55" spans="1:20" x14ac:dyDescent="0.2">
      <c r="A55" s="28"/>
      <c r="B55" s="108" t="s">
        <v>55</v>
      </c>
      <c r="C55" s="219">
        <f>IFERROR(VLOOKUP($B55,MMWR_TRAD_AGG_RO_COMP[],C$1,0),"ERROR")</f>
        <v>563</v>
      </c>
      <c r="D55" s="220">
        <f>IFERROR(VLOOKUP($B55,MMWR_TRAD_AGG_RO_COMP[],D$1,0),"ERROR")</f>
        <v>185.16341030199999</v>
      </c>
      <c r="E55" s="221">
        <f>IFERROR(VLOOKUP($B55,MMWR_TRAD_AGG_RO_COMP[],E$1,0),"ERROR")</f>
        <v>791</v>
      </c>
      <c r="F55" s="222">
        <f>IFERROR(VLOOKUP($B55,MMWR_TRAD_AGG_RO_COMP[],F$1,0),"ERROR")</f>
        <v>230</v>
      </c>
      <c r="G55" s="223">
        <f t="shared" si="0"/>
        <v>0.29077117572692796</v>
      </c>
      <c r="H55" s="224">
        <f>IFERROR(VLOOKUP($B55,MMWR_TRAD_AGG_RO_COMP[],H$1,0),"ERROR")</f>
        <v>812</v>
      </c>
      <c r="I55" s="222">
        <f>IFERROR(VLOOKUP($B55,MMWR_TRAD_AGG_RO_COMP[],I$1,0),"ERROR")</f>
        <v>368</v>
      </c>
      <c r="J55" s="223">
        <f t="shared" si="1"/>
        <v>0.45320197044334976</v>
      </c>
      <c r="K55" s="225">
        <f>IFERROR(VLOOKUP($B55,MMWR_TRAD_AGG_RO_COMP[],K$1,0),"ERROR")</f>
        <v>325</v>
      </c>
      <c r="L55" s="226">
        <f>IFERROR(VLOOKUP($B55,MMWR_TRAD_AGG_RO_COMP[],L$1,0),"ERROR")</f>
        <v>270</v>
      </c>
      <c r="M55" s="223">
        <f t="shared" si="2"/>
        <v>0.83076923076923082</v>
      </c>
      <c r="N55" s="225">
        <f>IFERROR(VLOOKUP($B55,MMWR_TRAD_AGG_RO_COMP[],N$1,0),"ERROR")</f>
        <v>221</v>
      </c>
      <c r="O55" s="226">
        <f>IFERROR(VLOOKUP($B55,MMWR_TRAD_AGG_RO_COMP[],O$1,0),"ERROR")</f>
        <v>148</v>
      </c>
      <c r="P55" s="223">
        <f t="shared" si="3"/>
        <v>0.66968325791855199</v>
      </c>
      <c r="Q55" s="227">
        <f>IFERROR(VLOOKUP($B55,MMWR_TRAD_AGG_RO_COMP[],Q$1,0),"ERROR")</f>
        <v>449</v>
      </c>
      <c r="R55" s="227">
        <f>IFERROR(VLOOKUP($B55,MMWR_TRAD_AGG_RO_COMP[],R$1,0),"ERROR")</f>
        <v>170</v>
      </c>
      <c r="S55" s="201">
        <f>IFERROR(VLOOKUP($B55,MMWR_APP_RO[],S$1,0),"ERROR")</f>
        <v>893</v>
      </c>
      <c r="T55" s="28"/>
    </row>
    <row r="56" spans="1:20" x14ac:dyDescent="0.2">
      <c r="A56" s="28"/>
      <c r="B56" s="108" t="s">
        <v>62</v>
      </c>
      <c r="C56" s="219">
        <f>IFERROR(VLOOKUP($B56,MMWR_TRAD_AGG_RO_COMP[],C$1,0),"ERROR")</f>
        <v>8021</v>
      </c>
      <c r="D56" s="220">
        <f>IFERROR(VLOOKUP($B56,MMWR_TRAD_AGG_RO_COMP[],D$1,0),"ERROR")</f>
        <v>456.85238748289999</v>
      </c>
      <c r="E56" s="221">
        <f>IFERROR(VLOOKUP($B56,MMWR_TRAD_AGG_RO_COMP[],E$1,0),"ERROR")</f>
        <v>11441</v>
      </c>
      <c r="F56" s="222">
        <f>IFERROR(VLOOKUP($B56,MMWR_TRAD_AGG_RO_COMP[],F$1,0),"ERROR")</f>
        <v>2565</v>
      </c>
      <c r="G56" s="223">
        <f t="shared" si="0"/>
        <v>0.22419368936281794</v>
      </c>
      <c r="H56" s="224">
        <f>IFERROR(VLOOKUP($B56,MMWR_TRAD_AGG_RO_COMP[],H$1,0),"ERROR")</f>
        <v>13915</v>
      </c>
      <c r="I56" s="222">
        <f>IFERROR(VLOOKUP($B56,MMWR_TRAD_AGG_RO_COMP[],I$1,0),"ERROR")</f>
        <v>8960</v>
      </c>
      <c r="J56" s="223">
        <f t="shared" si="1"/>
        <v>0.64390945023356094</v>
      </c>
      <c r="K56" s="225">
        <f>IFERROR(VLOOKUP($B56,MMWR_TRAD_AGG_RO_COMP[],K$1,0),"ERROR")</f>
        <v>3798</v>
      </c>
      <c r="L56" s="226">
        <f>IFERROR(VLOOKUP($B56,MMWR_TRAD_AGG_RO_COMP[],L$1,0),"ERROR")</f>
        <v>3543</v>
      </c>
      <c r="M56" s="223">
        <f t="shared" si="2"/>
        <v>0.93285939968404419</v>
      </c>
      <c r="N56" s="225">
        <f>IFERROR(VLOOKUP($B56,MMWR_TRAD_AGG_RO_COMP[],N$1,0),"ERROR")</f>
        <v>2629</v>
      </c>
      <c r="O56" s="226">
        <f>IFERROR(VLOOKUP($B56,MMWR_TRAD_AGG_RO_COMP[],O$1,0),"ERROR")</f>
        <v>2116</v>
      </c>
      <c r="P56" s="223">
        <f t="shared" si="3"/>
        <v>0.80486877139596802</v>
      </c>
      <c r="Q56" s="227">
        <f>IFERROR(VLOOKUP($B56,MMWR_TRAD_AGG_RO_COMP[],Q$1,0),"ERROR")</f>
        <v>0</v>
      </c>
      <c r="R56" s="227">
        <f>IFERROR(VLOOKUP($B56,MMWR_TRAD_AGG_RO_COMP[],R$1,0),"ERROR")</f>
        <v>43</v>
      </c>
      <c r="S56" s="201">
        <f>IFERROR(VLOOKUP($B56,MMWR_APP_RO[],S$1,0),"ERROR")</f>
        <v>8441</v>
      </c>
      <c r="T56" s="28"/>
    </row>
    <row r="57" spans="1:20" x14ac:dyDescent="0.2">
      <c r="A57" s="28"/>
      <c r="B57" s="108" t="s">
        <v>64</v>
      </c>
      <c r="C57" s="219">
        <f>IFERROR(VLOOKUP($B57,MMWR_TRAD_AGG_RO_COMP[],C$1,0),"ERROR")</f>
        <v>2981</v>
      </c>
      <c r="D57" s="220">
        <f>IFERROR(VLOOKUP($B57,MMWR_TRAD_AGG_RO_COMP[],D$1,0),"ERROR")</f>
        <v>229.46293190200001</v>
      </c>
      <c r="E57" s="221">
        <f>IFERROR(VLOOKUP($B57,MMWR_TRAD_AGG_RO_COMP[],E$1,0),"ERROR")</f>
        <v>4598</v>
      </c>
      <c r="F57" s="222">
        <f>IFERROR(VLOOKUP($B57,MMWR_TRAD_AGG_RO_COMP[],F$1,0),"ERROR")</f>
        <v>696</v>
      </c>
      <c r="G57" s="223">
        <f t="shared" si="0"/>
        <v>0.15137016093953892</v>
      </c>
      <c r="H57" s="224">
        <f>IFERROR(VLOOKUP($B57,MMWR_TRAD_AGG_RO_COMP[],H$1,0),"ERROR")</f>
        <v>5406</v>
      </c>
      <c r="I57" s="222">
        <f>IFERROR(VLOOKUP($B57,MMWR_TRAD_AGG_RO_COMP[],I$1,0),"ERROR")</f>
        <v>1920</v>
      </c>
      <c r="J57" s="223">
        <f t="shared" si="1"/>
        <v>0.35516093229744727</v>
      </c>
      <c r="K57" s="225">
        <f>IFERROR(VLOOKUP($B57,MMWR_TRAD_AGG_RO_COMP[],K$1,0),"ERROR")</f>
        <v>758</v>
      </c>
      <c r="L57" s="226">
        <f>IFERROR(VLOOKUP($B57,MMWR_TRAD_AGG_RO_COMP[],L$1,0),"ERROR")</f>
        <v>425</v>
      </c>
      <c r="M57" s="223">
        <f t="shared" si="2"/>
        <v>0.56068601583113453</v>
      </c>
      <c r="N57" s="225">
        <f>IFERROR(VLOOKUP($B57,MMWR_TRAD_AGG_RO_COMP[],N$1,0),"ERROR")</f>
        <v>1278</v>
      </c>
      <c r="O57" s="226">
        <f>IFERROR(VLOOKUP($B57,MMWR_TRAD_AGG_RO_COMP[],O$1,0),"ERROR")</f>
        <v>732</v>
      </c>
      <c r="P57" s="223">
        <f t="shared" si="3"/>
        <v>0.57276995305164324</v>
      </c>
      <c r="Q57" s="227">
        <f>IFERROR(VLOOKUP($B57,MMWR_TRAD_AGG_RO_COMP[],Q$1,0),"ERROR")</f>
        <v>0</v>
      </c>
      <c r="R57" s="227">
        <f>IFERROR(VLOOKUP($B57,MMWR_TRAD_AGG_RO_COMP[],R$1,0),"ERROR")</f>
        <v>80</v>
      </c>
      <c r="S57" s="201">
        <f>IFERROR(VLOOKUP($B57,MMWR_APP_RO[],S$1,0),"ERROR")</f>
        <v>6813</v>
      </c>
      <c r="T57" s="28"/>
    </row>
    <row r="58" spans="1:20" x14ac:dyDescent="0.2">
      <c r="A58" s="28"/>
      <c r="B58" s="108" t="s">
        <v>66</v>
      </c>
      <c r="C58" s="219">
        <f>IFERROR(VLOOKUP($B58,MMWR_TRAD_AGG_RO_COMP[],C$1,0),"ERROR")</f>
        <v>5531</v>
      </c>
      <c r="D58" s="220">
        <f>IFERROR(VLOOKUP($B58,MMWR_TRAD_AGG_RO_COMP[],D$1,0),"ERROR")</f>
        <v>428.35310070510002</v>
      </c>
      <c r="E58" s="221">
        <f>IFERROR(VLOOKUP($B58,MMWR_TRAD_AGG_RO_COMP[],E$1,0),"ERROR")</f>
        <v>4627</v>
      </c>
      <c r="F58" s="222">
        <f>IFERROR(VLOOKUP($B58,MMWR_TRAD_AGG_RO_COMP[],F$1,0),"ERROR")</f>
        <v>887</v>
      </c>
      <c r="G58" s="223">
        <f t="shared" si="0"/>
        <v>0.19170088610330668</v>
      </c>
      <c r="H58" s="224">
        <f>IFERROR(VLOOKUP($B58,MMWR_TRAD_AGG_RO_COMP[],H$1,0),"ERROR")</f>
        <v>8179</v>
      </c>
      <c r="I58" s="222">
        <f>IFERROR(VLOOKUP($B58,MMWR_TRAD_AGG_RO_COMP[],I$1,0),"ERROR")</f>
        <v>4997</v>
      </c>
      <c r="J58" s="223">
        <f t="shared" si="1"/>
        <v>0.61095488446020296</v>
      </c>
      <c r="K58" s="225">
        <f>IFERROR(VLOOKUP($B58,MMWR_TRAD_AGG_RO_COMP[],K$1,0),"ERROR")</f>
        <v>3029</v>
      </c>
      <c r="L58" s="226">
        <f>IFERROR(VLOOKUP($B58,MMWR_TRAD_AGG_RO_COMP[],L$1,0),"ERROR")</f>
        <v>2770</v>
      </c>
      <c r="M58" s="223">
        <f t="shared" si="2"/>
        <v>0.9144932320897986</v>
      </c>
      <c r="N58" s="225">
        <f>IFERROR(VLOOKUP($B58,MMWR_TRAD_AGG_RO_COMP[],N$1,0),"ERROR")</f>
        <v>2168</v>
      </c>
      <c r="O58" s="226">
        <f>IFERROR(VLOOKUP($B58,MMWR_TRAD_AGG_RO_COMP[],O$1,0),"ERROR")</f>
        <v>1575</v>
      </c>
      <c r="P58" s="223">
        <f t="shared" si="3"/>
        <v>0.72647601476014756</v>
      </c>
      <c r="Q58" s="227">
        <f>IFERROR(VLOOKUP($B58,MMWR_TRAD_AGG_RO_COMP[],Q$1,0),"ERROR")</f>
        <v>0</v>
      </c>
      <c r="R58" s="227">
        <f>IFERROR(VLOOKUP($B58,MMWR_TRAD_AGG_RO_COMP[],R$1,0),"ERROR")</f>
        <v>99</v>
      </c>
      <c r="S58" s="201">
        <f>IFERROR(VLOOKUP($B58,MMWR_APP_RO[],S$1,0),"ERROR")</f>
        <v>4844</v>
      </c>
      <c r="T58" s="28"/>
    </row>
    <row r="59" spans="1:20" x14ac:dyDescent="0.2">
      <c r="A59" s="28"/>
      <c r="B59" s="108" t="s">
        <v>68</v>
      </c>
      <c r="C59" s="219">
        <f>IFERROR(VLOOKUP($B59,MMWR_TRAD_AGG_RO_COMP[],C$1,0),"ERROR")</f>
        <v>2662</v>
      </c>
      <c r="D59" s="220">
        <f>IFERROR(VLOOKUP($B59,MMWR_TRAD_AGG_RO_COMP[],D$1,0),"ERROR")</f>
        <v>456.59053343350001</v>
      </c>
      <c r="E59" s="221">
        <f>IFERROR(VLOOKUP($B59,MMWR_TRAD_AGG_RO_COMP[],E$1,0),"ERROR")</f>
        <v>3700</v>
      </c>
      <c r="F59" s="222">
        <f>IFERROR(VLOOKUP($B59,MMWR_TRAD_AGG_RO_COMP[],F$1,0),"ERROR")</f>
        <v>983</v>
      </c>
      <c r="G59" s="223">
        <f t="shared" si="0"/>
        <v>0.26567567567567568</v>
      </c>
      <c r="H59" s="224">
        <f>IFERROR(VLOOKUP($B59,MMWR_TRAD_AGG_RO_COMP[],H$1,0),"ERROR")</f>
        <v>3991</v>
      </c>
      <c r="I59" s="222">
        <f>IFERROR(VLOOKUP($B59,MMWR_TRAD_AGG_RO_COMP[],I$1,0),"ERROR")</f>
        <v>2500</v>
      </c>
      <c r="J59" s="223">
        <f t="shared" si="1"/>
        <v>0.62640942119769483</v>
      </c>
      <c r="K59" s="225">
        <f>IFERROR(VLOOKUP($B59,MMWR_TRAD_AGG_RO_COMP[],K$1,0),"ERROR")</f>
        <v>598</v>
      </c>
      <c r="L59" s="226">
        <f>IFERROR(VLOOKUP($B59,MMWR_TRAD_AGG_RO_COMP[],L$1,0),"ERROR")</f>
        <v>487</v>
      </c>
      <c r="M59" s="223">
        <f t="shared" si="2"/>
        <v>0.81438127090301005</v>
      </c>
      <c r="N59" s="225">
        <f>IFERROR(VLOOKUP($B59,MMWR_TRAD_AGG_RO_COMP[],N$1,0),"ERROR")</f>
        <v>1211</v>
      </c>
      <c r="O59" s="226">
        <f>IFERROR(VLOOKUP($B59,MMWR_TRAD_AGG_RO_COMP[],O$1,0),"ERROR")</f>
        <v>980</v>
      </c>
      <c r="P59" s="223">
        <f t="shared" si="3"/>
        <v>0.80924855491329484</v>
      </c>
      <c r="Q59" s="227">
        <f>IFERROR(VLOOKUP($B59,MMWR_TRAD_AGG_RO_COMP[],Q$1,0),"ERROR")</f>
        <v>0</v>
      </c>
      <c r="R59" s="227">
        <f>IFERROR(VLOOKUP($B59,MMWR_TRAD_AGG_RO_COMP[],R$1,0),"ERROR")</f>
        <v>126</v>
      </c>
      <c r="S59" s="201">
        <f>IFERROR(VLOOKUP($B59,MMWR_APP_RO[],S$1,0),"ERROR")</f>
        <v>2995</v>
      </c>
      <c r="T59" s="28"/>
    </row>
    <row r="60" spans="1:20" x14ac:dyDescent="0.2">
      <c r="A60" s="28"/>
      <c r="B60" s="108" t="s">
        <v>71</v>
      </c>
      <c r="C60" s="219">
        <f>IFERROR(VLOOKUP($B60,MMWR_TRAD_AGG_RO_COMP[],C$1,0),"ERROR")</f>
        <v>5064</v>
      </c>
      <c r="D60" s="220">
        <f>IFERROR(VLOOKUP($B60,MMWR_TRAD_AGG_RO_COMP[],D$1,0),"ERROR")</f>
        <v>344.70102685619997</v>
      </c>
      <c r="E60" s="221">
        <f>IFERROR(VLOOKUP($B60,MMWR_TRAD_AGG_RO_COMP[],E$1,0),"ERROR")</f>
        <v>11521</v>
      </c>
      <c r="F60" s="222">
        <f>IFERROR(VLOOKUP($B60,MMWR_TRAD_AGG_RO_COMP[],F$1,0),"ERROR")</f>
        <v>1929</v>
      </c>
      <c r="G60" s="223">
        <f t="shared" si="0"/>
        <v>0.16743338251887857</v>
      </c>
      <c r="H60" s="224">
        <f>IFERROR(VLOOKUP($B60,MMWR_TRAD_AGG_RO_COMP[],H$1,0),"ERROR")</f>
        <v>19252</v>
      </c>
      <c r="I60" s="222">
        <f>IFERROR(VLOOKUP($B60,MMWR_TRAD_AGG_RO_COMP[],I$1,0),"ERROR")</f>
        <v>9451</v>
      </c>
      <c r="J60" s="223">
        <f t="shared" si="1"/>
        <v>0.49091003532100563</v>
      </c>
      <c r="K60" s="225">
        <f>IFERROR(VLOOKUP($B60,MMWR_TRAD_AGG_RO_COMP[],K$1,0),"ERROR")</f>
        <v>6569</v>
      </c>
      <c r="L60" s="226">
        <f>IFERROR(VLOOKUP($B60,MMWR_TRAD_AGG_RO_COMP[],L$1,0),"ERROR")</f>
        <v>4483</v>
      </c>
      <c r="M60" s="223">
        <f t="shared" si="2"/>
        <v>0.68244786116608314</v>
      </c>
      <c r="N60" s="225">
        <f>IFERROR(VLOOKUP($B60,MMWR_TRAD_AGG_RO_COMP[],N$1,0),"ERROR")</f>
        <v>2399</v>
      </c>
      <c r="O60" s="226">
        <f>IFERROR(VLOOKUP($B60,MMWR_TRAD_AGG_RO_COMP[],O$1,0),"ERROR")</f>
        <v>1647</v>
      </c>
      <c r="P60" s="223">
        <f t="shared" si="3"/>
        <v>0.68653605669028761</v>
      </c>
      <c r="Q60" s="227">
        <f>IFERROR(VLOOKUP($B60,MMWR_TRAD_AGG_RO_COMP[],Q$1,0),"ERROR")</f>
        <v>0</v>
      </c>
      <c r="R60" s="227">
        <f>IFERROR(VLOOKUP($B60,MMWR_TRAD_AGG_RO_COMP[],R$1,0),"ERROR")</f>
        <v>61</v>
      </c>
      <c r="S60" s="201">
        <f>IFERROR(VLOOKUP($B60,MMWR_APP_RO[],S$1,0),"ERROR")</f>
        <v>3814</v>
      </c>
      <c r="T60" s="28"/>
    </row>
    <row r="61" spans="1:20" x14ac:dyDescent="0.2">
      <c r="A61" s="28"/>
      <c r="B61" s="116" t="s">
        <v>73</v>
      </c>
      <c r="C61" s="228">
        <f>IFERROR(VLOOKUP($B61,MMWR_TRAD_AGG_RO_COMP[],C$1,0),"ERROR")</f>
        <v>9795</v>
      </c>
      <c r="D61" s="229">
        <f>IFERROR(VLOOKUP($B61,MMWR_TRAD_AGG_RO_COMP[],D$1,0),"ERROR")</f>
        <v>396.80010209289998</v>
      </c>
      <c r="E61" s="230">
        <f>IFERROR(VLOOKUP($B61,MMWR_TRAD_AGG_RO_COMP[],E$1,0),"ERROR")</f>
        <v>7743</v>
      </c>
      <c r="F61" s="231">
        <f>IFERROR(VLOOKUP($B61,MMWR_TRAD_AGG_RO_COMP[],F$1,0),"ERROR")</f>
        <v>1221</v>
      </c>
      <c r="G61" s="232">
        <f t="shared" si="0"/>
        <v>0.15769081751259201</v>
      </c>
      <c r="H61" s="233">
        <f>IFERROR(VLOOKUP($B61,MMWR_TRAD_AGG_RO_COMP[],H$1,0),"ERROR")</f>
        <v>18613</v>
      </c>
      <c r="I61" s="231">
        <f>IFERROR(VLOOKUP($B61,MMWR_TRAD_AGG_RO_COMP[],I$1,0),"ERROR")</f>
        <v>10186</v>
      </c>
      <c r="J61" s="232">
        <f t="shared" si="1"/>
        <v>0.54725192070058559</v>
      </c>
      <c r="K61" s="234">
        <f>IFERROR(VLOOKUP($B61,MMWR_TRAD_AGG_RO_COMP[],K$1,0),"ERROR")</f>
        <v>4179</v>
      </c>
      <c r="L61" s="235">
        <f>IFERROR(VLOOKUP($B61,MMWR_TRAD_AGG_RO_COMP[],L$1,0),"ERROR")</f>
        <v>3037</v>
      </c>
      <c r="M61" s="232">
        <f t="shared" si="2"/>
        <v>0.72672888250777701</v>
      </c>
      <c r="N61" s="234">
        <f>IFERROR(VLOOKUP($B61,MMWR_TRAD_AGG_RO_COMP[],N$1,0),"ERROR")</f>
        <v>4288</v>
      </c>
      <c r="O61" s="235">
        <f>IFERROR(VLOOKUP($B61,MMWR_TRAD_AGG_RO_COMP[],O$1,0),"ERROR")</f>
        <v>3513</v>
      </c>
      <c r="P61" s="232">
        <f t="shared" si="3"/>
        <v>0.81926305970149249</v>
      </c>
      <c r="Q61" s="236">
        <f>IFERROR(VLOOKUP($B61,MMWR_TRAD_AGG_RO_COMP[],Q$1,0),"ERROR")</f>
        <v>5</v>
      </c>
      <c r="R61" s="236">
        <f>IFERROR(VLOOKUP($B61,MMWR_TRAD_AGG_RO_COMP[],R$1,0),"ERROR")</f>
        <v>156</v>
      </c>
      <c r="S61" s="201">
        <f>IFERROR(VLOOKUP($B61,MMWR_APP_RO[],S$1,0),"ERROR")</f>
        <v>4710</v>
      </c>
      <c r="T61" s="28"/>
    </row>
    <row r="62" spans="1:20" x14ac:dyDescent="0.2">
      <c r="A62" s="28"/>
      <c r="B62" s="101" t="s">
        <v>380</v>
      </c>
      <c r="C62" s="212">
        <f>IFERROR(VLOOKUP($B62,MMWR_TRAD_AGG_DISTRICT_COMP[],C$1,0),"ERROR")</f>
        <v>57050</v>
      </c>
      <c r="D62" s="197">
        <f>IFERROR(VLOOKUP($B62,MMWR_TRAD_AGG_DISTRICT_COMP[],D$1,0),"ERROR")</f>
        <v>363.52609991240001</v>
      </c>
      <c r="E62" s="213">
        <f>IFERROR(VLOOKUP($B62,MMWR_TRAD_AGG_DISTRICT_COMP[],E$1,0),"ERROR")</f>
        <v>72816</v>
      </c>
      <c r="F62" s="218">
        <f>IFERROR(VLOOKUP($B62,MMWR_TRAD_AGG_DISTRICT_COMP[],F$1,0),"ERROR")</f>
        <v>17264</v>
      </c>
      <c r="G62" s="214">
        <f t="shared" si="0"/>
        <v>0.23709074928587123</v>
      </c>
      <c r="H62" s="218">
        <f>IFERROR(VLOOKUP($B62,MMWR_TRAD_AGG_DISTRICT_COMP[],H$1,0),"ERROR")</f>
        <v>95531</v>
      </c>
      <c r="I62" s="218">
        <f>IFERROR(VLOOKUP($B62,MMWR_TRAD_AGG_DISTRICT_COMP[],I$1,0),"ERROR")</f>
        <v>53430</v>
      </c>
      <c r="J62" s="214">
        <f t="shared" si="1"/>
        <v>0.55929488857020238</v>
      </c>
      <c r="K62" s="212">
        <f>IFERROR(VLOOKUP($B62,MMWR_TRAD_AGG_DISTRICT_COMP[],K$1,0),"ERROR")</f>
        <v>27377</v>
      </c>
      <c r="L62" s="212">
        <f>IFERROR(VLOOKUP($B62,MMWR_TRAD_AGG_DISTRICT_COMP[],L$1,0),"ERROR")</f>
        <v>22775</v>
      </c>
      <c r="M62" s="214">
        <f t="shared" si="2"/>
        <v>0.83190269204076417</v>
      </c>
      <c r="N62" s="212">
        <f>IFERROR(VLOOKUP($B62,MMWR_TRAD_AGG_DISTRICT_COMP[],N$1,0),"ERROR")</f>
        <v>30015</v>
      </c>
      <c r="O62" s="212">
        <f>IFERROR(VLOOKUP($B62,MMWR_TRAD_AGG_DISTRICT_COMP[],O$1,0),"ERROR")</f>
        <v>23212</v>
      </c>
      <c r="P62" s="214">
        <f t="shared" si="3"/>
        <v>0.77334666000333163</v>
      </c>
      <c r="Q62" s="212">
        <f>IFERROR(VLOOKUP($B62,MMWR_TRAD_AGG_DISTRICT_COMP[],Q$1,0),"ERROR")</f>
        <v>171</v>
      </c>
      <c r="R62" s="215">
        <f>IFERROR(VLOOKUP($B62,MMWR_TRAD_AGG_DISTRICT_COMP[],R$1,0),"ERROR")</f>
        <v>1377</v>
      </c>
      <c r="S62" s="215">
        <f>IFERROR(VLOOKUP($B62,MMWR_APP_RO[],S$1,0),"ERROR")</f>
        <v>85070</v>
      </c>
      <c r="T62" s="28"/>
    </row>
    <row r="63" spans="1:20" x14ac:dyDescent="0.2">
      <c r="A63" s="28"/>
      <c r="B63" s="108" t="s">
        <v>25</v>
      </c>
      <c r="C63" s="219">
        <f>IFERROR(VLOOKUP($B63,MMWR_TRAD_AGG_RO_COMP[],C$1,0),"ERROR")</f>
        <v>11855</v>
      </c>
      <c r="D63" s="220">
        <f>IFERROR(VLOOKUP($B63,MMWR_TRAD_AGG_RO_COMP[],D$1,0),"ERROR")</f>
        <v>388.0912695065</v>
      </c>
      <c r="E63" s="221">
        <f>IFERROR(VLOOKUP($B63,MMWR_TRAD_AGG_RO_COMP[],E$1,0),"ERROR")</f>
        <v>17568</v>
      </c>
      <c r="F63" s="222">
        <f>IFERROR(VLOOKUP($B63,MMWR_TRAD_AGG_RO_COMP[],F$1,0),"ERROR")</f>
        <v>4935</v>
      </c>
      <c r="G63" s="223">
        <f t="shared" si="0"/>
        <v>0.28090846994535518</v>
      </c>
      <c r="H63" s="224">
        <f>IFERROR(VLOOKUP($B63,MMWR_TRAD_AGG_RO_COMP[],H$1,0),"ERROR")</f>
        <v>20601</v>
      </c>
      <c r="I63" s="222">
        <f>IFERROR(VLOOKUP($B63,MMWR_TRAD_AGG_RO_COMP[],I$1,0),"ERROR")</f>
        <v>12081</v>
      </c>
      <c r="J63" s="223">
        <f t="shared" si="1"/>
        <v>0.58642784330857722</v>
      </c>
      <c r="K63" s="225">
        <f>IFERROR(VLOOKUP($B63,MMWR_TRAD_AGG_RO_COMP[],K$1,0),"ERROR")</f>
        <v>8289</v>
      </c>
      <c r="L63" s="226">
        <f>IFERROR(VLOOKUP($B63,MMWR_TRAD_AGG_RO_COMP[],L$1,0),"ERROR")</f>
        <v>6545</v>
      </c>
      <c r="M63" s="223">
        <f t="shared" si="2"/>
        <v>0.78960067559416092</v>
      </c>
      <c r="N63" s="225">
        <f>IFERROR(VLOOKUP($B63,MMWR_TRAD_AGG_RO_COMP[],N$1,0),"ERROR")</f>
        <v>9668</v>
      </c>
      <c r="O63" s="226">
        <f>IFERROR(VLOOKUP($B63,MMWR_TRAD_AGG_RO_COMP[],O$1,0),"ERROR")</f>
        <v>8653</v>
      </c>
      <c r="P63" s="223">
        <f t="shared" si="3"/>
        <v>0.89501448076127432</v>
      </c>
      <c r="Q63" s="227">
        <f>IFERROR(VLOOKUP($B63,MMWR_TRAD_AGG_RO_COMP[],Q$1,0),"ERROR")</f>
        <v>76</v>
      </c>
      <c r="R63" s="227">
        <f>IFERROR(VLOOKUP($B63,MMWR_TRAD_AGG_RO_COMP[],R$1,0),"ERROR")</f>
        <v>22</v>
      </c>
      <c r="S63" s="201">
        <f>IFERROR(VLOOKUP($B63,MMWR_APP_RO[],S$1,0),"ERROR")</f>
        <v>18016</v>
      </c>
      <c r="T63" s="28"/>
    </row>
    <row r="64" spans="1:20" x14ac:dyDescent="0.2">
      <c r="A64" s="28"/>
      <c r="B64" s="108" t="s">
        <v>39</v>
      </c>
      <c r="C64" s="219">
        <f>IFERROR(VLOOKUP($B64,MMWR_TRAD_AGG_RO_COMP[],C$1,0),"ERROR")</f>
        <v>7934</v>
      </c>
      <c r="D64" s="220">
        <f>IFERROR(VLOOKUP($B64,MMWR_TRAD_AGG_RO_COMP[],D$1,0),"ERROR")</f>
        <v>313.22901436849997</v>
      </c>
      <c r="E64" s="221">
        <f>IFERROR(VLOOKUP($B64,MMWR_TRAD_AGG_RO_COMP[],E$1,0),"ERROR")</f>
        <v>9206</v>
      </c>
      <c r="F64" s="222">
        <f>IFERROR(VLOOKUP($B64,MMWR_TRAD_AGG_RO_COMP[],F$1,0),"ERROR")</f>
        <v>2296</v>
      </c>
      <c r="G64" s="223">
        <f t="shared" si="0"/>
        <v>0.24940256354551379</v>
      </c>
      <c r="H64" s="224">
        <f>IFERROR(VLOOKUP($B64,MMWR_TRAD_AGG_RO_COMP[],H$1,0),"ERROR")</f>
        <v>14230</v>
      </c>
      <c r="I64" s="222">
        <f>IFERROR(VLOOKUP($B64,MMWR_TRAD_AGG_RO_COMP[],I$1,0),"ERROR")</f>
        <v>8260</v>
      </c>
      <c r="J64" s="223">
        <f t="shared" si="1"/>
        <v>0.58046380885453264</v>
      </c>
      <c r="K64" s="225">
        <f>IFERROR(VLOOKUP($B64,MMWR_TRAD_AGG_RO_COMP[],K$1,0),"ERROR")</f>
        <v>2690</v>
      </c>
      <c r="L64" s="226">
        <f>IFERROR(VLOOKUP($B64,MMWR_TRAD_AGG_RO_COMP[],L$1,0),"ERROR")</f>
        <v>2103</v>
      </c>
      <c r="M64" s="223">
        <f t="shared" si="2"/>
        <v>0.78178438661710037</v>
      </c>
      <c r="N64" s="225">
        <f>IFERROR(VLOOKUP($B64,MMWR_TRAD_AGG_RO_COMP[],N$1,0),"ERROR")</f>
        <v>1486</v>
      </c>
      <c r="O64" s="226">
        <f>IFERROR(VLOOKUP($B64,MMWR_TRAD_AGG_RO_COMP[],O$1,0),"ERROR")</f>
        <v>976</v>
      </c>
      <c r="P64" s="223">
        <f t="shared" si="3"/>
        <v>0.65679676985195157</v>
      </c>
      <c r="Q64" s="227">
        <f>IFERROR(VLOOKUP($B64,MMWR_TRAD_AGG_RO_COMP[],Q$1,0),"ERROR")</f>
        <v>1</v>
      </c>
      <c r="R64" s="227">
        <f>IFERROR(VLOOKUP($B64,MMWR_TRAD_AGG_RO_COMP[],R$1,0),"ERROR")</f>
        <v>59</v>
      </c>
      <c r="S64" s="201">
        <f>IFERROR(VLOOKUP($B64,MMWR_APP_RO[],S$1,0),"ERROR")</f>
        <v>13055</v>
      </c>
      <c r="T64" s="28"/>
    </row>
    <row r="65" spans="1:20" x14ac:dyDescent="0.2">
      <c r="A65" s="28"/>
      <c r="B65" s="108" t="s">
        <v>53</v>
      </c>
      <c r="C65" s="219">
        <f>IFERROR(VLOOKUP($B65,MMWR_TRAD_AGG_RO_COMP[],C$1,0),"ERROR")</f>
        <v>6980</v>
      </c>
      <c r="D65" s="220">
        <f>IFERROR(VLOOKUP($B65,MMWR_TRAD_AGG_RO_COMP[],D$1,0),"ERROR")</f>
        <v>493.07879656159997</v>
      </c>
      <c r="E65" s="221">
        <f>IFERROR(VLOOKUP($B65,MMWR_TRAD_AGG_RO_COMP[],E$1,0),"ERROR")</f>
        <v>4176</v>
      </c>
      <c r="F65" s="222">
        <f>IFERROR(VLOOKUP($B65,MMWR_TRAD_AGG_RO_COMP[],F$1,0),"ERROR")</f>
        <v>874</v>
      </c>
      <c r="G65" s="223">
        <f t="shared" si="0"/>
        <v>0.20929118773946359</v>
      </c>
      <c r="H65" s="224">
        <f>IFERROR(VLOOKUP($B65,MMWR_TRAD_AGG_RO_COMP[],H$1,0),"ERROR")</f>
        <v>10856</v>
      </c>
      <c r="I65" s="222">
        <f>IFERROR(VLOOKUP($B65,MMWR_TRAD_AGG_RO_COMP[],I$1,0),"ERROR")</f>
        <v>7485</v>
      </c>
      <c r="J65" s="223">
        <f t="shared" si="1"/>
        <v>0.6894804716285925</v>
      </c>
      <c r="K65" s="225">
        <f>IFERROR(VLOOKUP($B65,MMWR_TRAD_AGG_RO_COMP[],K$1,0),"ERROR")</f>
        <v>3307</v>
      </c>
      <c r="L65" s="226">
        <f>IFERROR(VLOOKUP($B65,MMWR_TRAD_AGG_RO_COMP[],L$1,0),"ERROR")</f>
        <v>3073</v>
      </c>
      <c r="M65" s="223">
        <f t="shared" si="2"/>
        <v>0.92924100393105535</v>
      </c>
      <c r="N65" s="225">
        <f>IFERROR(VLOOKUP($B65,MMWR_TRAD_AGG_RO_COMP[],N$1,0),"ERROR")</f>
        <v>1613</v>
      </c>
      <c r="O65" s="226">
        <f>IFERROR(VLOOKUP($B65,MMWR_TRAD_AGG_RO_COMP[],O$1,0),"ERROR")</f>
        <v>1107</v>
      </c>
      <c r="P65" s="223">
        <f t="shared" si="3"/>
        <v>0.68629882207067572</v>
      </c>
      <c r="Q65" s="227">
        <f>IFERROR(VLOOKUP($B65,MMWR_TRAD_AGG_RO_COMP[],Q$1,0),"ERROR")</f>
        <v>87</v>
      </c>
      <c r="R65" s="227">
        <f>IFERROR(VLOOKUP($B65,MMWR_TRAD_AGG_RO_COMP[],R$1,0),"ERROR")</f>
        <v>308</v>
      </c>
      <c r="S65" s="201">
        <f>IFERROR(VLOOKUP($B65,MMWR_APP_RO[],S$1,0),"ERROR")</f>
        <v>3000</v>
      </c>
      <c r="T65" s="28"/>
    </row>
    <row r="66" spans="1:20" x14ac:dyDescent="0.2">
      <c r="A66" s="28"/>
      <c r="B66" s="108" t="s">
        <v>57</v>
      </c>
      <c r="C66" s="219">
        <f>IFERROR(VLOOKUP($B66,MMWR_TRAD_AGG_RO_COMP[],C$1,0),"ERROR")</f>
        <v>10538</v>
      </c>
      <c r="D66" s="220">
        <f>IFERROR(VLOOKUP($B66,MMWR_TRAD_AGG_RO_COMP[],D$1,0),"ERROR")</f>
        <v>365.17574492310001</v>
      </c>
      <c r="E66" s="221">
        <f>IFERROR(VLOOKUP($B66,MMWR_TRAD_AGG_RO_COMP[],E$1,0),"ERROR")</f>
        <v>7417</v>
      </c>
      <c r="F66" s="222">
        <f>IFERROR(VLOOKUP($B66,MMWR_TRAD_AGG_RO_COMP[],F$1,0),"ERROR")</f>
        <v>1846</v>
      </c>
      <c r="G66" s="223">
        <f t="shared" si="0"/>
        <v>0.24888769044087905</v>
      </c>
      <c r="H66" s="224">
        <f>IFERROR(VLOOKUP($B66,MMWR_TRAD_AGG_RO_COMP[],H$1,0),"ERROR")</f>
        <v>14440</v>
      </c>
      <c r="I66" s="222">
        <f>IFERROR(VLOOKUP($B66,MMWR_TRAD_AGG_RO_COMP[],I$1,0),"ERROR")</f>
        <v>8752</v>
      </c>
      <c r="J66" s="223">
        <f t="shared" si="1"/>
        <v>0.60609418282548477</v>
      </c>
      <c r="K66" s="225">
        <f>IFERROR(VLOOKUP($B66,MMWR_TRAD_AGG_RO_COMP[],K$1,0),"ERROR")</f>
        <v>4182</v>
      </c>
      <c r="L66" s="226">
        <f>IFERROR(VLOOKUP($B66,MMWR_TRAD_AGG_RO_COMP[],L$1,0),"ERROR")</f>
        <v>3813</v>
      </c>
      <c r="M66" s="223">
        <f t="shared" si="2"/>
        <v>0.91176470588235292</v>
      </c>
      <c r="N66" s="225">
        <f>IFERROR(VLOOKUP($B66,MMWR_TRAD_AGG_RO_COMP[],N$1,0),"ERROR")</f>
        <v>1485</v>
      </c>
      <c r="O66" s="226">
        <f>IFERROR(VLOOKUP($B66,MMWR_TRAD_AGG_RO_COMP[],O$1,0),"ERROR")</f>
        <v>609</v>
      </c>
      <c r="P66" s="223">
        <f t="shared" si="3"/>
        <v>0.41010101010101008</v>
      </c>
      <c r="Q66" s="227">
        <f>IFERROR(VLOOKUP($B66,MMWR_TRAD_AGG_RO_COMP[],Q$1,0),"ERROR")</f>
        <v>0</v>
      </c>
      <c r="R66" s="227">
        <f>IFERROR(VLOOKUP($B66,MMWR_TRAD_AGG_RO_COMP[],R$1,0),"ERROR")</f>
        <v>413</v>
      </c>
      <c r="S66" s="201">
        <f>IFERROR(VLOOKUP($B66,MMWR_APP_RO[],S$1,0),"ERROR")</f>
        <v>9396</v>
      </c>
      <c r="T66" s="28"/>
    </row>
    <row r="67" spans="1:20" x14ac:dyDescent="0.2">
      <c r="A67" s="28"/>
      <c r="B67" s="108" t="s">
        <v>58</v>
      </c>
      <c r="C67" s="219">
        <f>IFERROR(VLOOKUP($B67,MMWR_TRAD_AGG_RO_COMP[],C$1,0),"ERROR")</f>
        <v>3147</v>
      </c>
      <c r="D67" s="220">
        <f>IFERROR(VLOOKUP($B67,MMWR_TRAD_AGG_RO_COMP[],D$1,0),"ERROR")</f>
        <v>284.29806164600001</v>
      </c>
      <c r="E67" s="221">
        <f>IFERROR(VLOOKUP($B67,MMWR_TRAD_AGG_RO_COMP[],E$1,0),"ERROR")</f>
        <v>9065</v>
      </c>
      <c r="F67" s="222">
        <f>IFERROR(VLOOKUP($B67,MMWR_TRAD_AGG_RO_COMP[],F$1,0),"ERROR")</f>
        <v>1468</v>
      </c>
      <c r="G67" s="223">
        <f t="shared" si="0"/>
        <v>0.16194153337010481</v>
      </c>
      <c r="H67" s="224">
        <f>IFERROR(VLOOKUP($B67,MMWR_TRAD_AGG_RO_COMP[],H$1,0),"ERROR")</f>
        <v>8245</v>
      </c>
      <c r="I67" s="222">
        <f>IFERROR(VLOOKUP($B67,MMWR_TRAD_AGG_RO_COMP[],I$1,0),"ERROR")</f>
        <v>2817</v>
      </c>
      <c r="J67" s="223">
        <f t="shared" si="1"/>
        <v>0.34166161309884779</v>
      </c>
      <c r="K67" s="225">
        <f>IFERROR(VLOOKUP($B67,MMWR_TRAD_AGG_RO_COMP[],K$1,0),"ERROR")</f>
        <v>3062</v>
      </c>
      <c r="L67" s="226">
        <f>IFERROR(VLOOKUP($B67,MMWR_TRAD_AGG_RO_COMP[],L$1,0),"ERROR")</f>
        <v>2429</v>
      </c>
      <c r="M67" s="223">
        <f t="shared" si="2"/>
        <v>0.79327237099934689</v>
      </c>
      <c r="N67" s="225">
        <f>IFERROR(VLOOKUP($B67,MMWR_TRAD_AGG_RO_COMP[],N$1,0),"ERROR")</f>
        <v>1496</v>
      </c>
      <c r="O67" s="226">
        <f>IFERROR(VLOOKUP($B67,MMWR_TRAD_AGG_RO_COMP[],O$1,0),"ERROR")</f>
        <v>1134</v>
      </c>
      <c r="P67" s="223">
        <f t="shared" si="3"/>
        <v>0.75802139037433158</v>
      </c>
      <c r="Q67" s="227">
        <f>IFERROR(VLOOKUP($B67,MMWR_TRAD_AGG_RO_COMP[],Q$1,0),"ERROR")</f>
        <v>0</v>
      </c>
      <c r="R67" s="227">
        <f>IFERROR(VLOOKUP($B67,MMWR_TRAD_AGG_RO_COMP[],R$1,0),"ERROR")</f>
        <v>282</v>
      </c>
      <c r="S67" s="201">
        <f>IFERROR(VLOOKUP($B67,MMWR_APP_RO[],S$1,0),"ERROR")</f>
        <v>6855</v>
      </c>
      <c r="T67" s="28"/>
    </row>
    <row r="68" spans="1:20" x14ac:dyDescent="0.2">
      <c r="A68" s="28"/>
      <c r="B68" s="108" t="s">
        <v>72</v>
      </c>
      <c r="C68" s="219">
        <f>IFERROR(VLOOKUP($B68,MMWR_TRAD_AGG_RO_COMP[],C$1,0),"ERROR")</f>
        <v>747</v>
      </c>
      <c r="D68" s="220">
        <f>IFERROR(VLOOKUP($B68,MMWR_TRAD_AGG_RO_COMP[],D$1,0),"ERROR")</f>
        <v>268.34404283800001</v>
      </c>
      <c r="E68" s="221">
        <f>IFERROR(VLOOKUP($B68,MMWR_TRAD_AGG_RO_COMP[],E$1,0),"ERROR")</f>
        <v>1726</v>
      </c>
      <c r="F68" s="222">
        <f>IFERROR(VLOOKUP($B68,MMWR_TRAD_AGG_RO_COMP[],F$1,0),"ERROR")</f>
        <v>503</v>
      </c>
      <c r="G68" s="223">
        <f t="shared" si="0"/>
        <v>0.29142526071842412</v>
      </c>
      <c r="H68" s="224">
        <f>IFERROR(VLOOKUP($B68,MMWR_TRAD_AGG_RO_COMP[],H$1,0),"ERROR")</f>
        <v>3606</v>
      </c>
      <c r="I68" s="222">
        <f>IFERROR(VLOOKUP($B68,MMWR_TRAD_AGG_RO_COMP[],I$1,0),"ERROR")</f>
        <v>1062</v>
      </c>
      <c r="J68" s="223">
        <f t="shared" si="1"/>
        <v>0.2945091514143095</v>
      </c>
      <c r="K68" s="225">
        <f>IFERROR(VLOOKUP($B68,MMWR_TRAD_AGG_RO_COMP[],K$1,0),"ERROR")</f>
        <v>863</v>
      </c>
      <c r="L68" s="226">
        <f>IFERROR(VLOOKUP($B68,MMWR_TRAD_AGG_RO_COMP[],L$1,0),"ERROR")</f>
        <v>787</v>
      </c>
      <c r="M68" s="223">
        <f t="shared" si="2"/>
        <v>0.91193511008111239</v>
      </c>
      <c r="N68" s="225">
        <f>IFERROR(VLOOKUP($B68,MMWR_TRAD_AGG_RO_COMP[],N$1,0),"ERROR")</f>
        <v>1213</v>
      </c>
      <c r="O68" s="226">
        <f>IFERROR(VLOOKUP($B68,MMWR_TRAD_AGG_RO_COMP[],O$1,0),"ERROR")</f>
        <v>1011</v>
      </c>
      <c r="P68" s="223">
        <f t="shared" si="3"/>
        <v>0.83347073371805436</v>
      </c>
      <c r="Q68" s="227">
        <f>IFERROR(VLOOKUP($B68,MMWR_TRAD_AGG_RO_COMP[],Q$1,0),"ERROR")</f>
        <v>0</v>
      </c>
      <c r="R68" s="227">
        <f>IFERROR(VLOOKUP($B68,MMWR_TRAD_AGG_RO_COMP[],R$1,0),"ERROR")</f>
        <v>2</v>
      </c>
      <c r="S68" s="201">
        <f>IFERROR(VLOOKUP($B68,MMWR_APP_RO[],S$1,0),"ERROR")</f>
        <v>4937</v>
      </c>
      <c r="T68" s="28"/>
    </row>
    <row r="69" spans="1:20" x14ac:dyDescent="0.2">
      <c r="A69" s="28"/>
      <c r="B69" s="116" t="s">
        <v>77</v>
      </c>
      <c r="C69" s="228">
        <f>IFERROR(VLOOKUP($B69,MMWR_TRAD_AGG_RO_COMP[],C$1,0),"ERROR")</f>
        <v>15849</v>
      </c>
      <c r="D69" s="229">
        <f>IFERROR(VLOOKUP($B69,MMWR_TRAD_AGG_RO_COMP[],D$1,0),"ERROR")</f>
        <v>332.39522998299998</v>
      </c>
      <c r="E69" s="230">
        <f>IFERROR(VLOOKUP($B69,MMWR_TRAD_AGG_RO_COMP[],E$1,0),"ERROR")</f>
        <v>23658</v>
      </c>
      <c r="F69" s="231">
        <f>IFERROR(VLOOKUP($B69,MMWR_TRAD_AGG_RO_COMP[],F$1,0),"ERROR")</f>
        <v>5342</v>
      </c>
      <c r="G69" s="232">
        <f t="shared" si="0"/>
        <v>0.225800997548398</v>
      </c>
      <c r="H69" s="233">
        <f>IFERROR(VLOOKUP($B69,MMWR_TRAD_AGG_RO_COMP[],H$1,0),"ERROR")</f>
        <v>23553</v>
      </c>
      <c r="I69" s="231">
        <f>IFERROR(VLOOKUP($B69,MMWR_TRAD_AGG_RO_COMP[],I$1,0),"ERROR")</f>
        <v>12973</v>
      </c>
      <c r="J69" s="232">
        <f t="shared" si="1"/>
        <v>0.5508003226765168</v>
      </c>
      <c r="K69" s="234">
        <f>IFERROR(VLOOKUP($B69,MMWR_TRAD_AGG_RO_COMP[],K$1,0),"ERROR")</f>
        <v>4984</v>
      </c>
      <c r="L69" s="235">
        <f>IFERROR(VLOOKUP($B69,MMWR_TRAD_AGG_RO_COMP[],L$1,0),"ERROR")</f>
        <v>4025</v>
      </c>
      <c r="M69" s="232">
        <f t="shared" si="2"/>
        <v>0.80758426966292129</v>
      </c>
      <c r="N69" s="234">
        <f>IFERROR(VLOOKUP($B69,MMWR_TRAD_AGG_RO_COMP[],N$1,0),"ERROR")</f>
        <v>13054</v>
      </c>
      <c r="O69" s="235">
        <f>IFERROR(VLOOKUP($B69,MMWR_TRAD_AGG_RO_COMP[],O$1,0),"ERROR")</f>
        <v>9722</v>
      </c>
      <c r="P69" s="232">
        <f t="shared" si="3"/>
        <v>0.74475256626321429</v>
      </c>
      <c r="Q69" s="236">
        <f>IFERROR(VLOOKUP($B69,MMWR_TRAD_AGG_RO_COMP[],Q$1,0),"ERROR")</f>
        <v>7</v>
      </c>
      <c r="R69" s="236">
        <f>IFERROR(VLOOKUP($B69,MMWR_TRAD_AGG_RO_COMP[],R$1,0),"ERROR")</f>
        <v>291</v>
      </c>
      <c r="S69" s="201">
        <f>IFERROR(VLOOKUP($B69,MMWR_APP_RO[],S$1,0),"ERROR")</f>
        <v>29811</v>
      </c>
      <c r="T69" s="28"/>
    </row>
    <row r="70" spans="1:20" x14ac:dyDescent="0.2">
      <c r="A70" s="28"/>
      <c r="B70" s="101" t="s">
        <v>8</v>
      </c>
      <c r="C70" s="212">
        <f>IFERROR(VLOOKUP($B70,MMWR_TRAD_AGG_RO_COMP[],C$1,0),"ERROR")</f>
        <v>108</v>
      </c>
      <c r="D70" s="197">
        <f>IFERROR(VLOOKUP($B70,MMWR_TRAD_AGG_RO_COMP[],D$1,0),"ERROR")</f>
        <v>377.19444444440001</v>
      </c>
      <c r="E70" s="213">
        <f>IFERROR(VLOOKUP($B70,MMWR_TRAD_AGG_RO_COMP[],E$1,0),"ERROR")</f>
        <v>349</v>
      </c>
      <c r="F70" s="218">
        <f>IFERROR(VLOOKUP($B70,MMWR_TRAD_AGG_RO_COMP[],F$1,0),"ERROR")</f>
        <v>15</v>
      </c>
      <c r="G70" s="214">
        <f>IFERROR(F70/E70,"0%")</f>
        <v>4.2979942693409739E-2</v>
      </c>
      <c r="H70" s="218">
        <f>IFERROR(VLOOKUP($B70,MMWR_TRAD_AGG_RO_COMP[],H$1,0),"ERROR")</f>
        <v>224</v>
      </c>
      <c r="I70" s="218">
        <f>IFERROR(VLOOKUP($B70,MMWR_TRAD_AGG_RO_COMP[],I$1,0),"ERROR")</f>
        <v>103</v>
      </c>
      <c r="J70" s="214">
        <f>IFERROR(I70/H70,"0%")</f>
        <v>0.45982142857142855</v>
      </c>
      <c r="K70" s="212">
        <f>IFERROR(VLOOKUP($B70,MMWR_TRAD_AGG_RO_COMP[],K$1,0),"ERROR")</f>
        <v>73</v>
      </c>
      <c r="L70" s="212">
        <f>IFERROR(VLOOKUP($B70,MMWR_TRAD_AGG_RO_COMP[],L$1,0),"ERROR")</f>
        <v>36</v>
      </c>
      <c r="M70" s="214">
        <f>IFERROR(L70/K70,"0%")</f>
        <v>0.49315068493150682</v>
      </c>
      <c r="N70" s="212">
        <f>IFERROR(VLOOKUP($B70,MMWR_TRAD_AGG_RO_COMP[],N$1,0),"ERROR")</f>
        <v>66797</v>
      </c>
      <c r="O70" s="212">
        <f>IFERROR(VLOOKUP($B70,MMWR_TRAD_AGG_RO_COMP[],O$1,0),"ERROR")</f>
        <v>37835</v>
      </c>
      <c r="P70" s="214">
        <f>IFERROR(O70/N70,"0%")</f>
        <v>0.56641765348743212</v>
      </c>
      <c r="Q70" s="212">
        <f>IFERROR(VLOOKUP($B70,MMWR_TRAD_AGG_RO_COMP[],Q$1,0),"ERROR")</f>
        <v>0</v>
      </c>
      <c r="R70" s="215">
        <f>IFERROR(VLOOKUP($B70,MMWR_TRAD_AGG_RO_COMP[],R$1,0),"ERROR")</f>
        <v>1</v>
      </c>
      <c r="S70" s="215">
        <f>IFERROR(VLOOKUP($B70,MMWR_APP_RO[],S$1,0),"ERROR")</f>
        <v>10993</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487</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225</v>
      </c>
      <c r="D73" s="458"/>
      <c r="E73" s="459" t="s">
        <v>205</v>
      </c>
      <c r="F73" s="460"/>
      <c r="G73" s="461"/>
      <c r="H73" s="459" t="s">
        <v>7</v>
      </c>
      <c r="I73" s="460"/>
      <c r="J73" s="461"/>
      <c r="K73" s="459" t="s">
        <v>30</v>
      </c>
      <c r="L73" s="460"/>
      <c r="M73" s="461"/>
      <c r="N73" s="459" t="s">
        <v>8</v>
      </c>
      <c r="O73" s="460"/>
      <c r="P73" s="461"/>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488</v>
      </c>
      <c r="T74" s="28"/>
    </row>
    <row r="75" spans="1:20" x14ac:dyDescent="0.2">
      <c r="A75" s="25"/>
      <c r="B75" s="101" t="s">
        <v>462</v>
      </c>
      <c r="C75" s="237">
        <f>IFERROR(VLOOKUP($B75,MMWR_TRAD_AGG_RO_PEN[],C$1,0),"ERROR")</f>
        <v>25388</v>
      </c>
      <c r="D75" s="238">
        <f>IFERROR(VLOOKUP($B75,MMWR_TRAD_AGG_RO_PEN[],D$1,0),"ERROR")</f>
        <v>92.067118323599999</v>
      </c>
      <c r="E75" s="237">
        <f>IFERROR(VLOOKUP($B75,MMWR_TRAD_AGG_RO_PEN[],E$1,0),"ERROR")</f>
        <v>32200</v>
      </c>
      <c r="F75" s="237">
        <f>IFERROR(VLOOKUP($B75,MMWR_TRAD_AGG_RO_PEN[],F$1,0),"ERROR")</f>
        <v>4410</v>
      </c>
      <c r="G75" s="239">
        <f>IFERROR(F75/E75,"0%")</f>
        <v>0.13695652173913042</v>
      </c>
      <c r="H75" s="237">
        <f>IFERROR(VLOOKUP($B75,MMWR_TRAD_AGG_RO_PEN[],H$1,0),"ERROR")</f>
        <v>34860</v>
      </c>
      <c r="I75" s="237">
        <f>IFERROR(VLOOKUP($B75,MMWR_TRAD_AGG_RO_PEN[],I$1,0),"ERROR")</f>
        <v>8716</v>
      </c>
      <c r="J75" s="239">
        <f>IFERROR(I75/H75,"0%")</f>
        <v>0.25002868617326451</v>
      </c>
      <c r="K75" s="237">
        <f>IFERROR(VLOOKUP($B75,MMWR_TRAD_AGG_RO_PEN[],K$1,0),"ERROR")</f>
        <v>272</v>
      </c>
      <c r="L75" s="237">
        <f>IFERROR(VLOOKUP($B75,MMWR_TRAD_AGG_RO_PEN[],L$1,0),"ERROR")</f>
        <v>252</v>
      </c>
      <c r="M75" s="239">
        <f>IFERROR(L75/K75,"0%")</f>
        <v>0.92647058823529416</v>
      </c>
      <c r="N75" s="237">
        <f>IFERROR(VLOOKUP($B75,MMWR_TRAD_AGG_RO_PEN[],N$1,0),"ERROR")</f>
        <v>1653</v>
      </c>
      <c r="O75" s="237">
        <f>IFERROR(VLOOKUP($B75,MMWR_TRAD_AGG_RO_PEN[],O$1,0),"ERROR")</f>
        <v>469</v>
      </c>
      <c r="P75" s="239">
        <f>IFERROR(O75/N75,"0%")</f>
        <v>0.28372655777374473</v>
      </c>
      <c r="Q75" s="237">
        <f>IFERROR(VLOOKUP($B75,MMWR_TRAD_AGG_RO_PEN[],Q$1,0),"ERROR")</f>
        <v>12216</v>
      </c>
      <c r="R75" s="240">
        <f>IFERROR(VLOOKUP($B75,MMWR_TRAD_AGG_RO_PEN[],R$1,0),"ERROR")</f>
        <v>5685</v>
      </c>
      <c r="S75" s="240">
        <f>IFERROR(VLOOKUP($B75,MMWR_APP_RO[],S$1,0),"ERROR")</f>
        <v>5464</v>
      </c>
      <c r="T75" s="28"/>
    </row>
    <row r="76" spans="1:20" x14ac:dyDescent="0.2">
      <c r="A76" s="107"/>
      <c r="B76" s="122" t="s">
        <v>210</v>
      </c>
      <c r="C76" s="241">
        <f>IFERROR(VLOOKUP($B76,MMWR_TRAD_AGG_RO_PEN[],C$1,0),"ERROR")</f>
        <v>15362</v>
      </c>
      <c r="D76" s="242">
        <f>IFERROR(VLOOKUP($B76,MMWR_TRAD_AGG_RO_PEN[],D$1,0),"ERROR")</f>
        <v>107.9234474678</v>
      </c>
      <c r="E76" s="241">
        <f>IFERROR(VLOOKUP($B76,MMWR_TRAD_AGG_RO_PEN[],E$1,0),"ERROR")</f>
        <v>18224</v>
      </c>
      <c r="F76" s="241">
        <f>IFERROR(VLOOKUP($B76,MMWR_TRAD_AGG_RO_PEN[],F$1,0),"ERROR")</f>
        <v>3261</v>
      </c>
      <c r="G76" s="223">
        <f>IFERROR(F76/E76,"0%")</f>
        <v>0.17893985952589991</v>
      </c>
      <c r="H76" s="241">
        <f>IFERROR(VLOOKUP($B76,MMWR_TRAD_AGG_RO_PEN[],H$1,0),"ERROR")</f>
        <v>18013</v>
      </c>
      <c r="I76" s="241">
        <f>IFERROR(VLOOKUP($B76,MMWR_TRAD_AGG_RO_PEN[],I$1,0),"ERROR")</f>
        <v>6284</v>
      </c>
      <c r="J76" s="223">
        <f>IFERROR(I76/H76,"0%")</f>
        <v>0.34885915727530115</v>
      </c>
      <c r="K76" s="241">
        <f>IFERROR(VLOOKUP($B76,MMWR_TRAD_AGG_RO_PEN[],K$1,0),"ERROR")</f>
        <v>18</v>
      </c>
      <c r="L76" s="241">
        <f>IFERROR(VLOOKUP($B76,MMWR_TRAD_AGG_RO_PEN[],L$1,0),"ERROR")</f>
        <v>18</v>
      </c>
      <c r="M76" s="223">
        <f>IFERROR(L76/K76,"0%")</f>
        <v>1</v>
      </c>
      <c r="N76" s="241">
        <f>IFERROR(VLOOKUP($B76,MMWR_TRAD_AGG_RO_PEN[],N$1,0),"ERROR")</f>
        <v>620</v>
      </c>
      <c r="O76" s="241">
        <f>IFERROR(VLOOKUP($B76,MMWR_TRAD_AGG_RO_PEN[],O$1,0),"ERROR")</f>
        <v>167</v>
      </c>
      <c r="P76" s="223">
        <f>IFERROR(O76/N76,"0%")</f>
        <v>0.26935483870967741</v>
      </c>
      <c r="Q76" s="241">
        <f>IFERROR(VLOOKUP($B76,MMWR_TRAD_AGG_RO_PEN[],Q$1,0),"ERROR")</f>
        <v>2278</v>
      </c>
      <c r="R76" s="241">
        <f>IFERROR(VLOOKUP($B76,MMWR_TRAD_AGG_RO_PEN[],R$1,0),"ERROR")</f>
        <v>3262</v>
      </c>
      <c r="S76" s="243">
        <f>IFERROR(VLOOKUP($B76,MMWR_APP_RO[],S$1,0),"ERROR")</f>
        <v>1972</v>
      </c>
      <c r="T76" s="28"/>
    </row>
    <row r="77" spans="1:20" x14ac:dyDescent="0.2">
      <c r="A77" s="107"/>
      <c r="B77" s="122" t="s">
        <v>209</v>
      </c>
      <c r="C77" s="241">
        <f>IFERROR(VLOOKUP($B77,MMWR_TRAD_AGG_RO_PEN[],C$1,0),"ERROR")</f>
        <v>4873</v>
      </c>
      <c r="D77" s="242">
        <f>IFERROR(VLOOKUP($B77,MMWR_TRAD_AGG_RO_PEN[],D$1,0),"ERROR")</f>
        <v>67.221424174000006</v>
      </c>
      <c r="E77" s="241">
        <f>IFERROR(VLOOKUP($B77,MMWR_TRAD_AGG_RO_PEN[],E$1,0),"ERROR")</f>
        <v>7396</v>
      </c>
      <c r="F77" s="241">
        <f>IFERROR(VLOOKUP($B77,MMWR_TRAD_AGG_RO_PEN[],F$1,0),"ERROR")</f>
        <v>769</v>
      </c>
      <c r="G77" s="223">
        <f>IFERROR(F77/E77,"0%")</f>
        <v>0.1039751216873986</v>
      </c>
      <c r="H77" s="241">
        <f>IFERROR(VLOOKUP($B77,MMWR_TRAD_AGG_RO_PEN[],H$1,0),"ERROR")</f>
        <v>6910</v>
      </c>
      <c r="I77" s="241">
        <f>IFERROR(VLOOKUP($B77,MMWR_TRAD_AGG_RO_PEN[],I$1,0),"ERROR")</f>
        <v>677</v>
      </c>
      <c r="J77" s="223">
        <f>IFERROR(I77/H77,"0%")</f>
        <v>9.7973950795947895E-2</v>
      </c>
      <c r="K77" s="241">
        <f>IFERROR(VLOOKUP($B77,MMWR_TRAD_AGG_RO_PEN[],K$1,0),"ERROR")</f>
        <v>3</v>
      </c>
      <c r="L77" s="241">
        <f>IFERROR(VLOOKUP($B77,MMWR_TRAD_AGG_RO_PEN[],L$1,0),"ERROR")</f>
        <v>2</v>
      </c>
      <c r="M77" s="223">
        <f>IFERROR(L77/K77,"0%")</f>
        <v>0.66666666666666663</v>
      </c>
      <c r="N77" s="241">
        <f>IFERROR(VLOOKUP($B77,MMWR_TRAD_AGG_RO_PEN[],N$1,0),"ERROR")</f>
        <v>588</v>
      </c>
      <c r="O77" s="241">
        <f>IFERROR(VLOOKUP($B77,MMWR_TRAD_AGG_RO_PEN[],O$1,0),"ERROR")</f>
        <v>118</v>
      </c>
      <c r="P77" s="223">
        <f>IFERROR(O77/N77,"0%")</f>
        <v>0.20068027210884354</v>
      </c>
      <c r="Q77" s="241">
        <f>IFERROR(VLOOKUP($B77,MMWR_TRAD_AGG_RO_PEN[],Q$1,0),"ERROR")</f>
        <v>1102</v>
      </c>
      <c r="R77" s="241">
        <f>IFERROR(VLOOKUP($B77,MMWR_TRAD_AGG_RO_PEN[],R$1,0),"ERROR")</f>
        <v>847</v>
      </c>
      <c r="S77" s="243">
        <f>IFERROR(VLOOKUP($B77,MMWR_APP_RO[],S$1,0),"ERROR")</f>
        <v>2383</v>
      </c>
      <c r="T77" s="28"/>
    </row>
    <row r="78" spans="1:20" x14ac:dyDescent="0.2">
      <c r="A78" s="107"/>
      <c r="B78" s="122" t="s">
        <v>212</v>
      </c>
      <c r="C78" s="241">
        <f>IFERROR(VLOOKUP($B78,MMWR_TRAD_AGG_RO_PEN[],C$1,0),"ERROR")</f>
        <v>5153</v>
      </c>
      <c r="D78" s="242">
        <f>IFERROR(VLOOKUP($B78,MMWR_TRAD_AGG_RO_PEN[],D$1,0),"ERROR")</f>
        <v>68.292256937700003</v>
      </c>
      <c r="E78" s="241">
        <f>IFERROR(VLOOKUP($B78,MMWR_TRAD_AGG_RO_PEN[],E$1,0),"ERROR")</f>
        <v>6205</v>
      </c>
      <c r="F78" s="241">
        <f>IFERROR(VLOOKUP($B78,MMWR_TRAD_AGG_RO_PEN[],F$1,0),"ERROR")</f>
        <v>226</v>
      </c>
      <c r="G78" s="223">
        <f>IFERROR(F78/E78,"0%")</f>
        <v>3.6422240128928286E-2</v>
      </c>
      <c r="H78" s="241">
        <f>IFERROR(VLOOKUP($B78,MMWR_TRAD_AGG_RO_PEN[],H$1,0),"ERROR")</f>
        <v>6742</v>
      </c>
      <c r="I78" s="241">
        <f>IFERROR(VLOOKUP($B78,MMWR_TRAD_AGG_RO_PEN[],I$1,0),"ERROR")</f>
        <v>564</v>
      </c>
      <c r="J78" s="223">
        <f>IFERROR(I78/H78,"0%")</f>
        <v>8.3654701868881631E-2</v>
      </c>
      <c r="K78" s="241">
        <f>IFERROR(VLOOKUP($B78,MMWR_TRAD_AGG_RO_PEN[],K$1,0),"ERROR")</f>
        <v>45</v>
      </c>
      <c r="L78" s="241">
        <f>IFERROR(VLOOKUP($B78,MMWR_TRAD_AGG_RO_PEN[],L$1,0),"ERROR")</f>
        <v>26</v>
      </c>
      <c r="M78" s="223">
        <f>IFERROR(L78/K78,"0%")</f>
        <v>0.57777777777777772</v>
      </c>
      <c r="N78" s="241">
        <f>IFERROR(VLOOKUP($B78,MMWR_TRAD_AGG_RO_PEN[],N$1,0),"ERROR")</f>
        <v>283</v>
      </c>
      <c r="O78" s="241">
        <f>IFERROR(VLOOKUP($B78,MMWR_TRAD_AGG_RO_PEN[],O$1,0),"ERROR")</f>
        <v>89</v>
      </c>
      <c r="P78" s="223">
        <f>IFERROR(O78/N78,"0%")</f>
        <v>0.31448763250883394</v>
      </c>
      <c r="Q78" s="241">
        <f>IFERROR(VLOOKUP($B78,MMWR_TRAD_AGG_RO_PEN[],Q$1,0),"ERROR")</f>
        <v>8827</v>
      </c>
      <c r="R78" s="241">
        <f>IFERROR(VLOOKUP($B78,MMWR_TRAD_AGG_RO_PEN[],R$1,0),"ERROR")</f>
        <v>1576</v>
      </c>
      <c r="S78" s="243">
        <f>IFERROR(VLOOKUP($B78,MMWR_APP_RO[],S$1,0),"ERROR")</f>
        <v>1109</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375</v>
      </c>
      <c r="F79" s="218">
        <f>IFERROR(VLOOKUP($B79,MMWR_TRAD_AGG_RO_PEN[],F$1,0),"ERROR")</f>
        <v>154</v>
      </c>
      <c r="G79" s="214">
        <f>IFERROR(F79/E79,"0%")</f>
        <v>0.41066666666666668</v>
      </c>
      <c r="H79" s="218">
        <f>IFERROR(VLOOKUP($B79,MMWR_TRAD_AGG_RO_PEN[],H$1,0),"ERROR")</f>
        <v>3195</v>
      </c>
      <c r="I79" s="218">
        <f>IFERROR(VLOOKUP($B79,MMWR_TRAD_AGG_RO_PEN[],I$1,0),"ERROR")</f>
        <v>1191</v>
      </c>
      <c r="J79" s="214">
        <f>IFERROR(I79/H79,"0%")</f>
        <v>0.37276995305164318</v>
      </c>
      <c r="K79" s="218">
        <f>IFERROR(VLOOKUP($B79,MMWR_TRAD_AGG_RO_PEN[],K$1,0),"ERROR")</f>
        <v>206</v>
      </c>
      <c r="L79" s="218">
        <f>IFERROR(VLOOKUP($B79,MMWR_TRAD_AGG_RO_PEN[],L$1,0),"ERROR")</f>
        <v>206</v>
      </c>
      <c r="M79" s="214">
        <f>IFERROR(L79/K79,"0%")</f>
        <v>1</v>
      </c>
      <c r="N79" s="218">
        <f>IFERROR(VLOOKUP($B79,MMWR_TRAD_AGG_RO_PEN[],N$1,0),"ERROR")</f>
        <v>162</v>
      </c>
      <c r="O79" s="218">
        <f>IFERROR(VLOOKUP($B79,MMWR_TRAD_AGG_RO_PEN[],O$1,0),"ERROR")</f>
        <v>95</v>
      </c>
      <c r="P79" s="214">
        <f>IFERROR(O79/N79,"0%")</f>
        <v>0.5864197530864198</v>
      </c>
      <c r="Q79" s="218">
        <f>IFERROR(VLOOKUP($B79,MMWR_TRAD_AGG_RO_PEN[],Q$1,0),"ERROR")</f>
        <v>9</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JULY 02,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225</v>
      </c>
      <c r="D3" s="462"/>
      <c r="E3" s="459" t="s">
        <v>205</v>
      </c>
      <c r="F3" s="460"/>
      <c r="G3" s="461"/>
      <c r="H3" s="459" t="s">
        <v>7</v>
      </c>
      <c r="I3" s="460"/>
      <c r="J3" s="461"/>
      <c r="K3" s="459" t="s">
        <v>30</v>
      </c>
      <c r="L3" s="460"/>
      <c r="M3" s="461"/>
      <c r="N3" s="459" t="s">
        <v>8</v>
      </c>
      <c r="O3" s="460"/>
      <c r="P3" s="461"/>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488</v>
      </c>
      <c r="T4" s="28"/>
    </row>
    <row r="5" spans="1:20" s="123" customFormat="1" ht="26.25" x14ac:dyDescent="0.4">
      <c r="A5" s="25"/>
      <c r="B5" s="124"/>
      <c r="C5" s="454" t="s">
        <v>486</v>
      </c>
      <c r="D5" s="455"/>
      <c r="E5" s="455"/>
      <c r="F5" s="455"/>
      <c r="G5" s="455"/>
      <c r="H5" s="455"/>
      <c r="I5" s="455"/>
      <c r="J5" s="455"/>
      <c r="K5" s="455"/>
      <c r="L5" s="455"/>
      <c r="M5" s="455"/>
      <c r="N5" s="455"/>
      <c r="O5" s="455"/>
      <c r="P5" s="455"/>
      <c r="Q5" s="455"/>
      <c r="R5" s="455"/>
      <c r="S5" s="456"/>
      <c r="T5" s="28"/>
    </row>
    <row r="6" spans="1:20" s="123" customFormat="1" x14ac:dyDescent="0.2">
      <c r="A6" s="92"/>
      <c r="B6" s="125" t="s">
        <v>461</v>
      </c>
      <c r="C6" s="94">
        <f>IFERROR(VLOOKUP($B6,MMWR_TRAD_AGG_ST_DISTRICT_COMP[],C$1,0),"ERROR")</f>
        <v>244410</v>
      </c>
      <c r="D6" s="95">
        <f>IFERROR(VLOOKUP($B6,MMWR_TRAD_AGG_ST_DISTRICT_COMP[],D$1,0),"ERROR")</f>
        <v>379.2894194182</v>
      </c>
      <c r="E6" s="96">
        <f>IFERROR(VLOOKUP($B6,MMWR_TRAD_AGG_ST_DISTRICT_COMP[],E$1,0),"ERROR")</f>
        <v>339524</v>
      </c>
      <c r="F6" s="97">
        <f>IFERROR(VLOOKUP($B6,MMWR_TRAD_AGG_ST_DISTRICT_COMP[],F$1,0),"ERROR")</f>
        <v>71578</v>
      </c>
      <c r="G6" s="98">
        <f t="shared" ref="G6:G37" si="0">IFERROR(F6/E6,"0%")</f>
        <v>0.21081867555754527</v>
      </c>
      <c r="H6" s="96">
        <f>IFERROR(VLOOKUP($B6,MMWR_TRAD_AGG_ST_DISTRICT_COMP[],H$1,0),"ERROR")</f>
        <v>455192</v>
      </c>
      <c r="I6" s="97">
        <f>IFERROR(VLOOKUP($B6,MMWR_TRAD_AGG_ST_DISTRICT_COMP[],I$1,0),"ERROR")</f>
        <v>234654</v>
      </c>
      <c r="J6" s="99">
        <f t="shared" ref="J6:J37" si="1">IFERROR(I6/H6,"0%")</f>
        <v>0.51550554491291589</v>
      </c>
      <c r="K6" s="96">
        <f>IFERROR(VLOOKUP($B6,MMWR_TRAD_AGG_ST_DISTRICT_COMP[],K$1,0),"ERROR")</f>
        <v>129183</v>
      </c>
      <c r="L6" s="97">
        <f>IFERROR(VLOOKUP($B6,MMWR_TRAD_AGG_ST_DISTRICT_COMP[],L$1,0),"ERROR")</f>
        <v>101171</v>
      </c>
      <c r="M6" s="99">
        <f t="shared" ref="M6:M37" si="2">IFERROR(L6/K6,"0%")</f>
        <v>0.78316032295271054</v>
      </c>
      <c r="N6" s="96">
        <f>IFERROR(VLOOKUP($B6,MMWR_TRAD_AGG_ST_DISTRICT_COMP[],N$1,0),"ERROR")</f>
        <v>175489</v>
      </c>
      <c r="O6" s="97">
        <f>IFERROR(VLOOKUP($B6,MMWR_TRAD_AGG_ST_DISTRICT_COMP[],O$1,0),"ERROR")</f>
        <v>117765</v>
      </c>
      <c r="P6" s="99">
        <f t="shared" ref="P6:P37" si="3">IFERROR(O6/N6,"0%")</f>
        <v>0.6710677022491438</v>
      </c>
      <c r="Q6" s="100">
        <f>IFERROR(VLOOKUP($B6,MMWR_TRAD_AGG_ST_DISTRICT_COMP[],Q$1,0),"ERROR")</f>
        <v>23890</v>
      </c>
      <c r="R6" s="100">
        <f>IFERROR(VLOOKUP($B6,MMWR_TRAD_AGG_ST_DISTRICT_COMP[],R$1,0),"ERROR")</f>
        <v>4467</v>
      </c>
      <c r="S6" s="100">
        <f>S7+S23+S36+S46+S56+S64</f>
        <v>309886</v>
      </c>
      <c r="T6" s="28"/>
    </row>
    <row r="7" spans="1:20" s="123" customFormat="1" x14ac:dyDescent="0.2">
      <c r="A7" s="92"/>
      <c r="B7" s="126" t="s">
        <v>369</v>
      </c>
      <c r="C7" s="102">
        <f>IF(SUM(C8:C22)&lt;&gt;VLOOKUP($B7,MMWR_TRAD_AGG_ST_DISTRICT_COMP[],C$1,0),"ERROR",
VLOOKUP($B7,MMWR_TRAD_AGG_ST_DISTRICT_COMP[],C$1,0))</f>
        <v>60199</v>
      </c>
      <c r="D7" s="103">
        <f>IFERROR(VLOOKUP($B7,MMWR_TRAD_AGG_ST_DISTRICT_COMP[],D$1,0),"ERROR")</f>
        <v>398.505623017</v>
      </c>
      <c r="E7" s="102">
        <f>IF(SUM(E8:E22)&lt;&gt;VLOOKUP($B7,MMWR_TRAD_AGG_ST_DISTRICT_COMP[],E$1,0),"ERROR",
VLOOKUP($B7,MMWR_TRAD_AGG_ST_DISTRICT_COMP[],E$1,0))</f>
        <v>74804</v>
      </c>
      <c r="F7" s="102">
        <f>IFERROR(VLOOKUP($B7,MMWR_TRAD_AGG_ST_DISTRICT_COMP[],F$1,0),"ERROR")</f>
        <v>16431</v>
      </c>
      <c r="G7" s="104">
        <f t="shared" si="0"/>
        <v>0.21965402919629967</v>
      </c>
      <c r="H7" s="102">
        <f>IF(SUM(H8:H22)&lt;&gt;VLOOKUP($B7,MMWR_TRAD_AGG_ST_DISTRICT_COMP[],H$1,0),"ERROR",
VLOOKUP($B7,MMWR_TRAD_AGG_ST_DISTRICT_COMP[],H$1,0))</f>
        <v>106855</v>
      </c>
      <c r="I7" s="102">
        <f>IF(SUM(I8:I22)&lt;&gt;VLOOKUP($B7,MMWR_TRAD_AGG_ST_DISTRICT_COMP[],I$1,0),"ERROR",
VLOOKUP($B7,MMWR_TRAD_AGG_ST_DISTRICT_COMP[],I$1,0))</f>
        <v>55816</v>
      </c>
      <c r="J7" s="105">
        <f t="shared" si="1"/>
        <v>0.5223527209770249</v>
      </c>
      <c r="K7" s="102">
        <f>IF(SUM(K8:K22)&lt;&gt;VLOOKUP($B7,MMWR_TRAD_AGG_ST_DISTRICT_COMP[],K$1,0),"ERROR",
VLOOKUP($B7,MMWR_TRAD_AGG_ST_DISTRICT_COMP[],K$1,0))</f>
        <v>35350</v>
      </c>
      <c r="L7" s="102">
        <f>IF(SUM(L8:L22)&lt;&gt;VLOOKUP($B7,MMWR_TRAD_AGG_ST_DISTRICT_COMP[],L$1,0),"ERROR",
VLOOKUP($B7,MMWR_TRAD_AGG_ST_DISTRICT_COMP[],L$1,0))</f>
        <v>28507</v>
      </c>
      <c r="M7" s="105">
        <f t="shared" si="2"/>
        <v>0.80642149929278639</v>
      </c>
      <c r="N7" s="102">
        <f>IF(SUM(N8:N22)&lt;&gt;VLOOKUP($B7,MMWR_TRAD_AGG_ST_DISTRICT_COMP[],N$1,0),"ERROR",
VLOOKUP($B7,MMWR_TRAD_AGG_ST_DISTRICT_COMP[],N$1,0))</f>
        <v>40171</v>
      </c>
      <c r="O7" s="102">
        <f>IF(SUM(O8:O22)&lt;&gt;VLOOKUP($B7,MMWR_TRAD_AGG_ST_DISTRICT_COMP[],O$1,0),"ERROR",
VLOOKUP($B7,MMWR_TRAD_AGG_ST_DISTRICT_COMP[],O$1,0))</f>
        <v>27895</v>
      </c>
      <c r="P7" s="105">
        <f t="shared" si="3"/>
        <v>0.69440641258619407</v>
      </c>
      <c r="Q7" s="102">
        <f>IF(SUM(Q8:Q22)&lt;&gt;VLOOKUP($B7,MMWR_TRAD_AGG_ST_DISTRICT_COMP[],Q$1,0),"ERROR",
VLOOKUP($B7,MMWR_TRAD_AGG_ST_DISTRICT_COMP[],Q$1,0))</f>
        <v>9353</v>
      </c>
      <c r="R7" s="106">
        <f>IFERROR(VLOOKUP($B7,MMWR_TRAD_AGG_ST_DISTRICT_COMP[],R$1,0),"ERROR")</f>
        <v>143</v>
      </c>
      <c r="S7" s="106">
        <f>SUM(S8:S22)</f>
        <v>56808</v>
      </c>
      <c r="T7" s="28"/>
    </row>
    <row r="8" spans="1:20" s="123" customFormat="1" x14ac:dyDescent="0.2">
      <c r="A8" s="107"/>
      <c r="B8" s="127" t="s">
        <v>373</v>
      </c>
      <c r="C8" s="109">
        <f>IFERROR(VLOOKUP($B8,MMWR_TRAD_AGG_STATE_COMP[],C$1,0),"ERROR")</f>
        <v>738</v>
      </c>
      <c r="D8" s="110">
        <f>IFERROR(VLOOKUP($B8,MMWR_TRAD_AGG_STATE_COMP[],D$1,0),"ERROR")</f>
        <v>287.49051490509999</v>
      </c>
      <c r="E8" s="111">
        <f>IFERROR(VLOOKUP($B8,MMWR_TRAD_AGG_STATE_COMP[],E$1,0),"ERROR")</f>
        <v>1946</v>
      </c>
      <c r="F8" s="112">
        <f>IFERROR(VLOOKUP($B8,MMWR_TRAD_AGG_STATE_COMP[],F$1,0),"ERROR")</f>
        <v>285</v>
      </c>
      <c r="G8" s="113">
        <f t="shared" si="0"/>
        <v>0.14645426515930113</v>
      </c>
      <c r="H8" s="111">
        <f>IFERROR(VLOOKUP($B8,MMWR_TRAD_AGG_STATE_COMP[],H$1,0),"ERROR")</f>
        <v>2686</v>
      </c>
      <c r="I8" s="112">
        <f>IFERROR(VLOOKUP($B8,MMWR_TRAD_AGG_STATE_COMP[],I$1,0),"ERROR")</f>
        <v>774</v>
      </c>
      <c r="J8" s="114">
        <f t="shared" si="1"/>
        <v>0.28816083395383468</v>
      </c>
      <c r="K8" s="111">
        <f>IFERROR(VLOOKUP($B8,MMWR_TRAD_AGG_STATE_COMP[],K$1,0),"ERROR")</f>
        <v>626</v>
      </c>
      <c r="L8" s="112">
        <f>IFERROR(VLOOKUP($B8,MMWR_TRAD_AGG_STATE_COMP[],L$1,0),"ERROR")</f>
        <v>391</v>
      </c>
      <c r="M8" s="114">
        <f t="shared" si="2"/>
        <v>0.62460063897763574</v>
      </c>
      <c r="N8" s="111">
        <f>IFERROR(VLOOKUP($B8,MMWR_TRAD_AGG_STATE_COMP[],N$1,0),"ERROR")</f>
        <v>1121</v>
      </c>
      <c r="O8" s="112">
        <f>IFERROR(VLOOKUP($B8,MMWR_TRAD_AGG_STATE_COMP[],O$1,0),"ERROR")</f>
        <v>819</v>
      </c>
      <c r="P8" s="114">
        <f t="shared" si="3"/>
        <v>0.7305976806422837</v>
      </c>
      <c r="Q8" s="115">
        <f>IFERROR(VLOOKUP($B8,MMWR_TRAD_AGG_STATE_COMP[],Q$1,0),"ERROR")</f>
        <v>306</v>
      </c>
      <c r="R8" s="115">
        <f>IFERROR(VLOOKUP($B8,MMWR_TRAD_AGG_STATE_COMP[],R$1,0),"ERROR")</f>
        <v>5</v>
      </c>
      <c r="S8" s="115">
        <f>IFERROR(VLOOKUP($B8,MMWR_APP_STATE_COMP[],S$1,0),"ERROR")</f>
        <v>1373</v>
      </c>
      <c r="T8" s="28"/>
    </row>
    <row r="9" spans="1:20" s="123" customFormat="1" x14ac:dyDescent="0.2">
      <c r="A9" s="107"/>
      <c r="B9" s="127" t="s">
        <v>423</v>
      </c>
      <c r="C9" s="109">
        <f>IFERROR(VLOOKUP($B9,MMWR_TRAD_AGG_STATE_COMP[],C$1,0),"ERROR")</f>
        <v>684</v>
      </c>
      <c r="D9" s="110">
        <f>IFERROR(VLOOKUP($B9,MMWR_TRAD_AGG_STATE_COMP[],D$1,0),"ERROR")</f>
        <v>430.9122807018</v>
      </c>
      <c r="E9" s="111">
        <f>IFERROR(VLOOKUP($B9,MMWR_TRAD_AGG_STATE_COMP[],E$1,0),"ERROR")</f>
        <v>987</v>
      </c>
      <c r="F9" s="112">
        <f>IFERROR(VLOOKUP($B9,MMWR_TRAD_AGG_STATE_COMP[],F$1,0),"ERROR")</f>
        <v>217</v>
      </c>
      <c r="G9" s="113">
        <f t="shared" si="0"/>
        <v>0.21985815602836881</v>
      </c>
      <c r="H9" s="111">
        <f>IFERROR(VLOOKUP($B9,MMWR_TRAD_AGG_STATE_COMP[],H$1,0),"ERROR")</f>
        <v>1264</v>
      </c>
      <c r="I9" s="112">
        <f>IFERROR(VLOOKUP($B9,MMWR_TRAD_AGG_STATE_COMP[],I$1,0),"ERROR")</f>
        <v>649</v>
      </c>
      <c r="J9" s="114">
        <f t="shared" si="1"/>
        <v>0.51344936708860756</v>
      </c>
      <c r="K9" s="111">
        <f>IFERROR(VLOOKUP($B9,MMWR_TRAD_AGG_STATE_COMP[],K$1,0),"ERROR")</f>
        <v>238</v>
      </c>
      <c r="L9" s="112">
        <f>IFERROR(VLOOKUP($B9,MMWR_TRAD_AGG_STATE_COMP[],L$1,0),"ERROR")</f>
        <v>185</v>
      </c>
      <c r="M9" s="114">
        <f t="shared" si="2"/>
        <v>0.77731092436974791</v>
      </c>
      <c r="N9" s="111">
        <f>IFERROR(VLOOKUP($B9,MMWR_TRAD_AGG_STATE_COMP[],N$1,0),"ERROR")</f>
        <v>394</v>
      </c>
      <c r="O9" s="112">
        <f>IFERROR(VLOOKUP($B9,MMWR_TRAD_AGG_STATE_COMP[],O$1,0),"ERROR")</f>
        <v>231</v>
      </c>
      <c r="P9" s="114">
        <f t="shared" si="3"/>
        <v>0.58629441624365486</v>
      </c>
      <c r="Q9" s="115">
        <f>IFERROR(VLOOKUP($B9,MMWR_TRAD_AGG_STATE_COMP[],Q$1,0),"ERROR")</f>
        <v>76</v>
      </c>
      <c r="R9" s="115">
        <f>IFERROR(VLOOKUP($B9,MMWR_TRAD_AGG_STATE_COMP[],R$1,0),"ERROR")</f>
        <v>0</v>
      </c>
      <c r="S9" s="115">
        <f>IFERROR(VLOOKUP($B9,MMWR_APP_STATE_COMP[],S$1,0),"ERROR")</f>
        <v>637</v>
      </c>
      <c r="T9" s="28"/>
    </row>
    <row r="10" spans="1:20" s="123" customFormat="1" x14ac:dyDescent="0.2">
      <c r="A10" s="107"/>
      <c r="B10" s="127" t="s">
        <v>414</v>
      </c>
      <c r="C10" s="109">
        <f>IFERROR(VLOOKUP($B10,MMWR_TRAD_AGG_STATE_COMP[],C$1,0),"ERROR")</f>
        <v>451</v>
      </c>
      <c r="D10" s="110">
        <f>IFERROR(VLOOKUP($B10,MMWR_TRAD_AGG_STATE_COMP[],D$1,0),"ERROR")</f>
        <v>635.30155210639998</v>
      </c>
      <c r="E10" s="111">
        <f>IFERROR(VLOOKUP($B10,MMWR_TRAD_AGG_STATE_COMP[],E$1,0),"ERROR")</f>
        <v>442</v>
      </c>
      <c r="F10" s="112">
        <f>IFERROR(VLOOKUP($B10,MMWR_TRAD_AGG_STATE_COMP[],F$1,0),"ERROR")</f>
        <v>79</v>
      </c>
      <c r="G10" s="113">
        <f t="shared" si="0"/>
        <v>0.17873303167420815</v>
      </c>
      <c r="H10" s="111">
        <f>IFERROR(VLOOKUP($B10,MMWR_TRAD_AGG_STATE_COMP[],H$1,0),"ERROR")</f>
        <v>805</v>
      </c>
      <c r="I10" s="112">
        <f>IFERROR(VLOOKUP($B10,MMWR_TRAD_AGG_STATE_COMP[],I$1,0),"ERROR")</f>
        <v>435</v>
      </c>
      <c r="J10" s="114">
        <f t="shared" si="1"/>
        <v>0.54037267080745344</v>
      </c>
      <c r="K10" s="111">
        <f>IFERROR(VLOOKUP($B10,MMWR_TRAD_AGG_STATE_COMP[],K$1,0),"ERROR")</f>
        <v>217</v>
      </c>
      <c r="L10" s="112">
        <f>IFERROR(VLOOKUP($B10,MMWR_TRAD_AGG_STATE_COMP[],L$1,0),"ERROR")</f>
        <v>181</v>
      </c>
      <c r="M10" s="114">
        <f t="shared" si="2"/>
        <v>0.83410138248847931</v>
      </c>
      <c r="N10" s="111">
        <f>IFERROR(VLOOKUP($B10,MMWR_TRAD_AGG_STATE_COMP[],N$1,0),"ERROR")</f>
        <v>371</v>
      </c>
      <c r="O10" s="112">
        <f>IFERROR(VLOOKUP($B10,MMWR_TRAD_AGG_STATE_COMP[],O$1,0),"ERROR")</f>
        <v>274</v>
      </c>
      <c r="P10" s="114">
        <f t="shared" si="3"/>
        <v>0.73854447439353099</v>
      </c>
      <c r="Q10" s="115">
        <f>IFERROR(VLOOKUP($B10,MMWR_TRAD_AGG_STATE_COMP[],Q$1,0),"ERROR")</f>
        <v>34</v>
      </c>
      <c r="R10" s="115">
        <f>IFERROR(VLOOKUP($B10,MMWR_TRAD_AGG_STATE_COMP[],R$1,0),"ERROR")</f>
        <v>0</v>
      </c>
      <c r="S10" s="115">
        <f>IFERROR(VLOOKUP($B10,MMWR_APP_STATE_COMP[],S$1,0),"ERROR")</f>
        <v>592</v>
      </c>
      <c r="T10" s="28"/>
    </row>
    <row r="11" spans="1:20" s="123" customFormat="1" x14ac:dyDescent="0.2">
      <c r="A11" s="107"/>
      <c r="B11" s="127" t="s">
        <v>416</v>
      </c>
      <c r="C11" s="109">
        <f>IFERROR(VLOOKUP($B11,MMWR_TRAD_AGG_STATE_COMP[],C$1,0),"ERROR")</f>
        <v>1090</v>
      </c>
      <c r="D11" s="110">
        <f>IFERROR(VLOOKUP($B11,MMWR_TRAD_AGG_STATE_COMP[],D$1,0),"ERROR")</f>
        <v>315.57798165140002</v>
      </c>
      <c r="E11" s="111">
        <f>IFERROR(VLOOKUP($B11,MMWR_TRAD_AGG_STATE_COMP[],E$1,0),"ERROR")</f>
        <v>1275</v>
      </c>
      <c r="F11" s="112">
        <f>IFERROR(VLOOKUP($B11,MMWR_TRAD_AGG_STATE_COMP[],F$1,0),"ERROR")</f>
        <v>173</v>
      </c>
      <c r="G11" s="113">
        <f t="shared" si="0"/>
        <v>0.13568627450980392</v>
      </c>
      <c r="H11" s="111">
        <f>IFERROR(VLOOKUP($B11,MMWR_TRAD_AGG_STATE_COMP[],H$1,0),"ERROR")</f>
        <v>2160</v>
      </c>
      <c r="I11" s="112">
        <f>IFERROR(VLOOKUP($B11,MMWR_TRAD_AGG_STATE_COMP[],I$1,0),"ERROR")</f>
        <v>899</v>
      </c>
      <c r="J11" s="114">
        <f t="shared" si="1"/>
        <v>0.41620370370370369</v>
      </c>
      <c r="K11" s="111">
        <f>IFERROR(VLOOKUP($B11,MMWR_TRAD_AGG_STATE_COMP[],K$1,0),"ERROR")</f>
        <v>871</v>
      </c>
      <c r="L11" s="112">
        <f>IFERROR(VLOOKUP($B11,MMWR_TRAD_AGG_STATE_COMP[],L$1,0),"ERROR")</f>
        <v>645</v>
      </c>
      <c r="M11" s="114">
        <f t="shared" si="2"/>
        <v>0.74052812858783013</v>
      </c>
      <c r="N11" s="111">
        <f>IFERROR(VLOOKUP($B11,MMWR_TRAD_AGG_STATE_COMP[],N$1,0),"ERROR")</f>
        <v>461</v>
      </c>
      <c r="O11" s="112">
        <f>IFERROR(VLOOKUP($B11,MMWR_TRAD_AGG_STATE_COMP[],O$1,0),"ERROR")</f>
        <v>275</v>
      </c>
      <c r="P11" s="114">
        <f t="shared" si="3"/>
        <v>0.59652928416485895</v>
      </c>
      <c r="Q11" s="115">
        <f>IFERROR(VLOOKUP($B11,MMWR_TRAD_AGG_STATE_COMP[],Q$1,0),"ERROR")</f>
        <v>386</v>
      </c>
      <c r="R11" s="115">
        <f>IFERROR(VLOOKUP($B11,MMWR_TRAD_AGG_STATE_COMP[],R$1,0),"ERROR")</f>
        <v>2</v>
      </c>
      <c r="S11" s="115">
        <f>IFERROR(VLOOKUP($B11,MMWR_APP_STATE_COMP[],S$1,0),"ERROR")</f>
        <v>480</v>
      </c>
      <c r="T11" s="28"/>
    </row>
    <row r="12" spans="1:20" s="123" customFormat="1" x14ac:dyDescent="0.2">
      <c r="A12" s="107"/>
      <c r="B12" s="127" t="s">
        <v>376</v>
      </c>
      <c r="C12" s="109">
        <f>IFERROR(VLOOKUP($B12,MMWR_TRAD_AGG_STATE_COMP[],C$1,0),"ERROR")</f>
        <v>8524</v>
      </c>
      <c r="D12" s="110">
        <f>IFERROR(VLOOKUP($B12,MMWR_TRAD_AGG_STATE_COMP[],D$1,0),"ERROR")</f>
        <v>648.07578601600005</v>
      </c>
      <c r="E12" s="111">
        <f>IFERROR(VLOOKUP($B12,MMWR_TRAD_AGG_STATE_COMP[],E$1,0),"ERROR")</f>
        <v>6421</v>
      </c>
      <c r="F12" s="112">
        <f>IFERROR(VLOOKUP($B12,MMWR_TRAD_AGG_STATE_COMP[],F$1,0),"ERROR")</f>
        <v>1441</v>
      </c>
      <c r="G12" s="113">
        <f t="shared" si="0"/>
        <v>0.22441987229403521</v>
      </c>
      <c r="H12" s="111">
        <f>IFERROR(VLOOKUP($B12,MMWR_TRAD_AGG_STATE_COMP[],H$1,0),"ERROR")</f>
        <v>12849</v>
      </c>
      <c r="I12" s="112">
        <f>IFERROR(VLOOKUP($B12,MMWR_TRAD_AGG_STATE_COMP[],I$1,0),"ERROR")</f>
        <v>8278</v>
      </c>
      <c r="J12" s="114">
        <f t="shared" si="1"/>
        <v>0.64425247100941707</v>
      </c>
      <c r="K12" s="111">
        <f>IFERROR(VLOOKUP($B12,MMWR_TRAD_AGG_STATE_COMP[],K$1,0),"ERROR")</f>
        <v>4311</v>
      </c>
      <c r="L12" s="112">
        <f>IFERROR(VLOOKUP($B12,MMWR_TRAD_AGG_STATE_COMP[],L$1,0),"ERROR")</f>
        <v>3692</v>
      </c>
      <c r="M12" s="114">
        <f t="shared" si="2"/>
        <v>0.85641382509858499</v>
      </c>
      <c r="N12" s="111">
        <f>IFERROR(VLOOKUP($B12,MMWR_TRAD_AGG_STATE_COMP[],N$1,0),"ERROR")</f>
        <v>3296</v>
      </c>
      <c r="O12" s="112">
        <f>IFERROR(VLOOKUP($B12,MMWR_TRAD_AGG_STATE_COMP[],O$1,0),"ERROR")</f>
        <v>2259</v>
      </c>
      <c r="P12" s="114">
        <f t="shared" si="3"/>
        <v>0.685376213592233</v>
      </c>
      <c r="Q12" s="115">
        <f>IFERROR(VLOOKUP($B12,MMWR_TRAD_AGG_STATE_COMP[],Q$1,0),"ERROR")</f>
        <v>480</v>
      </c>
      <c r="R12" s="115">
        <f>IFERROR(VLOOKUP($B12,MMWR_TRAD_AGG_STATE_COMP[],R$1,0),"ERROR")</f>
        <v>6</v>
      </c>
      <c r="S12" s="115">
        <f>IFERROR(VLOOKUP($B12,MMWR_APP_STATE_COMP[],S$1,0),"ERROR")</f>
        <v>5725</v>
      </c>
      <c r="T12" s="28"/>
    </row>
    <row r="13" spans="1:20" s="123" customFormat="1" x14ac:dyDescent="0.2">
      <c r="A13" s="107"/>
      <c r="B13" s="127" t="s">
        <v>371</v>
      </c>
      <c r="C13" s="109">
        <f>IFERROR(VLOOKUP($B13,MMWR_TRAD_AGG_STATE_COMP[],C$1,0),"ERROR")</f>
        <v>3676</v>
      </c>
      <c r="D13" s="110">
        <f>IFERROR(VLOOKUP($B13,MMWR_TRAD_AGG_STATE_COMP[],D$1,0),"ERROR")</f>
        <v>560.54216539720005</v>
      </c>
      <c r="E13" s="111">
        <f>IFERROR(VLOOKUP($B13,MMWR_TRAD_AGG_STATE_COMP[],E$1,0),"ERROR")</f>
        <v>4262</v>
      </c>
      <c r="F13" s="112">
        <f>IFERROR(VLOOKUP($B13,MMWR_TRAD_AGG_STATE_COMP[],F$1,0),"ERROR")</f>
        <v>834</v>
      </c>
      <c r="G13" s="113">
        <f t="shared" si="0"/>
        <v>0.19568277803847958</v>
      </c>
      <c r="H13" s="111">
        <f>IFERROR(VLOOKUP($B13,MMWR_TRAD_AGG_STATE_COMP[],H$1,0),"ERROR")</f>
        <v>7793</v>
      </c>
      <c r="I13" s="112">
        <f>IFERROR(VLOOKUP($B13,MMWR_TRAD_AGG_STATE_COMP[],I$1,0),"ERROR")</f>
        <v>3912</v>
      </c>
      <c r="J13" s="114">
        <f t="shared" si="1"/>
        <v>0.50198896445528041</v>
      </c>
      <c r="K13" s="111">
        <f>IFERROR(VLOOKUP($B13,MMWR_TRAD_AGG_STATE_COMP[],K$1,0),"ERROR")</f>
        <v>2685</v>
      </c>
      <c r="L13" s="112">
        <f>IFERROR(VLOOKUP($B13,MMWR_TRAD_AGG_STATE_COMP[],L$1,0),"ERROR")</f>
        <v>2152</v>
      </c>
      <c r="M13" s="114">
        <f t="shared" si="2"/>
        <v>0.80148975791433896</v>
      </c>
      <c r="N13" s="111">
        <f>IFERROR(VLOOKUP($B13,MMWR_TRAD_AGG_STATE_COMP[],N$1,0),"ERROR")</f>
        <v>1396</v>
      </c>
      <c r="O13" s="112">
        <f>IFERROR(VLOOKUP($B13,MMWR_TRAD_AGG_STATE_COMP[],O$1,0),"ERROR")</f>
        <v>1037</v>
      </c>
      <c r="P13" s="114">
        <f t="shared" si="3"/>
        <v>0.74283667621776506</v>
      </c>
      <c r="Q13" s="115">
        <f>IFERROR(VLOOKUP($B13,MMWR_TRAD_AGG_STATE_COMP[],Q$1,0),"ERROR")</f>
        <v>791</v>
      </c>
      <c r="R13" s="115">
        <f>IFERROR(VLOOKUP($B13,MMWR_TRAD_AGG_STATE_COMP[],R$1,0),"ERROR")</f>
        <v>11</v>
      </c>
      <c r="S13" s="115">
        <f>IFERROR(VLOOKUP($B13,MMWR_APP_STATE_COMP[],S$1,0),"ERROR")</f>
        <v>3337</v>
      </c>
      <c r="T13" s="28"/>
    </row>
    <row r="14" spans="1:20" s="123" customFormat="1" x14ac:dyDescent="0.2">
      <c r="A14" s="107"/>
      <c r="B14" s="127" t="s">
        <v>415</v>
      </c>
      <c r="C14" s="109">
        <f>IFERROR(VLOOKUP($B14,MMWR_TRAD_AGG_STATE_COMP[],C$1,0),"ERROR")</f>
        <v>1031</v>
      </c>
      <c r="D14" s="110">
        <f>IFERROR(VLOOKUP($B14,MMWR_TRAD_AGG_STATE_COMP[],D$1,0),"ERROR")</f>
        <v>272.9825412221</v>
      </c>
      <c r="E14" s="111">
        <f>IFERROR(VLOOKUP($B14,MMWR_TRAD_AGG_STATE_COMP[],E$1,0),"ERROR")</f>
        <v>1313</v>
      </c>
      <c r="F14" s="112">
        <f>IFERROR(VLOOKUP($B14,MMWR_TRAD_AGG_STATE_COMP[],F$1,0),"ERROR")</f>
        <v>208</v>
      </c>
      <c r="G14" s="113">
        <f t="shared" si="0"/>
        <v>0.15841584158415842</v>
      </c>
      <c r="H14" s="111">
        <f>IFERROR(VLOOKUP($B14,MMWR_TRAD_AGG_STATE_COMP[],H$1,0),"ERROR")</f>
        <v>2051</v>
      </c>
      <c r="I14" s="112">
        <f>IFERROR(VLOOKUP($B14,MMWR_TRAD_AGG_STATE_COMP[],I$1,0),"ERROR")</f>
        <v>874</v>
      </c>
      <c r="J14" s="114">
        <f t="shared" si="1"/>
        <v>0.42613359336908824</v>
      </c>
      <c r="K14" s="111">
        <f>IFERROR(VLOOKUP($B14,MMWR_TRAD_AGG_STATE_COMP[],K$1,0),"ERROR")</f>
        <v>349</v>
      </c>
      <c r="L14" s="112">
        <f>IFERROR(VLOOKUP($B14,MMWR_TRAD_AGG_STATE_COMP[],L$1,0),"ERROR")</f>
        <v>263</v>
      </c>
      <c r="M14" s="114">
        <f t="shared" si="2"/>
        <v>0.75358166189111753</v>
      </c>
      <c r="N14" s="111">
        <f>IFERROR(VLOOKUP($B14,MMWR_TRAD_AGG_STATE_COMP[],N$1,0),"ERROR")</f>
        <v>326</v>
      </c>
      <c r="O14" s="112">
        <f>IFERROR(VLOOKUP($B14,MMWR_TRAD_AGG_STATE_COMP[],O$1,0),"ERROR")</f>
        <v>178</v>
      </c>
      <c r="P14" s="114">
        <f t="shared" si="3"/>
        <v>0.54601226993865026</v>
      </c>
      <c r="Q14" s="115">
        <f>IFERROR(VLOOKUP($B14,MMWR_TRAD_AGG_STATE_COMP[],Q$1,0),"ERROR")</f>
        <v>201</v>
      </c>
      <c r="R14" s="115">
        <f>IFERROR(VLOOKUP($B14,MMWR_TRAD_AGG_STATE_COMP[],R$1,0),"ERROR")</f>
        <v>4</v>
      </c>
      <c r="S14" s="115">
        <f>IFERROR(VLOOKUP($B14,MMWR_APP_STATE_COMP[],S$1,0),"ERROR")</f>
        <v>602</v>
      </c>
      <c r="T14" s="28"/>
    </row>
    <row r="15" spans="1:20" s="123" customFormat="1" x14ac:dyDescent="0.2">
      <c r="A15" s="107"/>
      <c r="B15" s="127" t="s">
        <v>374</v>
      </c>
      <c r="C15" s="109">
        <f>IFERROR(VLOOKUP($B15,MMWR_TRAD_AGG_STATE_COMP[],C$1,0),"ERROR")</f>
        <v>1607</v>
      </c>
      <c r="D15" s="110">
        <f>IFERROR(VLOOKUP($B15,MMWR_TRAD_AGG_STATE_COMP[],D$1,0),"ERROR")</f>
        <v>354.0672059739</v>
      </c>
      <c r="E15" s="111">
        <f>IFERROR(VLOOKUP($B15,MMWR_TRAD_AGG_STATE_COMP[],E$1,0),"ERROR")</f>
        <v>4550</v>
      </c>
      <c r="F15" s="112">
        <f>IFERROR(VLOOKUP($B15,MMWR_TRAD_AGG_STATE_COMP[],F$1,0),"ERROR")</f>
        <v>1221</v>
      </c>
      <c r="G15" s="113">
        <f t="shared" si="0"/>
        <v>0.26835164835164838</v>
      </c>
      <c r="H15" s="111">
        <f>IFERROR(VLOOKUP($B15,MMWR_TRAD_AGG_STATE_COMP[],H$1,0),"ERROR")</f>
        <v>4351</v>
      </c>
      <c r="I15" s="112">
        <f>IFERROR(VLOOKUP($B15,MMWR_TRAD_AGG_STATE_COMP[],I$1,0),"ERROR")</f>
        <v>1640</v>
      </c>
      <c r="J15" s="114">
        <f t="shared" si="1"/>
        <v>0.37692484486324984</v>
      </c>
      <c r="K15" s="111">
        <f>IFERROR(VLOOKUP($B15,MMWR_TRAD_AGG_STATE_COMP[],K$1,0),"ERROR")</f>
        <v>1437</v>
      </c>
      <c r="L15" s="112">
        <f>IFERROR(VLOOKUP($B15,MMWR_TRAD_AGG_STATE_COMP[],L$1,0),"ERROR")</f>
        <v>1209</v>
      </c>
      <c r="M15" s="114">
        <f t="shared" si="2"/>
        <v>0.84133611691022969</v>
      </c>
      <c r="N15" s="111">
        <f>IFERROR(VLOOKUP($B15,MMWR_TRAD_AGG_STATE_COMP[],N$1,0),"ERROR")</f>
        <v>2511</v>
      </c>
      <c r="O15" s="112">
        <f>IFERROR(VLOOKUP($B15,MMWR_TRAD_AGG_STATE_COMP[],O$1,0),"ERROR")</f>
        <v>1768</v>
      </c>
      <c r="P15" s="114">
        <f t="shared" si="3"/>
        <v>0.7041019514137794</v>
      </c>
      <c r="Q15" s="115">
        <f>IFERROR(VLOOKUP($B15,MMWR_TRAD_AGG_STATE_COMP[],Q$1,0),"ERROR")</f>
        <v>777</v>
      </c>
      <c r="R15" s="115">
        <f>IFERROR(VLOOKUP($B15,MMWR_TRAD_AGG_STATE_COMP[],R$1,0),"ERROR")</f>
        <v>6</v>
      </c>
      <c r="S15" s="115">
        <f>IFERROR(VLOOKUP($B15,MMWR_APP_STATE_COMP[],S$1,0),"ERROR")</f>
        <v>3850</v>
      </c>
      <c r="T15" s="28"/>
    </row>
    <row r="16" spans="1:20" s="123" customFormat="1" x14ac:dyDescent="0.2">
      <c r="A16" s="107"/>
      <c r="B16" s="127" t="s">
        <v>60</v>
      </c>
      <c r="C16" s="109">
        <f>IFERROR(VLOOKUP($B16,MMWR_TRAD_AGG_STATE_COMP[],C$1,0),"ERROR")</f>
        <v>3529</v>
      </c>
      <c r="D16" s="110">
        <f>IFERROR(VLOOKUP($B16,MMWR_TRAD_AGG_STATE_COMP[],D$1,0),"ERROR")</f>
        <v>301.29498441480001</v>
      </c>
      <c r="E16" s="111">
        <f>IFERROR(VLOOKUP($B16,MMWR_TRAD_AGG_STATE_COMP[],E$1,0),"ERROR")</f>
        <v>9360</v>
      </c>
      <c r="F16" s="112">
        <f>IFERROR(VLOOKUP($B16,MMWR_TRAD_AGG_STATE_COMP[],F$1,0),"ERROR")</f>
        <v>2197</v>
      </c>
      <c r="G16" s="113">
        <f t="shared" si="0"/>
        <v>0.23472222222222222</v>
      </c>
      <c r="H16" s="111">
        <f>IFERROR(VLOOKUP($B16,MMWR_TRAD_AGG_STATE_COMP[],H$1,0),"ERROR")</f>
        <v>9863</v>
      </c>
      <c r="I16" s="112">
        <f>IFERROR(VLOOKUP($B16,MMWR_TRAD_AGG_STATE_COMP[],I$1,0),"ERROR")</f>
        <v>3848</v>
      </c>
      <c r="J16" s="114">
        <f t="shared" si="1"/>
        <v>0.39014498631248101</v>
      </c>
      <c r="K16" s="111">
        <f>IFERROR(VLOOKUP($B16,MMWR_TRAD_AGG_STATE_COMP[],K$1,0),"ERROR")</f>
        <v>3460</v>
      </c>
      <c r="L16" s="112">
        <f>IFERROR(VLOOKUP($B16,MMWR_TRAD_AGG_STATE_COMP[],L$1,0),"ERROR")</f>
        <v>2798</v>
      </c>
      <c r="M16" s="114">
        <f t="shared" si="2"/>
        <v>0.80867052023121389</v>
      </c>
      <c r="N16" s="111">
        <f>IFERROR(VLOOKUP($B16,MMWR_TRAD_AGG_STATE_COMP[],N$1,0),"ERROR")</f>
        <v>6157</v>
      </c>
      <c r="O16" s="112">
        <f>IFERROR(VLOOKUP($B16,MMWR_TRAD_AGG_STATE_COMP[],O$1,0),"ERROR")</f>
        <v>3504</v>
      </c>
      <c r="P16" s="114">
        <f t="shared" si="3"/>
        <v>0.56910833197986033</v>
      </c>
      <c r="Q16" s="115">
        <f>IFERROR(VLOOKUP($B16,MMWR_TRAD_AGG_STATE_COMP[],Q$1,0),"ERROR")</f>
        <v>1719</v>
      </c>
      <c r="R16" s="115">
        <f>IFERROR(VLOOKUP($B16,MMWR_TRAD_AGG_STATE_COMP[],R$1,0),"ERROR")</f>
        <v>10</v>
      </c>
      <c r="S16" s="115">
        <f>IFERROR(VLOOKUP($B16,MMWR_APP_STATE_COMP[],S$1,0),"ERROR")</f>
        <v>5411</v>
      </c>
      <c r="T16" s="28"/>
    </row>
    <row r="17" spans="1:20" s="123" customFormat="1" x14ac:dyDescent="0.2">
      <c r="A17" s="107"/>
      <c r="B17" s="127" t="s">
        <v>382</v>
      </c>
      <c r="C17" s="109">
        <f>IFERROR(VLOOKUP($B17,MMWR_TRAD_AGG_STATE_COMP[],C$1,0),"ERROR")</f>
        <v>14331</v>
      </c>
      <c r="D17" s="110">
        <f>IFERROR(VLOOKUP($B17,MMWR_TRAD_AGG_STATE_COMP[],D$1,0),"ERROR")</f>
        <v>304.47128602330002</v>
      </c>
      <c r="E17" s="111">
        <f>IFERROR(VLOOKUP($B17,MMWR_TRAD_AGG_STATE_COMP[],E$1,0),"ERROR")</f>
        <v>17795</v>
      </c>
      <c r="F17" s="112">
        <f>IFERROR(VLOOKUP($B17,MMWR_TRAD_AGG_STATE_COMP[],F$1,0),"ERROR")</f>
        <v>4300</v>
      </c>
      <c r="G17" s="113">
        <f t="shared" si="0"/>
        <v>0.24164091036808091</v>
      </c>
      <c r="H17" s="111">
        <f>IFERROR(VLOOKUP($B17,MMWR_TRAD_AGG_STATE_COMP[],H$1,0),"ERROR")</f>
        <v>21301</v>
      </c>
      <c r="I17" s="112">
        <f>IFERROR(VLOOKUP($B17,MMWR_TRAD_AGG_STATE_COMP[],I$1,0),"ERROR")</f>
        <v>12545</v>
      </c>
      <c r="J17" s="114">
        <f t="shared" si="1"/>
        <v>0.58893948640908877</v>
      </c>
      <c r="K17" s="111">
        <f>IFERROR(VLOOKUP($B17,MMWR_TRAD_AGG_STATE_COMP[],K$1,0),"ERROR")</f>
        <v>9107</v>
      </c>
      <c r="L17" s="112">
        <f>IFERROR(VLOOKUP($B17,MMWR_TRAD_AGG_STATE_COMP[],L$1,0),"ERROR")</f>
        <v>7298</v>
      </c>
      <c r="M17" s="114">
        <f t="shared" si="2"/>
        <v>0.80136158998572526</v>
      </c>
      <c r="N17" s="111">
        <f>IFERROR(VLOOKUP($B17,MMWR_TRAD_AGG_STATE_COMP[],N$1,0),"ERROR")</f>
        <v>7749</v>
      </c>
      <c r="O17" s="112">
        <f>IFERROR(VLOOKUP($B17,MMWR_TRAD_AGG_STATE_COMP[],O$1,0),"ERROR")</f>
        <v>5194</v>
      </c>
      <c r="P17" s="114">
        <f t="shared" si="3"/>
        <v>0.67028003613369469</v>
      </c>
      <c r="Q17" s="115">
        <f>IFERROR(VLOOKUP($B17,MMWR_TRAD_AGG_STATE_COMP[],Q$1,0),"ERROR")</f>
        <v>1272</v>
      </c>
      <c r="R17" s="115">
        <f>IFERROR(VLOOKUP($B17,MMWR_TRAD_AGG_STATE_COMP[],R$1,0),"ERROR")</f>
        <v>46</v>
      </c>
      <c r="S17" s="115">
        <f>IFERROR(VLOOKUP($B17,MMWR_APP_STATE_COMP[],S$1,0),"ERROR")</f>
        <v>9468</v>
      </c>
      <c r="T17" s="28"/>
    </row>
    <row r="18" spans="1:20" s="123" customFormat="1" x14ac:dyDescent="0.2">
      <c r="A18" s="107"/>
      <c r="B18" s="127" t="s">
        <v>375</v>
      </c>
      <c r="C18" s="109">
        <f>IFERROR(VLOOKUP($B18,MMWR_TRAD_AGG_STATE_COMP[],C$1,0),"ERROR")</f>
        <v>5400</v>
      </c>
      <c r="D18" s="110">
        <f>IFERROR(VLOOKUP($B18,MMWR_TRAD_AGG_STATE_COMP[],D$1,0),"ERROR")</f>
        <v>416.01629629630003</v>
      </c>
      <c r="E18" s="111">
        <f>IFERROR(VLOOKUP($B18,MMWR_TRAD_AGG_STATE_COMP[],E$1,0),"ERROR")</f>
        <v>10230</v>
      </c>
      <c r="F18" s="112">
        <f>IFERROR(VLOOKUP($B18,MMWR_TRAD_AGG_STATE_COMP[],F$1,0),"ERROR")</f>
        <v>2661</v>
      </c>
      <c r="G18" s="113">
        <f t="shared" si="0"/>
        <v>0.26011730205278594</v>
      </c>
      <c r="H18" s="111">
        <f>IFERROR(VLOOKUP($B18,MMWR_TRAD_AGG_STATE_COMP[],H$1,0),"ERROR")</f>
        <v>11723</v>
      </c>
      <c r="I18" s="112">
        <f>IFERROR(VLOOKUP($B18,MMWR_TRAD_AGG_STATE_COMP[],I$1,0),"ERROR")</f>
        <v>6109</v>
      </c>
      <c r="J18" s="114">
        <f t="shared" si="1"/>
        <v>0.52111234325684552</v>
      </c>
      <c r="K18" s="111">
        <f>IFERROR(VLOOKUP($B18,MMWR_TRAD_AGG_STATE_COMP[],K$1,0),"ERROR")</f>
        <v>2352</v>
      </c>
      <c r="L18" s="112">
        <f>IFERROR(VLOOKUP($B18,MMWR_TRAD_AGG_STATE_COMP[],L$1,0),"ERROR")</f>
        <v>1969</v>
      </c>
      <c r="M18" s="114">
        <f t="shared" si="2"/>
        <v>0.83715986394557829</v>
      </c>
      <c r="N18" s="111">
        <f>IFERROR(VLOOKUP($B18,MMWR_TRAD_AGG_STATE_COMP[],N$1,0),"ERROR")</f>
        <v>6492</v>
      </c>
      <c r="O18" s="112">
        <f>IFERROR(VLOOKUP($B18,MMWR_TRAD_AGG_STATE_COMP[],O$1,0),"ERROR")</f>
        <v>5240</v>
      </c>
      <c r="P18" s="114">
        <f t="shared" si="3"/>
        <v>0.80714725816389399</v>
      </c>
      <c r="Q18" s="115">
        <f>IFERROR(VLOOKUP($B18,MMWR_TRAD_AGG_STATE_COMP[],Q$1,0),"ERROR")</f>
        <v>1596</v>
      </c>
      <c r="R18" s="115">
        <f>IFERROR(VLOOKUP($B18,MMWR_TRAD_AGG_STATE_COMP[],R$1,0),"ERROR")</f>
        <v>16</v>
      </c>
      <c r="S18" s="115">
        <f>IFERROR(VLOOKUP($B18,MMWR_APP_STATE_COMP[],S$1,0),"ERROR")</f>
        <v>7288</v>
      </c>
      <c r="T18" s="28"/>
    </row>
    <row r="19" spans="1:20" s="123" customFormat="1" x14ac:dyDescent="0.2">
      <c r="A19" s="107"/>
      <c r="B19" s="127" t="s">
        <v>372</v>
      </c>
      <c r="C19" s="109">
        <f>IFERROR(VLOOKUP($B19,MMWR_TRAD_AGG_STATE_COMP[],C$1,0),"ERROR")</f>
        <v>260</v>
      </c>
      <c r="D19" s="110">
        <f>IFERROR(VLOOKUP($B19,MMWR_TRAD_AGG_STATE_COMP[],D$1,0),"ERROR")</f>
        <v>256.64230769229999</v>
      </c>
      <c r="E19" s="111">
        <f>IFERROR(VLOOKUP($B19,MMWR_TRAD_AGG_STATE_COMP[],E$1,0),"ERROR")</f>
        <v>935</v>
      </c>
      <c r="F19" s="112">
        <f>IFERROR(VLOOKUP($B19,MMWR_TRAD_AGG_STATE_COMP[],F$1,0),"ERROR")</f>
        <v>173</v>
      </c>
      <c r="G19" s="113">
        <f t="shared" si="0"/>
        <v>0.18502673796791444</v>
      </c>
      <c r="H19" s="111">
        <f>IFERROR(VLOOKUP($B19,MMWR_TRAD_AGG_STATE_COMP[],H$1,0),"ERROR")</f>
        <v>1058</v>
      </c>
      <c r="I19" s="112">
        <f>IFERROR(VLOOKUP($B19,MMWR_TRAD_AGG_STATE_COMP[],I$1,0),"ERROR")</f>
        <v>251</v>
      </c>
      <c r="J19" s="114">
        <f t="shared" si="1"/>
        <v>0.23724007561436672</v>
      </c>
      <c r="K19" s="111">
        <f>IFERROR(VLOOKUP($B19,MMWR_TRAD_AGG_STATE_COMP[],K$1,0),"ERROR")</f>
        <v>206</v>
      </c>
      <c r="L19" s="112">
        <f>IFERROR(VLOOKUP($B19,MMWR_TRAD_AGG_STATE_COMP[],L$1,0),"ERROR")</f>
        <v>167</v>
      </c>
      <c r="M19" s="114">
        <f t="shared" si="2"/>
        <v>0.81067961165048541</v>
      </c>
      <c r="N19" s="111">
        <f>IFERROR(VLOOKUP($B19,MMWR_TRAD_AGG_STATE_COMP[],N$1,0),"ERROR")</f>
        <v>221</v>
      </c>
      <c r="O19" s="112">
        <f>IFERROR(VLOOKUP($B19,MMWR_TRAD_AGG_STATE_COMP[],O$1,0),"ERROR")</f>
        <v>118</v>
      </c>
      <c r="P19" s="114">
        <f t="shared" si="3"/>
        <v>0.5339366515837104</v>
      </c>
      <c r="Q19" s="115">
        <f>IFERROR(VLOOKUP($B19,MMWR_TRAD_AGG_STATE_COMP[],Q$1,0),"ERROR")</f>
        <v>198</v>
      </c>
      <c r="R19" s="115">
        <f>IFERROR(VLOOKUP($B19,MMWR_TRAD_AGG_STATE_COMP[],R$1,0),"ERROR")</f>
        <v>3</v>
      </c>
      <c r="S19" s="115">
        <f>IFERROR(VLOOKUP($B19,MMWR_APP_STATE_COMP[],S$1,0),"ERROR")</f>
        <v>269</v>
      </c>
      <c r="T19" s="28"/>
    </row>
    <row r="20" spans="1:20" s="123" customFormat="1" x14ac:dyDescent="0.2">
      <c r="A20" s="107"/>
      <c r="B20" s="127" t="s">
        <v>417</v>
      </c>
      <c r="C20" s="109">
        <f>IFERROR(VLOOKUP($B20,MMWR_TRAD_AGG_STATE_COMP[],C$1,0),"ERROR")</f>
        <v>447</v>
      </c>
      <c r="D20" s="110">
        <f>IFERROR(VLOOKUP($B20,MMWR_TRAD_AGG_STATE_COMP[],D$1,0),"ERROR")</f>
        <v>346.93288590600002</v>
      </c>
      <c r="E20" s="111">
        <f>IFERROR(VLOOKUP($B20,MMWR_TRAD_AGG_STATE_COMP[],E$1,0),"ERROR")</f>
        <v>563</v>
      </c>
      <c r="F20" s="112">
        <f>IFERROR(VLOOKUP($B20,MMWR_TRAD_AGG_STATE_COMP[],F$1,0),"ERROR")</f>
        <v>157</v>
      </c>
      <c r="G20" s="113">
        <f t="shared" si="0"/>
        <v>0.27886323268206037</v>
      </c>
      <c r="H20" s="111">
        <f>IFERROR(VLOOKUP($B20,MMWR_TRAD_AGG_STATE_COMP[],H$1,0),"ERROR")</f>
        <v>1132</v>
      </c>
      <c r="I20" s="112">
        <f>IFERROR(VLOOKUP($B20,MMWR_TRAD_AGG_STATE_COMP[],I$1,0),"ERROR")</f>
        <v>471</v>
      </c>
      <c r="J20" s="114">
        <f t="shared" si="1"/>
        <v>0.41607773851590107</v>
      </c>
      <c r="K20" s="111">
        <f>IFERROR(VLOOKUP($B20,MMWR_TRAD_AGG_STATE_COMP[],K$1,0),"ERROR")</f>
        <v>231</v>
      </c>
      <c r="L20" s="112">
        <f>IFERROR(VLOOKUP($B20,MMWR_TRAD_AGG_STATE_COMP[],L$1,0),"ERROR")</f>
        <v>178</v>
      </c>
      <c r="M20" s="114">
        <f t="shared" si="2"/>
        <v>0.77056277056277056</v>
      </c>
      <c r="N20" s="111">
        <f>IFERROR(VLOOKUP($B20,MMWR_TRAD_AGG_STATE_COMP[],N$1,0),"ERROR")</f>
        <v>185</v>
      </c>
      <c r="O20" s="112">
        <f>IFERROR(VLOOKUP($B20,MMWR_TRAD_AGG_STATE_COMP[],O$1,0),"ERROR")</f>
        <v>84</v>
      </c>
      <c r="P20" s="114">
        <f t="shared" si="3"/>
        <v>0.45405405405405408</v>
      </c>
      <c r="Q20" s="115">
        <f>IFERROR(VLOOKUP($B20,MMWR_TRAD_AGG_STATE_COMP[],Q$1,0),"ERROR")</f>
        <v>72</v>
      </c>
      <c r="R20" s="115">
        <f>IFERROR(VLOOKUP($B20,MMWR_TRAD_AGG_STATE_COMP[],R$1,0),"ERROR")</f>
        <v>2</v>
      </c>
      <c r="S20" s="115">
        <f>IFERROR(VLOOKUP($B20,MMWR_APP_STATE_COMP[],S$1,0),"ERROR")</f>
        <v>117</v>
      </c>
      <c r="T20" s="28"/>
    </row>
    <row r="21" spans="1:20" s="123" customFormat="1" x14ac:dyDescent="0.2">
      <c r="A21" s="107"/>
      <c r="B21" s="127" t="s">
        <v>378</v>
      </c>
      <c r="C21" s="109">
        <f>IFERROR(VLOOKUP($B21,MMWR_TRAD_AGG_STATE_COMP[],C$1,0),"ERROR")</f>
        <v>16392</v>
      </c>
      <c r="D21" s="110">
        <f>IFERROR(VLOOKUP($B21,MMWR_TRAD_AGG_STATE_COMP[],D$1,0),"ERROR")</f>
        <v>360.11249389950001</v>
      </c>
      <c r="E21" s="111">
        <f>IFERROR(VLOOKUP($B21,MMWR_TRAD_AGG_STATE_COMP[],E$1,0),"ERROR")</f>
        <v>12133</v>
      </c>
      <c r="F21" s="112">
        <f>IFERROR(VLOOKUP($B21,MMWR_TRAD_AGG_STATE_COMP[],F$1,0),"ERROR")</f>
        <v>2018</v>
      </c>
      <c r="G21" s="113">
        <f t="shared" si="0"/>
        <v>0.16632325063875381</v>
      </c>
      <c r="H21" s="111">
        <f>IFERROR(VLOOKUP($B21,MMWR_TRAD_AGG_STATE_COMP[],H$1,0),"ERROR")</f>
        <v>24124</v>
      </c>
      <c r="I21" s="112">
        <f>IFERROR(VLOOKUP($B21,MMWR_TRAD_AGG_STATE_COMP[],I$1,0),"ERROR")</f>
        <v>13020</v>
      </c>
      <c r="J21" s="114">
        <f t="shared" si="1"/>
        <v>0.53971149063173607</v>
      </c>
      <c r="K21" s="111">
        <f>IFERROR(VLOOKUP($B21,MMWR_TRAD_AGG_STATE_COMP[],K$1,0),"ERROR")</f>
        <v>8790</v>
      </c>
      <c r="L21" s="112">
        <f>IFERROR(VLOOKUP($B21,MMWR_TRAD_AGG_STATE_COMP[],L$1,0),"ERROR")</f>
        <v>7033</v>
      </c>
      <c r="M21" s="114">
        <f t="shared" si="2"/>
        <v>0.80011376564277592</v>
      </c>
      <c r="N21" s="111">
        <f>IFERROR(VLOOKUP($B21,MMWR_TRAD_AGG_STATE_COMP[],N$1,0),"ERROR")</f>
        <v>7982</v>
      </c>
      <c r="O21" s="112">
        <f>IFERROR(VLOOKUP($B21,MMWR_TRAD_AGG_STATE_COMP[],O$1,0),"ERROR")</f>
        <v>5884</v>
      </c>
      <c r="P21" s="114">
        <f t="shared" si="3"/>
        <v>0.73715860686544721</v>
      </c>
      <c r="Q21" s="115">
        <f>IFERROR(VLOOKUP($B21,MMWR_TRAD_AGG_STATE_COMP[],Q$1,0),"ERROR")</f>
        <v>1087</v>
      </c>
      <c r="R21" s="115">
        <f>IFERROR(VLOOKUP($B21,MMWR_TRAD_AGG_STATE_COMP[],R$1,0),"ERROR")</f>
        <v>21</v>
      </c>
      <c r="S21" s="115">
        <f>IFERROR(VLOOKUP($B21,MMWR_APP_STATE_COMP[],S$1,0),"ERROR")</f>
        <v>15248</v>
      </c>
      <c r="T21" s="28"/>
    </row>
    <row r="22" spans="1:20" s="123" customFormat="1" x14ac:dyDescent="0.2">
      <c r="A22" s="107"/>
      <c r="B22" s="127" t="s">
        <v>379</v>
      </c>
      <c r="C22" s="109">
        <f>IFERROR(VLOOKUP($B22,MMWR_TRAD_AGG_STATE_COMP[],C$1,0),"ERROR")</f>
        <v>2039</v>
      </c>
      <c r="D22" s="110">
        <f>IFERROR(VLOOKUP($B22,MMWR_TRAD_AGG_STATE_COMP[],D$1,0),"ERROR")</f>
        <v>303.6483570378</v>
      </c>
      <c r="E22" s="111">
        <f>IFERROR(VLOOKUP($B22,MMWR_TRAD_AGG_STATE_COMP[],E$1,0),"ERROR")</f>
        <v>2592</v>
      </c>
      <c r="F22" s="112">
        <f>IFERROR(VLOOKUP($B22,MMWR_TRAD_AGG_STATE_COMP[],F$1,0),"ERROR")</f>
        <v>467</v>
      </c>
      <c r="G22" s="113">
        <f t="shared" si="0"/>
        <v>0.18016975308641975</v>
      </c>
      <c r="H22" s="111">
        <f>IFERROR(VLOOKUP($B22,MMWR_TRAD_AGG_STATE_COMP[],H$1,0),"ERROR")</f>
        <v>3695</v>
      </c>
      <c r="I22" s="112">
        <f>IFERROR(VLOOKUP($B22,MMWR_TRAD_AGG_STATE_COMP[],I$1,0),"ERROR")</f>
        <v>2111</v>
      </c>
      <c r="J22" s="114">
        <f t="shared" si="1"/>
        <v>0.57131258457374834</v>
      </c>
      <c r="K22" s="111">
        <f>IFERROR(VLOOKUP($B22,MMWR_TRAD_AGG_STATE_COMP[],K$1,0),"ERROR")</f>
        <v>470</v>
      </c>
      <c r="L22" s="112">
        <f>IFERROR(VLOOKUP($B22,MMWR_TRAD_AGG_STATE_COMP[],L$1,0),"ERROR")</f>
        <v>346</v>
      </c>
      <c r="M22" s="114">
        <f t="shared" si="2"/>
        <v>0.7361702127659574</v>
      </c>
      <c r="N22" s="111">
        <f>IFERROR(VLOOKUP($B22,MMWR_TRAD_AGG_STATE_COMP[],N$1,0),"ERROR")</f>
        <v>1509</v>
      </c>
      <c r="O22" s="112">
        <f>IFERROR(VLOOKUP($B22,MMWR_TRAD_AGG_STATE_COMP[],O$1,0),"ERROR")</f>
        <v>1030</v>
      </c>
      <c r="P22" s="114">
        <f t="shared" si="3"/>
        <v>0.68257123923127905</v>
      </c>
      <c r="Q22" s="115">
        <f>IFERROR(VLOOKUP($B22,MMWR_TRAD_AGG_STATE_COMP[],Q$1,0),"ERROR")</f>
        <v>358</v>
      </c>
      <c r="R22" s="115">
        <f>IFERROR(VLOOKUP($B22,MMWR_TRAD_AGG_STATE_COMP[],R$1,0),"ERROR")</f>
        <v>11</v>
      </c>
      <c r="S22" s="115">
        <f>IFERROR(VLOOKUP($B22,MMWR_APP_STATE_COMP[],S$1,0),"ERROR")</f>
        <v>2411</v>
      </c>
      <c r="T22" s="28"/>
    </row>
    <row r="23" spans="1:20" s="123" customFormat="1" x14ac:dyDescent="0.2">
      <c r="A23" s="107"/>
      <c r="B23" s="126" t="s">
        <v>390</v>
      </c>
      <c r="C23" s="102">
        <f>IF(SUM(C24:C35)&lt;&gt;VLOOKUP($B23,MMWR_TRAD_AGG_ST_DISTRICT_COMP[],C$1,0),"ERROR",
VLOOKUP($B23,MMWR_TRAD_AGG_ST_DISTRICT_COMP[],C$1,0))</f>
        <v>30465</v>
      </c>
      <c r="D23" s="103">
        <f>IFERROR(VLOOKUP($B23,MMWR_TRAD_AGG_ST_DISTRICT_COMP[],D$1,0),"ERROR")</f>
        <v>372.23728869190001</v>
      </c>
      <c r="E23" s="102">
        <f>IF(SUM(E24:E35)&lt;&gt;VLOOKUP($B23,MMWR_TRAD_AGG_ST_DISTRICT_COMP[],E$1,0),"ERROR",
VLOOKUP($B23,MMWR_TRAD_AGG_ST_DISTRICT_COMP[],E$1,0))</f>
        <v>52656</v>
      </c>
      <c r="F23" s="102">
        <f>IF(SUM(F24:F35)&lt;&gt;VLOOKUP($B23,MMWR_TRAD_AGG_ST_DISTRICT_COMP[],F$1,0),"ERROR",
VLOOKUP($B23,MMWR_TRAD_AGG_ST_DISTRICT_COMP[],F$1,0))</f>
        <v>9895</v>
      </c>
      <c r="G23" s="104">
        <f t="shared" si="0"/>
        <v>0.187917806137952</v>
      </c>
      <c r="H23" s="102">
        <f>IF(SUM(H24:H35)&lt;&gt;VLOOKUP($B23,MMWR_TRAD_AGG_ST_DISTRICT_COMP[],H$1,0),"ERROR",
VLOOKUP($B23,MMWR_TRAD_AGG_ST_DISTRICT_COMP[],H$1,0))</f>
        <v>66757</v>
      </c>
      <c r="I23" s="102">
        <f>IF(SUM(I24:I35)&lt;&gt;VLOOKUP($B23,MMWR_TRAD_AGG_ST_DISTRICT_COMP[],I$1,0),"ERROR",
VLOOKUP($B23,MMWR_TRAD_AGG_ST_DISTRICT_COMP[],I$1,0))</f>
        <v>28746</v>
      </c>
      <c r="J23" s="105">
        <f t="shared" si="1"/>
        <v>0.43060652815435085</v>
      </c>
      <c r="K23" s="102">
        <f>IF(SUM(K24:K35)&lt;&gt;VLOOKUP($B23,MMWR_TRAD_AGG_ST_DISTRICT_COMP[],K$1,0),"ERROR",
VLOOKUP($B23,MMWR_TRAD_AGG_ST_DISTRICT_COMP[],K$1,0))</f>
        <v>17674</v>
      </c>
      <c r="L23" s="102">
        <f>IF(SUM(L24:L35)&lt;&gt;VLOOKUP($B23,MMWR_TRAD_AGG_ST_DISTRICT_COMP[],L$1,0),"ERROR",
VLOOKUP($B23,MMWR_TRAD_AGG_ST_DISTRICT_COMP[],L$1,0))</f>
        <v>14009</v>
      </c>
      <c r="M23" s="105">
        <f t="shared" si="2"/>
        <v>0.7926332465768926</v>
      </c>
      <c r="N23" s="102">
        <f>IF(SUM(N24:N35)&lt;&gt;VLOOKUP($B23,MMWR_TRAD_AGG_ST_DISTRICT_COMP[],N$1,0),"ERROR",
VLOOKUP($B23,MMWR_TRAD_AGG_ST_DISTRICT_COMP[],N$1,0))</f>
        <v>23212</v>
      </c>
      <c r="O23" s="102">
        <f>IF(SUM(O24:O35)&lt;&gt;VLOOKUP($B23,MMWR_TRAD_AGG_ST_DISTRICT_COMP[],O$1,0),"ERROR",
VLOOKUP($B23,MMWR_TRAD_AGG_ST_DISTRICT_COMP[],O$1,0))</f>
        <v>15164</v>
      </c>
      <c r="P23" s="105">
        <f t="shared" si="3"/>
        <v>0.65328278476650004</v>
      </c>
      <c r="Q23" s="102">
        <f>IF(SUM(Q24:Q35)&lt;&gt;VLOOKUP($B23,MMWR_TRAD_AGG_ST_DISTRICT_COMP[],Q$1,0),"ERROR",
VLOOKUP($B23,MMWR_TRAD_AGG_ST_DISTRICT_COMP[],Q$1,0))</f>
        <v>5844</v>
      </c>
      <c r="R23" s="102">
        <f>IF(SUM(R24:R35)&lt;&gt;VLOOKUP($B23,MMWR_TRAD_AGG_ST_DISTRICT_COMP[],R$1,0),"ERROR",
VLOOKUP($B23,MMWR_TRAD_AGG_ST_DISTRICT_COMP[],R$1,0))</f>
        <v>1123</v>
      </c>
      <c r="S23" s="106">
        <f>SUM(S24:S35)</f>
        <v>50720</v>
      </c>
      <c r="T23" s="28"/>
    </row>
    <row r="24" spans="1:20" s="123" customFormat="1" x14ac:dyDescent="0.2">
      <c r="A24" s="92"/>
      <c r="B24" s="127" t="s">
        <v>394</v>
      </c>
      <c r="C24" s="109">
        <f>IFERROR(VLOOKUP($B24,MMWR_TRAD_AGG_STATE_COMP[],C$1,0),"ERROR")</f>
        <v>5447</v>
      </c>
      <c r="D24" s="110">
        <f>IFERROR(VLOOKUP($B24,MMWR_TRAD_AGG_STATE_COMP[],D$1,0),"ERROR")</f>
        <v>466.61428309159999</v>
      </c>
      <c r="E24" s="111">
        <f>IFERROR(VLOOKUP($B24,MMWR_TRAD_AGG_STATE_COMP[],E$1,0),"ERROR")</f>
        <v>7574</v>
      </c>
      <c r="F24" s="112">
        <f>IFERROR(VLOOKUP($B24,MMWR_TRAD_AGG_STATE_COMP[],F$1,0),"ERROR")</f>
        <v>1716</v>
      </c>
      <c r="G24" s="113">
        <f t="shared" si="0"/>
        <v>0.22656456297861105</v>
      </c>
      <c r="H24" s="111">
        <f>IFERROR(VLOOKUP($B24,MMWR_TRAD_AGG_STATE_COMP[],H$1,0),"ERROR")</f>
        <v>9843</v>
      </c>
      <c r="I24" s="112">
        <f>IFERROR(VLOOKUP($B24,MMWR_TRAD_AGG_STATE_COMP[],I$1,0),"ERROR")</f>
        <v>5322</v>
      </c>
      <c r="J24" s="114">
        <f t="shared" si="1"/>
        <v>0.54068881438585792</v>
      </c>
      <c r="K24" s="111">
        <f>IFERROR(VLOOKUP($B24,MMWR_TRAD_AGG_STATE_COMP[],K$1,0),"ERROR")</f>
        <v>2378</v>
      </c>
      <c r="L24" s="112">
        <f>IFERROR(VLOOKUP($B24,MMWR_TRAD_AGG_STATE_COMP[],L$1,0),"ERROR")</f>
        <v>2094</v>
      </c>
      <c r="M24" s="114">
        <f t="shared" si="2"/>
        <v>0.88057190916736749</v>
      </c>
      <c r="N24" s="111">
        <f>IFERROR(VLOOKUP($B24,MMWR_TRAD_AGG_STATE_COMP[],N$1,0),"ERROR")</f>
        <v>3310</v>
      </c>
      <c r="O24" s="112">
        <f>IFERROR(VLOOKUP($B24,MMWR_TRAD_AGG_STATE_COMP[],O$1,0),"ERROR")</f>
        <v>1962</v>
      </c>
      <c r="P24" s="114">
        <f t="shared" si="3"/>
        <v>0.59274924471299095</v>
      </c>
      <c r="Q24" s="115">
        <f>IFERROR(VLOOKUP($B24,MMWR_TRAD_AGG_STATE_COMP[],Q$1,0),"ERROR")</f>
        <v>1069</v>
      </c>
      <c r="R24" s="115">
        <f>IFERROR(VLOOKUP($B24,MMWR_TRAD_AGG_STATE_COMP[],R$1,0),"ERROR")</f>
        <v>223</v>
      </c>
      <c r="S24" s="115">
        <f>IFERROR(VLOOKUP($B24,MMWR_APP_STATE_COMP[],S$1,0),"ERROR")</f>
        <v>8465</v>
      </c>
      <c r="T24" s="28"/>
    </row>
    <row r="25" spans="1:20" s="123" customFormat="1" x14ac:dyDescent="0.2">
      <c r="A25" s="107"/>
      <c r="B25" s="127" t="s">
        <v>392</v>
      </c>
      <c r="C25" s="109">
        <f>IFERROR(VLOOKUP($B25,MMWR_TRAD_AGG_STATE_COMP[],C$1,0),"ERROR")</f>
        <v>4802</v>
      </c>
      <c r="D25" s="110">
        <f>IFERROR(VLOOKUP($B25,MMWR_TRAD_AGG_STATE_COMP[],D$1,0),"ERROR")</f>
        <v>624.7211578509</v>
      </c>
      <c r="E25" s="111">
        <f>IFERROR(VLOOKUP($B25,MMWR_TRAD_AGG_STATE_COMP[],E$1,0),"ERROR")</f>
        <v>5046</v>
      </c>
      <c r="F25" s="112">
        <f>IFERROR(VLOOKUP($B25,MMWR_TRAD_AGG_STATE_COMP[],F$1,0),"ERROR")</f>
        <v>850</v>
      </c>
      <c r="G25" s="113">
        <f t="shared" si="0"/>
        <v>0.16845025762980578</v>
      </c>
      <c r="H25" s="111">
        <f>IFERROR(VLOOKUP($B25,MMWR_TRAD_AGG_STATE_COMP[],H$1,0),"ERROR")</f>
        <v>9820</v>
      </c>
      <c r="I25" s="112">
        <f>IFERROR(VLOOKUP($B25,MMWR_TRAD_AGG_STATE_COMP[],I$1,0),"ERROR")</f>
        <v>5727</v>
      </c>
      <c r="J25" s="114">
        <f t="shared" si="1"/>
        <v>0.5831975560081466</v>
      </c>
      <c r="K25" s="111">
        <f>IFERROR(VLOOKUP($B25,MMWR_TRAD_AGG_STATE_COMP[],K$1,0),"ERROR")</f>
        <v>2898</v>
      </c>
      <c r="L25" s="112">
        <f>IFERROR(VLOOKUP($B25,MMWR_TRAD_AGG_STATE_COMP[],L$1,0),"ERROR")</f>
        <v>2476</v>
      </c>
      <c r="M25" s="114">
        <f t="shared" si="2"/>
        <v>0.85438233264320218</v>
      </c>
      <c r="N25" s="111">
        <f>IFERROR(VLOOKUP($B25,MMWR_TRAD_AGG_STATE_COMP[],N$1,0),"ERROR")</f>
        <v>3001</v>
      </c>
      <c r="O25" s="112">
        <f>IFERROR(VLOOKUP($B25,MMWR_TRAD_AGG_STATE_COMP[],O$1,0),"ERROR")</f>
        <v>2239</v>
      </c>
      <c r="P25" s="114">
        <f t="shared" si="3"/>
        <v>0.74608463845384876</v>
      </c>
      <c r="Q25" s="115">
        <f>IFERROR(VLOOKUP($B25,MMWR_TRAD_AGG_STATE_COMP[],Q$1,0),"ERROR")</f>
        <v>793</v>
      </c>
      <c r="R25" s="115">
        <f>IFERROR(VLOOKUP($B25,MMWR_TRAD_AGG_STATE_COMP[],R$1,0),"ERROR")</f>
        <v>227</v>
      </c>
      <c r="S25" s="115">
        <f>IFERROR(VLOOKUP($B25,MMWR_APP_STATE_COMP[],S$1,0),"ERROR")</f>
        <v>8135</v>
      </c>
      <c r="T25" s="28"/>
    </row>
    <row r="26" spans="1:20" s="123" customFormat="1" x14ac:dyDescent="0.2">
      <c r="A26" s="107"/>
      <c r="B26" s="127" t="s">
        <v>399</v>
      </c>
      <c r="C26" s="109">
        <f>IFERROR(VLOOKUP($B26,MMWR_TRAD_AGG_STATE_COMP[],C$1,0),"ERROR")</f>
        <v>828</v>
      </c>
      <c r="D26" s="110">
        <f>IFERROR(VLOOKUP($B26,MMWR_TRAD_AGG_STATE_COMP[],D$1,0),"ERROR")</f>
        <v>210.78985507249999</v>
      </c>
      <c r="E26" s="111">
        <f>IFERROR(VLOOKUP($B26,MMWR_TRAD_AGG_STATE_COMP[],E$1,0),"ERROR")</f>
        <v>2525</v>
      </c>
      <c r="F26" s="112">
        <f>IFERROR(VLOOKUP($B26,MMWR_TRAD_AGG_STATE_COMP[],F$1,0),"ERROR")</f>
        <v>365</v>
      </c>
      <c r="G26" s="113">
        <f t="shared" si="0"/>
        <v>0.14455445544554454</v>
      </c>
      <c r="H26" s="111">
        <f>IFERROR(VLOOKUP($B26,MMWR_TRAD_AGG_STATE_COMP[],H$1,0),"ERROR")</f>
        <v>2414</v>
      </c>
      <c r="I26" s="112">
        <f>IFERROR(VLOOKUP($B26,MMWR_TRAD_AGG_STATE_COMP[],I$1,0),"ERROR")</f>
        <v>478</v>
      </c>
      <c r="J26" s="114">
        <f t="shared" si="1"/>
        <v>0.19801159900579951</v>
      </c>
      <c r="K26" s="111">
        <f>IFERROR(VLOOKUP($B26,MMWR_TRAD_AGG_STATE_COMP[],K$1,0),"ERROR")</f>
        <v>329</v>
      </c>
      <c r="L26" s="112">
        <f>IFERROR(VLOOKUP($B26,MMWR_TRAD_AGG_STATE_COMP[],L$1,0),"ERROR")</f>
        <v>214</v>
      </c>
      <c r="M26" s="114">
        <f t="shared" si="2"/>
        <v>0.65045592705167177</v>
      </c>
      <c r="N26" s="111">
        <f>IFERROR(VLOOKUP($B26,MMWR_TRAD_AGG_STATE_COMP[],N$1,0),"ERROR")</f>
        <v>544</v>
      </c>
      <c r="O26" s="112">
        <f>IFERROR(VLOOKUP($B26,MMWR_TRAD_AGG_STATE_COMP[],O$1,0),"ERROR")</f>
        <v>313</v>
      </c>
      <c r="P26" s="114">
        <f t="shared" si="3"/>
        <v>0.57536764705882348</v>
      </c>
      <c r="Q26" s="115">
        <f>IFERROR(VLOOKUP($B26,MMWR_TRAD_AGG_STATE_COMP[],Q$1,0),"ERROR")</f>
        <v>2</v>
      </c>
      <c r="R26" s="115">
        <f>IFERROR(VLOOKUP($B26,MMWR_TRAD_AGG_STATE_COMP[],R$1,0),"ERROR")</f>
        <v>11</v>
      </c>
      <c r="S26" s="115">
        <f>IFERROR(VLOOKUP($B26,MMWR_APP_STATE_COMP[],S$1,0),"ERROR")</f>
        <v>1492</v>
      </c>
      <c r="T26" s="28"/>
    </row>
    <row r="27" spans="1:20" s="123" customFormat="1" x14ac:dyDescent="0.2">
      <c r="A27" s="107"/>
      <c r="B27" s="127" t="s">
        <v>422</v>
      </c>
      <c r="C27" s="109">
        <f>IFERROR(VLOOKUP($B27,MMWR_TRAD_AGG_STATE_COMP[],C$1,0),"ERROR")</f>
        <v>1677</v>
      </c>
      <c r="D27" s="110">
        <f>IFERROR(VLOOKUP($B27,MMWR_TRAD_AGG_STATE_COMP[],D$1,0),"ERROR")</f>
        <v>229.85152057249999</v>
      </c>
      <c r="E27" s="111">
        <f>IFERROR(VLOOKUP($B27,MMWR_TRAD_AGG_STATE_COMP[],E$1,0),"ERROR")</f>
        <v>2300</v>
      </c>
      <c r="F27" s="112">
        <f>IFERROR(VLOOKUP($B27,MMWR_TRAD_AGG_STATE_COMP[],F$1,0),"ERROR")</f>
        <v>344</v>
      </c>
      <c r="G27" s="113">
        <f t="shared" si="0"/>
        <v>0.14956521739130435</v>
      </c>
      <c r="H27" s="111">
        <f>IFERROR(VLOOKUP($B27,MMWR_TRAD_AGG_STATE_COMP[],H$1,0),"ERROR")</f>
        <v>3394</v>
      </c>
      <c r="I27" s="112">
        <f>IFERROR(VLOOKUP($B27,MMWR_TRAD_AGG_STATE_COMP[],I$1,0),"ERROR")</f>
        <v>1259</v>
      </c>
      <c r="J27" s="114">
        <f t="shared" si="1"/>
        <v>0.37094873305833825</v>
      </c>
      <c r="K27" s="111">
        <f>IFERROR(VLOOKUP($B27,MMWR_TRAD_AGG_STATE_COMP[],K$1,0),"ERROR")</f>
        <v>1140</v>
      </c>
      <c r="L27" s="112">
        <f>IFERROR(VLOOKUP($B27,MMWR_TRAD_AGG_STATE_COMP[],L$1,0),"ERROR")</f>
        <v>610</v>
      </c>
      <c r="M27" s="114">
        <f t="shared" si="2"/>
        <v>0.53508771929824561</v>
      </c>
      <c r="N27" s="111">
        <f>IFERROR(VLOOKUP($B27,MMWR_TRAD_AGG_STATE_COMP[],N$1,0),"ERROR")</f>
        <v>880</v>
      </c>
      <c r="O27" s="112">
        <f>IFERROR(VLOOKUP($B27,MMWR_TRAD_AGG_STATE_COMP[],O$1,0),"ERROR")</f>
        <v>499</v>
      </c>
      <c r="P27" s="114">
        <f t="shared" si="3"/>
        <v>0.56704545454545452</v>
      </c>
      <c r="Q27" s="115">
        <f>IFERROR(VLOOKUP($B27,MMWR_TRAD_AGG_STATE_COMP[],Q$1,0),"ERROR")</f>
        <v>9</v>
      </c>
      <c r="R27" s="115">
        <f>IFERROR(VLOOKUP($B27,MMWR_TRAD_AGG_STATE_COMP[],R$1,0),"ERROR")</f>
        <v>12</v>
      </c>
      <c r="S27" s="115">
        <f>IFERROR(VLOOKUP($B27,MMWR_APP_STATE_COMP[],S$1,0),"ERROR")</f>
        <v>1321</v>
      </c>
      <c r="T27" s="28"/>
    </row>
    <row r="28" spans="1:20" s="123" customFormat="1" x14ac:dyDescent="0.2">
      <c r="A28" s="107"/>
      <c r="B28" s="127" t="s">
        <v>395</v>
      </c>
      <c r="C28" s="109">
        <f>IFERROR(VLOOKUP($B28,MMWR_TRAD_AGG_STATE_COMP[],C$1,0),"ERROR")</f>
        <v>3357</v>
      </c>
      <c r="D28" s="110">
        <f>IFERROR(VLOOKUP($B28,MMWR_TRAD_AGG_STATE_COMP[],D$1,0),"ERROR")</f>
        <v>353.30592791179998</v>
      </c>
      <c r="E28" s="111">
        <f>IFERROR(VLOOKUP($B28,MMWR_TRAD_AGG_STATE_COMP[],E$1,0),"ERROR")</f>
        <v>8004</v>
      </c>
      <c r="F28" s="112">
        <f>IFERROR(VLOOKUP($B28,MMWR_TRAD_AGG_STATE_COMP[],F$1,0),"ERROR")</f>
        <v>2055</v>
      </c>
      <c r="G28" s="113">
        <f t="shared" si="0"/>
        <v>0.25674662668665665</v>
      </c>
      <c r="H28" s="111">
        <f>IFERROR(VLOOKUP($B28,MMWR_TRAD_AGG_STATE_COMP[],H$1,0),"ERROR")</f>
        <v>7937</v>
      </c>
      <c r="I28" s="112">
        <f>IFERROR(VLOOKUP($B28,MMWR_TRAD_AGG_STATE_COMP[],I$1,0),"ERROR")</f>
        <v>3922</v>
      </c>
      <c r="J28" s="114">
        <f t="shared" si="1"/>
        <v>0.49414136323547941</v>
      </c>
      <c r="K28" s="111">
        <f>IFERROR(VLOOKUP($B28,MMWR_TRAD_AGG_STATE_COMP[],K$1,0),"ERROR")</f>
        <v>2175</v>
      </c>
      <c r="L28" s="112">
        <f>IFERROR(VLOOKUP($B28,MMWR_TRAD_AGG_STATE_COMP[],L$1,0),"ERROR")</f>
        <v>1761</v>
      </c>
      <c r="M28" s="114">
        <f t="shared" si="2"/>
        <v>0.80965517241379314</v>
      </c>
      <c r="N28" s="111">
        <f>IFERROR(VLOOKUP($B28,MMWR_TRAD_AGG_STATE_COMP[],N$1,0),"ERROR")</f>
        <v>2510</v>
      </c>
      <c r="O28" s="112">
        <f>IFERROR(VLOOKUP($B28,MMWR_TRAD_AGG_STATE_COMP[],O$1,0),"ERROR")</f>
        <v>1490</v>
      </c>
      <c r="P28" s="114">
        <f t="shared" si="3"/>
        <v>0.59362549800796816</v>
      </c>
      <c r="Q28" s="115">
        <f>IFERROR(VLOOKUP($B28,MMWR_TRAD_AGG_STATE_COMP[],Q$1,0),"ERROR")</f>
        <v>1102</v>
      </c>
      <c r="R28" s="115">
        <f>IFERROR(VLOOKUP($B28,MMWR_TRAD_AGG_STATE_COMP[],R$1,0),"ERROR")</f>
        <v>227</v>
      </c>
      <c r="S28" s="115">
        <f>IFERROR(VLOOKUP($B28,MMWR_APP_STATE_COMP[],S$1,0),"ERROR")</f>
        <v>5249</v>
      </c>
      <c r="T28" s="28"/>
    </row>
    <row r="29" spans="1:20" s="123" customFormat="1" x14ac:dyDescent="0.2">
      <c r="A29" s="107"/>
      <c r="B29" s="127" t="s">
        <v>401</v>
      </c>
      <c r="C29" s="109">
        <f>IFERROR(VLOOKUP($B29,MMWR_TRAD_AGG_STATE_COMP[],C$1,0),"ERROR")</f>
        <v>1648</v>
      </c>
      <c r="D29" s="110">
        <f>IFERROR(VLOOKUP($B29,MMWR_TRAD_AGG_STATE_COMP[],D$1,0),"ERROR")</f>
        <v>172.78883495150001</v>
      </c>
      <c r="E29" s="111">
        <f>IFERROR(VLOOKUP($B29,MMWR_TRAD_AGG_STATE_COMP[],E$1,0),"ERROR")</f>
        <v>4918</v>
      </c>
      <c r="F29" s="112">
        <f>IFERROR(VLOOKUP($B29,MMWR_TRAD_AGG_STATE_COMP[],F$1,0),"ERROR")</f>
        <v>681</v>
      </c>
      <c r="G29" s="113">
        <f t="shared" si="0"/>
        <v>0.13847092313948758</v>
      </c>
      <c r="H29" s="111">
        <f>IFERROR(VLOOKUP($B29,MMWR_TRAD_AGG_STATE_COMP[],H$1,0),"ERROR")</f>
        <v>5340</v>
      </c>
      <c r="I29" s="112">
        <f>IFERROR(VLOOKUP($B29,MMWR_TRAD_AGG_STATE_COMP[],I$1,0),"ERROR")</f>
        <v>1003</v>
      </c>
      <c r="J29" s="114">
        <f t="shared" si="1"/>
        <v>0.18782771535580525</v>
      </c>
      <c r="K29" s="111">
        <f>IFERROR(VLOOKUP($B29,MMWR_TRAD_AGG_STATE_COMP[],K$1,0),"ERROR")</f>
        <v>1014</v>
      </c>
      <c r="L29" s="112">
        <f>IFERROR(VLOOKUP($B29,MMWR_TRAD_AGG_STATE_COMP[],L$1,0),"ERROR")</f>
        <v>553</v>
      </c>
      <c r="M29" s="114">
        <f t="shared" si="2"/>
        <v>0.54536489151873768</v>
      </c>
      <c r="N29" s="111">
        <f>IFERROR(VLOOKUP($B29,MMWR_TRAD_AGG_STATE_COMP[],N$1,0),"ERROR")</f>
        <v>1261</v>
      </c>
      <c r="O29" s="112">
        <f>IFERROR(VLOOKUP($B29,MMWR_TRAD_AGG_STATE_COMP[],O$1,0),"ERROR")</f>
        <v>714</v>
      </c>
      <c r="P29" s="114">
        <f t="shared" si="3"/>
        <v>0.56621728786677239</v>
      </c>
      <c r="Q29" s="115">
        <f>IFERROR(VLOOKUP($B29,MMWR_TRAD_AGG_STATE_COMP[],Q$1,0),"ERROR")</f>
        <v>8</v>
      </c>
      <c r="R29" s="115">
        <f>IFERROR(VLOOKUP($B29,MMWR_TRAD_AGG_STATE_COMP[],R$1,0),"ERROR")</f>
        <v>5</v>
      </c>
      <c r="S29" s="115">
        <f>IFERROR(VLOOKUP($B29,MMWR_APP_STATE_COMP[],S$1,0),"ERROR")</f>
        <v>2190</v>
      </c>
      <c r="T29" s="28"/>
    </row>
    <row r="30" spans="1:20" s="123" customFormat="1" x14ac:dyDescent="0.2">
      <c r="A30" s="107"/>
      <c r="B30" s="127" t="s">
        <v>397</v>
      </c>
      <c r="C30" s="109">
        <f>IFERROR(VLOOKUP($B30,MMWR_TRAD_AGG_STATE_COMP[],C$1,0),"ERROR")</f>
        <v>3622</v>
      </c>
      <c r="D30" s="110">
        <f>IFERROR(VLOOKUP($B30,MMWR_TRAD_AGG_STATE_COMP[],D$1,0),"ERROR")</f>
        <v>244.43484262839999</v>
      </c>
      <c r="E30" s="111">
        <f>IFERROR(VLOOKUP($B30,MMWR_TRAD_AGG_STATE_COMP[],E$1,0),"ERROR")</f>
        <v>6308</v>
      </c>
      <c r="F30" s="112">
        <f>IFERROR(VLOOKUP($B30,MMWR_TRAD_AGG_STATE_COMP[],F$1,0),"ERROR")</f>
        <v>1153</v>
      </c>
      <c r="G30" s="113">
        <f t="shared" si="0"/>
        <v>0.18278376664552948</v>
      </c>
      <c r="H30" s="111">
        <f>IFERROR(VLOOKUP($B30,MMWR_TRAD_AGG_STATE_COMP[],H$1,0),"ERROR")</f>
        <v>7569</v>
      </c>
      <c r="I30" s="112">
        <f>IFERROR(VLOOKUP($B30,MMWR_TRAD_AGG_STATE_COMP[],I$1,0),"ERROR")</f>
        <v>3177</v>
      </c>
      <c r="J30" s="114">
        <f t="shared" si="1"/>
        <v>0.41973840665873957</v>
      </c>
      <c r="K30" s="111">
        <f>IFERROR(VLOOKUP($B30,MMWR_TRAD_AGG_STATE_COMP[],K$1,0),"ERROR")</f>
        <v>2518</v>
      </c>
      <c r="L30" s="112">
        <f>IFERROR(VLOOKUP($B30,MMWR_TRAD_AGG_STATE_COMP[],L$1,0),"ERROR")</f>
        <v>2091</v>
      </c>
      <c r="M30" s="114">
        <f t="shared" si="2"/>
        <v>0.83042096902303419</v>
      </c>
      <c r="N30" s="111">
        <f>IFERROR(VLOOKUP($B30,MMWR_TRAD_AGG_STATE_COMP[],N$1,0),"ERROR")</f>
        <v>5286</v>
      </c>
      <c r="O30" s="112">
        <f>IFERROR(VLOOKUP($B30,MMWR_TRAD_AGG_STATE_COMP[],O$1,0),"ERROR")</f>
        <v>3756</v>
      </c>
      <c r="P30" s="114">
        <f t="shared" si="3"/>
        <v>0.71055618615209992</v>
      </c>
      <c r="Q30" s="115">
        <f>IFERROR(VLOOKUP($B30,MMWR_TRAD_AGG_STATE_COMP[],Q$1,0),"ERROR")</f>
        <v>1019</v>
      </c>
      <c r="R30" s="115">
        <f>IFERROR(VLOOKUP($B30,MMWR_TRAD_AGG_STATE_COMP[],R$1,0),"ERROR")</f>
        <v>63</v>
      </c>
      <c r="S30" s="115">
        <f>IFERROR(VLOOKUP($B30,MMWR_APP_STATE_COMP[],S$1,0),"ERROR")</f>
        <v>6259</v>
      </c>
      <c r="T30" s="28"/>
    </row>
    <row r="31" spans="1:20" s="123" customFormat="1" x14ac:dyDescent="0.2">
      <c r="A31" s="107"/>
      <c r="B31" s="127" t="s">
        <v>400</v>
      </c>
      <c r="C31" s="109">
        <f>IFERROR(VLOOKUP($B31,MMWR_TRAD_AGG_STATE_COMP[],C$1,0),"ERROR")</f>
        <v>717</v>
      </c>
      <c r="D31" s="110">
        <f>IFERROR(VLOOKUP($B31,MMWR_TRAD_AGG_STATE_COMP[],D$1,0),"ERROR")</f>
        <v>196.32496513250001</v>
      </c>
      <c r="E31" s="111">
        <f>IFERROR(VLOOKUP($B31,MMWR_TRAD_AGG_STATE_COMP[],E$1,0),"ERROR")</f>
        <v>1911</v>
      </c>
      <c r="F31" s="112">
        <f>IFERROR(VLOOKUP($B31,MMWR_TRAD_AGG_STATE_COMP[],F$1,0),"ERROR")</f>
        <v>259</v>
      </c>
      <c r="G31" s="113">
        <f t="shared" si="0"/>
        <v>0.13553113553113552</v>
      </c>
      <c r="H31" s="111">
        <f>IFERROR(VLOOKUP($B31,MMWR_TRAD_AGG_STATE_COMP[],H$1,0),"ERROR")</f>
        <v>2182</v>
      </c>
      <c r="I31" s="112">
        <f>IFERROR(VLOOKUP($B31,MMWR_TRAD_AGG_STATE_COMP[],I$1,0),"ERROR")</f>
        <v>481</v>
      </c>
      <c r="J31" s="114">
        <f t="shared" si="1"/>
        <v>0.22043996333638863</v>
      </c>
      <c r="K31" s="111">
        <f>IFERROR(VLOOKUP($B31,MMWR_TRAD_AGG_STATE_COMP[],K$1,0),"ERROR")</f>
        <v>690</v>
      </c>
      <c r="L31" s="112">
        <f>IFERROR(VLOOKUP($B31,MMWR_TRAD_AGG_STATE_COMP[],L$1,0),"ERROR")</f>
        <v>449</v>
      </c>
      <c r="M31" s="114">
        <f t="shared" si="2"/>
        <v>0.6507246376811594</v>
      </c>
      <c r="N31" s="111">
        <f>IFERROR(VLOOKUP($B31,MMWR_TRAD_AGG_STATE_COMP[],N$1,0),"ERROR")</f>
        <v>681</v>
      </c>
      <c r="O31" s="112">
        <f>IFERROR(VLOOKUP($B31,MMWR_TRAD_AGG_STATE_COMP[],O$1,0),"ERROR")</f>
        <v>341</v>
      </c>
      <c r="P31" s="114">
        <f t="shared" si="3"/>
        <v>0.50073421439060206</v>
      </c>
      <c r="Q31" s="115">
        <f>IFERROR(VLOOKUP($B31,MMWR_TRAD_AGG_STATE_COMP[],Q$1,0),"ERROR")</f>
        <v>3</v>
      </c>
      <c r="R31" s="115">
        <f>IFERROR(VLOOKUP($B31,MMWR_TRAD_AGG_STATE_COMP[],R$1,0),"ERROR")</f>
        <v>15</v>
      </c>
      <c r="S31" s="115">
        <f>IFERROR(VLOOKUP($B31,MMWR_APP_STATE_COMP[],S$1,0),"ERROR")</f>
        <v>1076</v>
      </c>
      <c r="T31" s="28"/>
    </row>
    <row r="32" spans="1:20" s="123" customFormat="1" x14ac:dyDescent="0.2">
      <c r="A32" s="107"/>
      <c r="B32" s="127" t="s">
        <v>419</v>
      </c>
      <c r="C32" s="109">
        <f>IFERROR(VLOOKUP($B32,MMWR_TRAD_AGG_STATE_COMP[],C$1,0),"ERROR")</f>
        <v>208</v>
      </c>
      <c r="D32" s="110">
        <f>IFERROR(VLOOKUP($B32,MMWR_TRAD_AGG_STATE_COMP[],D$1,0),"ERROR")</f>
        <v>198.36538461539999</v>
      </c>
      <c r="E32" s="111">
        <f>IFERROR(VLOOKUP($B32,MMWR_TRAD_AGG_STATE_COMP[],E$1,0),"ERROR")</f>
        <v>612</v>
      </c>
      <c r="F32" s="112">
        <f>IFERROR(VLOOKUP($B32,MMWR_TRAD_AGG_STATE_COMP[],F$1,0),"ERROR")</f>
        <v>87</v>
      </c>
      <c r="G32" s="113">
        <f t="shared" si="0"/>
        <v>0.14215686274509803</v>
      </c>
      <c r="H32" s="111">
        <f>IFERROR(VLOOKUP($B32,MMWR_TRAD_AGG_STATE_COMP[],H$1,0),"ERROR")</f>
        <v>841</v>
      </c>
      <c r="I32" s="112">
        <f>IFERROR(VLOOKUP($B32,MMWR_TRAD_AGG_STATE_COMP[],I$1,0),"ERROR")</f>
        <v>114</v>
      </c>
      <c r="J32" s="114">
        <f t="shared" si="1"/>
        <v>0.13555291319857313</v>
      </c>
      <c r="K32" s="111">
        <f>IFERROR(VLOOKUP($B32,MMWR_TRAD_AGG_STATE_COMP[],K$1,0),"ERROR")</f>
        <v>141</v>
      </c>
      <c r="L32" s="112">
        <f>IFERROR(VLOOKUP($B32,MMWR_TRAD_AGG_STATE_COMP[],L$1,0),"ERROR")</f>
        <v>73</v>
      </c>
      <c r="M32" s="114">
        <f t="shared" si="2"/>
        <v>0.51773049645390068</v>
      </c>
      <c r="N32" s="111">
        <f>IFERROR(VLOOKUP($B32,MMWR_TRAD_AGG_STATE_COMP[],N$1,0),"ERROR")</f>
        <v>165</v>
      </c>
      <c r="O32" s="112">
        <f>IFERROR(VLOOKUP($B32,MMWR_TRAD_AGG_STATE_COMP[],O$1,0),"ERROR")</f>
        <v>99</v>
      </c>
      <c r="P32" s="114">
        <f t="shared" si="3"/>
        <v>0.6</v>
      </c>
      <c r="Q32" s="115">
        <f>IFERROR(VLOOKUP($B32,MMWR_TRAD_AGG_STATE_COMP[],Q$1,0),"ERROR")</f>
        <v>1</v>
      </c>
      <c r="R32" s="115">
        <f>IFERROR(VLOOKUP($B32,MMWR_TRAD_AGG_STATE_COMP[],R$1,0),"ERROR")</f>
        <v>3</v>
      </c>
      <c r="S32" s="115">
        <f>IFERROR(VLOOKUP($B32,MMWR_APP_STATE_COMP[],S$1,0),"ERROR")</f>
        <v>472</v>
      </c>
      <c r="T32" s="28"/>
    </row>
    <row r="33" spans="1:20" s="123" customFormat="1" x14ac:dyDescent="0.2">
      <c r="A33" s="107"/>
      <c r="B33" s="127" t="s">
        <v>391</v>
      </c>
      <c r="C33" s="109">
        <f>IFERROR(VLOOKUP($B33,MMWR_TRAD_AGG_STATE_COMP[],C$1,0),"ERROR")</f>
        <v>4759</v>
      </c>
      <c r="D33" s="110">
        <f>IFERROR(VLOOKUP($B33,MMWR_TRAD_AGG_STATE_COMP[],D$1,0),"ERROR")</f>
        <v>401.19899138469998</v>
      </c>
      <c r="E33" s="111">
        <f>IFERROR(VLOOKUP($B33,MMWR_TRAD_AGG_STATE_COMP[],E$1,0),"ERROR")</f>
        <v>8541</v>
      </c>
      <c r="F33" s="112">
        <f>IFERROR(VLOOKUP($B33,MMWR_TRAD_AGG_STATE_COMP[],F$1,0),"ERROR")</f>
        <v>1554</v>
      </c>
      <c r="G33" s="113">
        <f t="shared" si="0"/>
        <v>0.18194590797330523</v>
      </c>
      <c r="H33" s="111">
        <f>IFERROR(VLOOKUP($B33,MMWR_TRAD_AGG_STATE_COMP[],H$1,0),"ERROR")</f>
        <v>10264</v>
      </c>
      <c r="I33" s="112">
        <f>IFERROR(VLOOKUP($B33,MMWR_TRAD_AGG_STATE_COMP[],I$1,0),"ERROR")</f>
        <v>4825</v>
      </c>
      <c r="J33" s="114">
        <f t="shared" si="1"/>
        <v>0.47008963367108342</v>
      </c>
      <c r="K33" s="111">
        <f>IFERROR(VLOOKUP($B33,MMWR_TRAD_AGG_STATE_COMP[],K$1,0),"ERROR")</f>
        <v>3169</v>
      </c>
      <c r="L33" s="112">
        <f>IFERROR(VLOOKUP($B33,MMWR_TRAD_AGG_STATE_COMP[],L$1,0),"ERROR")</f>
        <v>2843</v>
      </c>
      <c r="M33" s="114">
        <f t="shared" si="2"/>
        <v>0.89712843168191858</v>
      </c>
      <c r="N33" s="111">
        <f>IFERROR(VLOOKUP($B33,MMWR_TRAD_AGG_STATE_COMP[],N$1,0),"ERROR")</f>
        <v>4320</v>
      </c>
      <c r="O33" s="112">
        <f>IFERROR(VLOOKUP($B33,MMWR_TRAD_AGG_STATE_COMP[],O$1,0),"ERROR")</f>
        <v>3019</v>
      </c>
      <c r="P33" s="114">
        <f t="shared" si="3"/>
        <v>0.69884259259259263</v>
      </c>
      <c r="Q33" s="115">
        <f>IFERROR(VLOOKUP($B33,MMWR_TRAD_AGG_STATE_COMP[],Q$1,0),"ERROR")</f>
        <v>1197</v>
      </c>
      <c r="R33" s="115">
        <f>IFERROR(VLOOKUP($B33,MMWR_TRAD_AGG_STATE_COMP[],R$1,0),"ERROR")</f>
        <v>330</v>
      </c>
      <c r="S33" s="115">
        <f>IFERROR(VLOOKUP($B33,MMWR_APP_STATE_COMP[],S$1,0),"ERROR")</f>
        <v>12698</v>
      </c>
      <c r="T33" s="28"/>
    </row>
    <row r="34" spans="1:20" s="123" customFormat="1" x14ac:dyDescent="0.2">
      <c r="A34" s="107"/>
      <c r="B34" s="127" t="s">
        <v>420</v>
      </c>
      <c r="C34" s="109">
        <f>IFERROR(VLOOKUP($B34,MMWR_TRAD_AGG_STATE_COMP[],C$1,0),"ERROR")</f>
        <v>282</v>
      </c>
      <c r="D34" s="110">
        <f>IFERROR(VLOOKUP($B34,MMWR_TRAD_AGG_STATE_COMP[],D$1,0),"ERROR")</f>
        <v>196</v>
      </c>
      <c r="E34" s="111">
        <f>IFERROR(VLOOKUP($B34,MMWR_TRAD_AGG_STATE_COMP[],E$1,0),"ERROR")</f>
        <v>1044</v>
      </c>
      <c r="F34" s="112">
        <f>IFERROR(VLOOKUP($B34,MMWR_TRAD_AGG_STATE_COMP[],F$1,0),"ERROR")</f>
        <v>265</v>
      </c>
      <c r="G34" s="113">
        <f t="shared" si="0"/>
        <v>0.25383141762452105</v>
      </c>
      <c r="H34" s="111">
        <f>IFERROR(VLOOKUP($B34,MMWR_TRAD_AGG_STATE_COMP[],H$1,0),"ERROR")</f>
        <v>1106</v>
      </c>
      <c r="I34" s="112">
        <f>IFERROR(VLOOKUP($B34,MMWR_TRAD_AGG_STATE_COMP[],I$1,0),"ERROR")</f>
        <v>144</v>
      </c>
      <c r="J34" s="114">
        <f t="shared" si="1"/>
        <v>0.1301989150090416</v>
      </c>
      <c r="K34" s="111">
        <f>IFERROR(VLOOKUP($B34,MMWR_TRAD_AGG_STATE_COMP[],K$1,0),"ERROR")</f>
        <v>279</v>
      </c>
      <c r="L34" s="112">
        <f>IFERROR(VLOOKUP($B34,MMWR_TRAD_AGG_STATE_COMP[],L$1,0),"ERROR")</f>
        <v>124</v>
      </c>
      <c r="M34" s="114">
        <f t="shared" si="2"/>
        <v>0.44444444444444442</v>
      </c>
      <c r="N34" s="111">
        <f>IFERROR(VLOOKUP($B34,MMWR_TRAD_AGG_STATE_COMP[],N$1,0),"ERROR")</f>
        <v>165</v>
      </c>
      <c r="O34" s="112">
        <f>IFERROR(VLOOKUP($B34,MMWR_TRAD_AGG_STATE_COMP[],O$1,0),"ERROR")</f>
        <v>84</v>
      </c>
      <c r="P34" s="114">
        <f t="shared" si="3"/>
        <v>0.50909090909090904</v>
      </c>
      <c r="Q34" s="115">
        <f>IFERROR(VLOOKUP($B34,MMWR_TRAD_AGG_STATE_COMP[],Q$1,0),"ERROR")</f>
        <v>2</v>
      </c>
      <c r="R34" s="115">
        <f>IFERROR(VLOOKUP($B34,MMWR_TRAD_AGG_STATE_COMP[],R$1,0),"ERROR")</f>
        <v>0</v>
      </c>
      <c r="S34" s="115">
        <f>IFERROR(VLOOKUP($B34,MMWR_APP_STATE_COMP[],S$1,0),"ERROR")</f>
        <v>180</v>
      </c>
      <c r="T34" s="28"/>
    </row>
    <row r="35" spans="1:20" s="123" customFormat="1" x14ac:dyDescent="0.2">
      <c r="A35" s="107"/>
      <c r="B35" s="127" t="s">
        <v>396</v>
      </c>
      <c r="C35" s="109">
        <f>IFERROR(VLOOKUP($B35,MMWR_TRAD_AGG_STATE_COMP[],C$1,0),"ERROR")</f>
        <v>3118</v>
      </c>
      <c r="D35" s="110">
        <f>IFERROR(VLOOKUP($B35,MMWR_TRAD_AGG_STATE_COMP[],D$1,0),"ERROR")</f>
        <v>236.01828094929999</v>
      </c>
      <c r="E35" s="111">
        <f>IFERROR(VLOOKUP($B35,MMWR_TRAD_AGG_STATE_COMP[],E$1,0),"ERROR")</f>
        <v>3873</v>
      </c>
      <c r="F35" s="112">
        <f>IFERROR(VLOOKUP($B35,MMWR_TRAD_AGG_STATE_COMP[],F$1,0),"ERROR")</f>
        <v>566</v>
      </c>
      <c r="G35" s="113">
        <f t="shared" si="0"/>
        <v>0.14613994319648851</v>
      </c>
      <c r="H35" s="111">
        <f>IFERROR(VLOOKUP($B35,MMWR_TRAD_AGG_STATE_COMP[],H$1,0),"ERROR")</f>
        <v>6047</v>
      </c>
      <c r="I35" s="112">
        <f>IFERROR(VLOOKUP($B35,MMWR_TRAD_AGG_STATE_COMP[],I$1,0),"ERROR")</f>
        <v>2294</v>
      </c>
      <c r="J35" s="114">
        <f t="shared" si="1"/>
        <v>0.37936166694228546</v>
      </c>
      <c r="K35" s="111">
        <f>IFERROR(VLOOKUP($B35,MMWR_TRAD_AGG_STATE_COMP[],K$1,0),"ERROR")</f>
        <v>943</v>
      </c>
      <c r="L35" s="112">
        <f>IFERROR(VLOOKUP($B35,MMWR_TRAD_AGG_STATE_COMP[],L$1,0),"ERROR")</f>
        <v>721</v>
      </c>
      <c r="M35" s="114">
        <f t="shared" si="2"/>
        <v>0.76458112407211032</v>
      </c>
      <c r="N35" s="111">
        <f>IFERROR(VLOOKUP($B35,MMWR_TRAD_AGG_STATE_COMP[],N$1,0),"ERROR")</f>
        <v>1089</v>
      </c>
      <c r="O35" s="112">
        <f>IFERROR(VLOOKUP($B35,MMWR_TRAD_AGG_STATE_COMP[],O$1,0),"ERROR")</f>
        <v>648</v>
      </c>
      <c r="P35" s="114">
        <f t="shared" si="3"/>
        <v>0.5950413223140496</v>
      </c>
      <c r="Q35" s="115">
        <f>IFERROR(VLOOKUP($B35,MMWR_TRAD_AGG_STATE_COMP[],Q$1,0),"ERROR")</f>
        <v>639</v>
      </c>
      <c r="R35" s="115">
        <f>IFERROR(VLOOKUP($B35,MMWR_TRAD_AGG_STATE_COMP[],R$1,0),"ERROR")</f>
        <v>7</v>
      </c>
      <c r="S35" s="115">
        <f>IFERROR(VLOOKUP($B35,MMWR_APP_STATE_COMP[],S$1,0),"ERROR")</f>
        <v>3183</v>
      </c>
      <c r="T35" s="28"/>
    </row>
    <row r="36" spans="1:20" s="123" customFormat="1" x14ac:dyDescent="0.2">
      <c r="A36" s="28"/>
      <c r="B36" s="126" t="s">
        <v>385</v>
      </c>
      <c r="C36" s="102">
        <f>IF(SUM(C37:C45)&lt;&gt;VLOOKUP($B36,MMWR_TRAD_AGG_ST_DISTRICT_COMP[],C$1,0),"ERROR",
VLOOKUP($B36,MMWR_TRAD_AGG_ST_DISTRICT_COMP[],C$1,0))</f>
        <v>42567</v>
      </c>
      <c r="D36" s="103">
        <f>IFERROR(VLOOKUP($B36,MMWR_TRAD_AGG_ST_DISTRICT_COMP[],D$1,0),"ERROR")</f>
        <v>354.20919961470003</v>
      </c>
      <c r="E36" s="102">
        <f>IFERROR(VLOOKUP($B36,MMWR_TRAD_AGG_ST_DISTRICT_COMP[],E$1,0),"ERROR")</f>
        <v>65927</v>
      </c>
      <c r="F36" s="102">
        <f>IFERROR(VLOOKUP($B36,MMWR_TRAD_AGG_ST_DISTRICT_COMP[],F$1,0),"ERROR")</f>
        <v>13215</v>
      </c>
      <c r="G36" s="104">
        <f t="shared" si="0"/>
        <v>0.20044898144917864</v>
      </c>
      <c r="H36" s="102">
        <f>IFERROR(VLOOKUP($B36,MMWR_TRAD_AGG_ST_DISTRICT_COMP[],H$1,0),"ERROR")</f>
        <v>81835</v>
      </c>
      <c r="I36" s="102">
        <f>IFERROR(VLOOKUP($B36,MMWR_TRAD_AGG_ST_DISTRICT_COMP[],I$1,0),"ERROR")</f>
        <v>39008</v>
      </c>
      <c r="J36" s="105">
        <f t="shared" si="1"/>
        <v>0.47666646300482679</v>
      </c>
      <c r="K36" s="102">
        <f>IFERROR(VLOOKUP($B36,MMWR_TRAD_AGG_ST_DISTRICT_COMP[],K$1,0),"ERROR")</f>
        <v>21211</v>
      </c>
      <c r="L36" s="102">
        <f>IFERROR(VLOOKUP($B36,MMWR_TRAD_AGG_ST_DISTRICT_COMP[],L$1,0),"ERROR")</f>
        <v>15203</v>
      </c>
      <c r="M36" s="105">
        <f t="shared" si="2"/>
        <v>0.71675074253924853</v>
      </c>
      <c r="N36" s="102">
        <f>IFERROR(VLOOKUP($B36,MMWR_TRAD_AGG_ST_DISTRICT_COMP[],N$1,0),"ERROR")</f>
        <v>32318</v>
      </c>
      <c r="O36" s="102">
        <f>IFERROR(VLOOKUP($B36,MMWR_TRAD_AGG_ST_DISTRICT_COMP[],O$1,0),"ERROR")</f>
        <v>19048</v>
      </c>
      <c r="P36" s="105">
        <f t="shared" si="3"/>
        <v>0.58939290797697874</v>
      </c>
      <c r="Q36" s="102">
        <f>IFERROR(VLOOKUP($B36,MMWR_TRAD_AGG_ST_DISTRICT_COMP[],Q$1,0),"ERROR")</f>
        <v>1401</v>
      </c>
      <c r="R36" s="106">
        <f>IFERROR(VLOOKUP($B36,MMWR_TRAD_AGG_ST_DISTRICT_COMP[],R$1,0),"ERROR")</f>
        <v>1121</v>
      </c>
      <c r="S36" s="106">
        <f>SUM(S37:S45)</f>
        <v>70531</v>
      </c>
      <c r="T36" s="28"/>
    </row>
    <row r="37" spans="1:20" s="123" customFormat="1" x14ac:dyDescent="0.2">
      <c r="A37" s="28"/>
      <c r="B37" s="127" t="s">
        <v>411</v>
      </c>
      <c r="C37" s="109">
        <f>IFERROR(VLOOKUP($B37,MMWR_TRAD_AGG_STATE_COMP[],C$1,0),"ERROR")</f>
        <v>3819</v>
      </c>
      <c r="D37" s="110">
        <f>IFERROR(VLOOKUP($B37,MMWR_TRAD_AGG_STATE_COMP[],D$1,0),"ERROR")</f>
        <v>306.1421838178</v>
      </c>
      <c r="E37" s="111">
        <f>IFERROR(VLOOKUP($B37,MMWR_TRAD_AGG_STATE_COMP[],E$1,0),"ERROR")</f>
        <v>3322</v>
      </c>
      <c r="F37" s="112">
        <f>IFERROR(VLOOKUP($B37,MMWR_TRAD_AGG_STATE_COMP[],F$1,0),"ERROR")</f>
        <v>547</v>
      </c>
      <c r="G37" s="113">
        <f t="shared" si="0"/>
        <v>0.1646598434677905</v>
      </c>
      <c r="H37" s="111">
        <f>IFERROR(VLOOKUP($B37,MMWR_TRAD_AGG_STATE_COMP[],H$1,0),"ERROR")</f>
        <v>6498</v>
      </c>
      <c r="I37" s="112">
        <f>IFERROR(VLOOKUP($B37,MMWR_TRAD_AGG_STATE_COMP[],I$1,0),"ERROR")</f>
        <v>2984</v>
      </c>
      <c r="J37" s="114">
        <f t="shared" si="1"/>
        <v>0.45921822099107418</v>
      </c>
      <c r="K37" s="111">
        <f>IFERROR(VLOOKUP($B37,MMWR_TRAD_AGG_STATE_COMP[],K$1,0),"ERROR")</f>
        <v>2257</v>
      </c>
      <c r="L37" s="112">
        <f>IFERROR(VLOOKUP($B37,MMWR_TRAD_AGG_STATE_COMP[],L$1,0),"ERROR")</f>
        <v>1608</v>
      </c>
      <c r="M37" s="114">
        <f t="shared" si="2"/>
        <v>0.71245015507310594</v>
      </c>
      <c r="N37" s="111">
        <f>IFERROR(VLOOKUP($B37,MMWR_TRAD_AGG_STATE_COMP[],N$1,0),"ERROR")</f>
        <v>2694</v>
      </c>
      <c r="O37" s="112">
        <f>IFERROR(VLOOKUP($B37,MMWR_TRAD_AGG_STATE_COMP[],O$1,0),"ERROR")</f>
        <v>1695</v>
      </c>
      <c r="P37" s="114">
        <f t="shared" si="3"/>
        <v>0.62917594654788422</v>
      </c>
      <c r="Q37" s="115">
        <f>IFERROR(VLOOKUP($B37,MMWR_TRAD_AGG_STATE_COMP[],Q$1,0),"ERROR")</f>
        <v>477</v>
      </c>
      <c r="R37" s="115">
        <f>IFERROR(VLOOKUP($B37,MMWR_TRAD_AGG_STATE_COMP[],R$1,0),"ERROR")</f>
        <v>100</v>
      </c>
      <c r="S37" s="115">
        <f>IFERROR(VLOOKUP($B37,MMWR_APP_STATE_COMP[],S$1,0),"ERROR")</f>
        <v>5328</v>
      </c>
      <c r="T37" s="28"/>
    </row>
    <row r="38" spans="1:20" s="123" customFormat="1" x14ac:dyDescent="0.2">
      <c r="A38" s="28"/>
      <c r="B38" s="127" t="s">
        <v>403</v>
      </c>
      <c r="C38" s="109">
        <f>IFERROR(VLOOKUP($B38,MMWR_TRAD_AGG_STATE_COMP[],C$1,0),"ERROR")</f>
        <v>5561</v>
      </c>
      <c r="D38" s="110">
        <f>IFERROR(VLOOKUP($B38,MMWR_TRAD_AGG_STATE_COMP[],D$1,0),"ERROR")</f>
        <v>395.43787088649998</v>
      </c>
      <c r="E38" s="111">
        <f>IFERROR(VLOOKUP($B38,MMWR_TRAD_AGG_STATE_COMP[],E$1,0),"ERROR")</f>
        <v>6229</v>
      </c>
      <c r="F38" s="112">
        <f>IFERROR(VLOOKUP($B38,MMWR_TRAD_AGG_STATE_COMP[],F$1,0),"ERROR")</f>
        <v>1333</v>
      </c>
      <c r="G38" s="113">
        <f t="shared" ref="G38:G64" si="4">IFERROR(F38/E38,"0%")</f>
        <v>0.21399903676352544</v>
      </c>
      <c r="H38" s="111">
        <f>IFERROR(VLOOKUP($B38,MMWR_TRAD_AGG_STATE_COMP[],H$1,0),"ERROR")</f>
        <v>10584</v>
      </c>
      <c r="I38" s="112">
        <f>IFERROR(VLOOKUP($B38,MMWR_TRAD_AGG_STATE_COMP[],I$1,0),"ERROR")</f>
        <v>5460</v>
      </c>
      <c r="J38" s="114">
        <f t="shared" ref="J38:J64" si="5">IFERROR(I38/H38,"0%")</f>
        <v>0.51587301587301593</v>
      </c>
      <c r="K38" s="111">
        <f>IFERROR(VLOOKUP($B38,MMWR_TRAD_AGG_STATE_COMP[],K$1,0),"ERROR")</f>
        <v>3941</v>
      </c>
      <c r="L38" s="112">
        <f>IFERROR(VLOOKUP($B38,MMWR_TRAD_AGG_STATE_COMP[],L$1,0),"ERROR")</f>
        <v>3217</v>
      </c>
      <c r="M38" s="114">
        <f t="shared" ref="M38:M64" si="6">IFERROR(L38/K38,"0%")</f>
        <v>0.81629028165440243</v>
      </c>
      <c r="N38" s="111">
        <f>IFERROR(VLOOKUP($B38,MMWR_TRAD_AGG_STATE_COMP[],N$1,0),"ERROR")</f>
        <v>1851</v>
      </c>
      <c r="O38" s="112">
        <f>IFERROR(VLOOKUP($B38,MMWR_TRAD_AGG_STATE_COMP[],O$1,0),"ERROR")</f>
        <v>1223</v>
      </c>
      <c r="P38" s="114">
        <f t="shared" ref="P38:P64" si="7">IFERROR(O38/N38,"0%")</f>
        <v>0.66072393300918419</v>
      </c>
      <c r="Q38" s="115">
        <f>IFERROR(VLOOKUP($B38,MMWR_TRAD_AGG_STATE_COMP[],Q$1,0),"ERROR")</f>
        <v>5</v>
      </c>
      <c r="R38" s="115">
        <f>IFERROR(VLOOKUP($B38,MMWR_TRAD_AGG_STATE_COMP[],R$1,0),"ERROR")</f>
        <v>56</v>
      </c>
      <c r="S38" s="115">
        <f>IFERROR(VLOOKUP($B38,MMWR_APP_STATE_COMP[],S$1,0),"ERROR")</f>
        <v>6816</v>
      </c>
      <c r="T38" s="28"/>
    </row>
    <row r="39" spans="1:20" s="123" customFormat="1" x14ac:dyDescent="0.2">
      <c r="A39" s="28"/>
      <c r="B39" s="127" t="s">
        <v>387</v>
      </c>
      <c r="C39" s="109">
        <f>IFERROR(VLOOKUP($B39,MMWR_TRAD_AGG_STATE_COMP[],C$1,0),"ERROR")</f>
        <v>4046</v>
      </c>
      <c r="D39" s="110">
        <f>IFERROR(VLOOKUP($B39,MMWR_TRAD_AGG_STATE_COMP[],D$1,0),"ERROR")</f>
        <v>429.62654473549998</v>
      </c>
      <c r="E39" s="111">
        <f>IFERROR(VLOOKUP($B39,MMWR_TRAD_AGG_STATE_COMP[],E$1,0),"ERROR")</f>
        <v>5684</v>
      </c>
      <c r="F39" s="112">
        <f>IFERROR(VLOOKUP($B39,MMWR_TRAD_AGG_STATE_COMP[],F$1,0),"ERROR")</f>
        <v>1219</v>
      </c>
      <c r="G39" s="113">
        <f t="shared" si="4"/>
        <v>0.21446164672765658</v>
      </c>
      <c r="H39" s="111">
        <f>IFERROR(VLOOKUP($B39,MMWR_TRAD_AGG_STATE_COMP[],H$1,0),"ERROR")</f>
        <v>7753</v>
      </c>
      <c r="I39" s="112">
        <f>IFERROR(VLOOKUP($B39,MMWR_TRAD_AGG_STATE_COMP[],I$1,0),"ERROR")</f>
        <v>3976</v>
      </c>
      <c r="J39" s="114">
        <f t="shared" si="5"/>
        <v>0.51283374177737651</v>
      </c>
      <c r="K39" s="111">
        <f>IFERROR(VLOOKUP($B39,MMWR_TRAD_AGG_STATE_COMP[],K$1,0),"ERROR")</f>
        <v>1619</v>
      </c>
      <c r="L39" s="112">
        <f>IFERROR(VLOOKUP($B39,MMWR_TRAD_AGG_STATE_COMP[],L$1,0),"ERROR")</f>
        <v>1111</v>
      </c>
      <c r="M39" s="114">
        <f t="shared" si="6"/>
        <v>0.68622606547251386</v>
      </c>
      <c r="N39" s="111">
        <f>IFERROR(VLOOKUP($B39,MMWR_TRAD_AGG_STATE_COMP[],N$1,0),"ERROR")</f>
        <v>2980</v>
      </c>
      <c r="O39" s="112">
        <f>IFERROR(VLOOKUP($B39,MMWR_TRAD_AGG_STATE_COMP[],O$1,0),"ERROR")</f>
        <v>1940</v>
      </c>
      <c r="P39" s="114">
        <f t="shared" si="7"/>
        <v>0.65100671140939592</v>
      </c>
      <c r="Q39" s="115">
        <f>IFERROR(VLOOKUP($B39,MMWR_TRAD_AGG_STATE_COMP[],Q$1,0),"ERROR")</f>
        <v>345</v>
      </c>
      <c r="R39" s="115">
        <f>IFERROR(VLOOKUP($B39,MMWR_TRAD_AGG_STATE_COMP[],R$1,0),"ERROR")</f>
        <v>270</v>
      </c>
      <c r="S39" s="115">
        <f>IFERROR(VLOOKUP($B39,MMWR_APP_STATE_COMP[],S$1,0),"ERROR")</f>
        <v>6041</v>
      </c>
      <c r="T39" s="28"/>
    </row>
    <row r="40" spans="1:20" s="123" customFormat="1" x14ac:dyDescent="0.2">
      <c r="A40" s="28"/>
      <c r="B40" s="127" t="s">
        <v>389</v>
      </c>
      <c r="C40" s="109">
        <f>IFERROR(VLOOKUP($B40,MMWR_TRAD_AGG_STATE_COMP[],C$1,0),"ERROR")</f>
        <v>3553</v>
      </c>
      <c r="D40" s="110">
        <f>IFERROR(VLOOKUP($B40,MMWR_TRAD_AGG_STATE_COMP[],D$1,0),"ERROR")</f>
        <v>407.68392907399999</v>
      </c>
      <c r="E40" s="111">
        <f>IFERROR(VLOOKUP($B40,MMWR_TRAD_AGG_STATE_COMP[],E$1,0),"ERROR")</f>
        <v>4836</v>
      </c>
      <c r="F40" s="112">
        <f>IFERROR(VLOOKUP($B40,MMWR_TRAD_AGG_STATE_COMP[],F$1,0),"ERROR")</f>
        <v>1433</v>
      </c>
      <c r="G40" s="113">
        <f t="shared" si="4"/>
        <v>0.29631927212572373</v>
      </c>
      <c r="H40" s="111">
        <f>IFERROR(VLOOKUP($B40,MMWR_TRAD_AGG_STATE_COMP[],H$1,0),"ERROR")</f>
        <v>7354</v>
      </c>
      <c r="I40" s="112">
        <f>IFERROR(VLOOKUP($B40,MMWR_TRAD_AGG_STATE_COMP[],I$1,0),"ERROR")</f>
        <v>4216</v>
      </c>
      <c r="J40" s="114">
        <f t="shared" si="5"/>
        <v>0.57329344574381291</v>
      </c>
      <c r="K40" s="111">
        <f>IFERROR(VLOOKUP($B40,MMWR_TRAD_AGG_STATE_COMP[],K$1,0),"ERROR")</f>
        <v>1845</v>
      </c>
      <c r="L40" s="112">
        <f>IFERROR(VLOOKUP($B40,MMWR_TRAD_AGG_STATE_COMP[],L$1,0),"ERROR")</f>
        <v>1333</v>
      </c>
      <c r="M40" s="114">
        <f t="shared" si="6"/>
        <v>0.72249322493224932</v>
      </c>
      <c r="N40" s="111">
        <f>IFERROR(VLOOKUP($B40,MMWR_TRAD_AGG_STATE_COMP[],N$1,0),"ERROR")</f>
        <v>1775</v>
      </c>
      <c r="O40" s="112">
        <f>IFERROR(VLOOKUP($B40,MMWR_TRAD_AGG_STATE_COMP[],O$1,0),"ERROR")</f>
        <v>1162</v>
      </c>
      <c r="P40" s="114">
        <f t="shared" si="7"/>
        <v>0.65464788732394363</v>
      </c>
      <c r="Q40" s="115">
        <f>IFERROR(VLOOKUP($B40,MMWR_TRAD_AGG_STATE_COMP[],Q$1,0),"ERROR")</f>
        <v>539</v>
      </c>
      <c r="R40" s="115">
        <f>IFERROR(VLOOKUP($B40,MMWR_TRAD_AGG_STATE_COMP[],R$1,0),"ERROR")</f>
        <v>231</v>
      </c>
      <c r="S40" s="115">
        <f>IFERROR(VLOOKUP($B40,MMWR_APP_STATE_COMP[],S$1,0),"ERROR")</f>
        <v>4930</v>
      </c>
      <c r="T40" s="28"/>
    </row>
    <row r="41" spans="1:20" s="123" customFormat="1" x14ac:dyDescent="0.2">
      <c r="A41" s="28"/>
      <c r="B41" s="127" t="s">
        <v>418</v>
      </c>
      <c r="C41" s="109">
        <f>IFERROR(VLOOKUP($B41,MMWR_TRAD_AGG_STATE_COMP[],C$1,0),"ERROR")</f>
        <v>401</v>
      </c>
      <c r="D41" s="110">
        <f>IFERROR(VLOOKUP($B41,MMWR_TRAD_AGG_STATE_COMP[],D$1,0),"ERROR")</f>
        <v>275.62593516210001</v>
      </c>
      <c r="E41" s="111">
        <f>IFERROR(VLOOKUP($B41,MMWR_TRAD_AGG_STATE_COMP[],E$1,0),"ERROR")</f>
        <v>738</v>
      </c>
      <c r="F41" s="112">
        <f>IFERROR(VLOOKUP($B41,MMWR_TRAD_AGG_STATE_COMP[],F$1,0),"ERROR")</f>
        <v>59</v>
      </c>
      <c r="G41" s="113">
        <f t="shared" si="4"/>
        <v>7.9945799457994585E-2</v>
      </c>
      <c r="H41" s="111">
        <f>IFERROR(VLOOKUP($B41,MMWR_TRAD_AGG_STATE_COMP[],H$1,0),"ERROR")</f>
        <v>1247</v>
      </c>
      <c r="I41" s="112">
        <f>IFERROR(VLOOKUP($B41,MMWR_TRAD_AGG_STATE_COMP[],I$1,0),"ERROR")</f>
        <v>312</v>
      </c>
      <c r="J41" s="114">
        <f t="shared" si="5"/>
        <v>0.25020048115477145</v>
      </c>
      <c r="K41" s="111">
        <f>IFERROR(VLOOKUP($B41,MMWR_TRAD_AGG_STATE_COMP[],K$1,0),"ERROR")</f>
        <v>390</v>
      </c>
      <c r="L41" s="112">
        <f>IFERROR(VLOOKUP($B41,MMWR_TRAD_AGG_STATE_COMP[],L$1,0),"ERROR")</f>
        <v>244</v>
      </c>
      <c r="M41" s="114">
        <f t="shared" si="6"/>
        <v>0.62564102564102564</v>
      </c>
      <c r="N41" s="111">
        <f>IFERROR(VLOOKUP($B41,MMWR_TRAD_AGG_STATE_COMP[],N$1,0),"ERROR")</f>
        <v>451</v>
      </c>
      <c r="O41" s="112">
        <f>IFERROR(VLOOKUP($B41,MMWR_TRAD_AGG_STATE_COMP[],O$1,0),"ERROR")</f>
        <v>246</v>
      </c>
      <c r="P41" s="114">
        <f t="shared" si="7"/>
        <v>0.54545454545454541</v>
      </c>
      <c r="Q41" s="115">
        <f>IFERROR(VLOOKUP($B41,MMWR_TRAD_AGG_STATE_COMP[],Q$1,0),"ERROR")</f>
        <v>1</v>
      </c>
      <c r="R41" s="115">
        <f>IFERROR(VLOOKUP($B41,MMWR_TRAD_AGG_STATE_COMP[],R$1,0),"ERROR")</f>
        <v>5</v>
      </c>
      <c r="S41" s="115">
        <f>IFERROR(VLOOKUP($B41,MMWR_APP_STATE_COMP[],S$1,0),"ERROR")</f>
        <v>323</v>
      </c>
      <c r="T41" s="28"/>
    </row>
    <row r="42" spans="1:20" s="123" customFormat="1" x14ac:dyDescent="0.2">
      <c r="A42" s="28"/>
      <c r="B42" s="127" t="s">
        <v>412</v>
      </c>
      <c r="C42" s="109">
        <f>IFERROR(VLOOKUP($B42,MMWR_TRAD_AGG_STATE_COMP[],C$1,0),"ERROR")</f>
        <v>1496</v>
      </c>
      <c r="D42" s="110">
        <f>IFERROR(VLOOKUP($B42,MMWR_TRAD_AGG_STATE_COMP[],D$1,0),"ERROR")</f>
        <v>179.01336898400001</v>
      </c>
      <c r="E42" s="111">
        <f>IFERROR(VLOOKUP($B42,MMWR_TRAD_AGG_STATE_COMP[],E$1,0),"ERROR")</f>
        <v>5624</v>
      </c>
      <c r="F42" s="112">
        <f>IFERROR(VLOOKUP($B42,MMWR_TRAD_AGG_STATE_COMP[],F$1,0),"ERROR")</f>
        <v>566</v>
      </c>
      <c r="G42" s="113">
        <f t="shared" si="4"/>
        <v>0.10064011379800854</v>
      </c>
      <c r="H42" s="111">
        <f>IFERROR(VLOOKUP($B42,MMWR_TRAD_AGG_STATE_COMP[],H$1,0),"ERROR")</f>
        <v>4610</v>
      </c>
      <c r="I42" s="112">
        <f>IFERROR(VLOOKUP($B42,MMWR_TRAD_AGG_STATE_COMP[],I$1,0),"ERROR")</f>
        <v>727</v>
      </c>
      <c r="J42" s="114">
        <f t="shared" si="5"/>
        <v>0.1577006507592191</v>
      </c>
      <c r="K42" s="111">
        <f>IFERROR(VLOOKUP($B42,MMWR_TRAD_AGG_STATE_COMP[],K$1,0),"ERROR")</f>
        <v>969</v>
      </c>
      <c r="L42" s="112">
        <f>IFERROR(VLOOKUP($B42,MMWR_TRAD_AGG_STATE_COMP[],L$1,0),"ERROR")</f>
        <v>498</v>
      </c>
      <c r="M42" s="114">
        <f t="shared" si="6"/>
        <v>0.51393188854489169</v>
      </c>
      <c r="N42" s="111">
        <f>IFERROR(VLOOKUP($B42,MMWR_TRAD_AGG_STATE_COMP[],N$1,0),"ERROR")</f>
        <v>2986</v>
      </c>
      <c r="O42" s="112">
        <f>IFERROR(VLOOKUP($B42,MMWR_TRAD_AGG_STATE_COMP[],O$1,0),"ERROR")</f>
        <v>1732</v>
      </c>
      <c r="P42" s="114">
        <f t="shared" si="7"/>
        <v>0.58004018754186204</v>
      </c>
      <c r="Q42" s="115">
        <f>IFERROR(VLOOKUP($B42,MMWR_TRAD_AGG_STATE_COMP[],Q$1,0),"ERROR")</f>
        <v>7</v>
      </c>
      <c r="R42" s="115">
        <f>IFERROR(VLOOKUP($B42,MMWR_TRAD_AGG_STATE_COMP[],R$1,0),"ERROR")</f>
        <v>15</v>
      </c>
      <c r="S42" s="115">
        <f>IFERROR(VLOOKUP($B42,MMWR_APP_STATE_COMP[],S$1,0),"ERROR")</f>
        <v>4406</v>
      </c>
      <c r="T42" s="28"/>
    </row>
    <row r="43" spans="1:20" s="123" customFormat="1" x14ac:dyDescent="0.2">
      <c r="A43" s="28"/>
      <c r="B43" s="127" t="s">
        <v>410</v>
      </c>
      <c r="C43" s="109">
        <f>IFERROR(VLOOKUP($B43,MMWR_TRAD_AGG_STATE_COMP[],C$1,0),"ERROR")</f>
        <v>22565</v>
      </c>
      <c r="D43" s="110">
        <f>IFERROR(VLOOKUP($B43,MMWR_TRAD_AGG_STATE_COMP[],D$1,0),"ERROR")</f>
        <v>346.9797473964</v>
      </c>
      <c r="E43" s="111">
        <f>IFERROR(VLOOKUP($B43,MMWR_TRAD_AGG_STATE_COMP[],E$1,0),"ERROR")</f>
        <v>36686</v>
      </c>
      <c r="F43" s="112">
        <f>IFERROR(VLOOKUP($B43,MMWR_TRAD_AGG_STATE_COMP[],F$1,0),"ERROR")</f>
        <v>7452</v>
      </c>
      <c r="G43" s="113">
        <f t="shared" si="4"/>
        <v>0.20312925911791965</v>
      </c>
      <c r="H43" s="111">
        <f>IFERROR(VLOOKUP($B43,MMWR_TRAD_AGG_STATE_COMP[],H$1,0),"ERROR")</f>
        <v>40866</v>
      </c>
      <c r="I43" s="112">
        <f>IFERROR(VLOOKUP($B43,MMWR_TRAD_AGG_STATE_COMP[],I$1,0),"ERROR")</f>
        <v>20360</v>
      </c>
      <c r="J43" s="114">
        <f t="shared" si="5"/>
        <v>0.49821367395879212</v>
      </c>
      <c r="K43" s="111">
        <f>IFERROR(VLOOKUP($B43,MMWR_TRAD_AGG_STATE_COMP[],K$1,0),"ERROR")</f>
        <v>9474</v>
      </c>
      <c r="L43" s="112">
        <f>IFERROR(VLOOKUP($B43,MMWR_TRAD_AGG_STATE_COMP[],L$1,0),"ERROR")</f>
        <v>6785</v>
      </c>
      <c r="M43" s="114">
        <f t="shared" si="6"/>
        <v>0.71617057209204138</v>
      </c>
      <c r="N43" s="111">
        <f>IFERROR(VLOOKUP($B43,MMWR_TRAD_AGG_STATE_COMP[],N$1,0),"ERROR")</f>
        <v>18811</v>
      </c>
      <c r="O43" s="112">
        <f>IFERROR(VLOOKUP($B43,MMWR_TRAD_AGG_STATE_COMP[],O$1,0),"ERROR")</f>
        <v>10616</v>
      </c>
      <c r="P43" s="114">
        <f t="shared" si="7"/>
        <v>0.56435064589867634</v>
      </c>
      <c r="Q43" s="115">
        <f>IFERROR(VLOOKUP($B43,MMWR_TRAD_AGG_STATE_COMP[],Q$1,0),"ERROR")</f>
        <v>24</v>
      </c>
      <c r="R43" s="115">
        <f>IFERROR(VLOOKUP($B43,MMWR_TRAD_AGG_STATE_COMP[],R$1,0),"ERROR")</f>
        <v>438</v>
      </c>
      <c r="S43" s="115">
        <f>IFERROR(VLOOKUP($B43,MMWR_APP_STATE_COMP[],S$1,0),"ERROR")</f>
        <v>41895</v>
      </c>
      <c r="T43" s="28"/>
    </row>
    <row r="44" spans="1:20" s="123" customFormat="1" x14ac:dyDescent="0.2">
      <c r="A44" s="28"/>
      <c r="B44" s="127" t="s">
        <v>406</v>
      </c>
      <c r="C44" s="109">
        <f>IFERROR(VLOOKUP($B44,MMWR_TRAD_AGG_STATE_COMP[],C$1,0),"ERROR")</f>
        <v>796</v>
      </c>
      <c r="D44" s="110">
        <f>IFERROR(VLOOKUP($B44,MMWR_TRAD_AGG_STATE_COMP[],D$1,0),"ERROR")</f>
        <v>261.82160804019998</v>
      </c>
      <c r="E44" s="111">
        <f>IFERROR(VLOOKUP($B44,MMWR_TRAD_AGG_STATE_COMP[],E$1,0),"ERROR")</f>
        <v>2066</v>
      </c>
      <c r="F44" s="112">
        <f>IFERROR(VLOOKUP($B44,MMWR_TRAD_AGG_STATE_COMP[],F$1,0),"ERROR")</f>
        <v>525</v>
      </c>
      <c r="G44" s="113">
        <f t="shared" si="4"/>
        <v>0.25411423039690223</v>
      </c>
      <c r="H44" s="111">
        <f>IFERROR(VLOOKUP($B44,MMWR_TRAD_AGG_STATE_COMP[],H$1,0),"ERROR")</f>
        <v>2075</v>
      </c>
      <c r="I44" s="112">
        <f>IFERROR(VLOOKUP($B44,MMWR_TRAD_AGG_STATE_COMP[],I$1,0),"ERROR")</f>
        <v>634</v>
      </c>
      <c r="J44" s="114">
        <f t="shared" si="5"/>
        <v>0.3055421686746988</v>
      </c>
      <c r="K44" s="111">
        <f>IFERROR(VLOOKUP($B44,MMWR_TRAD_AGG_STATE_COMP[],K$1,0),"ERROR")</f>
        <v>485</v>
      </c>
      <c r="L44" s="112">
        <f>IFERROR(VLOOKUP($B44,MMWR_TRAD_AGG_STATE_COMP[],L$1,0),"ERROR")</f>
        <v>272</v>
      </c>
      <c r="M44" s="114">
        <f t="shared" si="6"/>
        <v>0.56082474226804124</v>
      </c>
      <c r="N44" s="111">
        <f>IFERROR(VLOOKUP($B44,MMWR_TRAD_AGG_STATE_COMP[],N$1,0),"ERROR")</f>
        <v>584</v>
      </c>
      <c r="O44" s="112">
        <f>IFERROR(VLOOKUP($B44,MMWR_TRAD_AGG_STATE_COMP[],O$1,0),"ERROR")</f>
        <v>327</v>
      </c>
      <c r="P44" s="114">
        <f t="shared" si="7"/>
        <v>0.55993150684931503</v>
      </c>
      <c r="Q44" s="115">
        <f>IFERROR(VLOOKUP($B44,MMWR_TRAD_AGG_STATE_COMP[],Q$1,0),"ERROR")</f>
        <v>1</v>
      </c>
      <c r="R44" s="115">
        <f>IFERROR(VLOOKUP($B44,MMWR_TRAD_AGG_STATE_COMP[],R$1,0),"ERROR")</f>
        <v>4</v>
      </c>
      <c r="S44" s="115">
        <f>IFERROR(VLOOKUP($B44,MMWR_APP_STATE_COMP[],S$1,0),"ERROR")</f>
        <v>570</v>
      </c>
      <c r="T44" s="28"/>
    </row>
    <row r="45" spans="1:20" s="123" customFormat="1" x14ac:dyDescent="0.2">
      <c r="A45" s="28"/>
      <c r="B45" s="127" t="s">
        <v>421</v>
      </c>
      <c r="C45" s="109">
        <f>IFERROR(VLOOKUP($B45,MMWR_TRAD_AGG_STATE_COMP[],C$1,0),"ERROR")</f>
        <v>330</v>
      </c>
      <c r="D45" s="110">
        <f>IFERROR(VLOOKUP($B45,MMWR_TRAD_AGG_STATE_COMP[],D$1,0),"ERROR")</f>
        <v>322.20606060609998</v>
      </c>
      <c r="E45" s="111">
        <f>IFERROR(VLOOKUP($B45,MMWR_TRAD_AGG_STATE_COMP[],E$1,0),"ERROR")</f>
        <v>742</v>
      </c>
      <c r="F45" s="112">
        <f>IFERROR(VLOOKUP($B45,MMWR_TRAD_AGG_STATE_COMP[],F$1,0),"ERROR")</f>
        <v>81</v>
      </c>
      <c r="G45" s="113">
        <f t="shared" si="4"/>
        <v>0.1091644204851752</v>
      </c>
      <c r="H45" s="111">
        <f>IFERROR(VLOOKUP($B45,MMWR_TRAD_AGG_STATE_COMP[],H$1,0),"ERROR")</f>
        <v>848</v>
      </c>
      <c r="I45" s="112">
        <f>IFERROR(VLOOKUP($B45,MMWR_TRAD_AGG_STATE_COMP[],I$1,0),"ERROR")</f>
        <v>339</v>
      </c>
      <c r="J45" s="114">
        <f t="shared" si="5"/>
        <v>0.39976415094339623</v>
      </c>
      <c r="K45" s="111">
        <f>IFERROR(VLOOKUP($B45,MMWR_TRAD_AGG_STATE_COMP[],K$1,0),"ERROR")</f>
        <v>231</v>
      </c>
      <c r="L45" s="112">
        <f>IFERROR(VLOOKUP($B45,MMWR_TRAD_AGG_STATE_COMP[],L$1,0),"ERROR")</f>
        <v>135</v>
      </c>
      <c r="M45" s="114">
        <f t="shared" si="6"/>
        <v>0.58441558441558439</v>
      </c>
      <c r="N45" s="111">
        <f>IFERROR(VLOOKUP($B45,MMWR_TRAD_AGG_STATE_COMP[],N$1,0),"ERROR")</f>
        <v>186</v>
      </c>
      <c r="O45" s="112">
        <f>IFERROR(VLOOKUP($B45,MMWR_TRAD_AGG_STATE_COMP[],O$1,0),"ERROR")</f>
        <v>107</v>
      </c>
      <c r="P45" s="114">
        <f t="shared" si="7"/>
        <v>0.57526881720430112</v>
      </c>
      <c r="Q45" s="115">
        <f>IFERROR(VLOOKUP($B45,MMWR_TRAD_AGG_STATE_COMP[],Q$1,0),"ERROR")</f>
        <v>2</v>
      </c>
      <c r="R45" s="115">
        <f>IFERROR(VLOOKUP($B45,MMWR_TRAD_AGG_STATE_COMP[],R$1,0),"ERROR")</f>
        <v>2</v>
      </c>
      <c r="S45" s="115">
        <f>IFERROR(VLOOKUP($B45,MMWR_APP_STATE_COMP[],S$1,0),"ERROR")</f>
        <v>222</v>
      </c>
      <c r="T45" s="28"/>
    </row>
    <row r="46" spans="1:20" s="123" customFormat="1" x14ac:dyDescent="0.2">
      <c r="A46" s="28"/>
      <c r="B46" s="126" t="s">
        <v>404</v>
      </c>
      <c r="C46" s="102">
        <f>IFERROR(VLOOKUP($B46,MMWR_TRAD_AGG_ST_DISTRICT_COMP[],C$1,0),"ERROR")</f>
        <v>46398</v>
      </c>
      <c r="D46" s="103">
        <f>IFERROR(VLOOKUP($B46,MMWR_TRAD_AGG_ST_DISTRICT_COMP[],D$1,0),"ERROR")</f>
        <v>400.39299107720001</v>
      </c>
      <c r="E46" s="102">
        <f>IFERROR(VLOOKUP($B46,MMWR_TRAD_AGG_ST_DISTRICT_COMP[],E$1,0),"ERROR")</f>
        <v>62292</v>
      </c>
      <c r="F46" s="102">
        <f>IFERROR(VLOOKUP($B46,MMWR_TRAD_AGG_ST_DISTRICT_COMP[],F$1,0),"ERROR")</f>
        <v>12144</v>
      </c>
      <c r="G46" s="104">
        <f t="shared" si="4"/>
        <v>0.19495280292814487</v>
      </c>
      <c r="H46" s="102">
        <f>IFERROR(VLOOKUP($B46,MMWR_TRAD_AGG_ST_DISTRICT_COMP[],H$1,0),"ERROR")</f>
        <v>87534</v>
      </c>
      <c r="I46" s="102">
        <f>IFERROR(VLOOKUP($B46,MMWR_TRAD_AGG_ST_DISTRICT_COMP[],I$1,0),"ERROR")</f>
        <v>48078</v>
      </c>
      <c r="J46" s="105">
        <f t="shared" si="5"/>
        <v>0.54924943450544927</v>
      </c>
      <c r="K46" s="102">
        <f>IFERROR(VLOOKUP($B46,MMWR_TRAD_AGG_ST_DISTRICT_COMP[],K$1,0),"ERROR")</f>
        <v>23198</v>
      </c>
      <c r="L46" s="102">
        <f>IFERROR(VLOOKUP($B46,MMWR_TRAD_AGG_ST_DISTRICT_COMP[],L$1,0),"ERROR")</f>
        <v>17865</v>
      </c>
      <c r="M46" s="105">
        <f t="shared" si="6"/>
        <v>0.77010949219760327</v>
      </c>
      <c r="N46" s="102">
        <f>IFERROR(VLOOKUP($B46,MMWR_TRAD_AGG_ST_DISTRICT_COMP[],N$1,0),"ERROR")</f>
        <v>31958</v>
      </c>
      <c r="O46" s="102">
        <f>IFERROR(VLOOKUP($B46,MMWR_TRAD_AGG_ST_DISTRICT_COMP[],O$1,0),"ERROR")</f>
        <v>22070</v>
      </c>
      <c r="P46" s="105">
        <f t="shared" si="7"/>
        <v>0.69059390449965585</v>
      </c>
      <c r="Q46" s="102">
        <f>IFERROR(VLOOKUP($B46,MMWR_TRAD_AGG_ST_DISTRICT_COMP[],Q$1,0),"ERROR")</f>
        <v>97</v>
      </c>
      <c r="R46" s="106">
        <f>IFERROR(VLOOKUP($B46,MMWR_TRAD_AGG_ST_DISTRICT_COMP[],R$1,0),"ERROR")</f>
        <v>644</v>
      </c>
      <c r="S46" s="106">
        <f>SUM(S47:S55)</f>
        <v>41987</v>
      </c>
      <c r="T46" s="28"/>
    </row>
    <row r="47" spans="1:20" s="123" customFormat="1" x14ac:dyDescent="0.2">
      <c r="A47" s="28"/>
      <c r="B47" s="127" t="s">
        <v>424</v>
      </c>
      <c r="C47" s="109">
        <f>IFERROR(VLOOKUP($B47,MMWR_TRAD_AGG_STATE_COMP[],C$1,0),"ERROR")</f>
        <v>2013</v>
      </c>
      <c r="D47" s="110">
        <f>IFERROR(VLOOKUP($B47,MMWR_TRAD_AGG_STATE_COMP[],D$1,0),"ERROR")</f>
        <v>547.11077993050003</v>
      </c>
      <c r="E47" s="111">
        <f>IFERROR(VLOOKUP($B47,MMWR_TRAD_AGG_STATE_COMP[],E$1,0),"ERROR")</f>
        <v>1128</v>
      </c>
      <c r="F47" s="112">
        <f>IFERROR(VLOOKUP($B47,MMWR_TRAD_AGG_STATE_COMP[],F$1,0),"ERROR")</f>
        <v>303</v>
      </c>
      <c r="G47" s="113">
        <f t="shared" si="4"/>
        <v>0.26861702127659576</v>
      </c>
      <c r="H47" s="111">
        <f>IFERROR(VLOOKUP($B47,MMWR_TRAD_AGG_STATE_COMP[],H$1,0),"ERROR")</f>
        <v>3198</v>
      </c>
      <c r="I47" s="112">
        <f>IFERROR(VLOOKUP($B47,MMWR_TRAD_AGG_STATE_COMP[],I$1,0),"ERROR")</f>
        <v>2223</v>
      </c>
      <c r="J47" s="114">
        <f t="shared" si="5"/>
        <v>0.69512195121951215</v>
      </c>
      <c r="K47" s="111">
        <f>IFERROR(VLOOKUP($B47,MMWR_TRAD_AGG_STATE_COMP[],K$1,0),"ERROR")</f>
        <v>1478</v>
      </c>
      <c r="L47" s="112">
        <f>IFERROR(VLOOKUP($B47,MMWR_TRAD_AGG_STATE_COMP[],L$1,0),"ERROR")</f>
        <v>1190</v>
      </c>
      <c r="M47" s="114">
        <f t="shared" si="6"/>
        <v>0.80514208389715836</v>
      </c>
      <c r="N47" s="111">
        <f>IFERROR(VLOOKUP($B47,MMWR_TRAD_AGG_STATE_COMP[],N$1,0),"ERROR")</f>
        <v>382</v>
      </c>
      <c r="O47" s="112">
        <f>IFERROR(VLOOKUP($B47,MMWR_TRAD_AGG_STATE_COMP[],O$1,0),"ERROR")</f>
        <v>259</v>
      </c>
      <c r="P47" s="114">
        <f t="shared" si="7"/>
        <v>0.67801047120418845</v>
      </c>
      <c r="Q47" s="115">
        <f>IFERROR(VLOOKUP($B47,MMWR_TRAD_AGG_STATE_COMP[],Q$1,0),"ERROR")</f>
        <v>0</v>
      </c>
      <c r="R47" s="115">
        <f>IFERROR(VLOOKUP($B47,MMWR_TRAD_AGG_STATE_COMP[],R$1,0),"ERROR")</f>
        <v>3</v>
      </c>
      <c r="S47" s="115">
        <f>IFERROR(VLOOKUP($B47,MMWR_APP_STATE_COMP[],S$1,0),"ERROR")</f>
        <v>258</v>
      </c>
      <c r="T47" s="28"/>
    </row>
    <row r="48" spans="1:20" s="123" customFormat="1" x14ac:dyDescent="0.2">
      <c r="A48" s="28"/>
      <c r="B48" s="127" t="s">
        <v>426</v>
      </c>
      <c r="C48" s="109">
        <f>IFERROR(VLOOKUP($B48,MMWR_TRAD_AGG_STATE_COMP[],C$1,0),"ERROR")</f>
        <v>3913</v>
      </c>
      <c r="D48" s="110">
        <f>IFERROR(VLOOKUP($B48,MMWR_TRAD_AGG_STATE_COMP[],D$1,0),"ERROR")</f>
        <v>276.75185279840002</v>
      </c>
      <c r="E48" s="111">
        <f>IFERROR(VLOOKUP($B48,MMWR_TRAD_AGG_STATE_COMP[],E$1,0),"ERROR")</f>
        <v>5469</v>
      </c>
      <c r="F48" s="112">
        <f>IFERROR(VLOOKUP($B48,MMWR_TRAD_AGG_STATE_COMP[],F$1,0),"ERROR")</f>
        <v>974</v>
      </c>
      <c r="G48" s="113">
        <f t="shared" si="4"/>
        <v>0.17809471567014079</v>
      </c>
      <c r="H48" s="111">
        <f>IFERROR(VLOOKUP($B48,MMWR_TRAD_AGG_STATE_COMP[],H$1,0),"ERROR")</f>
        <v>7459</v>
      </c>
      <c r="I48" s="112">
        <f>IFERROR(VLOOKUP($B48,MMWR_TRAD_AGG_STATE_COMP[],I$1,0),"ERROR")</f>
        <v>3318</v>
      </c>
      <c r="J48" s="114">
        <f t="shared" si="5"/>
        <v>0.44483174688296018</v>
      </c>
      <c r="K48" s="111">
        <f>IFERROR(VLOOKUP($B48,MMWR_TRAD_AGG_STATE_COMP[],K$1,0),"ERROR")</f>
        <v>1461</v>
      </c>
      <c r="L48" s="112">
        <f>IFERROR(VLOOKUP($B48,MMWR_TRAD_AGG_STATE_COMP[],L$1,0),"ERROR")</f>
        <v>968</v>
      </c>
      <c r="M48" s="114">
        <f t="shared" si="6"/>
        <v>0.66255989048596853</v>
      </c>
      <c r="N48" s="111">
        <f>IFERROR(VLOOKUP($B48,MMWR_TRAD_AGG_STATE_COMP[],N$1,0),"ERROR")</f>
        <v>2713</v>
      </c>
      <c r="O48" s="112">
        <f>IFERROR(VLOOKUP($B48,MMWR_TRAD_AGG_STATE_COMP[],O$1,0),"ERROR")</f>
        <v>1655</v>
      </c>
      <c r="P48" s="114">
        <f t="shared" si="7"/>
        <v>0.61002580169553999</v>
      </c>
      <c r="Q48" s="115">
        <f>IFERROR(VLOOKUP($B48,MMWR_TRAD_AGG_STATE_COMP[],Q$1,0),"ERROR")</f>
        <v>7</v>
      </c>
      <c r="R48" s="115">
        <f>IFERROR(VLOOKUP($B48,MMWR_TRAD_AGG_STATE_COMP[],R$1,0),"ERROR")</f>
        <v>88</v>
      </c>
      <c r="S48" s="115">
        <f>IFERROR(VLOOKUP($B48,MMWR_APP_STATE_COMP[],S$1,0),"ERROR")</f>
        <v>7027</v>
      </c>
      <c r="T48" s="28"/>
    </row>
    <row r="49" spans="1:20" s="123" customFormat="1" x14ac:dyDescent="0.2">
      <c r="A49" s="28"/>
      <c r="B49" s="127" t="s">
        <v>407</v>
      </c>
      <c r="C49" s="109">
        <f>IFERROR(VLOOKUP($B49,MMWR_TRAD_AGG_STATE_COMP[],C$1,0),"ERROR")</f>
        <v>20179</v>
      </c>
      <c r="D49" s="110">
        <f>IFERROR(VLOOKUP($B49,MMWR_TRAD_AGG_STATE_COMP[],D$1,0),"ERROR")</f>
        <v>416.26220328059998</v>
      </c>
      <c r="E49" s="111">
        <f>IFERROR(VLOOKUP($B49,MMWR_TRAD_AGG_STATE_COMP[],E$1,0),"ERROR")</f>
        <v>33124</v>
      </c>
      <c r="F49" s="112">
        <f>IFERROR(VLOOKUP($B49,MMWR_TRAD_AGG_STATE_COMP[],F$1,0),"ERROR")</f>
        <v>6492</v>
      </c>
      <c r="G49" s="113">
        <f t="shared" si="4"/>
        <v>0.19599082236444873</v>
      </c>
      <c r="H49" s="111">
        <f>IFERROR(VLOOKUP($B49,MMWR_TRAD_AGG_STATE_COMP[],H$1,0),"ERROR")</f>
        <v>40293</v>
      </c>
      <c r="I49" s="112">
        <f>IFERROR(VLOOKUP($B49,MMWR_TRAD_AGG_STATE_COMP[],I$1,0),"ERROR")</f>
        <v>22298</v>
      </c>
      <c r="J49" s="114">
        <f t="shared" si="5"/>
        <v>0.55339637157818977</v>
      </c>
      <c r="K49" s="111">
        <f>IFERROR(VLOOKUP($B49,MMWR_TRAD_AGG_STATE_COMP[],K$1,0),"ERROR")</f>
        <v>10369</v>
      </c>
      <c r="L49" s="112">
        <f>IFERROR(VLOOKUP($B49,MMWR_TRAD_AGG_STATE_COMP[],L$1,0),"ERROR")</f>
        <v>8338</v>
      </c>
      <c r="M49" s="114">
        <f t="shared" si="6"/>
        <v>0.80412768830166848</v>
      </c>
      <c r="N49" s="111">
        <f>IFERROR(VLOOKUP($B49,MMWR_TRAD_AGG_STATE_COMP[],N$1,0),"ERROR")</f>
        <v>15493</v>
      </c>
      <c r="O49" s="112">
        <f>IFERROR(VLOOKUP($B49,MMWR_TRAD_AGG_STATE_COMP[],O$1,0),"ERROR")</f>
        <v>10779</v>
      </c>
      <c r="P49" s="114">
        <f t="shared" si="7"/>
        <v>0.69573355709029883</v>
      </c>
      <c r="Q49" s="115">
        <f>IFERROR(VLOOKUP($B49,MMWR_TRAD_AGG_STATE_COMP[],Q$1,0),"ERROR")</f>
        <v>56</v>
      </c>
      <c r="R49" s="115">
        <f>IFERROR(VLOOKUP($B49,MMWR_TRAD_AGG_STATE_COMP[],R$1,0),"ERROR")</f>
        <v>158</v>
      </c>
      <c r="S49" s="115">
        <f>IFERROR(VLOOKUP($B49,MMWR_APP_STATE_COMP[],S$1,0),"ERROR")</f>
        <v>18105</v>
      </c>
      <c r="T49" s="28"/>
    </row>
    <row r="50" spans="1:20" s="123" customFormat="1" x14ac:dyDescent="0.2">
      <c r="A50" s="28"/>
      <c r="B50" s="127" t="s">
        <v>428</v>
      </c>
      <c r="C50" s="109">
        <f>IFERROR(VLOOKUP($B50,MMWR_TRAD_AGG_STATE_COMP[],C$1,0),"ERROR")</f>
        <v>1099</v>
      </c>
      <c r="D50" s="110">
        <f>IFERROR(VLOOKUP($B50,MMWR_TRAD_AGG_STATE_COMP[],D$1,0),"ERROR")</f>
        <v>291.4758871702</v>
      </c>
      <c r="E50" s="111">
        <f>IFERROR(VLOOKUP($B50,MMWR_TRAD_AGG_STATE_COMP[],E$1,0),"ERROR")</f>
        <v>1977</v>
      </c>
      <c r="F50" s="112">
        <f>IFERROR(VLOOKUP($B50,MMWR_TRAD_AGG_STATE_COMP[],F$1,0),"ERROR")</f>
        <v>268</v>
      </c>
      <c r="G50" s="113">
        <f t="shared" si="4"/>
        <v>0.13555892766818411</v>
      </c>
      <c r="H50" s="111">
        <f>IFERROR(VLOOKUP($B50,MMWR_TRAD_AGG_STATE_COMP[],H$1,0),"ERROR")</f>
        <v>2332</v>
      </c>
      <c r="I50" s="112">
        <f>IFERROR(VLOOKUP($B50,MMWR_TRAD_AGG_STATE_COMP[],I$1,0),"ERROR")</f>
        <v>941</v>
      </c>
      <c r="J50" s="114">
        <f t="shared" si="5"/>
        <v>0.403516295025729</v>
      </c>
      <c r="K50" s="111">
        <f>IFERROR(VLOOKUP($B50,MMWR_TRAD_AGG_STATE_COMP[],K$1,0),"ERROR")</f>
        <v>1052</v>
      </c>
      <c r="L50" s="112">
        <f>IFERROR(VLOOKUP($B50,MMWR_TRAD_AGG_STATE_COMP[],L$1,0),"ERROR")</f>
        <v>572</v>
      </c>
      <c r="M50" s="114">
        <f t="shared" si="6"/>
        <v>0.54372623574144485</v>
      </c>
      <c r="N50" s="111">
        <f>IFERROR(VLOOKUP($B50,MMWR_TRAD_AGG_STATE_COMP[],N$1,0),"ERROR")</f>
        <v>659</v>
      </c>
      <c r="O50" s="112">
        <f>IFERROR(VLOOKUP($B50,MMWR_TRAD_AGG_STATE_COMP[],O$1,0),"ERROR")</f>
        <v>405</v>
      </c>
      <c r="P50" s="114">
        <f t="shared" si="7"/>
        <v>0.61456752655538693</v>
      </c>
      <c r="Q50" s="115">
        <f>IFERROR(VLOOKUP($B50,MMWR_TRAD_AGG_STATE_COMP[],Q$1,0),"ERROR")</f>
        <v>2</v>
      </c>
      <c r="R50" s="115">
        <f>IFERROR(VLOOKUP($B50,MMWR_TRAD_AGG_STATE_COMP[],R$1,0),"ERROR")</f>
        <v>4</v>
      </c>
      <c r="S50" s="115">
        <f>IFERROR(VLOOKUP($B50,MMWR_APP_STATE_COMP[],S$1,0),"ERROR")</f>
        <v>1084</v>
      </c>
      <c r="T50" s="28"/>
    </row>
    <row r="51" spans="1:20" s="123" customFormat="1" x14ac:dyDescent="0.2">
      <c r="A51" s="28"/>
      <c r="B51" s="127" t="s">
        <v>408</v>
      </c>
      <c r="C51" s="109">
        <f>IFERROR(VLOOKUP($B51,MMWR_TRAD_AGG_STATE_COMP[],C$1,0),"ERROR")</f>
        <v>634</v>
      </c>
      <c r="D51" s="110">
        <f>IFERROR(VLOOKUP($B51,MMWR_TRAD_AGG_STATE_COMP[],D$1,0),"ERROR")</f>
        <v>221.903785489</v>
      </c>
      <c r="E51" s="111">
        <f>IFERROR(VLOOKUP($B51,MMWR_TRAD_AGG_STATE_COMP[],E$1,0),"ERROR")</f>
        <v>1779</v>
      </c>
      <c r="F51" s="112">
        <f>IFERROR(VLOOKUP($B51,MMWR_TRAD_AGG_STATE_COMP[],F$1,0),"ERROR")</f>
        <v>427</v>
      </c>
      <c r="G51" s="113">
        <f t="shared" si="4"/>
        <v>0.24002248454187747</v>
      </c>
      <c r="H51" s="111">
        <f>IFERROR(VLOOKUP($B51,MMWR_TRAD_AGG_STATE_COMP[],H$1,0),"ERROR")</f>
        <v>1586</v>
      </c>
      <c r="I51" s="112">
        <f>IFERROR(VLOOKUP($B51,MMWR_TRAD_AGG_STATE_COMP[],I$1,0),"ERROR")</f>
        <v>400</v>
      </c>
      <c r="J51" s="114">
        <f t="shared" si="5"/>
        <v>0.25220680958385877</v>
      </c>
      <c r="K51" s="111">
        <f>IFERROR(VLOOKUP($B51,MMWR_TRAD_AGG_STATE_COMP[],K$1,0),"ERROR")</f>
        <v>267</v>
      </c>
      <c r="L51" s="112">
        <f>IFERROR(VLOOKUP($B51,MMWR_TRAD_AGG_STATE_COMP[],L$1,0),"ERROR")</f>
        <v>168</v>
      </c>
      <c r="M51" s="114">
        <f t="shared" si="6"/>
        <v>0.6292134831460674</v>
      </c>
      <c r="N51" s="111">
        <f>IFERROR(VLOOKUP($B51,MMWR_TRAD_AGG_STATE_COMP[],N$1,0),"ERROR")</f>
        <v>485</v>
      </c>
      <c r="O51" s="112">
        <f>IFERROR(VLOOKUP($B51,MMWR_TRAD_AGG_STATE_COMP[],O$1,0),"ERROR")</f>
        <v>288</v>
      </c>
      <c r="P51" s="114">
        <f t="shared" si="7"/>
        <v>0.59381443298969072</v>
      </c>
      <c r="Q51" s="115">
        <f>IFERROR(VLOOKUP($B51,MMWR_TRAD_AGG_STATE_COMP[],Q$1,0),"ERROR")</f>
        <v>1</v>
      </c>
      <c r="R51" s="115">
        <f>IFERROR(VLOOKUP($B51,MMWR_TRAD_AGG_STATE_COMP[],R$1,0),"ERROR")</f>
        <v>6</v>
      </c>
      <c r="S51" s="115">
        <f>IFERROR(VLOOKUP($B51,MMWR_APP_STATE_COMP[],S$1,0),"ERROR")</f>
        <v>897</v>
      </c>
      <c r="T51" s="28"/>
    </row>
    <row r="52" spans="1:20" s="123" customFormat="1" x14ac:dyDescent="0.2">
      <c r="A52" s="28"/>
      <c r="B52" s="127" t="s">
        <v>413</v>
      </c>
      <c r="C52" s="109">
        <f>IFERROR(VLOOKUP($B52,MMWR_TRAD_AGG_STATE_COMP[],C$1,0),"ERROR")</f>
        <v>2955</v>
      </c>
      <c r="D52" s="110">
        <f>IFERROR(VLOOKUP($B52,MMWR_TRAD_AGG_STATE_COMP[],D$1,0),"ERROR")</f>
        <v>447.94382402709999</v>
      </c>
      <c r="E52" s="111">
        <f>IFERROR(VLOOKUP($B52,MMWR_TRAD_AGG_STATE_COMP[],E$1,0),"ERROR")</f>
        <v>3970</v>
      </c>
      <c r="F52" s="112">
        <f>IFERROR(VLOOKUP($B52,MMWR_TRAD_AGG_STATE_COMP[],F$1,0),"ERROR")</f>
        <v>1020</v>
      </c>
      <c r="G52" s="113">
        <f t="shared" si="4"/>
        <v>0.25692695214105793</v>
      </c>
      <c r="H52" s="111">
        <f>IFERROR(VLOOKUP($B52,MMWR_TRAD_AGG_STATE_COMP[],H$1,0),"ERROR")</f>
        <v>4774</v>
      </c>
      <c r="I52" s="112">
        <f>IFERROR(VLOOKUP($B52,MMWR_TRAD_AGG_STATE_COMP[],I$1,0),"ERROR")</f>
        <v>2969</v>
      </c>
      <c r="J52" s="114">
        <f t="shared" si="5"/>
        <v>0.62191034771679932</v>
      </c>
      <c r="K52" s="111">
        <f>IFERROR(VLOOKUP($B52,MMWR_TRAD_AGG_STATE_COMP[],K$1,0),"ERROR")</f>
        <v>1014</v>
      </c>
      <c r="L52" s="112">
        <f>IFERROR(VLOOKUP($B52,MMWR_TRAD_AGG_STATE_COMP[],L$1,0),"ERROR")</f>
        <v>807</v>
      </c>
      <c r="M52" s="114">
        <f t="shared" si="6"/>
        <v>0.79585798816568043</v>
      </c>
      <c r="N52" s="111">
        <f>IFERROR(VLOOKUP($B52,MMWR_TRAD_AGG_STATE_COMP[],N$1,0),"ERROR")</f>
        <v>1974</v>
      </c>
      <c r="O52" s="112">
        <f>IFERROR(VLOOKUP($B52,MMWR_TRAD_AGG_STATE_COMP[],O$1,0),"ERROR")</f>
        <v>1458</v>
      </c>
      <c r="P52" s="114">
        <f t="shared" si="7"/>
        <v>0.73860182370820671</v>
      </c>
      <c r="Q52" s="115">
        <f>IFERROR(VLOOKUP($B52,MMWR_TRAD_AGG_STATE_COMP[],Q$1,0),"ERROR")</f>
        <v>4</v>
      </c>
      <c r="R52" s="115">
        <f>IFERROR(VLOOKUP($B52,MMWR_TRAD_AGG_STATE_COMP[],R$1,0),"ERROR")</f>
        <v>126</v>
      </c>
      <c r="S52" s="115">
        <f>IFERROR(VLOOKUP($B52,MMWR_APP_STATE_COMP[],S$1,0),"ERROR")</f>
        <v>3021</v>
      </c>
      <c r="T52" s="28"/>
    </row>
    <row r="53" spans="1:20" s="123" customFormat="1" x14ac:dyDescent="0.2">
      <c r="A53" s="28"/>
      <c r="B53" s="127" t="s">
        <v>405</v>
      </c>
      <c r="C53" s="109">
        <f>IFERROR(VLOOKUP($B53,MMWR_TRAD_AGG_STATE_COMP[],C$1,0),"ERROR")</f>
        <v>834</v>
      </c>
      <c r="D53" s="110">
        <f>IFERROR(VLOOKUP($B53,MMWR_TRAD_AGG_STATE_COMP[],D$1,0),"ERROR")</f>
        <v>252.5467625899</v>
      </c>
      <c r="E53" s="111">
        <f>IFERROR(VLOOKUP($B53,MMWR_TRAD_AGG_STATE_COMP[],E$1,0),"ERROR")</f>
        <v>2706</v>
      </c>
      <c r="F53" s="112">
        <f>IFERROR(VLOOKUP($B53,MMWR_TRAD_AGG_STATE_COMP[],F$1,0),"ERROR")</f>
        <v>558</v>
      </c>
      <c r="G53" s="113">
        <f t="shared" si="4"/>
        <v>0.20620842572062084</v>
      </c>
      <c r="H53" s="111">
        <f>IFERROR(VLOOKUP($B53,MMWR_TRAD_AGG_STATE_COMP[],H$1,0),"ERROR")</f>
        <v>2040</v>
      </c>
      <c r="I53" s="112">
        <f>IFERROR(VLOOKUP($B53,MMWR_TRAD_AGG_STATE_COMP[],I$1,0),"ERROR")</f>
        <v>744</v>
      </c>
      <c r="J53" s="114">
        <f t="shared" si="5"/>
        <v>0.36470588235294116</v>
      </c>
      <c r="K53" s="111">
        <f>IFERROR(VLOOKUP($B53,MMWR_TRAD_AGG_STATE_COMP[],K$1,0),"ERROR")</f>
        <v>541</v>
      </c>
      <c r="L53" s="112">
        <f>IFERROR(VLOOKUP($B53,MMWR_TRAD_AGG_STATE_COMP[],L$1,0),"ERROR")</f>
        <v>328</v>
      </c>
      <c r="M53" s="114">
        <f t="shared" si="6"/>
        <v>0.60628465804066545</v>
      </c>
      <c r="N53" s="111">
        <f>IFERROR(VLOOKUP($B53,MMWR_TRAD_AGG_STATE_COMP[],N$1,0),"ERROR")</f>
        <v>992</v>
      </c>
      <c r="O53" s="112">
        <f>IFERROR(VLOOKUP($B53,MMWR_TRAD_AGG_STATE_COMP[],O$1,0),"ERROR")</f>
        <v>573</v>
      </c>
      <c r="P53" s="114">
        <f t="shared" si="7"/>
        <v>0.5776209677419355</v>
      </c>
      <c r="Q53" s="115">
        <f>IFERROR(VLOOKUP($B53,MMWR_TRAD_AGG_STATE_COMP[],Q$1,0),"ERROR")</f>
        <v>5</v>
      </c>
      <c r="R53" s="115">
        <f>IFERROR(VLOOKUP($B53,MMWR_TRAD_AGG_STATE_COMP[],R$1,0),"ERROR")</f>
        <v>11</v>
      </c>
      <c r="S53" s="115">
        <f>IFERROR(VLOOKUP($B53,MMWR_APP_STATE_COMP[],S$1,0),"ERROR")</f>
        <v>1701</v>
      </c>
      <c r="T53" s="28"/>
    </row>
    <row r="54" spans="1:20" s="123" customFormat="1" x14ac:dyDescent="0.2">
      <c r="A54" s="28"/>
      <c r="B54" s="127" t="s">
        <v>409</v>
      </c>
      <c r="C54" s="109">
        <f>IFERROR(VLOOKUP($B54,MMWR_TRAD_AGG_STATE_COMP[],C$1,0),"ERROR")</f>
        <v>5544</v>
      </c>
      <c r="D54" s="110">
        <f>IFERROR(VLOOKUP($B54,MMWR_TRAD_AGG_STATE_COMP[],D$1,0),"ERROR")</f>
        <v>436.83279220780003</v>
      </c>
      <c r="E54" s="111">
        <f>IFERROR(VLOOKUP($B54,MMWR_TRAD_AGG_STATE_COMP[],E$1,0),"ERROR")</f>
        <v>4766</v>
      </c>
      <c r="F54" s="112">
        <f>IFERROR(VLOOKUP($B54,MMWR_TRAD_AGG_STATE_COMP[],F$1,0),"ERROR")</f>
        <v>907</v>
      </c>
      <c r="G54" s="113">
        <f t="shared" si="4"/>
        <v>0.1903063365505665</v>
      </c>
      <c r="H54" s="111">
        <f>IFERROR(VLOOKUP($B54,MMWR_TRAD_AGG_STATE_COMP[],H$1,0),"ERROR")</f>
        <v>9212</v>
      </c>
      <c r="I54" s="112">
        <f>IFERROR(VLOOKUP($B54,MMWR_TRAD_AGG_STATE_COMP[],I$1,0),"ERROR")</f>
        <v>5580</v>
      </c>
      <c r="J54" s="114">
        <f t="shared" si="5"/>
        <v>0.60573165436387322</v>
      </c>
      <c r="K54" s="111">
        <f>IFERROR(VLOOKUP($B54,MMWR_TRAD_AGG_STATE_COMP[],K$1,0),"ERROR")</f>
        <v>3145</v>
      </c>
      <c r="L54" s="112">
        <f>IFERROR(VLOOKUP($B54,MMWR_TRAD_AGG_STATE_COMP[],L$1,0),"ERROR")</f>
        <v>2767</v>
      </c>
      <c r="M54" s="114">
        <f t="shared" si="6"/>
        <v>0.87980922098569159</v>
      </c>
      <c r="N54" s="111">
        <f>IFERROR(VLOOKUP($B54,MMWR_TRAD_AGG_STATE_COMP[],N$1,0),"ERROR")</f>
        <v>3203</v>
      </c>
      <c r="O54" s="112">
        <f>IFERROR(VLOOKUP($B54,MMWR_TRAD_AGG_STATE_COMP[],O$1,0),"ERROR")</f>
        <v>2181</v>
      </c>
      <c r="P54" s="114">
        <f t="shared" si="7"/>
        <v>0.68092413362472681</v>
      </c>
      <c r="Q54" s="115">
        <f>IFERROR(VLOOKUP($B54,MMWR_TRAD_AGG_STATE_COMP[],Q$1,0),"ERROR")</f>
        <v>6</v>
      </c>
      <c r="R54" s="115">
        <f>IFERROR(VLOOKUP($B54,MMWR_TRAD_AGG_STATE_COMP[],R$1,0),"ERROR")</f>
        <v>100</v>
      </c>
      <c r="S54" s="115">
        <f>IFERROR(VLOOKUP($B54,MMWR_APP_STATE_COMP[],S$1,0),"ERROR")</f>
        <v>4928</v>
      </c>
      <c r="T54" s="28"/>
    </row>
    <row r="55" spans="1:20" s="123" customFormat="1" x14ac:dyDescent="0.2">
      <c r="A55" s="28"/>
      <c r="B55" s="127" t="s">
        <v>80</v>
      </c>
      <c r="C55" s="109">
        <f>IFERROR(VLOOKUP($B55,MMWR_TRAD_AGG_STATE_COMP[],C$1,0),"ERROR")</f>
        <v>9227</v>
      </c>
      <c r="D55" s="110">
        <f>IFERROR(VLOOKUP($B55,MMWR_TRAD_AGG_STATE_COMP[],D$1,0),"ERROR")</f>
        <v>387.59044109680002</v>
      </c>
      <c r="E55" s="111">
        <f>IFERROR(VLOOKUP($B55,MMWR_TRAD_AGG_STATE_COMP[],E$1,0),"ERROR")</f>
        <v>7373</v>
      </c>
      <c r="F55" s="112">
        <f>IFERROR(VLOOKUP($B55,MMWR_TRAD_AGG_STATE_COMP[],F$1,0),"ERROR")</f>
        <v>1195</v>
      </c>
      <c r="G55" s="113">
        <f t="shared" si="4"/>
        <v>0.16207785162077851</v>
      </c>
      <c r="H55" s="111">
        <f>IFERROR(VLOOKUP($B55,MMWR_TRAD_AGG_STATE_COMP[],H$1,0),"ERROR")</f>
        <v>16640</v>
      </c>
      <c r="I55" s="112">
        <f>IFERROR(VLOOKUP($B55,MMWR_TRAD_AGG_STATE_COMP[],I$1,0),"ERROR")</f>
        <v>9605</v>
      </c>
      <c r="J55" s="114">
        <f t="shared" si="5"/>
        <v>0.57722355769230771</v>
      </c>
      <c r="K55" s="111">
        <f>IFERROR(VLOOKUP($B55,MMWR_TRAD_AGG_STATE_COMP[],K$1,0),"ERROR")</f>
        <v>3871</v>
      </c>
      <c r="L55" s="112">
        <f>IFERROR(VLOOKUP($B55,MMWR_TRAD_AGG_STATE_COMP[],L$1,0),"ERROR")</f>
        <v>2727</v>
      </c>
      <c r="M55" s="114">
        <f t="shared" si="6"/>
        <v>0.70446912942392148</v>
      </c>
      <c r="N55" s="111">
        <f>IFERROR(VLOOKUP($B55,MMWR_TRAD_AGG_STATE_COMP[],N$1,0),"ERROR")</f>
        <v>6057</v>
      </c>
      <c r="O55" s="112">
        <f>IFERROR(VLOOKUP($B55,MMWR_TRAD_AGG_STATE_COMP[],O$1,0),"ERROR")</f>
        <v>4472</v>
      </c>
      <c r="P55" s="114">
        <f t="shared" si="7"/>
        <v>0.73831929998349022</v>
      </c>
      <c r="Q55" s="115">
        <f>IFERROR(VLOOKUP($B55,MMWR_TRAD_AGG_STATE_COMP[],Q$1,0),"ERROR")</f>
        <v>16</v>
      </c>
      <c r="R55" s="115">
        <f>IFERROR(VLOOKUP($B55,MMWR_TRAD_AGG_STATE_COMP[],R$1,0),"ERROR")</f>
        <v>148</v>
      </c>
      <c r="S55" s="115">
        <f>IFERROR(VLOOKUP($B55,MMWR_APP_STATE_COMP[],S$1,0),"ERROR")</f>
        <v>4966</v>
      </c>
      <c r="T55" s="28"/>
    </row>
    <row r="56" spans="1:20" s="123" customFormat="1" x14ac:dyDescent="0.2">
      <c r="A56" s="28"/>
      <c r="B56" s="126" t="s">
        <v>380</v>
      </c>
      <c r="C56" s="102">
        <f>IFERROR(VLOOKUP($B56,MMWR_TRAD_AGG_ST_DISTRICT_COMP[],C$1,0),"ERROR")</f>
        <v>61551</v>
      </c>
      <c r="D56" s="103">
        <f>IFERROR(VLOOKUP($B56,MMWR_TRAD_AGG_ST_DISTRICT_COMP[],D$1,0),"ERROR")</f>
        <v>366.84052249349998</v>
      </c>
      <c r="E56" s="102">
        <f>IFERROR(VLOOKUP($B56,MMWR_TRAD_AGG_ST_DISTRICT_COMP[],E$1,0),"ERROR")</f>
        <v>79272</v>
      </c>
      <c r="F56" s="102">
        <f>IFERROR(VLOOKUP($B56,MMWR_TRAD_AGG_ST_DISTRICT_COMP[],F$1,0),"ERROR")</f>
        <v>18027</v>
      </c>
      <c r="G56" s="104">
        <f t="shared" si="4"/>
        <v>0.22740690281562218</v>
      </c>
      <c r="H56" s="102">
        <f>IFERROR(VLOOKUP($B56,MMWR_TRAD_AGG_ST_DISTRICT_COMP[],H$1,0),"ERROR")</f>
        <v>107058</v>
      </c>
      <c r="I56" s="102">
        <f>IFERROR(VLOOKUP($B56,MMWR_TRAD_AGG_ST_DISTRICT_COMP[],I$1,0),"ERROR")</f>
        <v>59998</v>
      </c>
      <c r="J56" s="105">
        <f t="shared" si="5"/>
        <v>0.56042519008387981</v>
      </c>
      <c r="K56" s="102">
        <f>IFERROR(VLOOKUP($B56,MMWR_TRAD_AGG_ST_DISTRICT_COMP[],K$1,0),"ERROR")</f>
        <v>30340</v>
      </c>
      <c r="L56" s="102">
        <f>IFERROR(VLOOKUP($B56,MMWR_TRAD_AGG_ST_DISTRICT_COMP[],L$1,0),"ERROR")</f>
        <v>24613</v>
      </c>
      <c r="M56" s="105">
        <f t="shared" si="6"/>
        <v>0.81123928806855639</v>
      </c>
      <c r="N56" s="102">
        <f>IFERROR(VLOOKUP($B56,MMWR_TRAD_AGG_ST_DISTRICT_COMP[],N$1,0),"ERROR")</f>
        <v>46601</v>
      </c>
      <c r="O56" s="102">
        <f>IFERROR(VLOOKUP($B56,MMWR_TRAD_AGG_ST_DISTRICT_COMP[],O$1,0),"ERROR")</f>
        <v>32781</v>
      </c>
      <c r="P56" s="105">
        <f t="shared" si="7"/>
        <v>0.70343984034677365</v>
      </c>
      <c r="Q56" s="102">
        <f>IFERROR(VLOOKUP($B56,MMWR_TRAD_AGG_ST_DISTRICT_COMP[],Q$1,0),"ERROR")</f>
        <v>6721</v>
      </c>
      <c r="R56" s="106">
        <f>IFERROR(VLOOKUP($B56,MMWR_TRAD_AGG_ST_DISTRICT_COMP[],R$1,0),"ERROR")</f>
        <v>1275</v>
      </c>
      <c r="S56" s="106">
        <f>SUM(S57:S63)</f>
        <v>89507</v>
      </c>
      <c r="T56" s="28"/>
    </row>
    <row r="57" spans="1:20" s="123" customFormat="1" x14ac:dyDescent="0.2">
      <c r="A57" s="28"/>
      <c r="B57" s="127" t="s">
        <v>388</v>
      </c>
      <c r="C57" s="109">
        <f>IFERROR(VLOOKUP($B57,MMWR_TRAD_AGG_STATE_COMP[],C$1,0),"ERROR")</f>
        <v>10919</v>
      </c>
      <c r="D57" s="110">
        <f>IFERROR(VLOOKUP($B57,MMWR_TRAD_AGG_STATE_COMP[],D$1,0),"ERROR")</f>
        <v>364.63916109529998</v>
      </c>
      <c r="E57" s="111">
        <f>IFERROR(VLOOKUP($B57,MMWR_TRAD_AGG_STATE_COMP[],E$1,0),"ERROR")</f>
        <v>8023</v>
      </c>
      <c r="F57" s="112">
        <f>IFERROR(VLOOKUP($B57,MMWR_TRAD_AGG_STATE_COMP[],F$1,0),"ERROR")</f>
        <v>1884</v>
      </c>
      <c r="G57" s="113">
        <f t="shared" si="4"/>
        <v>0.23482487847438613</v>
      </c>
      <c r="H57" s="111">
        <f>IFERROR(VLOOKUP($B57,MMWR_TRAD_AGG_STATE_COMP[],H$1,0),"ERROR")</f>
        <v>16667</v>
      </c>
      <c r="I57" s="112">
        <f>IFERROR(VLOOKUP($B57,MMWR_TRAD_AGG_STATE_COMP[],I$1,0),"ERROR")</f>
        <v>10031</v>
      </c>
      <c r="J57" s="114">
        <f t="shared" si="5"/>
        <v>0.60184796304073918</v>
      </c>
      <c r="K57" s="111">
        <f>IFERROR(VLOOKUP($B57,MMWR_TRAD_AGG_STATE_COMP[],K$1,0),"ERROR")</f>
        <v>4938</v>
      </c>
      <c r="L57" s="112">
        <f>IFERROR(VLOOKUP($B57,MMWR_TRAD_AGG_STATE_COMP[],L$1,0),"ERROR")</f>
        <v>4215</v>
      </c>
      <c r="M57" s="114">
        <f t="shared" si="6"/>
        <v>0.85358444714459292</v>
      </c>
      <c r="N57" s="111">
        <f>IFERROR(VLOOKUP($B57,MMWR_TRAD_AGG_STATE_COMP[],N$1,0),"ERROR")</f>
        <v>3277</v>
      </c>
      <c r="O57" s="112">
        <f>IFERROR(VLOOKUP($B57,MMWR_TRAD_AGG_STATE_COMP[],O$1,0),"ERROR")</f>
        <v>1938</v>
      </c>
      <c r="P57" s="114">
        <f t="shared" si="7"/>
        <v>0.59139456820262437</v>
      </c>
      <c r="Q57" s="115">
        <f>IFERROR(VLOOKUP($B57,MMWR_TRAD_AGG_STATE_COMP[],Q$1,0),"ERROR")</f>
        <v>561</v>
      </c>
      <c r="R57" s="115">
        <f>IFERROR(VLOOKUP($B57,MMWR_TRAD_AGG_STATE_COMP[],R$1,0),"ERROR")</f>
        <v>410</v>
      </c>
      <c r="S57" s="115">
        <f>IFERROR(VLOOKUP($B57,MMWR_APP_STATE_COMP[],S$1,0),"ERROR")</f>
        <v>9935</v>
      </c>
      <c r="T57" s="28"/>
    </row>
    <row r="58" spans="1:20" s="123" customFormat="1" x14ac:dyDescent="0.2">
      <c r="A58" s="28"/>
      <c r="B58" s="127" t="s">
        <v>425</v>
      </c>
      <c r="C58" s="109">
        <f>IFERROR(VLOOKUP($B58,MMWR_TRAD_AGG_STATE_COMP[],C$1,0),"ERROR")</f>
        <v>18850</v>
      </c>
      <c r="D58" s="110">
        <f>IFERROR(VLOOKUP($B58,MMWR_TRAD_AGG_STATE_COMP[],D$1,0),"ERROR")</f>
        <v>343.67358090189998</v>
      </c>
      <c r="E58" s="111">
        <f>IFERROR(VLOOKUP($B58,MMWR_TRAD_AGG_STATE_COMP[],E$1,0),"ERROR")</f>
        <v>26312</v>
      </c>
      <c r="F58" s="112">
        <f>IFERROR(VLOOKUP($B58,MMWR_TRAD_AGG_STATE_COMP[],F$1,0),"ERROR")</f>
        <v>5844</v>
      </c>
      <c r="G58" s="113">
        <f t="shared" si="4"/>
        <v>0.22210398297354819</v>
      </c>
      <c r="H58" s="111">
        <f>IFERROR(VLOOKUP($B58,MMWR_TRAD_AGG_STATE_COMP[],H$1,0),"ERROR")</f>
        <v>30829</v>
      </c>
      <c r="I58" s="112">
        <f>IFERROR(VLOOKUP($B58,MMWR_TRAD_AGG_STATE_COMP[],I$1,0),"ERROR")</f>
        <v>17300</v>
      </c>
      <c r="J58" s="114">
        <f t="shared" si="5"/>
        <v>0.56115994680333448</v>
      </c>
      <c r="K58" s="111">
        <f>IFERROR(VLOOKUP($B58,MMWR_TRAD_AGG_STATE_COMP[],K$1,0),"ERROR")</f>
        <v>7748</v>
      </c>
      <c r="L58" s="112">
        <f>IFERROR(VLOOKUP($B58,MMWR_TRAD_AGG_STATE_COMP[],L$1,0),"ERROR")</f>
        <v>6073</v>
      </c>
      <c r="M58" s="114">
        <f t="shared" si="6"/>
        <v>0.78381517811048007</v>
      </c>
      <c r="N58" s="111">
        <f>IFERROR(VLOOKUP($B58,MMWR_TRAD_AGG_STATE_COMP[],N$1,0),"ERROR")</f>
        <v>18915</v>
      </c>
      <c r="O58" s="112">
        <f>IFERROR(VLOOKUP($B58,MMWR_TRAD_AGG_STATE_COMP[],O$1,0),"ERROR")</f>
        <v>13153</v>
      </c>
      <c r="P58" s="114">
        <f t="shared" si="7"/>
        <v>0.69537404176579432</v>
      </c>
      <c r="Q58" s="115">
        <f>IFERROR(VLOOKUP($B58,MMWR_TRAD_AGG_STATE_COMP[],Q$1,0),"ERROR")</f>
        <v>2312</v>
      </c>
      <c r="R58" s="115">
        <f>IFERROR(VLOOKUP($B58,MMWR_TRAD_AGG_STATE_COMP[],R$1,0),"ERROR")</f>
        <v>316</v>
      </c>
      <c r="S58" s="115">
        <f>IFERROR(VLOOKUP($B58,MMWR_APP_STATE_COMP[],S$1,0),"ERROR")</f>
        <v>31485</v>
      </c>
      <c r="T58" s="28"/>
    </row>
    <row r="59" spans="1:20" s="123" customFormat="1" x14ac:dyDescent="0.2">
      <c r="A59" s="28"/>
      <c r="B59" s="127" t="s">
        <v>381</v>
      </c>
      <c r="C59" s="109">
        <f>IFERROR(VLOOKUP($B59,MMWR_TRAD_AGG_STATE_COMP[],C$1,0),"ERROR")</f>
        <v>13652</v>
      </c>
      <c r="D59" s="110">
        <f>IFERROR(VLOOKUP($B59,MMWR_TRAD_AGG_STATE_COMP[],D$1,0),"ERROR")</f>
        <v>378.6149282156</v>
      </c>
      <c r="E59" s="111">
        <f>IFERROR(VLOOKUP($B59,MMWR_TRAD_AGG_STATE_COMP[],E$1,0),"ERROR")</f>
        <v>19662</v>
      </c>
      <c r="F59" s="112">
        <f>IFERROR(VLOOKUP($B59,MMWR_TRAD_AGG_STATE_COMP[],F$1,0),"ERROR")</f>
        <v>5207</v>
      </c>
      <c r="G59" s="113">
        <f t="shared" si="4"/>
        <v>0.26482555182585699</v>
      </c>
      <c r="H59" s="111">
        <f>IFERROR(VLOOKUP($B59,MMWR_TRAD_AGG_STATE_COMP[],H$1,0),"ERROR")</f>
        <v>23572</v>
      </c>
      <c r="I59" s="112">
        <f>IFERROR(VLOOKUP($B59,MMWR_TRAD_AGG_STATE_COMP[],I$1,0),"ERROR")</f>
        <v>13708</v>
      </c>
      <c r="J59" s="114">
        <f t="shared" si="5"/>
        <v>0.58153741727473274</v>
      </c>
      <c r="K59" s="111">
        <f>IFERROR(VLOOKUP($B59,MMWR_TRAD_AGG_STATE_COMP[],K$1,0),"ERROR")</f>
        <v>8610</v>
      </c>
      <c r="L59" s="112">
        <f>IFERROR(VLOOKUP($B59,MMWR_TRAD_AGG_STATE_COMP[],L$1,0),"ERROR")</f>
        <v>7038</v>
      </c>
      <c r="M59" s="114">
        <f t="shared" si="6"/>
        <v>0.81742160278745646</v>
      </c>
      <c r="N59" s="111">
        <f>IFERROR(VLOOKUP($B59,MMWR_TRAD_AGG_STATE_COMP[],N$1,0),"ERROR")</f>
        <v>13182</v>
      </c>
      <c r="O59" s="112">
        <f>IFERROR(VLOOKUP($B59,MMWR_TRAD_AGG_STATE_COMP[],O$1,0),"ERROR")</f>
        <v>10305</v>
      </c>
      <c r="P59" s="114">
        <f t="shared" si="7"/>
        <v>0.78174783796085567</v>
      </c>
      <c r="Q59" s="115">
        <f>IFERROR(VLOOKUP($B59,MMWR_TRAD_AGG_STATE_COMP[],Q$1,0),"ERROR")</f>
        <v>1161</v>
      </c>
      <c r="R59" s="115">
        <f>IFERROR(VLOOKUP($B59,MMWR_TRAD_AGG_STATE_COMP[],R$1,0),"ERROR")</f>
        <v>41</v>
      </c>
      <c r="S59" s="115">
        <f>IFERROR(VLOOKUP($B59,MMWR_APP_STATE_COMP[],S$1,0),"ERROR")</f>
        <v>19006</v>
      </c>
      <c r="T59" s="28"/>
    </row>
    <row r="60" spans="1:20" s="123" customFormat="1" x14ac:dyDescent="0.2">
      <c r="A60" s="28"/>
      <c r="B60" s="127" t="s">
        <v>393</v>
      </c>
      <c r="C60" s="109">
        <f>IFERROR(VLOOKUP($B60,MMWR_TRAD_AGG_STATE_COMP[],C$1,0),"ERROR")</f>
        <v>5598</v>
      </c>
      <c r="D60" s="110">
        <f>IFERROR(VLOOKUP($B60,MMWR_TRAD_AGG_STATE_COMP[],D$1,0),"ERROR")</f>
        <v>531.30635941410003</v>
      </c>
      <c r="E60" s="111">
        <f>IFERROR(VLOOKUP($B60,MMWR_TRAD_AGG_STATE_COMP[],E$1,0),"ERROR")</f>
        <v>3826</v>
      </c>
      <c r="F60" s="112">
        <f>IFERROR(VLOOKUP($B60,MMWR_TRAD_AGG_STATE_COMP[],F$1,0),"ERROR")</f>
        <v>497</v>
      </c>
      <c r="G60" s="113">
        <f t="shared" si="4"/>
        <v>0.12990067956089912</v>
      </c>
      <c r="H60" s="111">
        <f>IFERROR(VLOOKUP($B60,MMWR_TRAD_AGG_STATE_COMP[],H$1,0),"ERROR")</f>
        <v>8961</v>
      </c>
      <c r="I60" s="112">
        <f>IFERROR(VLOOKUP($B60,MMWR_TRAD_AGG_STATE_COMP[],I$1,0),"ERROR")</f>
        <v>5973</v>
      </c>
      <c r="J60" s="114">
        <f t="shared" si="5"/>
        <v>0.66655507197857378</v>
      </c>
      <c r="K60" s="111">
        <f>IFERROR(VLOOKUP($B60,MMWR_TRAD_AGG_STATE_COMP[],K$1,0),"ERROR")</f>
        <v>2311</v>
      </c>
      <c r="L60" s="112">
        <f>IFERROR(VLOOKUP($B60,MMWR_TRAD_AGG_STATE_COMP[],L$1,0),"ERROR")</f>
        <v>1976</v>
      </c>
      <c r="M60" s="114">
        <f t="shared" si="6"/>
        <v>0.85504110774556474</v>
      </c>
      <c r="N60" s="111">
        <f>IFERROR(VLOOKUP($B60,MMWR_TRAD_AGG_STATE_COMP[],N$1,0),"ERROR")</f>
        <v>2154</v>
      </c>
      <c r="O60" s="112">
        <f>IFERROR(VLOOKUP($B60,MMWR_TRAD_AGG_STATE_COMP[],O$1,0),"ERROR")</f>
        <v>1408</v>
      </c>
      <c r="P60" s="114">
        <f t="shared" si="7"/>
        <v>0.65366759517177342</v>
      </c>
      <c r="Q60" s="115">
        <f>IFERROR(VLOOKUP($B60,MMWR_TRAD_AGG_STATE_COMP[],Q$1,0),"ERROR")</f>
        <v>712</v>
      </c>
      <c r="R60" s="115">
        <f>IFERROR(VLOOKUP($B60,MMWR_TRAD_AGG_STATE_COMP[],R$1,0),"ERROR")</f>
        <v>157</v>
      </c>
      <c r="S60" s="115">
        <f>IFERROR(VLOOKUP($B60,MMWR_APP_STATE_COMP[],S$1,0),"ERROR")</f>
        <v>3261</v>
      </c>
      <c r="T60" s="28"/>
    </row>
    <row r="61" spans="1:20" s="123" customFormat="1" x14ac:dyDescent="0.2">
      <c r="A61" s="28"/>
      <c r="B61" s="127" t="s">
        <v>427</v>
      </c>
      <c r="C61" s="109">
        <f>IFERROR(VLOOKUP($B61,MMWR_TRAD_AGG_STATE_COMP[],C$1,0),"ERROR")</f>
        <v>1132</v>
      </c>
      <c r="D61" s="110">
        <f>IFERROR(VLOOKUP($B61,MMWR_TRAD_AGG_STATE_COMP[],D$1,0),"ERROR")</f>
        <v>260.83922261480001</v>
      </c>
      <c r="E61" s="111">
        <f>IFERROR(VLOOKUP($B61,MMWR_TRAD_AGG_STATE_COMP[],E$1,0),"ERROR")</f>
        <v>2402</v>
      </c>
      <c r="F61" s="112">
        <f>IFERROR(VLOOKUP($B61,MMWR_TRAD_AGG_STATE_COMP[],F$1,0),"ERROR")</f>
        <v>550</v>
      </c>
      <c r="G61" s="113">
        <f t="shared" si="4"/>
        <v>0.22897585345545379</v>
      </c>
      <c r="H61" s="111">
        <f>IFERROR(VLOOKUP($B61,MMWR_TRAD_AGG_STATE_COMP[],H$1,0),"ERROR")</f>
        <v>4903</v>
      </c>
      <c r="I61" s="112">
        <f>IFERROR(VLOOKUP($B61,MMWR_TRAD_AGG_STATE_COMP[],I$1,0),"ERROR")</f>
        <v>2036</v>
      </c>
      <c r="J61" s="114">
        <f t="shared" si="5"/>
        <v>0.41525596573526413</v>
      </c>
      <c r="K61" s="111">
        <f>IFERROR(VLOOKUP($B61,MMWR_TRAD_AGG_STATE_COMP[],K$1,0),"ERROR")</f>
        <v>1008</v>
      </c>
      <c r="L61" s="112">
        <f>IFERROR(VLOOKUP($B61,MMWR_TRAD_AGG_STATE_COMP[],L$1,0),"ERROR")</f>
        <v>846</v>
      </c>
      <c r="M61" s="114">
        <f t="shared" si="6"/>
        <v>0.8392857142857143</v>
      </c>
      <c r="N61" s="111">
        <f>IFERROR(VLOOKUP($B61,MMWR_TRAD_AGG_STATE_COMP[],N$1,0),"ERROR")</f>
        <v>2086</v>
      </c>
      <c r="O61" s="112">
        <f>IFERROR(VLOOKUP($B61,MMWR_TRAD_AGG_STATE_COMP[],O$1,0),"ERROR")</f>
        <v>1474</v>
      </c>
      <c r="P61" s="114">
        <f t="shared" si="7"/>
        <v>0.70661553211888783</v>
      </c>
      <c r="Q61" s="115">
        <f>IFERROR(VLOOKUP($B61,MMWR_TRAD_AGG_STATE_COMP[],Q$1,0),"ERROR")</f>
        <v>410</v>
      </c>
      <c r="R61" s="115">
        <f>IFERROR(VLOOKUP($B61,MMWR_TRAD_AGG_STATE_COMP[],R$1,0),"ERROR")</f>
        <v>2</v>
      </c>
      <c r="S61" s="115">
        <f>IFERROR(VLOOKUP($B61,MMWR_APP_STATE_COMP[],S$1,0),"ERROR")</f>
        <v>5126</v>
      </c>
      <c r="T61" s="28"/>
    </row>
    <row r="62" spans="1:20" s="123" customFormat="1" x14ac:dyDescent="0.2">
      <c r="A62" s="28"/>
      <c r="B62" s="127" t="s">
        <v>383</v>
      </c>
      <c r="C62" s="109">
        <f>IFERROR(VLOOKUP($B62,MMWR_TRAD_AGG_STATE_COMP[],C$1,0),"ERROR")</f>
        <v>7366</v>
      </c>
      <c r="D62" s="110">
        <f>IFERROR(VLOOKUP($B62,MMWR_TRAD_AGG_STATE_COMP[],D$1,0),"ERROR")</f>
        <v>336.04860168340002</v>
      </c>
      <c r="E62" s="111">
        <f>IFERROR(VLOOKUP($B62,MMWR_TRAD_AGG_STATE_COMP[],E$1,0),"ERROR")</f>
        <v>9726</v>
      </c>
      <c r="F62" s="112">
        <f>IFERROR(VLOOKUP($B62,MMWR_TRAD_AGG_STATE_COMP[],F$1,0),"ERROR")</f>
        <v>2472</v>
      </c>
      <c r="G62" s="113">
        <f t="shared" si="4"/>
        <v>0.25416409623689079</v>
      </c>
      <c r="H62" s="111">
        <f>IFERROR(VLOOKUP($B62,MMWR_TRAD_AGG_STATE_COMP[],H$1,0),"ERROR")</f>
        <v>12919</v>
      </c>
      <c r="I62" s="112">
        <f>IFERROR(VLOOKUP($B62,MMWR_TRAD_AGG_STATE_COMP[],I$1,0),"ERROR")</f>
        <v>7281</v>
      </c>
      <c r="J62" s="114">
        <f t="shared" si="5"/>
        <v>0.56358851304280522</v>
      </c>
      <c r="K62" s="111">
        <f>IFERROR(VLOOKUP($B62,MMWR_TRAD_AGG_STATE_COMP[],K$1,0),"ERROR")</f>
        <v>2895</v>
      </c>
      <c r="L62" s="112">
        <f>IFERROR(VLOOKUP($B62,MMWR_TRAD_AGG_STATE_COMP[],L$1,0),"ERROR")</f>
        <v>2218</v>
      </c>
      <c r="M62" s="114">
        <f t="shared" si="6"/>
        <v>0.76614853195164079</v>
      </c>
      <c r="N62" s="111">
        <f>IFERROR(VLOOKUP($B62,MMWR_TRAD_AGG_STATE_COMP[],N$1,0),"ERROR")</f>
        <v>3775</v>
      </c>
      <c r="O62" s="112">
        <f>IFERROR(VLOOKUP($B62,MMWR_TRAD_AGG_STATE_COMP[],O$1,0),"ERROR")</f>
        <v>2441</v>
      </c>
      <c r="P62" s="114">
        <f t="shared" si="7"/>
        <v>0.64662251655629144</v>
      </c>
      <c r="Q62" s="115">
        <f>IFERROR(VLOOKUP($B62,MMWR_TRAD_AGG_STATE_COMP[],Q$1,0),"ERROR")</f>
        <v>742</v>
      </c>
      <c r="R62" s="115">
        <f>IFERROR(VLOOKUP($B62,MMWR_TRAD_AGG_STATE_COMP[],R$1,0),"ERROR")</f>
        <v>63</v>
      </c>
      <c r="S62" s="115">
        <f>IFERROR(VLOOKUP($B62,MMWR_APP_STATE_COMP[],S$1,0),"ERROR")</f>
        <v>13330</v>
      </c>
      <c r="T62" s="28"/>
    </row>
    <row r="63" spans="1:20" s="123" customFormat="1" x14ac:dyDescent="0.2">
      <c r="A63" s="28"/>
      <c r="B63" s="127" t="s">
        <v>384</v>
      </c>
      <c r="C63" s="109">
        <f>IFERROR(VLOOKUP($B63,MMWR_TRAD_AGG_STATE_COMP[],C$1,0),"ERROR")</f>
        <v>4034</v>
      </c>
      <c r="D63" s="110">
        <f>IFERROR(VLOOKUP($B63,MMWR_TRAD_AGG_STATE_COMP[],D$1,0),"ERROR")</f>
        <v>298.94670302430001</v>
      </c>
      <c r="E63" s="111">
        <f>IFERROR(VLOOKUP($B63,MMWR_TRAD_AGG_STATE_COMP[],E$1,0),"ERROR")</f>
        <v>9321</v>
      </c>
      <c r="F63" s="112">
        <f>IFERROR(VLOOKUP($B63,MMWR_TRAD_AGG_STATE_COMP[],F$1,0),"ERROR")</f>
        <v>1573</v>
      </c>
      <c r="G63" s="113">
        <f t="shared" si="4"/>
        <v>0.16875871687587168</v>
      </c>
      <c r="H63" s="111">
        <f>IFERROR(VLOOKUP($B63,MMWR_TRAD_AGG_STATE_COMP[],H$1,0),"ERROR")</f>
        <v>9207</v>
      </c>
      <c r="I63" s="112">
        <f>IFERROR(VLOOKUP($B63,MMWR_TRAD_AGG_STATE_COMP[],I$1,0),"ERROR")</f>
        <v>3669</v>
      </c>
      <c r="J63" s="114">
        <f t="shared" si="5"/>
        <v>0.39850114043662432</v>
      </c>
      <c r="K63" s="111">
        <f>IFERROR(VLOOKUP($B63,MMWR_TRAD_AGG_STATE_COMP[],K$1,0),"ERROR")</f>
        <v>2830</v>
      </c>
      <c r="L63" s="112">
        <f>IFERROR(VLOOKUP($B63,MMWR_TRAD_AGG_STATE_COMP[],L$1,0),"ERROR")</f>
        <v>2247</v>
      </c>
      <c r="M63" s="114">
        <f t="shared" si="6"/>
        <v>0.79399293286219086</v>
      </c>
      <c r="N63" s="111">
        <f>IFERROR(VLOOKUP($B63,MMWR_TRAD_AGG_STATE_COMP[],N$1,0),"ERROR")</f>
        <v>3212</v>
      </c>
      <c r="O63" s="112">
        <f>IFERROR(VLOOKUP($B63,MMWR_TRAD_AGG_STATE_COMP[],O$1,0),"ERROR")</f>
        <v>2062</v>
      </c>
      <c r="P63" s="114">
        <f t="shared" si="7"/>
        <v>0.64196762141967623</v>
      </c>
      <c r="Q63" s="115">
        <f>IFERROR(VLOOKUP($B63,MMWR_TRAD_AGG_STATE_COMP[],Q$1,0),"ERROR")</f>
        <v>823</v>
      </c>
      <c r="R63" s="115">
        <f>IFERROR(VLOOKUP($B63,MMWR_TRAD_AGG_STATE_COMP[],R$1,0),"ERROR")</f>
        <v>286</v>
      </c>
      <c r="S63" s="115">
        <f>IFERROR(VLOOKUP($B63,MMWR_APP_STATE_COMP[],S$1,0),"ERROR")</f>
        <v>7364</v>
      </c>
      <c r="T63" s="28"/>
    </row>
    <row r="64" spans="1:20" s="123" customFormat="1" x14ac:dyDescent="0.2">
      <c r="A64" s="28"/>
      <c r="B64" s="128" t="s">
        <v>8</v>
      </c>
      <c r="C64" s="102">
        <f>IFERROR(VLOOKUP($B64,MMWR_TRAD_AGG_ST_DISTRICT_COMP[],C$1,0),"ERROR")</f>
        <v>3230</v>
      </c>
      <c r="D64" s="103">
        <f>IFERROR(VLOOKUP($B64,MMWR_TRAD_AGG_ST_DISTRICT_COMP[],D$1,0),"ERROR")</f>
        <v>352.26625387000001</v>
      </c>
      <c r="E64" s="102">
        <f>IFERROR(VLOOKUP($B64,MMWR_TRAD_AGG_ST_DISTRICT_COMP[],E$1,0),"ERROR")</f>
        <v>4573</v>
      </c>
      <c r="F64" s="102">
        <f>IFERROR(VLOOKUP($B64,MMWR_TRAD_AGG_ST_DISTRICT_COMP[],F$1,0),"ERROR")</f>
        <v>1866</v>
      </c>
      <c r="G64" s="104">
        <f t="shared" si="4"/>
        <v>0.40804723376339386</v>
      </c>
      <c r="H64" s="102">
        <f>IFERROR(VLOOKUP($B64,MMWR_TRAD_AGG_ST_DISTRICT_COMP[],H$1,0),"ERROR")</f>
        <v>5153</v>
      </c>
      <c r="I64" s="102">
        <f>IFERROR(VLOOKUP($B64,MMWR_TRAD_AGG_ST_DISTRICT_COMP[],I$1,0),"ERROR")</f>
        <v>3008</v>
      </c>
      <c r="J64" s="105">
        <f t="shared" si="5"/>
        <v>0.58373762856588396</v>
      </c>
      <c r="K64" s="102">
        <f>IFERROR(VLOOKUP($B64,MMWR_TRAD_AGG_ST_DISTRICT_COMP[],K$1,0),"ERROR")</f>
        <v>1410</v>
      </c>
      <c r="L64" s="102">
        <f>IFERROR(VLOOKUP($B64,MMWR_TRAD_AGG_ST_DISTRICT_COMP[],L$1,0),"ERROR")</f>
        <v>974</v>
      </c>
      <c r="M64" s="105">
        <f t="shared" si="6"/>
        <v>0.69078014184397163</v>
      </c>
      <c r="N64" s="102">
        <f>IFERROR(VLOOKUP($B64,MMWR_TRAD_AGG_ST_DISTRICT_COMP[],N$1,0),"ERROR")</f>
        <v>1229</v>
      </c>
      <c r="O64" s="102">
        <f>IFERROR(VLOOKUP($B64,MMWR_TRAD_AGG_ST_DISTRICT_COMP[],O$1,0),"ERROR")</f>
        <v>807</v>
      </c>
      <c r="P64" s="105">
        <f t="shared" si="7"/>
        <v>0.6566314076484947</v>
      </c>
      <c r="Q64" s="102">
        <f>IFERROR(VLOOKUP($B64,MMWR_TRAD_AGG_ST_DISTRICT_COMP[],Q$1,0),"ERROR")</f>
        <v>474</v>
      </c>
      <c r="R64" s="106">
        <f>IFERROR(VLOOKUP($B64,MMWR_TRAD_AGG_ST_DISTRICT_COMP[],R$1,0),"ERROR")</f>
        <v>161</v>
      </c>
      <c r="S64" s="106">
        <f>IFERROR(VLOOKUP($B64,MMWR_APP_STATE_COMP[],S$1,0),"ERROR")</f>
        <v>333</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487</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225</v>
      </c>
      <c r="D67" s="462"/>
      <c r="E67" s="459" t="s">
        <v>205</v>
      </c>
      <c r="F67" s="460"/>
      <c r="G67" s="461"/>
      <c r="H67" s="459" t="s">
        <v>7</v>
      </c>
      <c r="I67" s="460"/>
      <c r="J67" s="461"/>
      <c r="K67" s="459" t="s">
        <v>30</v>
      </c>
      <c r="L67" s="460"/>
      <c r="M67" s="461"/>
      <c r="N67" s="459" t="s">
        <v>8</v>
      </c>
      <c r="O67" s="460"/>
      <c r="P67" s="461"/>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488</v>
      </c>
      <c r="T68" s="28"/>
    </row>
    <row r="69" spans="1:20" s="123" customFormat="1" x14ac:dyDescent="0.2">
      <c r="A69" s="28"/>
      <c r="B69" s="129" t="s">
        <v>462</v>
      </c>
      <c r="C69" s="119">
        <f>IFERROR(VLOOKUP($B69,MMWR_TRAD_AGG_RO_PEN[],C$1,0),"ERROR")</f>
        <v>25388</v>
      </c>
      <c r="D69" s="120">
        <f>IFERROR(VLOOKUP($B69,MMWR_TRAD_AGG_RO_PEN[],D$1,0),"ERROR")</f>
        <v>92.067118323599999</v>
      </c>
      <c r="E69" s="119">
        <f>IFERROR(VLOOKUP($B69,MMWR_TRAD_AGG_RO_PEN[],E$1,0),"ERROR")</f>
        <v>32200</v>
      </c>
      <c r="F69" s="119">
        <f>IFERROR(VLOOKUP($B69,MMWR_TRAD_AGG_RO_PEN[],F$1,0),"ERROR")</f>
        <v>4410</v>
      </c>
      <c r="G69" s="98">
        <f t="shared" ref="G69:G100" si="8">IFERROR(F69/E69,"0%")</f>
        <v>0.13695652173913042</v>
      </c>
      <c r="H69" s="119">
        <f>IFERROR(VLOOKUP($B69,MMWR_TRAD_AGG_RO_PEN[],H$1,0),"ERROR")</f>
        <v>34860</v>
      </c>
      <c r="I69" s="119">
        <f>IFERROR(VLOOKUP($B69,MMWR_TRAD_AGG_RO_PEN[],I$1,0),"ERROR")</f>
        <v>8716</v>
      </c>
      <c r="J69" s="98">
        <f t="shared" ref="J69:J100" si="9">IFERROR(I69/H69,"0%")</f>
        <v>0.25002868617326451</v>
      </c>
      <c r="K69" s="119">
        <f>IFERROR(VLOOKUP($B69,MMWR_TRAD_AGG_RO_PEN[],K$1,0),"ERROR")</f>
        <v>272</v>
      </c>
      <c r="L69" s="119">
        <f>IFERROR(VLOOKUP($B69,MMWR_TRAD_AGG_RO_PEN[],L$1,0),"ERROR")</f>
        <v>252</v>
      </c>
      <c r="M69" s="98">
        <f t="shared" ref="M69:M100" si="10">IFERROR(L69/K69,"0%")</f>
        <v>0.92647058823529416</v>
      </c>
      <c r="N69" s="119">
        <f>IFERROR(VLOOKUP($B69,MMWR_TRAD_AGG_RO_PEN[],N$1,0),"ERROR")</f>
        <v>1653</v>
      </c>
      <c r="O69" s="119">
        <f>IFERROR(VLOOKUP($B69,MMWR_TRAD_AGG_RO_PEN[],O$1,0),"ERROR")</f>
        <v>469</v>
      </c>
      <c r="P69" s="98">
        <f t="shared" ref="P69:P100" si="11">IFERROR(O69/N69,"0%")</f>
        <v>0.28372655777374473</v>
      </c>
      <c r="Q69" s="119">
        <f>IFERROR(VLOOKUP($B69,MMWR_TRAD_AGG_RO_PEN[],Q$1,0),"ERROR")</f>
        <v>12216</v>
      </c>
      <c r="R69" s="121">
        <f>IFERROR(VLOOKUP($B69,MMWR_TRAD_AGG_RO_PEN[],R$1,0),"ERROR")</f>
        <v>5685</v>
      </c>
      <c r="S69" s="121">
        <f>S70+S86+S99+S109+S119+S127</f>
        <v>5431</v>
      </c>
      <c r="T69" s="28"/>
    </row>
    <row r="70" spans="1:20" s="123" customFormat="1" x14ac:dyDescent="0.2">
      <c r="A70" s="28"/>
      <c r="B70" s="126" t="s">
        <v>369</v>
      </c>
      <c r="C70" s="102">
        <f>IFERROR(VLOOKUP($B70,MMWR_TRAD_AGG_ST_DISTRICT_PEN[],C$1,0),"ERROR")</f>
        <v>7863</v>
      </c>
      <c r="D70" s="103">
        <f>IFERROR(VLOOKUP($B70,MMWR_TRAD_AGG_ST_DISTRICT_PEN[],D$1,0),"ERROR")</f>
        <v>106.1100089025</v>
      </c>
      <c r="E70" s="102">
        <f>IFERROR(VLOOKUP($B70,MMWR_TRAD_AGG_ST_DISTRICT_PEN[],E$1,0),"ERROR")</f>
        <v>10843</v>
      </c>
      <c r="F70" s="102">
        <f>IFERROR(VLOOKUP($B70,MMWR_TRAD_AGG_ST_DISTRICT_PEN[],F$1,0),"ERROR")</f>
        <v>1970</v>
      </c>
      <c r="G70" s="104">
        <f t="shared" si="8"/>
        <v>0.18168403578345477</v>
      </c>
      <c r="H70" s="102">
        <f>IFERROR(VLOOKUP($B70,MMWR_TRAD_AGG_ST_DISTRICT_PEN[],H$1,0),"ERROR")</f>
        <v>10287</v>
      </c>
      <c r="I70" s="102">
        <f>IFERROR(VLOOKUP($B70,MMWR_TRAD_AGG_ST_DISTRICT_PEN[],I$1,0),"ERROR")</f>
        <v>3434</v>
      </c>
      <c r="J70" s="104">
        <f t="shared" si="9"/>
        <v>0.33381938368815012</v>
      </c>
      <c r="K70" s="102">
        <f>IFERROR(VLOOKUP($B70,MMWR_TRAD_AGG_ST_DISTRICT_PEN[],K$1,0),"ERROR")</f>
        <v>179</v>
      </c>
      <c r="L70" s="102">
        <f>IFERROR(VLOOKUP($B70,MMWR_TRAD_AGG_ST_DISTRICT_PEN[],L$1,0),"ERROR")</f>
        <v>172</v>
      </c>
      <c r="M70" s="104">
        <f t="shared" si="10"/>
        <v>0.96089385474860334</v>
      </c>
      <c r="N70" s="102">
        <f>IFERROR(VLOOKUP($B70,MMWR_TRAD_AGG_ST_DISTRICT_PEN[],N$1,0),"ERROR")</f>
        <v>433</v>
      </c>
      <c r="O70" s="102">
        <f>IFERROR(VLOOKUP($B70,MMWR_TRAD_AGG_ST_DISTRICT_PEN[],O$1,0),"ERROR")</f>
        <v>136</v>
      </c>
      <c r="P70" s="104">
        <f t="shared" si="11"/>
        <v>0.31408775981524251</v>
      </c>
      <c r="Q70" s="102">
        <f>IFERROR(VLOOKUP($B70,MMWR_TRAD_AGG_ST_DISTRICT_PEN[],Q$1,0),"ERROR")</f>
        <v>1275</v>
      </c>
      <c r="R70" s="106">
        <f>IFERROR(VLOOKUP($B70,MMWR_TRAD_AGG_ST_DISTRICT_PEN[],R$1,0),"ERROR")</f>
        <v>1875</v>
      </c>
      <c r="S70" s="106">
        <f>IFERROR(VLOOKUP($B70,MMWR_APP_STATE_PEN[],S$1,0),"ERROR")</f>
        <v>1059</v>
      </c>
      <c r="T70" s="28"/>
    </row>
    <row r="71" spans="1:20" s="123" customFormat="1" x14ac:dyDescent="0.2">
      <c r="A71" s="28"/>
      <c r="B71" s="127" t="s">
        <v>373</v>
      </c>
      <c r="C71" s="109">
        <f>IFERROR(VLOOKUP($B71,MMWR_TRAD_AGG_STATE_PEN[],C$1,0),"ERROR")</f>
        <v>228</v>
      </c>
      <c r="D71" s="110">
        <f>IFERROR(VLOOKUP($B71,MMWR_TRAD_AGG_STATE_PEN[],D$1,0),"ERROR")</f>
        <v>109.6929824561</v>
      </c>
      <c r="E71" s="111">
        <f>IFERROR(VLOOKUP($B71,MMWR_TRAD_AGG_STATE_PEN[],E$1,0),"ERROR")</f>
        <v>393</v>
      </c>
      <c r="F71" s="112">
        <f>IFERROR(VLOOKUP($B71,MMWR_TRAD_AGG_STATE_PEN[],F$1,0),"ERROR")</f>
        <v>52</v>
      </c>
      <c r="G71" s="113">
        <f t="shared" si="8"/>
        <v>0.13231552162849872</v>
      </c>
      <c r="H71" s="111">
        <f>IFERROR(VLOOKUP($B71,MMWR_TRAD_AGG_STATE_PEN[],H$1,0),"ERROR")</f>
        <v>293</v>
      </c>
      <c r="I71" s="112">
        <f>IFERROR(VLOOKUP($B71,MMWR_TRAD_AGG_STATE_PEN[],I$1,0),"ERROR")</f>
        <v>90</v>
      </c>
      <c r="J71" s="114">
        <f t="shared" si="9"/>
        <v>0.30716723549488056</v>
      </c>
      <c r="K71" s="111">
        <f>IFERROR(VLOOKUP($B71,MMWR_TRAD_AGG_STATE_PEN[],K$1,0),"ERROR")</f>
        <v>1</v>
      </c>
      <c r="L71" s="112">
        <f>IFERROR(VLOOKUP($B71,MMWR_TRAD_AGG_STATE_PEN[],L$1,0),"ERROR")</f>
        <v>0</v>
      </c>
      <c r="M71" s="114">
        <f t="shared" si="10"/>
        <v>0</v>
      </c>
      <c r="N71" s="111">
        <f>IFERROR(VLOOKUP($B71,MMWR_TRAD_AGG_STATE_PEN[],N$1,0),"ERROR")</f>
        <v>13</v>
      </c>
      <c r="O71" s="112">
        <f>IFERROR(VLOOKUP($B71,MMWR_TRAD_AGG_STATE_PEN[],O$1,0),"ERROR")</f>
        <v>3</v>
      </c>
      <c r="P71" s="114">
        <f t="shared" si="11"/>
        <v>0.23076923076923078</v>
      </c>
      <c r="Q71" s="115">
        <f>IFERROR(VLOOKUP($B71,MMWR_TRAD_AGG_STATE_PEN[],Q$1,0),"ERROR")</f>
        <v>31</v>
      </c>
      <c r="R71" s="115">
        <f>IFERROR(VLOOKUP($B71,MMWR_TRAD_AGG_STATE_PEN[],R$1,0),"ERROR")</f>
        <v>47</v>
      </c>
      <c r="S71" s="115">
        <f>IFERROR(VLOOKUP($B71,MMWR_APP_STATE_PEN[],S$1,0),"ERROR")</f>
        <v>36</v>
      </c>
      <c r="T71" s="28"/>
    </row>
    <row r="72" spans="1:20" s="123" customFormat="1" x14ac:dyDescent="0.2">
      <c r="A72" s="28"/>
      <c r="B72" s="127" t="s">
        <v>423</v>
      </c>
      <c r="C72" s="109">
        <f>IFERROR(VLOOKUP($B72,MMWR_TRAD_AGG_STATE_PEN[],C$1,0),"ERROR")</f>
        <v>68</v>
      </c>
      <c r="D72" s="110">
        <f>IFERROR(VLOOKUP($B72,MMWR_TRAD_AGG_STATE_PEN[],D$1,0),"ERROR")</f>
        <v>113.5588235294</v>
      </c>
      <c r="E72" s="111">
        <f>IFERROR(VLOOKUP($B72,MMWR_TRAD_AGG_STATE_PEN[],E$1,0),"ERROR")</f>
        <v>88</v>
      </c>
      <c r="F72" s="112">
        <f>IFERROR(VLOOKUP($B72,MMWR_TRAD_AGG_STATE_PEN[],F$1,0),"ERROR")</f>
        <v>14</v>
      </c>
      <c r="G72" s="113">
        <f t="shared" si="8"/>
        <v>0.15909090909090909</v>
      </c>
      <c r="H72" s="111">
        <f>IFERROR(VLOOKUP($B72,MMWR_TRAD_AGG_STATE_PEN[],H$1,0),"ERROR")</f>
        <v>92</v>
      </c>
      <c r="I72" s="112">
        <f>IFERROR(VLOOKUP($B72,MMWR_TRAD_AGG_STATE_PEN[],I$1,0),"ERROR")</f>
        <v>27</v>
      </c>
      <c r="J72" s="114">
        <f t="shared" si="9"/>
        <v>0.29347826086956524</v>
      </c>
      <c r="K72" s="111">
        <f>IFERROR(VLOOKUP($B72,MMWR_TRAD_AGG_STATE_PEN[],K$1,0),"ERROR")</f>
        <v>2</v>
      </c>
      <c r="L72" s="112">
        <f>IFERROR(VLOOKUP($B72,MMWR_TRAD_AGG_STATE_PEN[],L$1,0),"ERROR")</f>
        <v>2</v>
      </c>
      <c r="M72" s="114">
        <f t="shared" si="10"/>
        <v>1</v>
      </c>
      <c r="N72" s="111">
        <f>IFERROR(VLOOKUP($B72,MMWR_TRAD_AGG_STATE_PEN[],N$1,0),"ERROR")</f>
        <v>6</v>
      </c>
      <c r="O72" s="112">
        <f>IFERROR(VLOOKUP($B72,MMWR_TRAD_AGG_STATE_PEN[],O$1,0),"ERROR")</f>
        <v>2</v>
      </c>
      <c r="P72" s="114">
        <f t="shared" si="11"/>
        <v>0.33333333333333331</v>
      </c>
      <c r="Q72" s="115">
        <f>IFERROR(VLOOKUP($B72,MMWR_TRAD_AGG_STATE_PEN[],Q$1,0),"ERROR")</f>
        <v>12</v>
      </c>
      <c r="R72" s="115">
        <f>IFERROR(VLOOKUP($B72,MMWR_TRAD_AGG_STATE_PEN[],R$1,0),"ERROR")</f>
        <v>11</v>
      </c>
      <c r="S72" s="115">
        <f>IFERROR(VLOOKUP($B72,MMWR_APP_STATE_PEN[],S$1,0),"ERROR")</f>
        <v>13</v>
      </c>
      <c r="T72" s="28"/>
    </row>
    <row r="73" spans="1:20" s="123" customFormat="1" x14ac:dyDescent="0.2">
      <c r="A73" s="28"/>
      <c r="B73" s="127" t="s">
        <v>414</v>
      </c>
      <c r="C73" s="109">
        <f>IFERROR(VLOOKUP($B73,MMWR_TRAD_AGG_STATE_PEN[],C$1,0),"ERROR")</f>
        <v>38</v>
      </c>
      <c r="D73" s="110">
        <f>IFERROR(VLOOKUP($B73,MMWR_TRAD_AGG_STATE_PEN[],D$1,0),"ERROR")</f>
        <v>103.6315789474</v>
      </c>
      <c r="E73" s="111">
        <f>IFERROR(VLOOKUP($B73,MMWR_TRAD_AGG_STATE_PEN[],E$1,0),"ERROR")</f>
        <v>56</v>
      </c>
      <c r="F73" s="112">
        <f>IFERROR(VLOOKUP($B73,MMWR_TRAD_AGG_STATE_PEN[],F$1,0),"ERROR")</f>
        <v>6</v>
      </c>
      <c r="G73" s="113">
        <f t="shared" si="8"/>
        <v>0.10714285714285714</v>
      </c>
      <c r="H73" s="111">
        <f>IFERROR(VLOOKUP($B73,MMWR_TRAD_AGG_STATE_PEN[],H$1,0),"ERROR")</f>
        <v>52</v>
      </c>
      <c r="I73" s="112">
        <f>IFERROR(VLOOKUP($B73,MMWR_TRAD_AGG_STATE_PEN[],I$1,0),"ERROR")</f>
        <v>18</v>
      </c>
      <c r="J73" s="114">
        <f t="shared" si="9"/>
        <v>0.34615384615384615</v>
      </c>
      <c r="K73" s="111">
        <f>IFERROR(VLOOKUP($B73,MMWR_TRAD_AGG_STATE_PEN[],K$1,0),"ERROR")</f>
        <v>2</v>
      </c>
      <c r="L73" s="112">
        <f>IFERROR(VLOOKUP($B73,MMWR_TRAD_AGG_STATE_PEN[],L$1,0),"ERROR")</f>
        <v>2</v>
      </c>
      <c r="M73" s="114">
        <f t="shared" si="10"/>
        <v>1</v>
      </c>
      <c r="N73" s="111">
        <f>IFERROR(VLOOKUP($B73,MMWR_TRAD_AGG_STATE_PEN[],N$1,0),"ERROR")</f>
        <v>2</v>
      </c>
      <c r="O73" s="112">
        <f>IFERROR(VLOOKUP($B73,MMWR_TRAD_AGG_STATE_PEN[],O$1,0),"ERROR")</f>
        <v>0</v>
      </c>
      <c r="P73" s="114">
        <f t="shared" si="11"/>
        <v>0</v>
      </c>
      <c r="Q73" s="115">
        <f>IFERROR(VLOOKUP($B73,MMWR_TRAD_AGG_STATE_PEN[],Q$1,0),"ERROR")</f>
        <v>10</v>
      </c>
      <c r="R73" s="115">
        <f>IFERROR(VLOOKUP($B73,MMWR_TRAD_AGG_STATE_PEN[],R$1,0),"ERROR")</f>
        <v>18</v>
      </c>
      <c r="S73" s="115">
        <f>IFERROR(VLOOKUP($B73,MMWR_APP_STATE_PEN[],S$1,0),"ERROR")</f>
        <v>8</v>
      </c>
      <c r="T73" s="28"/>
    </row>
    <row r="74" spans="1:20" s="123" customFormat="1" x14ac:dyDescent="0.2">
      <c r="A74" s="28"/>
      <c r="B74" s="127" t="s">
        <v>416</v>
      </c>
      <c r="C74" s="109">
        <f>IFERROR(VLOOKUP($B74,MMWR_TRAD_AGG_STATE_PEN[],C$1,0),"ERROR")</f>
        <v>129</v>
      </c>
      <c r="D74" s="110">
        <f>IFERROR(VLOOKUP($B74,MMWR_TRAD_AGG_STATE_PEN[],D$1,0),"ERROR")</f>
        <v>106.5968992248</v>
      </c>
      <c r="E74" s="111">
        <f>IFERROR(VLOOKUP($B74,MMWR_TRAD_AGG_STATE_PEN[],E$1,0),"ERROR")</f>
        <v>133</v>
      </c>
      <c r="F74" s="112">
        <f>IFERROR(VLOOKUP($B74,MMWR_TRAD_AGG_STATE_PEN[],F$1,0),"ERROR")</f>
        <v>25</v>
      </c>
      <c r="G74" s="113">
        <f t="shared" si="8"/>
        <v>0.18796992481203006</v>
      </c>
      <c r="H74" s="111">
        <f>IFERROR(VLOOKUP($B74,MMWR_TRAD_AGG_STATE_PEN[],H$1,0),"ERROR")</f>
        <v>167</v>
      </c>
      <c r="I74" s="112">
        <f>IFERROR(VLOOKUP($B74,MMWR_TRAD_AGG_STATE_PEN[],I$1,0),"ERROR")</f>
        <v>52</v>
      </c>
      <c r="J74" s="114">
        <f t="shared" si="9"/>
        <v>0.31137724550898205</v>
      </c>
      <c r="K74" s="111">
        <f>IFERROR(VLOOKUP($B74,MMWR_TRAD_AGG_STATE_PEN[],K$1,0),"ERROR")</f>
        <v>1</v>
      </c>
      <c r="L74" s="112">
        <f>IFERROR(VLOOKUP($B74,MMWR_TRAD_AGG_STATE_PEN[],L$1,0),"ERROR")</f>
        <v>1</v>
      </c>
      <c r="M74" s="114">
        <f t="shared" si="10"/>
        <v>1</v>
      </c>
      <c r="N74" s="111">
        <f>IFERROR(VLOOKUP($B74,MMWR_TRAD_AGG_STATE_PEN[],N$1,0),"ERROR")</f>
        <v>10</v>
      </c>
      <c r="O74" s="112">
        <f>IFERROR(VLOOKUP($B74,MMWR_TRAD_AGG_STATE_PEN[],O$1,0),"ERROR")</f>
        <v>5</v>
      </c>
      <c r="P74" s="114">
        <f t="shared" si="11"/>
        <v>0.5</v>
      </c>
      <c r="Q74" s="115">
        <f>IFERROR(VLOOKUP($B74,MMWR_TRAD_AGG_STATE_PEN[],Q$1,0),"ERROR")</f>
        <v>38</v>
      </c>
      <c r="R74" s="115">
        <f>IFERROR(VLOOKUP($B74,MMWR_TRAD_AGG_STATE_PEN[],R$1,0),"ERROR")</f>
        <v>24</v>
      </c>
      <c r="S74" s="115">
        <f>IFERROR(VLOOKUP($B74,MMWR_APP_STATE_PEN[],S$1,0),"ERROR")</f>
        <v>22</v>
      </c>
      <c r="T74" s="28"/>
    </row>
    <row r="75" spans="1:20" s="123" customFormat="1" x14ac:dyDescent="0.2">
      <c r="A75" s="28"/>
      <c r="B75" s="127" t="s">
        <v>376</v>
      </c>
      <c r="C75" s="109">
        <f>IFERROR(VLOOKUP($B75,MMWR_TRAD_AGG_STATE_PEN[],C$1,0),"ERROR")</f>
        <v>371</v>
      </c>
      <c r="D75" s="110">
        <f>IFERROR(VLOOKUP($B75,MMWR_TRAD_AGG_STATE_PEN[],D$1,0),"ERROR")</f>
        <v>104.5229110512</v>
      </c>
      <c r="E75" s="111">
        <f>IFERROR(VLOOKUP($B75,MMWR_TRAD_AGG_STATE_PEN[],E$1,0),"ERROR")</f>
        <v>629</v>
      </c>
      <c r="F75" s="112">
        <f>IFERROR(VLOOKUP($B75,MMWR_TRAD_AGG_STATE_PEN[],F$1,0),"ERROR")</f>
        <v>113</v>
      </c>
      <c r="G75" s="113">
        <f t="shared" si="8"/>
        <v>0.17965023847376788</v>
      </c>
      <c r="H75" s="111">
        <f>IFERROR(VLOOKUP($B75,MMWR_TRAD_AGG_STATE_PEN[],H$1,0),"ERROR")</f>
        <v>545</v>
      </c>
      <c r="I75" s="112">
        <f>IFERROR(VLOOKUP($B75,MMWR_TRAD_AGG_STATE_PEN[],I$1,0),"ERROR")</f>
        <v>177</v>
      </c>
      <c r="J75" s="114">
        <f t="shared" si="9"/>
        <v>0.32477064220183488</v>
      </c>
      <c r="K75" s="111">
        <f>IFERROR(VLOOKUP($B75,MMWR_TRAD_AGG_STATE_PEN[],K$1,0),"ERROR")</f>
        <v>8</v>
      </c>
      <c r="L75" s="112">
        <f>IFERROR(VLOOKUP($B75,MMWR_TRAD_AGG_STATE_PEN[],L$1,0),"ERROR")</f>
        <v>8</v>
      </c>
      <c r="M75" s="114">
        <f t="shared" si="10"/>
        <v>1</v>
      </c>
      <c r="N75" s="111">
        <f>IFERROR(VLOOKUP($B75,MMWR_TRAD_AGG_STATE_PEN[],N$1,0),"ERROR")</f>
        <v>23</v>
      </c>
      <c r="O75" s="112">
        <f>IFERROR(VLOOKUP($B75,MMWR_TRAD_AGG_STATE_PEN[],O$1,0),"ERROR")</f>
        <v>11</v>
      </c>
      <c r="P75" s="114">
        <f t="shared" si="11"/>
        <v>0.47826086956521741</v>
      </c>
      <c r="Q75" s="115">
        <f>IFERROR(VLOOKUP($B75,MMWR_TRAD_AGG_STATE_PEN[],Q$1,0),"ERROR")</f>
        <v>83</v>
      </c>
      <c r="R75" s="115">
        <f>IFERROR(VLOOKUP($B75,MMWR_TRAD_AGG_STATE_PEN[],R$1,0),"ERROR")</f>
        <v>147</v>
      </c>
      <c r="S75" s="115">
        <f>IFERROR(VLOOKUP($B75,MMWR_APP_STATE_PEN[],S$1,0),"ERROR")</f>
        <v>59</v>
      </c>
      <c r="T75" s="28"/>
    </row>
    <row r="76" spans="1:20" s="123" customFormat="1" x14ac:dyDescent="0.2">
      <c r="A76" s="28"/>
      <c r="B76" s="127" t="s">
        <v>371</v>
      </c>
      <c r="C76" s="109">
        <f>IFERROR(VLOOKUP($B76,MMWR_TRAD_AGG_STATE_PEN[],C$1,0),"ERROR")</f>
        <v>424</v>
      </c>
      <c r="D76" s="110">
        <f>IFERROR(VLOOKUP($B76,MMWR_TRAD_AGG_STATE_PEN[],D$1,0),"ERROR")</f>
        <v>109.09905660379999</v>
      </c>
      <c r="E76" s="111">
        <f>IFERROR(VLOOKUP($B76,MMWR_TRAD_AGG_STATE_PEN[],E$1,0),"ERROR")</f>
        <v>619</v>
      </c>
      <c r="F76" s="112">
        <f>IFERROR(VLOOKUP($B76,MMWR_TRAD_AGG_STATE_PEN[],F$1,0),"ERROR")</f>
        <v>125</v>
      </c>
      <c r="G76" s="113">
        <f t="shared" si="8"/>
        <v>0.20193861066235863</v>
      </c>
      <c r="H76" s="111">
        <f>IFERROR(VLOOKUP($B76,MMWR_TRAD_AGG_STATE_PEN[],H$1,0),"ERROR")</f>
        <v>544</v>
      </c>
      <c r="I76" s="112">
        <f>IFERROR(VLOOKUP($B76,MMWR_TRAD_AGG_STATE_PEN[],I$1,0),"ERROR")</f>
        <v>180</v>
      </c>
      <c r="J76" s="114">
        <f t="shared" si="9"/>
        <v>0.33088235294117646</v>
      </c>
      <c r="K76" s="111">
        <f>IFERROR(VLOOKUP($B76,MMWR_TRAD_AGG_STATE_PEN[],K$1,0),"ERROR")</f>
        <v>4</v>
      </c>
      <c r="L76" s="112">
        <f>IFERROR(VLOOKUP($B76,MMWR_TRAD_AGG_STATE_PEN[],L$1,0),"ERROR")</f>
        <v>4</v>
      </c>
      <c r="M76" s="114">
        <f t="shared" si="10"/>
        <v>1</v>
      </c>
      <c r="N76" s="111">
        <f>IFERROR(VLOOKUP($B76,MMWR_TRAD_AGG_STATE_PEN[],N$1,0),"ERROR")</f>
        <v>28</v>
      </c>
      <c r="O76" s="112">
        <f>IFERROR(VLOOKUP($B76,MMWR_TRAD_AGG_STATE_PEN[],O$1,0),"ERROR")</f>
        <v>5</v>
      </c>
      <c r="P76" s="114">
        <f t="shared" si="11"/>
        <v>0.17857142857142858</v>
      </c>
      <c r="Q76" s="115">
        <f>IFERROR(VLOOKUP($B76,MMWR_TRAD_AGG_STATE_PEN[],Q$1,0),"ERROR")</f>
        <v>67</v>
      </c>
      <c r="R76" s="115">
        <f>IFERROR(VLOOKUP($B76,MMWR_TRAD_AGG_STATE_PEN[],R$1,0),"ERROR")</f>
        <v>122</v>
      </c>
      <c r="S76" s="115">
        <f>IFERROR(VLOOKUP($B76,MMWR_APP_STATE_PEN[],S$1,0),"ERROR")</f>
        <v>79</v>
      </c>
      <c r="T76" s="28"/>
    </row>
    <row r="77" spans="1:20" s="123" customFormat="1" x14ac:dyDescent="0.2">
      <c r="A77" s="28"/>
      <c r="B77" s="127" t="s">
        <v>415</v>
      </c>
      <c r="C77" s="109">
        <f>IFERROR(VLOOKUP($B77,MMWR_TRAD_AGG_STATE_PEN[],C$1,0),"ERROR")</f>
        <v>127</v>
      </c>
      <c r="D77" s="110">
        <f>IFERROR(VLOOKUP($B77,MMWR_TRAD_AGG_STATE_PEN[],D$1,0),"ERROR")</f>
        <v>94.984251968500004</v>
      </c>
      <c r="E77" s="111">
        <f>IFERROR(VLOOKUP($B77,MMWR_TRAD_AGG_STATE_PEN[],E$1,0),"ERROR")</f>
        <v>169</v>
      </c>
      <c r="F77" s="112">
        <f>IFERROR(VLOOKUP($B77,MMWR_TRAD_AGG_STATE_PEN[],F$1,0),"ERROR")</f>
        <v>29</v>
      </c>
      <c r="G77" s="113">
        <f t="shared" si="8"/>
        <v>0.17159763313609466</v>
      </c>
      <c r="H77" s="111">
        <f>IFERROR(VLOOKUP($B77,MMWR_TRAD_AGG_STATE_PEN[],H$1,0),"ERROR")</f>
        <v>153</v>
      </c>
      <c r="I77" s="112">
        <f>IFERROR(VLOOKUP($B77,MMWR_TRAD_AGG_STATE_PEN[],I$1,0),"ERROR")</f>
        <v>40</v>
      </c>
      <c r="J77" s="114">
        <f t="shared" si="9"/>
        <v>0.26143790849673204</v>
      </c>
      <c r="K77" s="111">
        <f>IFERROR(VLOOKUP($B77,MMWR_TRAD_AGG_STATE_PEN[],K$1,0),"ERROR")</f>
        <v>0</v>
      </c>
      <c r="L77" s="112">
        <f>IFERROR(VLOOKUP($B77,MMWR_TRAD_AGG_STATE_PEN[],L$1,0),"ERROR")</f>
        <v>0</v>
      </c>
      <c r="M77" s="114" t="str">
        <f t="shared" si="10"/>
        <v>0%</v>
      </c>
      <c r="N77" s="111">
        <f>IFERROR(VLOOKUP($B77,MMWR_TRAD_AGG_STATE_PEN[],N$1,0),"ERROR")</f>
        <v>7</v>
      </c>
      <c r="O77" s="112">
        <f>IFERROR(VLOOKUP($B77,MMWR_TRAD_AGG_STATE_PEN[],O$1,0),"ERROR")</f>
        <v>2</v>
      </c>
      <c r="P77" s="114">
        <f t="shared" si="11"/>
        <v>0.2857142857142857</v>
      </c>
      <c r="Q77" s="115">
        <f>IFERROR(VLOOKUP($B77,MMWR_TRAD_AGG_STATE_PEN[],Q$1,0),"ERROR")</f>
        <v>13</v>
      </c>
      <c r="R77" s="115">
        <f>IFERROR(VLOOKUP($B77,MMWR_TRAD_AGG_STATE_PEN[],R$1,0),"ERROR")</f>
        <v>23</v>
      </c>
      <c r="S77" s="115">
        <f>IFERROR(VLOOKUP($B77,MMWR_APP_STATE_PEN[],S$1,0),"ERROR")</f>
        <v>10</v>
      </c>
      <c r="T77" s="28"/>
    </row>
    <row r="78" spans="1:20" s="123" customFormat="1" x14ac:dyDescent="0.2">
      <c r="A78" s="28"/>
      <c r="B78" s="127" t="s">
        <v>374</v>
      </c>
      <c r="C78" s="109">
        <f>IFERROR(VLOOKUP($B78,MMWR_TRAD_AGG_STATE_PEN[],C$1,0),"ERROR")</f>
        <v>511</v>
      </c>
      <c r="D78" s="110">
        <f>IFERROR(VLOOKUP($B78,MMWR_TRAD_AGG_STATE_PEN[],D$1,0),"ERROR")</f>
        <v>105.9099804305</v>
      </c>
      <c r="E78" s="111">
        <f>IFERROR(VLOOKUP($B78,MMWR_TRAD_AGG_STATE_PEN[],E$1,0),"ERROR")</f>
        <v>764</v>
      </c>
      <c r="F78" s="112">
        <f>IFERROR(VLOOKUP($B78,MMWR_TRAD_AGG_STATE_PEN[],F$1,0),"ERROR")</f>
        <v>144</v>
      </c>
      <c r="G78" s="113">
        <f t="shared" si="8"/>
        <v>0.18848167539267016</v>
      </c>
      <c r="H78" s="111">
        <f>IFERROR(VLOOKUP($B78,MMWR_TRAD_AGG_STATE_PEN[],H$1,0),"ERROR")</f>
        <v>689</v>
      </c>
      <c r="I78" s="112">
        <f>IFERROR(VLOOKUP($B78,MMWR_TRAD_AGG_STATE_PEN[],I$1,0),"ERROR")</f>
        <v>231</v>
      </c>
      <c r="J78" s="114">
        <f t="shared" si="9"/>
        <v>0.33526850507982581</v>
      </c>
      <c r="K78" s="111">
        <f>IFERROR(VLOOKUP($B78,MMWR_TRAD_AGG_STATE_PEN[],K$1,0),"ERROR")</f>
        <v>1</v>
      </c>
      <c r="L78" s="112">
        <f>IFERROR(VLOOKUP($B78,MMWR_TRAD_AGG_STATE_PEN[],L$1,0),"ERROR")</f>
        <v>1</v>
      </c>
      <c r="M78" s="114">
        <f t="shared" si="10"/>
        <v>1</v>
      </c>
      <c r="N78" s="111">
        <f>IFERROR(VLOOKUP($B78,MMWR_TRAD_AGG_STATE_PEN[],N$1,0),"ERROR")</f>
        <v>32</v>
      </c>
      <c r="O78" s="112">
        <f>IFERROR(VLOOKUP($B78,MMWR_TRAD_AGG_STATE_PEN[],O$1,0),"ERROR")</f>
        <v>9</v>
      </c>
      <c r="P78" s="114">
        <f t="shared" si="11"/>
        <v>0.28125</v>
      </c>
      <c r="Q78" s="115">
        <f>IFERROR(VLOOKUP($B78,MMWR_TRAD_AGG_STATE_PEN[],Q$1,0),"ERROR")</f>
        <v>76</v>
      </c>
      <c r="R78" s="115">
        <f>IFERROR(VLOOKUP($B78,MMWR_TRAD_AGG_STATE_PEN[],R$1,0),"ERROR")</f>
        <v>140</v>
      </c>
      <c r="S78" s="115">
        <f>IFERROR(VLOOKUP($B78,MMWR_APP_STATE_PEN[],S$1,0),"ERROR")</f>
        <v>135</v>
      </c>
      <c r="T78" s="28"/>
    </row>
    <row r="79" spans="1:20" s="123" customFormat="1" x14ac:dyDescent="0.2">
      <c r="A79" s="28"/>
      <c r="B79" s="127" t="s">
        <v>60</v>
      </c>
      <c r="C79" s="109">
        <f>IFERROR(VLOOKUP($B79,MMWR_TRAD_AGG_STATE_PEN[],C$1,0),"ERROR")</f>
        <v>1185</v>
      </c>
      <c r="D79" s="110">
        <f>IFERROR(VLOOKUP($B79,MMWR_TRAD_AGG_STATE_PEN[],D$1,0),"ERROR")</f>
        <v>105.61603375529999</v>
      </c>
      <c r="E79" s="111">
        <f>IFERROR(VLOOKUP($B79,MMWR_TRAD_AGG_STATE_PEN[],E$1,0),"ERROR")</f>
        <v>2235</v>
      </c>
      <c r="F79" s="112">
        <f>IFERROR(VLOOKUP($B79,MMWR_TRAD_AGG_STATE_PEN[],F$1,0),"ERROR")</f>
        <v>456</v>
      </c>
      <c r="G79" s="113">
        <f t="shared" si="8"/>
        <v>0.20402684563758389</v>
      </c>
      <c r="H79" s="111">
        <f>IFERROR(VLOOKUP($B79,MMWR_TRAD_AGG_STATE_PEN[],H$1,0),"ERROR")</f>
        <v>1628</v>
      </c>
      <c r="I79" s="112">
        <f>IFERROR(VLOOKUP($B79,MMWR_TRAD_AGG_STATE_PEN[],I$1,0),"ERROR")</f>
        <v>527</v>
      </c>
      <c r="J79" s="114">
        <f t="shared" si="9"/>
        <v>0.32371007371007371</v>
      </c>
      <c r="K79" s="111">
        <f>IFERROR(VLOOKUP($B79,MMWR_TRAD_AGG_STATE_PEN[],K$1,0),"ERROR")</f>
        <v>5</v>
      </c>
      <c r="L79" s="112">
        <f>IFERROR(VLOOKUP($B79,MMWR_TRAD_AGG_STATE_PEN[],L$1,0),"ERROR")</f>
        <v>4</v>
      </c>
      <c r="M79" s="114">
        <f t="shared" si="10"/>
        <v>0.8</v>
      </c>
      <c r="N79" s="111">
        <f>IFERROR(VLOOKUP($B79,MMWR_TRAD_AGG_STATE_PEN[],N$1,0),"ERROR")</f>
        <v>46</v>
      </c>
      <c r="O79" s="112">
        <f>IFERROR(VLOOKUP($B79,MMWR_TRAD_AGG_STATE_PEN[],O$1,0),"ERROR")</f>
        <v>19</v>
      </c>
      <c r="P79" s="114">
        <f t="shared" si="11"/>
        <v>0.41304347826086957</v>
      </c>
      <c r="Q79" s="115">
        <f>IFERROR(VLOOKUP($B79,MMWR_TRAD_AGG_STATE_PEN[],Q$1,0),"ERROR")</f>
        <v>201</v>
      </c>
      <c r="R79" s="115">
        <f>IFERROR(VLOOKUP($B79,MMWR_TRAD_AGG_STATE_PEN[],R$1,0),"ERROR")</f>
        <v>284</v>
      </c>
      <c r="S79" s="115">
        <f>IFERROR(VLOOKUP($B79,MMWR_APP_STATE_PEN[],S$1,0),"ERROR")</f>
        <v>160</v>
      </c>
      <c r="T79" s="28"/>
    </row>
    <row r="80" spans="1:20" s="123" customFormat="1" x14ac:dyDescent="0.2">
      <c r="A80" s="28"/>
      <c r="B80" s="127" t="s">
        <v>382</v>
      </c>
      <c r="C80" s="109">
        <f>IFERROR(VLOOKUP($B80,MMWR_TRAD_AGG_STATE_PEN[],C$1,0),"ERROR")</f>
        <v>1704</v>
      </c>
      <c r="D80" s="110">
        <f>IFERROR(VLOOKUP($B80,MMWR_TRAD_AGG_STATE_PEN[],D$1,0),"ERROR")</f>
        <v>110.1126760563</v>
      </c>
      <c r="E80" s="111">
        <f>IFERROR(VLOOKUP($B80,MMWR_TRAD_AGG_STATE_PEN[],E$1,0),"ERROR")</f>
        <v>1578</v>
      </c>
      <c r="F80" s="112">
        <f>IFERROR(VLOOKUP($B80,MMWR_TRAD_AGG_STATE_PEN[],F$1,0),"ERROR")</f>
        <v>272</v>
      </c>
      <c r="G80" s="113">
        <f t="shared" si="8"/>
        <v>0.17237008871989862</v>
      </c>
      <c r="H80" s="111">
        <f>IFERROR(VLOOKUP($B80,MMWR_TRAD_AGG_STATE_PEN[],H$1,0),"ERROR")</f>
        <v>2042</v>
      </c>
      <c r="I80" s="112">
        <f>IFERROR(VLOOKUP($B80,MMWR_TRAD_AGG_STATE_PEN[],I$1,0),"ERROR")</f>
        <v>767</v>
      </c>
      <c r="J80" s="114">
        <f t="shared" si="9"/>
        <v>0.37561214495592554</v>
      </c>
      <c r="K80" s="111">
        <f>IFERROR(VLOOKUP($B80,MMWR_TRAD_AGG_STATE_PEN[],K$1,0),"ERROR")</f>
        <v>18</v>
      </c>
      <c r="L80" s="112">
        <f>IFERROR(VLOOKUP($B80,MMWR_TRAD_AGG_STATE_PEN[],L$1,0),"ERROR")</f>
        <v>16</v>
      </c>
      <c r="M80" s="114">
        <f t="shared" si="10"/>
        <v>0.88888888888888884</v>
      </c>
      <c r="N80" s="111">
        <f>IFERROR(VLOOKUP($B80,MMWR_TRAD_AGG_STATE_PEN[],N$1,0),"ERROR")</f>
        <v>87</v>
      </c>
      <c r="O80" s="112">
        <f>IFERROR(VLOOKUP($B80,MMWR_TRAD_AGG_STATE_PEN[],O$1,0),"ERROR")</f>
        <v>34</v>
      </c>
      <c r="P80" s="114">
        <f t="shared" si="11"/>
        <v>0.39080459770114945</v>
      </c>
      <c r="Q80" s="115">
        <f>IFERROR(VLOOKUP($B80,MMWR_TRAD_AGG_STATE_PEN[],Q$1,0),"ERROR")</f>
        <v>252</v>
      </c>
      <c r="R80" s="115">
        <f>IFERROR(VLOOKUP($B80,MMWR_TRAD_AGG_STATE_PEN[],R$1,0),"ERROR")</f>
        <v>364</v>
      </c>
      <c r="S80" s="115">
        <f>IFERROR(VLOOKUP($B80,MMWR_APP_STATE_PEN[],S$1,0),"ERROR")</f>
        <v>158</v>
      </c>
      <c r="T80" s="28"/>
    </row>
    <row r="81" spans="1:20" s="123" customFormat="1" x14ac:dyDescent="0.2">
      <c r="A81" s="28"/>
      <c r="B81" s="127" t="s">
        <v>375</v>
      </c>
      <c r="C81" s="109">
        <f>IFERROR(VLOOKUP($B81,MMWR_TRAD_AGG_STATE_PEN[],C$1,0),"ERROR")</f>
        <v>1728</v>
      </c>
      <c r="D81" s="110">
        <f>IFERROR(VLOOKUP($B81,MMWR_TRAD_AGG_STATE_PEN[],D$1,0),"ERROR")</f>
        <v>103.36689814810001</v>
      </c>
      <c r="E81" s="111">
        <f>IFERROR(VLOOKUP($B81,MMWR_TRAD_AGG_STATE_PEN[],E$1,0),"ERROR")</f>
        <v>2769</v>
      </c>
      <c r="F81" s="112">
        <f>IFERROR(VLOOKUP($B81,MMWR_TRAD_AGG_STATE_PEN[],F$1,0),"ERROR")</f>
        <v>512</v>
      </c>
      <c r="G81" s="113">
        <f t="shared" si="8"/>
        <v>0.18490429758035393</v>
      </c>
      <c r="H81" s="111">
        <f>IFERROR(VLOOKUP($B81,MMWR_TRAD_AGG_STATE_PEN[],H$1,0),"ERROR")</f>
        <v>2377</v>
      </c>
      <c r="I81" s="112">
        <f>IFERROR(VLOOKUP($B81,MMWR_TRAD_AGG_STATE_PEN[],I$1,0),"ERROR")</f>
        <v>759</v>
      </c>
      <c r="J81" s="114">
        <f t="shared" si="9"/>
        <v>0.31931005469078672</v>
      </c>
      <c r="K81" s="111">
        <f>IFERROR(VLOOKUP($B81,MMWR_TRAD_AGG_STATE_PEN[],K$1,0),"ERROR")</f>
        <v>2</v>
      </c>
      <c r="L81" s="112">
        <f>IFERROR(VLOOKUP($B81,MMWR_TRAD_AGG_STATE_PEN[],L$1,0),"ERROR")</f>
        <v>1</v>
      </c>
      <c r="M81" s="114">
        <f t="shared" si="10"/>
        <v>0.5</v>
      </c>
      <c r="N81" s="111">
        <f>IFERROR(VLOOKUP($B81,MMWR_TRAD_AGG_STATE_PEN[],N$1,0),"ERROR")</f>
        <v>98</v>
      </c>
      <c r="O81" s="112">
        <f>IFERROR(VLOOKUP($B81,MMWR_TRAD_AGG_STATE_PEN[],O$1,0),"ERROR")</f>
        <v>18</v>
      </c>
      <c r="P81" s="114">
        <f t="shared" si="11"/>
        <v>0.18367346938775511</v>
      </c>
      <c r="Q81" s="115">
        <f>IFERROR(VLOOKUP($B81,MMWR_TRAD_AGG_STATE_PEN[],Q$1,0),"ERROR")</f>
        <v>191</v>
      </c>
      <c r="R81" s="115">
        <f>IFERROR(VLOOKUP($B81,MMWR_TRAD_AGG_STATE_PEN[],R$1,0),"ERROR")</f>
        <v>350</v>
      </c>
      <c r="S81" s="115">
        <f>IFERROR(VLOOKUP($B81,MMWR_APP_STATE_PEN[],S$1,0),"ERROR")</f>
        <v>182</v>
      </c>
      <c r="T81" s="28"/>
    </row>
    <row r="82" spans="1:20" s="123" customFormat="1" x14ac:dyDescent="0.2">
      <c r="A82" s="28"/>
      <c r="B82" s="127" t="s">
        <v>372</v>
      </c>
      <c r="C82" s="109">
        <f>IFERROR(VLOOKUP($B82,MMWR_TRAD_AGG_STATE_PEN[],C$1,0),"ERROR")</f>
        <v>93</v>
      </c>
      <c r="D82" s="110">
        <f>IFERROR(VLOOKUP($B82,MMWR_TRAD_AGG_STATE_PEN[],D$1,0),"ERROR")</f>
        <v>107.3655913978</v>
      </c>
      <c r="E82" s="111">
        <f>IFERROR(VLOOKUP($B82,MMWR_TRAD_AGG_STATE_PEN[],E$1,0),"ERROR")</f>
        <v>169</v>
      </c>
      <c r="F82" s="112">
        <f>IFERROR(VLOOKUP($B82,MMWR_TRAD_AGG_STATE_PEN[],F$1,0),"ERROR")</f>
        <v>34</v>
      </c>
      <c r="G82" s="113">
        <f t="shared" si="8"/>
        <v>0.20118343195266272</v>
      </c>
      <c r="H82" s="111">
        <f>IFERROR(VLOOKUP($B82,MMWR_TRAD_AGG_STATE_PEN[],H$1,0),"ERROR")</f>
        <v>117</v>
      </c>
      <c r="I82" s="112">
        <f>IFERROR(VLOOKUP($B82,MMWR_TRAD_AGG_STATE_PEN[],I$1,0),"ERROR")</f>
        <v>42</v>
      </c>
      <c r="J82" s="114">
        <f t="shared" si="9"/>
        <v>0.35897435897435898</v>
      </c>
      <c r="K82" s="111">
        <f>IFERROR(VLOOKUP($B82,MMWR_TRAD_AGG_STATE_PEN[],K$1,0),"ERROR")</f>
        <v>0</v>
      </c>
      <c r="L82" s="112">
        <f>IFERROR(VLOOKUP($B82,MMWR_TRAD_AGG_STATE_PEN[],L$1,0),"ERROR")</f>
        <v>0</v>
      </c>
      <c r="M82" s="114" t="str">
        <f t="shared" si="10"/>
        <v>0%</v>
      </c>
      <c r="N82" s="111">
        <f>IFERROR(VLOOKUP($B82,MMWR_TRAD_AGG_STATE_PEN[],N$1,0),"ERROR")</f>
        <v>16</v>
      </c>
      <c r="O82" s="112">
        <f>IFERROR(VLOOKUP($B82,MMWR_TRAD_AGG_STATE_PEN[],O$1,0),"ERROR")</f>
        <v>4</v>
      </c>
      <c r="P82" s="114">
        <f t="shared" si="11"/>
        <v>0.25</v>
      </c>
      <c r="Q82" s="115">
        <f>IFERROR(VLOOKUP($B82,MMWR_TRAD_AGG_STATE_PEN[],Q$1,0),"ERROR")</f>
        <v>14</v>
      </c>
      <c r="R82" s="115">
        <f>IFERROR(VLOOKUP($B82,MMWR_TRAD_AGG_STATE_PEN[],R$1,0),"ERROR")</f>
        <v>16</v>
      </c>
      <c r="S82" s="115">
        <f>IFERROR(VLOOKUP($B82,MMWR_APP_STATE_PEN[],S$1,0),"ERROR")</f>
        <v>18</v>
      </c>
      <c r="T82" s="28"/>
    </row>
    <row r="83" spans="1:20" s="123" customFormat="1" x14ac:dyDescent="0.2">
      <c r="A83" s="28"/>
      <c r="B83" s="127" t="s">
        <v>417</v>
      </c>
      <c r="C83" s="109">
        <f>IFERROR(VLOOKUP($B83,MMWR_TRAD_AGG_STATE_PEN[],C$1,0),"ERROR")</f>
        <v>46</v>
      </c>
      <c r="D83" s="110">
        <f>IFERROR(VLOOKUP($B83,MMWR_TRAD_AGG_STATE_PEN[],D$1,0),"ERROR")</f>
        <v>108.71739130429999</v>
      </c>
      <c r="E83" s="111">
        <f>IFERROR(VLOOKUP($B83,MMWR_TRAD_AGG_STATE_PEN[],E$1,0),"ERROR")</f>
        <v>49</v>
      </c>
      <c r="F83" s="112">
        <f>IFERROR(VLOOKUP($B83,MMWR_TRAD_AGG_STATE_PEN[],F$1,0),"ERROR")</f>
        <v>9</v>
      </c>
      <c r="G83" s="113">
        <f t="shared" si="8"/>
        <v>0.18367346938775511</v>
      </c>
      <c r="H83" s="111">
        <f>IFERROR(VLOOKUP($B83,MMWR_TRAD_AGG_STATE_PEN[],H$1,0),"ERROR")</f>
        <v>56</v>
      </c>
      <c r="I83" s="112">
        <f>IFERROR(VLOOKUP($B83,MMWR_TRAD_AGG_STATE_PEN[],I$1,0),"ERROR")</f>
        <v>18</v>
      </c>
      <c r="J83" s="114">
        <f t="shared" si="9"/>
        <v>0.32142857142857145</v>
      </c>
      <c r="K83" s="111">
        <f>IFERROR(VLOOKUP($B83,MMWR_TRAD_AGG_STATE_PEN[],K$1,0),"ERROR")</f>
        <v>0</v>
      </c>
      <c r="L83" s="112">
        <f>IFERROR(VLOOKUP($B83,MMWR_TRAD_AGG_STATE_PEN[],L$1,0),"ERROR")</f>
        <v>0</v>
      </c>
      <c r="M83" s="114" t="str">
        <f t="shared" si="10"/>
        <v>0%</v>
      </c>
      <c r="N83" s="111">
        <f>IFERROR(VLOOKUP($B83,MMWR_TRAD_AGG_STATE_PEN[],N$1,0),"ERROR")</f>
        <v>4</v>
      </c>
      <c r="O83" s="112">
        <f>IFERROR(VLOOKUP($B83,MMWR_TRAD_AGG_STATE_PEN[],O$1,0),"ERROR")</f>
        <v>0</v>
      </c>
      <c r="P83" s="114">
        <f t="shared" si="11"/>
        <v>0</v>
      </c>
      <c r="Q83" s="115">
        <f>IFERROR(VLOOKUP($B83,MMWR_TRAD_AGG_STATE_PEN[],Q$1,0),"ERROR")</f>
        <v>8</v>
      </c>
      <c r="R83" s="115">
        <f>IFERROR(VLOOKUP($B83,MMWR_TRAD_AGG_STATE_PEN[],R$1,0),"ERROR")</f>
        <v>10</v>
      </c>
      <c r="S83" s="115">
        <f>IFERROR(VLOOKUP($B83,MMWR_APP_STATE_PEN[],S$1,0),"ERROR")</f>
        <v>9</v>
      </c>
      <c r="T83" s="28"/>
    </row>
    <row r="84" spans="1:20" s="123" customFormat="1" x14ac:dyDescent="0.2">
      <c r="A84" s="28"/>
      <c r="B84" s="127" t="s">
        <v>378</v>
      </c>
      <c r="C84" s="109">
        <f>IFERROR(VLOOKUP($B84,MMWR_TRAD_AGG_STATE_PEN[],C$1,0),"ERROR")</f>
        <v>881</v>
      </c>
      <c r="D84" s="110">
        <f>IFERROR(VLOOKUP($B84,MMWR_TRAD_AGG_STATE_PEN[],D$1,0),"ERROR")</f>
        <v>103.7434733258</v>
      </c>
      <c r="E84" s="111">
        <f>IFERROR(VLOOKUP($B84,MMWR_TRAD_AGG_STATE_PEN[],E$1,0),"ERROR")</f>
        <v>934</v>
      </c>
      <c r="F84" s="112">
        <f>IFERROR(VLOOKUP($B84,MMWR_TRAD_AGG_STATE_PEN[],F$1,0),"ERROR")</f>
        <v>141</v>
      </c>
      <c r="G84" s="113">
        <f t="shared" si="8"/>
        <v>0.15096359743040685</v>
      </c>
      <c r="H84" s="111">
        <f>IFERROR(VLOOKUP($B84,MMWR_TRAD_AGG_STATE_PEN[],H$1,0),"ERROR")</f>
        <v>1129</v>
      </c>
      <c r="I84" s="112">
        <f>IFERROR(VLOOKUP($B84,MMWR_TRAD_AGG_STATE_PEN[],I$1,0),"ERROR")</f>
        <v>375</v>
      </c>
      <c r="J84" s="114">
        <f t="shared" si="9"/>
        <v>0.33215234720992026</v>
      </c>
      <c r="K84" s="111">
        <f>IFERROR(VLOOKUP($B84,MMWR_TRAD_AGG_STATE_PEN[],K$1,0),"ERROR")</f>
        <v>135</v>
      </c>
      <c r="L84" s="112">
        <f>IFERROR(VLOOKUP($B84,MMWR_TRAD_AGG_STATE_PEN[],L$1,0),"ERROR")</f>
        <v>133</v>
      </c>
      <c r="M84" s="114">
        <f t="shared" si="10"/>
        <v>0.98518518518518516</v>
      </c>
      <c r="N84" s="111">
        <f>IFERROR(VLOOKUP($B84,MMWR_TRAD_AGG_STATE_PEN[],N$1,0),"ERROR")</f>
        <v>45</v>
      </c>
      <c r="O84" s="112">
        <f>IFERROR(VLOOKUP($B84,MMWR_TRAD_AGG_STATE_PEN[],O$1,0),"ERROR")</f>
        <v>20</v>
      </c>
      <c r="P84" s="114">
        <f t="shared" si="11"/>
        <v>0.44444444444444442</v>
      </c>
      <c r="Q84" s="115">
        <f>IFERROR(VLOOKUP($B84,MMWR_TRAD_AGG_STATE_PEN[],Q$1,0),"ERROR")</f>
        <v>217</v>
      </c>
      <c r="R84" s="115">
        <f>IFERROR(VLOOKUP($B84,MMWR_TRAD_AGG_STATE_PEN[],R$1,0),"ERROR")</f>
        <v>251</v>
      </c>
      <c r="S84" s="115">
        <f>IFERROR(VLOOKUP($B84,MMWR_APP_STATE_PEN[],S$1,0),"ERROR")</f>
        <v>119</v>
      </c>
      <c r="T84" s="28"/>
    </row>
    <row r="85" spans="1:20" s="123" customFormat="1" x14ac:dyDescent="0.2">
      <c r="A85" s="28"/>
      <c r="B85" s="127" t="s">
        <v>379</v>
      </c>
      <c r="C85" s="109">
        <f>IFERROR(VLOOKUP($B85,MMWR_TRAD_AGG_STATE_PEN[],C$1,0),"ERROR")</f>
        <v>330</v>
      </c>
      <c r="D85" s="110">
        <f>IFERROR(VLOOKUP($B85,MMWR_TRAD_AGG_STATE_PEN[],D$1,0),"ERROR")</f>
        <v>105.8</v>
      </c>
      <c r="E85" s="111">
        <f>IFERROR(VLOOKUP($B85,MMWR_TRAD_AGG_STATE_PEN[],E$1,0),"ERROR")</f>
        <v>258</v>
      </c>
      <c r="F85" s="112">
        <f>IFERROR(VLOOKUP($B85,MMWR_TRAD_AGG_STATE_PEN[],F$1,0),"ERROR")</f>
        <v>38</v>
      </c>
      <c r="G85" s="113">
        <f t="shared" si="8"/>
        <v>0.14728682170542637</v>
      </c>
      <c r="H85" s="111">
        <f>IFERROR(VLOOKUP($B85,MMWR_TRAD_AGG_STATE_PEN[],H$1,0),"ERROR")</f>
        <v>403</v>
      </c>
      <c r="I85" s="112">
        <f>IFERROR(VLOOKUP($B85,MMWR_TRAD_AGG_STATE_PEN[],I$1,0),"ERROR")</f>
        <v>131</v>
      </c>
      <c r="J85" s="114">
        <f t="shared" si="9"/>
        <v>0.32506203473945411</v>
      </c>
      <c r="K85" s="111">
        <f>IFERROR(VLOOKUP($B85,MMWR_TRAD_AGG_STATE_PEN[],K$1,0),"ERROR")</f>
        <v>0</v>
      </c>
      <c r="L85" s="112">
        <f>IFERROR(VLOOKUP($B85,MMWR_TRAD_AGG_STATE_PEN[],L$1,0),"ERROR")</f>
        <v>0</v>
      </c>
      <c r="M85" s="114" t="str">
        <f t="shared" si="10"/>
        <v>0%</v>
      </c>
      <c r="N85" s="111">
        <f>IFERROR(VLOOKUP($B85,MMWR_TRAD_AGG_STATE_PEN[],N$1,0),"ERROR")</f>
        <v>16</v>
      </c>
      <c r="O85" s="112">
        <f>IFERROR(VLOOKUP($B85,MMWR_TRAD_AGG_STATE_PEN[],O$1,0),"ERROR")</f>
        <v>4</v>
      </c>
      <c r="P85" s="114">
        <f t="shared" si="11"/>
        <v>0.25</v>
      </c>
      <c r="Q85" s="115">
        <f>IFERROR(VLOOKUP($B85,MMWR_TRAD_AGG_STATE_PEN[],Q$1,0),"ERROR")</f>
        <v>62</v>
      </c>
      <c r="R85" s="115">
        <f>IFERROR(VLOOKUP($B85,MMWR_TRAD_AGG_STATE_PEN[],R$1,0),"ERROR")</f>
        <v>68</v>
      </c>
      <c r="S85" s="115">
        <f>IFERROR(VLOOKUP($B85,MMWR_APP_STATE_PEN[],S$1,0),"ERROR")</f>
        <v>51</v>
      </c>
      <c r="T85" s="28"/>
    </row>
    <row r="86" spans="1:20" s="123" customFormat="1" x14ac:dyDescent="0.2">
      <c r="A86" s="28"/>
      <c r="B86" s="126" t="s">
        <v>390</v>
      </c>
      <c r="C86" s="102">
        <f>IFERROR(VLOOKUP($B86,MMWR_TRAD_AGG_ST_DISTRICT_PEN[],C$1,0),"ERROR")</f>
        <v>3553</v>
      </c>
      <c r="D86" s="103">
        <f>IFERROR(VLOOKUP($B86,MMWR_TRAD_AGG_ST_DISTRICT_PEN[],D$1,0),"ERROR")</f>
        <v>67.561778778499999</v>
      </c>
      <c r="E86" s="102">
        <f>IFERROR(VLOOKUP($B86,MMWR_TRAD_AGG_ST_DISTRICT_PEN[],E$1,0),"ERROR")</f>
        <v>5459</v>
      </c>
      <c r="F86" s="102">
        <f>IFERROR(VLOOKUP($B86,MMWR_TRAD_AGG_ST_DISTRICT_PEN[],F$1,0),"ERROR")</f>
        <v>529</v>
      </c>
      <c r="G86" s="104">
        <f t="shared" si="8"/>
        <v>9.6904194907492219E-2</v>
      </c>
      <c r="H86" s="102">
        <f>IFERROR(VLOOKUP($B86,MMWR_TRAD_AGG_ST_DISTRICT_PEN[],H$1,0),"ERROR")</f>
        <v>5238</v>
      </c>
      <c r="I86" s="102">
        <f>IFERROR(VLOOKUP($B86,MMWR_TRAD_AGG_ST_DISTRICT_PEN[],I$1,0),"ERROR")</f>
        <v>557</v>
      </c>
      <c r="J86" s="104">
        <f t="shared" si="9"/>
        <v>0.10633829705994655</v>
      </c>
      <c r="K86" s="102">
        <f>IFERROR(VLOOKUP($B86,MMWR_TRAD_AGG_ST_DISTRICT_PEN[],K$1,0),"ERROR")</f>
        <v>15</v>
      </c>
      <c r="L86" s="102">
        <f>IFERROR(VLOOKUP($B86,MMWR_TRAD_AGG_ST_DISTRICT_PEN[],L$1,0),"ERROR")</f>
        <v>12</v>
      </c>
      <c r="M86" s="104">
        <f t="shared" si="10"/>
        <v>0.8</v>
      </c>
      <c r="N86" s="102">
        <f>IFERROR(VLOOKUP($B86,MMWR_TRAD_AGG_ST_DISTRICT_PEN[],N$1,0),"ERROR")</f>
        <v>381</v>
      </c>
      <c r="O86" s="102">
        <f>IFERROR(VLOOKUP($B86,MMWR_TRAD_AGG_ST_DISTRICT_PEN[],O$1,0),"ERROR")</f>
        <v>80</v>
      </c>
      <c r="P86" s="104">
        <f t="shared" si="11"/>
        <v>0.20997375328083989</v>
      </c>
      <c r="Q86" s="102">
        <f>IFERROR(VLOOKUP($B86,MMWR_TRAD_AGG_ST_DISTRICT_PEN[],Q$1,0),"ERROR")</f>
        <v>2356</v>
      </c>
      <c r="R86" s="106">
        <f>IFERROR(VLOOKUP($B86,MMWR_TRAD_AGG_ST_DISTRICT_PEN[],R$1,0),"ERROR")</f>
        <v>659</v>
      </c>
      <c r="S86" s="106">
        <f>IFERROR(VLOOKUP($B86,MMWR_APP_STATE_PEN[],S$1,0),"ERROR")</f>
        <v>1417</v>
      </c>
      <c r="T86" s="28"/>
    </row>
    <row r="87" spans="1:20" s="123" customFormat="1" x14ac:dyDescent="0.2">
      <c r="A87" s="28"/>
      <c r="B87" s="127" t="s">
        <v>394</v>
      </c>
      <c r="C87" s="109">
        <f>IFERROR(VLOOKUP($B87,MMWR_TRAD_AGG_STATE_PEN[],C$1,0),"ERROR")</f>
        <v>482</v>
      </c>
      <c r="D87" s="110">
        <f>IFERROR(VLOOKUP($B87,MMWR_TRAD_AGG_STATE_PEN[],D$1,0),"ERROR")</f>
        <v>76.120331950199997</v>
      </c>
      <c r="E87" s="111">
        <f>IFERROR(VLOOKUP($B87,MMWR_TRAD_AGG_STATE_PEN[],E$1,0),"ERROR")</f>
        <v>765</v>
      </c>
      <c r="F87" s="112">
        <f>IFERROR(VLOOKUP($B87,MMWR_TRAD_AGG_STATE_PEN[],F$1,0),"ERROR")</f>
        <v>78</v>
      </c>
      <c r="G87" s="113">
        <f t="shared" si="8"/>
        <v>0.10196078431372549</v>
      </c>
      <c r="H87" s="111">
        <f>IFERROR(VLOOKUP($B87,MMWR_TRAD_AGG_STATE_PEN[],H$1,0),"ERROR")</f>
        <v>656</v>
      </c>
      <c r="I87" s="112">
        <f>IFERROR(VLOOKUP($B87,MMWR_TRAD_AGG_STATE_PEN[],I$1,0),"ERROR")</f>
        <v>71</v>
      </c>
      <c r="J87" s="114">
        <f t="shared" si="9"/>
        <v>0.10823170731707317</v>
      </c>
      <c r="K87" s="111">
        <f>IFERROR(VLOOKUP($B87,MMWR_TRAD_AGG_STATE_PEN[],K$1,0),"ERROR")</f>
        <v>1</v>
      </c>
      <c r="L87" s="112">
        <f>IFERROR(VLOOKUP($B87,MMWR_TRAD_AGG_STATE_PEN[],L$1,0),"ERROR")</f>
        <v>0</v>
      </c>
      <c r="M87" s="114">
        <f t="shared" si="10"/>
        <v>0</v>
      </c>
      <c r="N87" s="111">
        <f>IFERROR(VLOOKUP($B87,MMWR_TRAD_AGG_STATE_PEN[],N$1,0),"ERROR")</f>
        <v>48</v>
      </c>
      <c r="O87" s="112">
        <f>IFERROR(VLOOKUP($B87,MMWR_TRAD_AGG_STATE_PEN[],O$1,0),"ERROR")</f>
        <v>11</v>
      </c>
      <c r="P87" s="114">
        <f t="shared" si="11"/>
        <v>0.22916666666666666</v>
      </c>
      <c r="Q87" s="115">
        <f>IFERROR(VLOOKUP($B87,MMWR_TRAD_AGG_STATE_PEN[],Q$1,0),"ERROR")</f>
        <v>90</v>
      </c>
      <c r="R87" s="115">
        <f>IFERROR(VLOOKUP($B87,MMWR_TRAD_AGG_STATE_PEN[],R$1,0),"ERROR")</f>
        <v>132</v>
      </c>
      <c r="S87" s="115">
        <f>IFERROR(VLOOKUP($B87,MMWR_APP_STATE_PEN[],S$1,0),"ERROR")</f>
        <v>313</v>
      </c>
      <c r="T87" s="28"/>
    </row>
    <row r="88" spans="1:20" s="123" customFormat="1" x14ac:dyDescent="0.2">
      <c r="A88" s="28"/>
      <c r="B88" s="127" t="s">
        <v>392</v>
      </c>
      <c r="C88" s="109">
        <f>IFERROR(VLOOKUP($B88,MMWR_TRAD_AGG_STATE_PEN[],C$1,0),"ERROR")</f>
        <v>295</v>
      </c>
      <c r="D88" s="110">
        <f>IFERROR(VLOOKUP($B88,MMWR_TRAD_AGG_STATE_PEN[],D$1,0),"ERROR")</f>
        <v>73.2813559322</v>
      </c>
      <c r="E88" s="111">
        <f>IFERROR(VLOOKUP($B88,MMWR_TRAD_AGG_STATE_PEN[],E$1,0),"ERROR")</f>
        <v>535</v>
      </c>
      <c r="F88" s="112">
        <f>IFERROR(VLOOKUP($B88,MMWR_TRAD_AGG_STATE_PEN[],F$1,0),"ERROR")</f>
        <v>67</v>
      </c>
      <c r="G88" s="113">
        <f t="shared" si="8"/>
        <v>0.12523364485981309</v>
      </c>
      <c r="H88" s="111">
        <f>IFERROR(VLOOKUP($B88,MMWR_TRAD_AGG_STATE_PEN[],H$1,0),"ERROR")</f>
        <v>488</v>
      </c>
      <c r="I88" s="112">
        <f>IFERROR(VLOOKUP($B88,MMWR_TRAD_AGG_STATE_PEN[],I$1,0),"ERROR")</f>
        <v>62</v>
      </c>
      <c r="J88" s="114">
        <f t="shared" si="9"/>
        <v>0.12704918032786885</v>
      </c>
      <c r="K88" s="111">
        <f>IFERROR(VLOOKUP($B88,MMWR_TRAD_AGG_STATE_PEN[],K$1,0),"ERROR")</f>
        <v>2</v>
      </c>
      <c r="L88" s="112">
        <f>IFERROR(VLOOKUP($B88,MMWR_TRAD_AGG_STATE_PEN[],L$1,0),"ERROR")</f>
        <v>2</v>
      </c>
      <c r="M88" s="114">
        <f t="shared" si="10"/>
        <v>1</v>
      </c>
      <c r="N88" s="111">
        <f>IFERROR(VLOOKUP($B88,MMWR_TRAD_AGG_STATE_PEN[],N$1,0),"ERROR")</f>
        <v>50</v>
      </c>
      <c r="O88" s="112">
        <f>IFERROR(VLOOKUP($B88,MMWR_TRAD_AGG_STATE_PEN[],O$1,0),"ERROR")</f>
        <v>13</v>
      </c>
      <c r="P88" s="114">
        <f t="shared" si="11"/>
        <v>0.26</v>
      </c>
      <c r="Q88" s="115">
        <f>IFERROR(VLOOKUP($B88,MMWR_TRAD_AGG_STATE_PEN[],Q$1,0),"ERROR")</f>
        <v>61</v>
      </c>
      <c r="R88" s="115">
        <f>IFERROR(VLOOKUP($B88,MMWR_TRAD_AGG_STATE_PEN[],R$1,0),"ERROR")</f>
        <v>75</v>
      </c>
      <c r="S88" s="115">
        <f>IFERROR(VLOOKUP($B88,MMWR_APP_STATE_PEN[],S$1,0),"ERROR")</f>
        <v>146</v>
      </c>
      <c r="T88" s="28"/>
    </row>
    <row r="89" spans="1:20" s="123" customFormat="1" x14ac:dyDescent="0.2">
      <c r="A89" s="28"/>
      <c r="B89" s="127" t="s">
        <v>399</v>
      </c>
      <c r="C89" s="109">
        <f>IFERROR(VLOOKUP($B89,MMWR_TRAD_AGG_STATE_PEN[],C$1,0),"ERROR")</f>
        <v>235</v>
      </c>
      <c r="D89" s="110">
        <f>IFERROR(VLOOKUP($B89,MMWR_TRAD_AGG_STATE_PEN[],D$1,0),"ERROR")</f>
        <v>58.2553191489</v>
      </c>
      <c r="E89" s="111">
        <f>IFERROR(VLOOKUP($B89,MMWR_TRAD_AGG_STATE_PEN[],E$1,0),"ERROR")</f>
        <v>270</v>
      </c>
      <c r="F89" s="112">
        <f>IFERROR(VLOOKUP($B89,MMWR_TRAD_AGG_STATE_PEN[],F$1,0),"ERROR")</f>
        <v>6</v>
      </c>
      <c r="G89" s="113">
        <f t="shared" si="8"/>
        <v>2.2222222222222223E-2</v>
      </c>
      <c r="H89" s="111">
        <f>IFERROR(VLOOKUP($B89,MMWR_TRAD_AGG_STATE_PEN[],H$1,0),"ERROR")</f>
        <v>333</v>
      </c>
      <c r="I89" s="112">
        <f>IFERROR(VLOOKUP($B89,MMWR_TRAD_AGG_STATE_PEN[],I$1,0),"ERROR")</f>
        <v>18</v>
      </c>
      <c r="J89" s="114">
        <f t="shared" si="9"/>
        <v>5.4054054054054057E-2</v>
      </c>
      <c r="K89" s="111">
        <f>IFERROR(VLOOKUP($B89,MMWR_TRAD_AGG_STATE_PEN[],K$1,0),"ERROR")</f>
        <v>0</v>
      </c>
      <c r="L89" s="112">
        <f>IFERROR(VLOOKUP($B89,MMWR_TRAD_AGG_STATE_PEN[],L$1,0),"ERROR")</f>
        <v>0</v>
      </c>
      <c r="M89" s="114" t="str">
        <f t="shared" si="10"/>
        <v>0%</v>
      </c>
      <c r="N89" s="111">
        <f>IFERROR(VLOOKUP($B89,MMWR_TRAD_AGG_STATE_PEN[],N$1,0),"ERROR")</f>
        <v>16</v>
      </c>
      <c r="O89" s="112">
        <f>IFERROR(VLOOKUP($B89,MMWR_TRAD_AGG_STATE_PEN[],O$1,0),"ERROR")</f>
        <v>5</v>
      </c>
      <c r="P89" s="114">
        <f t="shared" si="11"/>
        <v>0.3125</v>
      </c>
      <c r="Q89" s="115">
        <f>IFERROR(VLOOKUP($B89,MMWR_TRAD_AGG_STATE_PEN[],Q$1,0),"ERROR")</f>
        <v>361</v>
      </c>
      <c r="R89" s="115">
        <f>IFERROR(VLOOKUP($B89,MMWR_TRAD_AGG_STATE_PEN[],R$1,0),"ERROR")</f>
        <v>39</v>
      </c>
      <c r="S89" s="115">
        <f>IFERROR(VLOOKUP($B89,MMWR_APP_STATE_PEN[],S$1,0),"ERROR")</f>
        <v>34</v>
      </c>
      <c r="T89" s="28"/>
    </row>
    <row r="90" spans="1:20" s="123" customFormat="1" x14ac:dyDescent="0.2">
      <c r="A90" s="28"/>
      <c r="B90" s="127" t="s">
        <v>422</v>
      </c>
      <c r="C90" s="109">
        <f>IFERROR(VLOOKUP($B90,MMWR_TRAD_AGG_STATE_PEN[],C$1,0),"ERROR")</f>
        <v>170</v>
      </c>
      <c r="D90" s="110">
        <f>IFERROR(VLOOKUP($B90,MMWR_TRAD_AGG_STATE_PEN[],D$1,0),"ERROR")</f>
        <v>69.476470588200002</v>
      </c>
      <c r="E90" s="111">
        <f>IFERROR(VLOOKUP($B90,MMWR_TRAD_AGG_STATE_PEN[],E$1,0),"ERROR")</f>
        <v>195</v>
      </c>
      <c r="F90" s="112">
        <f>IFERROR(VLOOKUP($B90,MMWR_TRAD_AGG_STATE_PEN[],F$1,0),"ERROR")</f>
        <v>11</v>
      </c>
      <c r="G90" s="113">
        <f t="shared" si="8"/>
        <v>5.6410256410256411E-2</v>
      </c>
      <c r="H90" s="111">
        <f>IFERROR(VLOOKUP($B90,MMWR_TRAD_AGG_STATE_PEN[],H$1,0),"ERROR")</f>
        <v>241</v>
      </c>
      <c r="I90" s="112">
        <f>IFERROR(VLOOKUP($B90,MMWR_TRAD_AGG_STATE_PEN[],I$1,0),"ERROR")</f>
        <v>30</v>
      </c>
      <c r="J90" s="114">
        <f t="shared" si="9"/>
        <v>0.12448132780082988</v>
      </c>
      <c r="K90" s="111">
        <f>IFERROR(VLOOKUP($B90,MMWR_TRAD_AGG_STATE_PEN[],K$1,0),"ERROR")</f>
        <v>0</v>
      </c>
      <c r="L90" s="112">
        <f>IFERROR(VLOOKUP($B90,MMWR_TRAD_AGG_STATE_PEN[],L$1,0),"ERROR")</f>
        <v>0</v>
      </c>
      <c r="M90" s="114" t="str">
        <f t="shared" si="10"/>
        <v>0%</v>
      </c>
      <c r="N90" s="111">
        <f>IFERROR(VLOOKUP($B90,MMWR_TRAD_AGG_STATE_PEN[],N$1,0),"ERROR")</f>
        <v>14</v>
      </c>
      <c r="O90" s="112">
        <f>IFERROR(VLOOKUP($B90,MMWR_TRAD_AGG_STATE_PEN[],O$1,0),"ERROR")</f>
        <v>3</v>
      </c>
      <c r="P90" s="114">
        <f t="shared" si="11"/>
        <v>0.21428571428571427</v>
      </c>
      <c r="Q90" s="115">
        <f>IFERROR(VLOOKUP($B90,MMWR_TRAD_AGG_STATE_PEN[],Q$1,0),"ERROR")</f>
        <v>179</v>
      </c>
      <c r="R90" s="115">
        <f>IFERROR(VLOOKUP($B90,MMWR_TRAD_AGG_STATE_PEN[],R$1,0),"ERROR")</f>
        <v>31</v>
      </c>
      <c r="S90" s="115">
        <f>IFERROR(VLOOKUP($B90,MMWR_APP_STATE_PEN[],S$1,0),"ERROR")</f>
        <v>25</v>
      </c>
      <c r="T90" s="28"/>
    </row>
    <row r="91" spans="1:20" s="123" customFormat="1" x14ac:dyDescent="0.2">
      <c r="A91" s="28"/>
      <c r="B91" s="127" t="s">
        <v>395</v>
      </c>
      <c r="C91" s="109">
        <f>IFERROR(VLOOKUP($B91,MMWR_TRAD_AGG_STATE_PEN[],C$1,0),"ERROR")</f>
        <v>551</v>
      </c>
      <c r="D91" s="110">
        <f>IFERROR(VLOOKUP($B91,MMWR_TRAD_AGG_STATE_PEN[],D$1,0),"ERROR")</f>
        <v>66.281306715100001</v>
      </c>
      <c r="E91" s="111">
        <f>IFERROR(VLOOKUP($B91,MMWR_TRAD_AGG_STATE_PEN[],E$1,0),"ERROR")</f>
        <v>1023</v>
      </c>
      <c r="F91" s="112">
        <f>IFERROR(VLOOKUP($B91,MMWR_TRAD_AGG_STATE_PEN[],F$1,0),"ERROR")</f>
        <v>129</v>
      </c>
      <c r="G91" s="113">
        <f t="shared" si="8"/>
        <v>0.12609970674486803</v>
      </c>
      <c r="H91" s="111">
        <f>IFERROR(VLOOKUP($B91,MMWR_TRAD_AGG_STATE_PEN[],H$1,0),"ERROR")</f>
        <v>825</v>
      </c>
      <c r="I91" s="112">
        <f>IFERROR(VLOOKUP($B91,MMWR_TRAD_AGG_STATE_PEN[],I$1,0),"ERROR")</f>
        <v>103</v>
      </c>
      <c r="J91" s="114">
        <f t="shared" si="9"/>
        <v>0.12484848484848485</v>
      </c>
      <c r="K91" s="111">
        <f>IFERROR(VLOOKUP($B91,MMWR_TRAD_AGG_STATE_PEN[],K$1,0),"ERROR")</f>
        <v>1</v>
      </c>
      <c r="L91" s="112">
        <f>IFERROR(VLOOKUP($B91,MMWR_TRAD_AGG_STATE_PEN[],L$1,0),"ERROR")</f>
        <v>1</v>
      </c>
      <c r="M91" s="114">
        <f t="shared" si="10"/>
        <v>1</v>
      </c>
      <c r="N91" s="111">
        <f>IFERROR(VLOOKUP($B91,MMWR_TRAD_AGG_STATE_PEN[],N$1,0),"ERROR")</f>
        <v>61</v>
      </c>
      <c r="O91" s="112">
        <f>IFERROR(VLOOKUP($B91,MMWR_TRAD_AGG_STATE_PEN[],O$1,0),"ERROR")</f>
        <v>9</v>
      </c>
      <c r="P91" s="114">
        <f t="shared" si="11"/>
        <v>0.14754098360655737</v>
      </c>
      <c r="Q91" s="115">
        <f>IFERROR(VLOOKUP($B91,MMWR_TRAD_AGG_STATE_PEN[],Q$1,0),"ERROR")</f>
        <v>113</v>
      </c>
      <c r="R91" s="115">
        <f>IFERROR(VLOOKUP($B91,MMWR_TRAD_AGG_STATE_PEN[],R$1,0),"ERROR")</f>
        <v>98</v>
      </c>
      <c r="S91" s="115">
        <f>IFERROR(VLOOKUP($B91,MMWR_APP_STATE_PEN[],S$1,0),"ERROR")</f>
        <v>229</v>
      </c>
      <c r="T91" s="28"/>
    </row>
    <row r="92" spans="1:20" s="123" customFormat="1" x14ac:dyDescent="0.2">
      <c r="A92" s="28"/>
      <c r="B92" s="127" t="s">
        <v>401</v>
      </c>
      <c r="C92" s="109">
        <f>IFERROR(VLOOKUP($B92,MMWR_TRAD_AGG_STATE_PEN[],C$1,0),"ERROR")</f>
        <v>289</v>
      </c>
      <c r="D92" s="110">
        <f>IFERROR(VLOOKUP($B92,MMWR_TRAD_AGG_STATE_PEN[],D$1,0),"ERROR")</f>
        <v>63.865051903100003</v>
      </c>
      <c r="E92" s="111">
        <f>IFERROR(VLOOKUP($B92,MMWR_TRAD_AGG_STATE_PEN[],E$1,0),"ERROR")</f>
        <v>296</v>
      </c>
      <c r="F92" s="112">
        <f>IFERROR(VLOOKUP($B92,MMWR_TRAD_AGG_STATE_PEN[],F$1,0),"ERROR")</f>
        <v>7</v>
      </c>
      <c r="G92" s="113">
        <f t="shared" si="8"/>
        <v>2.364864864864865E-2</v>
      </c>
      <c r="H92" s="111">
        <f>IFERROR(VLOOKUP($B92,MMWR_TRAD_AGG_STATE_PEN[],H$1,0),"ERROR")</f>
        <v>385</v>
      </c>
      <c r="I92" s="112">
        <f>IFERROR(VLOOKUP($B92,MMWR_TRAD_AGG_STATE_PEN[],I$1,0),"ERROR")</f>
        <v>40</v>
      </c>
      <c r="J92" s="114">
        <f t="shared" si="9"/>
        <v>0.1038961038961039</v>
      </c>
      <c r="K92" s="111">
        <f>IFERROR(VLOOKUP($B92,MMWR_TRAD_AGG_STATE_PEN[],K$1,0),"ERROR")</f>
        <v>1</v>
      </c>
      <c r="L92" s="112">
        <f>IFERROR(VLOOKUP($B92,MMWR_TRAD_AGG_STATE_PEN[],L$1,0),"ERROR")</f>
        <v>1</v>
      </c>
      <c r="M92" s="114">
        <f t="shared" si="10"/>
        <v>1</v>
      </c>
      <c r="N92" s="111">
        <f>IFERROR(VLOOKUP($B92,MMWR_TRAD_AGG_STATE_PEN[],N$1,0),"ERROR")</f>
        <v>23</v>
      </c>
      <c r="O92" s="112">
        <f>IFERROR(VLOOKUP($B92,MMWR_TRAD_AGG_STATE_PEN[],O$1,0),"ERROR")</f>
        <v>4</v>
      </c>
      <c r="P92" s="114">
        <f t="shared" si="11"/>
        <v>0.17391304347826086</v>
      </c>
      <c r="Q92" s="115">
        <f>IFERROR(VLOOKUP($B92,MMWR_TRAD_AGG_STATE_PEN[],Q$1,0),"ERROR")</f>
        <v>825</v>
      </c>
      <c r="R92" s="115">
        <f>IFERROR(VLOOKUP($B92,MMWR_TRAD_AGG_STATE_PEN[],R$1,0),"ERROR")</f>
        <v>60</v>
      </c>
      <c r="S92" s="115">
        <f>IFERROR(VLOOKUP($B92,MMWR_APP_STATE_PEN[],S$1,0),"ERROR")</f>
        <v>28</v>
      </c>
      <c r="T92" s="28"/>
    </row>
    <row r="93" spans="1:20" s="123" customFormat="1" x14ac:dyDescent="0.2">
      <c r="A93" s="28"/>
      <c r="B93" s="127" t="s">
        <v>397</v>
      </c>
      <c r="C93" s="109">
        <f>IFERROR(VLOOKUP($B93,MMWR_TRAD_AGG_STATE_PEN[],C$1,0),"ERROR")</f>
        <v>499</v>
      </c>
      <c r="D93" s="110">
        <f>IFERROR(VLOOKUP($B93,MMWR_TRAD_AGG_STATE_PEN[],D$1,0),"ERROR")</f>
        <v>70.887775551100006</v>
      </c>
      <c r="E93" s="111">
        <f>IFERROR(VLOOKUP($B93,MMWR_TRAD_AGG_STATE_PEN[],E$1,0),"ERROR")</f>
        <v>666</v>
      </c>
      <c r="F93" s="112">
        <f>IFERROR(VLOOKUP($B93,MMWR_TRAD_AGG_STATE_PEN[],F$1,0),"ERROR")</f>
        <v>82</v>
      </c>
      <c r="G93" s="113">
        <f t="shared" si="8"/>
        <v>0.12312312312312312</v>
      </c>
      <c r="H93" s="111">
        <f>IFERROR(VLOOKUP($B93,MMWR_TRAD_AGG_STATE_PEN[],H$1,0),"ERROR")</f>
        <v>705</v>
      </c>
      <c r="I93" s="112">
        <f>IFERROR(VLOOKUP($B93,MMWR_TRAD_AGG_STATE_PEN[],I$1,0),"ERROR")</f>
        <v>69</v>
      </c>
      <c r="J93" s="114">
        <f t="shared" si="9"/>
        <v>9.7872340425531917E-2</v>
      </c>
      <c r="K93" s="111">
        <f>IFERROR(VLOOKUP($B93,MMWR_TRAD_AGG_STATE_PEN[],K$1,0),"ERROR")</f>
        <v>3</v>
      </c>
      <c r="L93" s="112">
        <f>IFERROR(VLOOKUP($B93,MMWR_TRAD_AGG_STATE_PEN[],L$1,0),"ERROR")</f>
        <v>3</v>
      </c>
      <c r="M93" s="114">
        <f t="shared" si="10"/>
        <v>1</v>
      </c>
      <c r="N93" s="111">
        <f>IFERROR(VLOOKUP($B93,MMWR_TRAD_AGG_STATE_PEN[],N$1,0),"ERROR")</f>
        <v>38</v>
      </c>
      <c r="O93" s="112">
        <f>IFERROR(VLOOKUP($B93,MMWR_TRAD_AGG_STATE_PEN[],O$1,0),"ERROR")</f>
        <v>12</v>
      </c>
      <c r="P93" s="114">
        <f t="shared" si="11"/>
        <v>0.31578947368421051</v>
      </c>
      <c r="Q93" s="115">
        <f>IFERROR(VLOOKUP($B93,MMWR_TRAD_AGG_STATE_PEN[],Q$1,0),"ERROR")</f>
        <v>97</v>
      </c>
      <c r="R93" s="115">
        <f>IFERROR(VLOOKUP($B93,MMWR_TRAD_AGG_STATE_PEN[],R$1,0),"ERROR")</f>
        <v>52</v>
      </c>
      <c r="S93" s="115">
        <f>IFERROR(VLOOKUP($B93,MMWR_APP_STATE_PEN[],S$1,0),"ERROR")</f>
        <v>217</v>
      </c>
      <c r="T93" s="28"/>
    </row>
    <row r="94" spans="1:20" s="123" customFormat="1" x14ac:dyDescent="0.2">
      <c r="A94" s="28"/>
      <c r="B94" s="127" t="s">
        <v>400</v>
      </c>
      <c r="C94" s="109">
        <f>IFERROR(VLOOKUP($B94,MMWR_TRAD_AGG_STATE_PEN[],C$1,0),"ERROR")</f>
        <v>84</v>
      </c>
      <c r="D94" s="110">
        <f>IFERROR(VLOOKUP($B94,MMWR_TRAD_AGG_STATE_PEN[],D$1,0),"ERROR")</f>
        <v>55.773809523799997</v>
      </c>
      <c r="E94" s="111">
        <f>IFERROR(VLOOKUP($B94,MMWR_TRAD_AGG_STATE_PEN[],E$1,0),"ERROR")</f>
        <v>85</v>
      </c>
      <c r="F94" s="112">
        <f>IFERROR(VLOOKUP($B94,MMWR_TRAD_AGG_STATE_PEN[],F$1,0),"ERROR")</f>
        <v>1</v>
      </c>
      <c r="G94" s="113">
        <f t="shared" si="8"/>
        <v>1.1764705882352941E-2</v>
      </c>
      <c r="H94" s="111">
        <f>IFERROR(VLOOKUP($B94,MMWR_TRAD_AGG_STATE_PEN[],H$1,0),"ERROR")</f>
        <v>129</v>
      </c>
      <c r="I94" s="112">
        <f>IFERROR(VLOOKUP($B94,MMWR_TRAD_AGG_STATE_PEN[],I$1,0),"ERROR")</f>
        <v>7</v>
      </c>
      <c r="J94" s="114">
        <f t="shared" si="9"/>
        <v>5.4263565891472867E-2</v>
      </c>
      <c r="K94" s="111">
        <f>IFERROR(VLOOKUP($B94,MMWR_TRAD_AGG_STATE_PEN[],K$1,0),"ERROR")</f>
        <v>0</v>
      </c>
      <c r="L94" s="112">
        <f>IFERROR(VLOOKUP($B94,MMWR_TRAD_AGG_STATE_PEN[],L$1,0),"ERROR")</f>
        <v>0</v>
      </c>
      <c r="M94" s="114" t="str">
        <f t="shared" si="10"/>
        <v>0%</v>
      </c>
      <c r="N94" s="111">
        <f>IFERROR(VLOOKUP($B94,MMWR_TRAD_AGG_STATE_PEN[],N$1,0),"ERROR")</f>
        <v>3</v>
      </c>
      <c r="O94" s="112">
        <f>IFERROR(VLOOKUP($B94,MMWR_TRAD_AGG_STATE_PEN[],O$1,0),"ERROR")</f>
        <v>1</v>
      </c>
      <c r="P94" s="114">
        <f t="shared" si="11"/>
        <v>0.33333333333333331</v>
      </c>
      <c r="Q94" s="115">
        <f>IFERROR(VLOOKUP($B94,MMWR_TRAD_AGG_STATE_PEN[],Q$1,0),"ERROR")</f>
        <v>256</v>
      </c>
      <c r="R94" s="115">
        <f>IFERROR(VLOOKUP($B94,MMWR_TRAD_AGG_STATE_PEN[],R$1,0),"ERROR")</f>
        <v>20</v>
      </c>
      <c r="S94" s="115">
        <f>IFERROR(VLOOKUP($B94,MMWR_APP_STATE_PEN[],S$1,0),"ERROR")</f>
        <v>16</v>
      </c>
      <c r="T94" s="28"/>
    </row>
    <row r="95" spans="1:20" s="123" customFormat="1" x14ac:dyDescent="0.2">
      <c r="A95" s="28"/>
      <c r="B95" s="127" t="s">
        <v>419</v>
      </c>
      <c r="C95" s="109">
        <f>IFERROR(VLOOKUP($B95,MMWR_TRAD_AGG_STATE_PEN[],C$1,0),"ERROR")</f>
        <v>45</v>
      </c>
      <c r="D95" s="110">
        <f>IFERROR(VLOOKUP($B95,MMWR_TRAD_AGG_STATE_PEN[],D$1,0),"ERROR")</f>
        <v>69.422222222200006</v>
      </c>
      <c r="E95" s="111">
        <f>IFERROR(VLOOKUP($B95,MMWR_TRAD_AGG_STATE_PEN[],E$1,0),"ERROR")</f>
        <v>22</v>
      </c>
      <c r="F95" s="112">
        <f>IFERROR(VLOOKUP($B95,MMWR_TRAD_AGG_STATE_PEN[],F$1,0),"ERROR")</f>
        <v>0</v>
      </c>
      <c r="G95" s="113">
        <f t="shared" si="8"/>
        <v>0</v>
      </c>
      <c r="H95" s="111">
        <f>IFERROR(VLOOKUP($B95,MMWR_TRAD_AGG_STATE_PEN[],H$1,0),"ERROR")</f>
        <v>63</v>
      </c>
      <c r="I95" s="112">
        <f>IFERROR(VLOOKUP($B95,MMWR_TRAD_AGG_STATE_PEN[],I$1,0),"ERROR")</f>
        <v>6</v>
      </c>
      <c r="J95" s="114">
        <f t="shared" si="9"/>
        <v>9.5238095238095233E-2</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63</v>
      </c>
      <c r="R95" s="115">
        <f>IFERROR(VLOOKUP($B95,MMWR_TRAD_AGG_STATE_PEN[],R$1,0),"ERROR")</f>
        <v>8</v>
      </c>
      <c r="S95" s="115">
        <f>IFERROR(VLOOKUP($B95,MMWR_APP_STATE_PEN[],S$1,0),"ERROR")</f>
        <v>3</v>
      </c>
      <c r="T95" s="28"/>
    </row>
    <row r="96" spans="1:20" s="123" customFormat="1" x14ac:dyDescent="0.2">
      <c r="A96" s="28"/>
      <c r="B96" s="127" t="s">
        <v>391</v>
      </c>
      <c r="C96" s="109">
        <f>IFERROR(VLOOKUP($B96,MMWR_TRAD_AGG_STATE_PEN[],C$1,0),"ERROR")</f>
        <v>571</v>
      </c>
      <c r="D96" s="110">
        <f>IFERROR(VLOOKUP($B96,MMWR_TRAD_AGG_STATE_PEN[],D$1,0),"ERROR")</f>
        <v>65.509632224200004</v>
      </c>
      <c r="E96" s="111">
        <f>IFERROR(VLOOKUP($B96,MMWR_TRAD_AGG_STATE_PEN[],E$1,0),"ERROR")</f>
        <v>1142</v>
      </c>
      <c r="F96" s="112">
        <f>IFERROR(VLOOKUP($B96,MMWR_TRAD_AGG_STATE_PEN[],F$1,0),"ERROR")</f>
        <v>101</v>
      </c>
      <c r="G96" s="113">
        <f t="shared" si="8"/>
        <v>8.8441330998248691E-2</v>
      </c>
      <c r="H96" s="111">
        <f>IFERROR(VLOOKUP($B96,MMWR_TRAD_AGG_STATE_PEN[],H$1,0),"ERROR")</f>
        <v>954</v>
      </c>
      <c r="I96" s="112">
        <f>IFERROR(VLOOKUP($B96,MMWR_TRAD_AGG_STATE_PEN[],I$1,0),"ERROR")</f>
        <v>109</v>
      </c>
      <c r="J96" s="114">
        <f t="shared" si="9"/>
        <v>0.11425576519916142</v>
      </c>
      <c r="K96" s="111">
        <f>IFERROR(VLOOKUP($B96,MMWR_TRAD_AGG_STATE_PEN[],K$1,0),"ERROR")</f>
        <v>5</v>
      </c>
      <c r="L96" s="112">
        <f>IFERROR(VLOOKUP($B96,MMWR_TRAD_AGG_STATE_PEN[],L$1,0),"ERROR")</f>
        <v>3</v>
      </c>
      <c r="M96" s="114">
        <f t="shared" si="10"/>
        <v>0.6</v>
      </c>
      <c r="N96" s="111">
        <f>IFERROR(VLOOKUP($B96,MMWR_TRAD_AGG_STATE_PEN[],N$1,0),"ERROR")</f>
        <v>90</v>
      </c>
      <c r="O96" s="112">
        <f>IFERROR(VLOOKUP($B96,MMWR_TRAD_AGG_STATE_PEN[],O$1,0),"ERROR")</f>
        <v>13</v>
      </c>
      <c r="P96" s="114">
        <f t="shared" si="11"/>
        <v>0.14444444444444443</v>
      </c>
      <c r="Q96" s="115">
        <f>IFERROR(VLOOKUP($B96,MMWR_TRAD_AGG_STATE_PEN[],Q$1,0),"ERROR")</f>
        <v>125</v>
      </c>
      <c r="R96" s="115">
        <f>IFERROR(VLOOKUP($B96,MMWR_TRAD_AGG_STATE_PEN[],R$1,0),"ERROR")</f>
        <v>106</v>
      </c>
      <c r="S96" s="115">
        <f>IFERROR(VLOOKUP($B96,MMWR_APP_STATE_PEN[],S$1,0),"ERROR")</f>
        <v>303</v>
      </c>
      <c r="T96" s="28"/>
    </row>
    <row r="97" spans="1:20" s="123" customFormat="1" x14ac:dyDescent="0.2">
      <c r="A97" s="28"/>
      <c r="B97" s="127" t="s">
        <v>420</v>
      </c>
      <c r="C97" s="109">
        <f>IFERROR(VLOOKUP($B97,MMWR_TRAD_AGG_STATE_PEN[],C$1,0),"ERROR")</f>
        <v>59</v>
      </c>
      <c r="D97" s="110">
        <f>IFERROR(VLOOKUP($B97,MMWR_TRAD_AGG_STATE_PEN[],D$1,0),"ERROR")</f>
        <v>69.423728813599993</v>
      </c>
      <c r="E97" s="111">
        <f>IFERROR(VLOOKUP($B97,MMWR_TRAD_AGG_STATE_PEN[],E$1,0),"ERROR")</f>
        <v>54</v>
      </c>
      <c r="F97" s="112">
        <f>IFERROR(VLOOKUP($B97,MMWR_TRAD_AGG_STATE_PEN[],F$1,0),"ERROR")</f>
        <v>5</v>
      </c>
      <c r="G97" s="113">
        <f t="shared" si="8"/>
        <v>9.2592592592592587E-2</v>
      </c>
      <c r="H97" s="111">
        <f>IFERROR(VLOOKUP($B97,MMWR_TRAD_AGG_STATE_PEN[],H$1,0),"ERROR")</f>
        <v>82</v>
      </c>
      <c r="I97" s="112">
        <f>IFERROR(VLOOKUP($B97,MMWR_TRAD_AGG_STATE_PEN[],I$1,0),"ERROR")</f>
        <v>7</v>
      </c>
      <c r="J97" s="114">
        <f t="shared" si="9"/>
        <v>8.5365853658536592E-2</v>
      </c>
      <c r="K97" s="111">
        <f>IFERROR(VLOOKUP($B97,MMWR_TRAD_AGG_STATE_PEN[],K$1,0),"ERROR")</f>
        <v>1</v>
      </c>
      <c r="L97" s="112">
        <f>IFERROR(VLOOKUP($B97,MMWR_TRAD_AGG_STATE_PEN[],L$1,0),"ERROR")</f>
        <v>1</v>
      </c>
      <c r="M97" s="114">
        <f t="shared" si="10"/>
        <v>1</v>
      </c>
      <c r="N97" s="111">
        <f>IFERROR(VLOOKUP($B97,MMWR_TRAD_AGG_STATE_PEN[],N$1,0),"ERROR")</f>
        <v>2</v>
      </c>
      <c r="O97" s="112">
        <f>IFERROR(VLOOKUP($B97,MMWR_TRAD_AGG_STATE_PEN[],O$1,0),"ERROR")</f>
        <v>1</v>
      </c>
      <c r="P97" s="114">
        <f t="shared" si="11"/>
        <v>0.5</v>
      </c>
      <c r="Q97" s="115">
        <f>IFERROR(VLOOKUP($B97,MMWR_TRAD_AGG_STATE_PEN[],Q$1,0),"ERROR")</f>
        <v>124</v>
      </c>
      <c r="R97" s="115">
        <f>IFERROR(VLOOKUP($B97,MMWR_TRAD_AGG_STATE_PEN[],R$1,0),"ERROR")</f>
        <v>6</v>
      </c>
      <c r="S97" s="115">
        <f>IFERROR(VLOOKUP($B97,MMWR_APP_STATE_PEN[],S$1,0),"ERROR")</f>
        <v>9</v>
      </c>
      <c r="T97" s="28"/>
    </row>
    <row r="98" spans="1:20" s="123" customFormat="1" x14ac:dyDescent="0.2">
      <c r="A98" s="28"/>
      <c r="B98" s="127" t="s">
        <v>396</v>
      </c>
      <c r="C98" s="109">
        <f>IFERROR(VLOOKUP($B98,MMWR_TRAD_AGG_STATE_PEN[],C$1,0),"ERROR")</f>
        <v>273</v>
      </c>
      <c r="D98" s="110">
        <f>IFERROR(VLOOKUP($B98,MMWR_TRAD_AGG_STATE_PEN[],D$1,0),"ERROR")</f>
        <v>60.717948717900001</v>
      </c>
      <c r="E98" s="111">
        <f>IFERROR(VLOOKUP($B98,MMWR_TRAD_AGG_STATE_PEN[],E$1,0),"ERROR")</f>
        <v>406</v>
      </c>
      <c r="F98" s="112">
        <f>IFERROR(VLOOKUP($B98,MMWR_TRAD_AGG_STATE_PEN[],F$1,0),"ERROR")</f>
        <v>42</v>
      </c>
      <c r="G98" s="113">
        <f t="shared" si="8"/>
        <v>0.10344827586206896</v>
      </c>
      <c r="H98" s="111">
        <f>IFERROR(VLOOKUP($B98,MMWR_TRAD_AGG_STATE_PEN[],H$1,0),"ERROR")</f>
        <v>377</v>
      </c>
      <c r="I98" s="112">
        <f>IFERROR(VLOOKUP($B98,MMWR_TRAD_AGG_STATE_PEN[],I$1,0),"ERROR")</f>
        <v>35</v>
      </c>
      <c r="J98" s="114">
        <f t="shared" si="9"/>
        <v>9.2838196286472149E-2</v>
      </c>
      <c r="K98" s="111">
        <f>IFERROR(VLOOKUP($B98,MMWR_TRAD_AGG_STATE_PEN[],K$1,0),"ERROR")</f>
        <v>1</v>
      </c>
      <c r="L98" s="112">
        <f>IFERROR(VLOOKUP($B98,MMWR_TRAD_AGG_STATE_PEN[],L$1,0),"ERROR")</f>
        <v>1</v>
      </c>
      <c r="M98" s="114">
        <f t="shared" si="10"/>
        <v>1</v>
      </c>
      <c r="N98" s="111">
        <f>IFERROR(VLOOKUP($B98,MMWR_TRAD_AGG_STATE_PEN[],N$1,0),"ERROR")</f>
        <v>36</v>
      </c>
      <c r="O98" s="112">
        <f>IFERROR(VLOOKUP($B98,MMWR_TRAD_AGG_STATE_PEN[],O$1,0),"ERROR")</f>
        <v>8</v>
      </c>
      <c r="P98" s="114">
        <f t="shared" si="11"/>
        <v>0.22222222222222221</v>
      </c>
      <c r="Q98" s="115">
        <f>IFERROR(VLOOKUP($B98,MMWR_TRAD_AGG_STATE_PEN[],Q$1,0),"ERROR")</f>
        <v>62</v>
      </c>
      <c r="R98" s="115">
        <f>IFERROR(VLOOKUP($B98,MMWR_TRAD_AGG_STATE_PEN[],R$1,0),"ERROR")</f>
        <v>32</v>
      </c>
      <c r="S98" s="115">
        <f>IFERROR(VLOOKUP($B98,MMWR_APP_STATE_PEN[],S$1,0),"ERROR")</f>
        <v>94</v>
      </c>
      <c r="T98" s="28"/>
    </row>
    <row r="99" spans="1:20" s="123" customFormat="1" x14ac:dyDescent="0.2">
      <c r="A99" s="28"/>
      <c r="B99" s="126" t="s">
        <v>385</v>
      </c>
      <c r="C99" s="102">
        <f>IFERROR(VLOOKUP($B99,MMWR_TRAD_AGG_ST_DISTRICT_PEN[],C$1,0),"ERROR")</f>
        <v>2798</v>
      </c>
      <c r="D99" s="103">
        <f>IFERROR(VLOOKUP($B99,MMWR_TRAD_AGG_ST_DISTRICT_PEN[],D$1,0),"ERROR")</f>
        <v>68.811651179400002</v>
      </c>
      <c r="E99" s="102">
        <f>IFERROR(VLOOKUP($B99,MMWR_TRAD_AGG_ST_DISTRICT_PEN[],E$1,0),"ERROR")</f>
        <v>3137</v>
      </c>
      <c r="F99" s="102">
        <f>IFERROR(VLOOKUP($B99,MMWR_TRAD_AGG_ST_DISTRICT_PEN[],F$1,0),"ERROR")</f>
        <v>186</v>
      </c>
      <c r="G99" s="104">
        <f t="shared" si="8"/>
        <v>5.9292317500796943E-2</v>
      </c>
      <c r="H99" s="102">
        <f>IFERROR(VLOOKUP($B99,MMWR_TRAD_AGG_ST_DISTRICT_PEN[],H$1,0),"ERROR")</f>
        <v>4088</v>
      </c>
      <c r="I99" s="102">
        <f>IFERROR(VLOOKUP($B99,MMWR_TRAD_AGG_ST_DISTRICT_PEN[],I$1,0),"ERROR")</f>
        <v>432</v>
      </c>
      <c r="J99" s="104">
        <f t="shared" si="9"/>
        <v>0.10567514677103718</v>
      </c>
      <c r="K99" s="102">
        <f>IFERROR(VLOOKUP($B99,MMWR_TRAD_AGG_ST_DISTRICT_PEN[],K$1,0),"ERROR")</f>
        <v>25</v>
      </c>
      <c r="L99" s="102">
        <f>IFERROR(VLOOKUP($B99,MMWR_TRAD_AGG_ST_DISTRICT_PEN[],L$1,0),"ERROR")</f>
        <v>19</v>
      </c>
      <c r="M99" s="104">
        <f t="shared" si="10"/>
        <v>0.76</v>
      </c>
      <c r="N99" s="102">
        <f>IFERROR(VLOOKUP($B99,MMWR_TRAD_AGG_ST_DISTRICT_PEN[],N$1,0),"ERROR")</f>
        <v>230</v>
      </c>
      <c r="O99" s="102">
        <f>IFERROR(VLOOKUP($B99,MMWR_TRAD_AGG_ST_DISTRICT_PEN[],O$1,0),"ERROR")</f>
        <v>76</v>
      </c>
      <c r="P99" s="104">
        <f t="shared" si="11"/>
        <v>0.33043478260869563</v>
      </c>
      <c r="Q99" s="102">
        <f>IFERROR(VLOOKUP($B99,MMWR_TRAD_AGG_ST_DISTRICT_PEN[],Q$1,0),"ERROR")</f>
        <v>3296</v>
      </c>
      <c r="R99" s="106">
        <f>IFERROR(VLOOKUP($B99,MMWR_TRAD_AGG_ST_DISTRICT_PEN[],R$1,0),"ERROR")</f>
        <v>770</v>
      </c>
      <c r="S99" s="106">
        <f>IFERROR(VLOOKUP($B99,MMWR_APP_STATE_PEN[],S$1,0),"ERROR")</f>
        <v>961</v>
      </c>
      <c r="T99" s="28"/>
    </row>
    <row r="100" spans="1:20" s="123" customFormat="1" x14ac:dyDescent="0.2">
      <c r="A100" s="28"/>
      <c r="B100" s="127" t="s">
        <v>411</v>
      </c>
      <c r="C100" s="109">
        <f>IFERROR(VLOOKUP($B100,MMWR_TRAD_AGG_STATE_PEN[],C$1,0),"ERROR")</f>
        <v>225</v>
      </c>
      <c r="D100" s="110">
        <f>IFERROR(VLOOKUP($B100,MMWR_TRAD_AGG_STATE_PEN[],D$1,0),"ERROR")</f>
        <v>66.36</v>
      </c>
      <c r="E100" s="111">
        <f>IFERROR(VLOOKUP($B100,MMWR_TRAD_AGG_STATE_PEN[],E$1,0),"ERROR")</f>
        <v>266</v>
      </c>
      <c r="F100" s="112">
        <f>IFERROR(VLOOKUP($B100,MMWR_TRAD_AGG_STATE_PEN[],F$1,0),"ERROR")</f>
        <v>25</v>
      </c>
      <c r="G100" s="113">
        <f t="shared" si="8"/>
        <v>9.3984962406015032E-2</v>
      </c>
      <c r="H100" s="111">
        <f>IFERROR(VLOOKUP($B100,MMWR_TRAD_AGG_STATE_PEN[],H$1,0),"ERROR")</f>
        <v>318</v>
      </c>
      <c r="I100" s="112">
        <f>IFERROR(VLOOKUP($B100,MMWR_TRAD_AGG_STATE_PEN[],I$1,0),"ERROR")</f>
        <v>29</v>
      </c>
      <c r="J100" s="114">
        <f t="shared" si="9"/>
        <v>9.1194968553459113E-2</v>
      </c>
      <c r="K100" s="111">
        <f>IFERROR(VLOOKUP($B100,MMWR_TRAD_AGG_STATE_PEN[],K$1,0),"ERROR")</f>
        <v>4</v>
      </c>
      <c r="L100" s="112">
        <f>IFERROR(VLOOKUP($B100,MMWR_TRAD_AGG_STATE_PEN[],L$1,0),"ERROR")</f>
        <v>3</v>
      </c>
      <c r="M100" s="114">
        <f t="shared" si="10"/>
        <v>0.75</v>
      </c>
      <c r="N100" s="111">
        <f>IFERROR(VLOOKUP($B100,MMWR_TRAD_AGG_STATE_PEN[],N$1,0),"ERROR")</f>
        <v>23</v>
      </c>
      <c r="O100" s="112">
        <f>IFERROR(VLOOKUP($B100,MMWR_TRAD_AGG_STATE_PEN[],O$1,0),"ERROR")</f>
        <v>4</v>
      </c>
      <c r="P100" s="114">
        <f t="shared" si="11"/>
        <v>0.17391304347826086</v>
      </c>
      <c r="Q100" s="115">
        <f>IFERROR(VLOOKUP($B100,MMWR_TRAD_AGG_STATE_PEN[],Q$1,0),"ERROR")</f>
        <v>83</v>
      </c>
      <c r="R100" s="115">
        <f>IFERROR(VLOOKUP($B100,MMWR_TRAD_AGG_STATE_PEN[],R$1,0),"ERROR")</f>
        <v>36</v>
      </c>
      <c r="S100" s="115">
        <f>IFERROR(VLOOKUP($B100,MMWR_APP_STATE_PEN[],S$1,0),"ERROR")</f>
        <v>148</v>
      </c>
      <c r="T100" s="28"/>
    </row>
    <row r="101" spans="1:20" s="123" customFormat="1" x14ac:dyDescent="0.2">
      <c r="A101" s="28"/>
      <c r="B101" s="127" t="s">
        <v>403</v>
      </c>
      <c r="C101" s="109">
        <f>IFERROR(VLOOKUP($B101,MMWR_TRAD_AGG_STATE_PEN[],C$1,0),"ERROR")</f>
        <v>211</v>
      </c>
      <c r="D101" s="110">
        <f>IFERROR(VLOOKUP($B101,MMWR_TRAD_AGG_STATE_PEN[],D$1,0),"ERROR")</f>
        <v>90.876777251199996</v>
      </c>
      <c r="E101" s="111">
        <f>IFERROR(VLOOKUP($B101,MMWR_TRAD_AGG_STATE_PEN[],E$1,0),"ERROR")</f>
        <v>237</v>
      </c>
      <c r="F101" s="112">
        <f>IFERROR(VLOOKUP($B101,MMWR_TRAD_AGG_STATE_PEN[],F$1,0),"ERROR")</f>
        <v>14</v>
      </c>
      <c r="G101" s="113">
        <f t="shared" ref="G101:G127" si="12">IFERROR(F101/E101,"0%")</f>
        <v>5.9071729957805907E-2</v>
      </c>
      <c r="H101" s="111">
        <f>IFERROR(VLOOKUP($B101,MMWR_TRAD_AGG_STATE_PEN[],H$1,0),"ERROR")</f>
        <v>365</v>
      </c>
      <c r="I101" s="112">
        <f>IFERROR(VLOOKUP($B101,MMWR_TRAD_AGG_STATE_PEN[],I$1,0),"ERROR")</f>
        <v>75</v>
      </c>
      <c r="J101" s="114">
        <f t="shared" ref="J101:J127" si="13">IFERROR(I101/H101,"0%")</f>
        <v>0.20547945205479451</v>
      </c>
      <c r="K101" s="111">
        <f>IFERROR(VLOOKUP($B101,MMWR_TRAD_AGG_STATE_PEN[],K$1,0),"ERROR")</f>
        <v>5</v>
      </c>
      <c r="L101" s="112">
        <f>IFERROR(VLOOKUP($B101,MMWR_TRAD_AGG_STATE_PEN[],L$1,0),"ERROR")</f>
        <v>2</v>
      </c>
      <c r="M101" s="114">
        <f t="shared" ref="M101:M127" si="14">IFERROR(L101/K101,"0%")</f>
        <v>0.4</v>
      </c>
      <c r="N101" s="111">
        <f>IFERROR(VLOOKUP($B101,MMWR_TRAD_AGG_STATE_PEN[],N$1,0),"ERROR")</f>
        <v>22</v>
      </c>
      <c r="O101" s="112">
        <f>IFERROR(VLOOKUP($B101,MMWR_TRAD_AGG_STATE_PEN[],O$1,0),"ERROR")</f>
        <v>12</v>
      </c>
      <c r="P101" s="114">
        <f t="shared" ref="P101:P127" si="15">IFERROR(O101/N101,"0%")</f>
        <v>0.54545454545454541</v>
      </c>
      <c r="Q101" s="115">
        <f>IFERROR(VLOOKUP($B101,MMWR_TRAD_AGG_STATE_PEN[],Q$1,0),"ERROR")</f>
        <v>380</v>
      </c>
      <c r="R101" s="115">
        <f>IFERROR(VLOOKUP($B101,MMWR_TRAD_AGG_STATE_PEN[],R$1,0),"ERROR")</f>
        <v>67</v>
      </c>
      <c r="S101" s="115">
        <f>IFERROR(VLOOKUP($B101,MMWR_APP_STATE_PEN[],S$1,0),"ERROR")</f>
        <v>63</v>
      </c>
      <c r="T101" s="28"/>
    </row>
    <row r="102" spans="1:20" s="123" customFormat="1" x14ac:dyDescent="0.2">
      <c r="A102" s="28"/>
      <c r="B102" s="127" t="s">
        <v>387</v>
      </c>
      <c r="C102" s="109">
        <f>IFERROR(VLOOKUP($B102,MMWR_TRAD_AGG_STATE_PEN[],C$1,0),"ERROR")</f>
        <v>404</v>
      </c>
      <c r="D102" s="110">
        <f>IFERROR(VLOOKUP($B102,MMWR_TRAD_AGG_STATE_PEN[],D$1,0),"ERROR")</f>
        <v>69.017326732699999</v>
      </c>
      <c r="E102" s="111">
        <f>IFERROR(VLOOKUP($B102,MMWR_TRAD_AGG_STATE_PEN[],E$1,0),"ERROR")</f>
        <v>466</v>
      </c>
      <c r="F102" s="112">
        <f>IFERROR(VLOOKUP($B102,MMWR_TRAD_AGG_STATE_PEN[],F$1,0),"ERROR")</f>
        <v>45</v>
      </c>
      <c r="G102" s="113">
        <f t="shared" si="12"/>
        <v>9.6566523605150209E-2</v>
      </c>
      <c r="H102" s="111">
        <f>IFERROR(VLOOKUP($B102,MMWR_TRAD_AGG_STATE_PEN[],H$1,0),"ERROR")</f>
        <v>544</v>
      </c>
      <c r="I102" s="112">
        <f>IFERROR(VLOOKUP($B102,MMWR_TRAD_AGG_STATE_PEN[],I$1,0),"ERROR")</f>
        <v>67</v>
      </c>
      <c r="J102" s="114">
        <f t="shared" si="13"/>
        <v>0.12316176470588236</v>
      </c>
      <c r="K102" s="111">
        <f>IFERROR(VLOOKUP($B102,MMWR_TRAD_AGG_STATE_PEN[],K$1,0),"ERROR")</f>
        <v>2</v>
      </c>
      <c r="L102" s="112">
        <f>IFERROR(VLOOKUP($B102,MMWR_TRAD_AGG_STATE_PEN[],L$1,0),"ERROR")</f>
        <v>1</v>
      </c>
      <c r="M102" s="114">
        <f t="shared" si="14"/>
        <v>0.5</v>
      </c>
      <c r="N102" s="111">
        <f>IFERROR(VLOOKUP($B102,MMWR_TRAD_AGG_STATE_PEN[],N$1,0),"ERROR")</f>
        <v>36</v>
      </c>
      <c r="O102" s="112">
        <f>IFERROR(VLOOKUP($B102,MMWR_TRAD_AGG_STATE_PEN[],O$1,0),"ERROR")</f>
        <v>6</v>
      </c>
      <c r="P102" s="114">
        <f t="shared" si="15"/>
        <v>0.16666666666666666</v>
      </c>
      <c r="Q102" s="115">
        <f>IFERROR(VLOOKUP($B102,MMWR_TRAD_AGG_STATE_PEN[],Q$1,0),"ERROR")</f>
        <v>88</v>
      </c>
      <c r="R102" s="115">
        <f>IFERROR(VLOOKUP($B102,MMWR_TRAD_AGG_STATE_PEN[],R$1,0),"ERROR")</f>
        <v>75</v>
      </c>
      <c r="S102" s="115">
        <f>IFERROR(VLOOKUP($B102,MMWR_APP_STATE_PEN[],S$1,0),"ERROR")</f>
        <v>174</v>
      </c>
      <c r="T102" s="28"/>
    </row>
    <row r="103" spans="1:20" s="123" customFormat="1" x14ac:dyDescent="0.2">
      <c r="A103" s="28"/>
      <c r="B103" s="127" t="s">
        <v>389</v>
      </c>
      <c r="C103" s="109">
        <f>IFERROR(VLOOKUP($B103,MMWR_TRAD_AGG_STATE_PEN[],C$1,0),"ERROR")</f>
        <v>253</v>
      </c>
      <c r="D103" s="110">
        <f>IFERROR(VLOOKUP($B103,MMWR_TRAD_AGG_STATE_PEN[],D$1,0),"ERROR")</f>
        <v>69.462450592899998</v>
      </c>
      <c r="E103" s="111">
        <f>IFERROR(VLOOKUP($B103,MMWR_TRAD_AGG_STATE_PEN[],E$1,0),"ERROR")</f>
        <v>293</v>
      </c>
      <c r="F103" s="112">
        <f>IFERROR(VLOOKUP($B103,MMWR_TRAD_AGG_STATE_PEN[],F$1,0),"ERROR")</f>
        <v>28</v>
      </c>
      <c r="G103" s="113">
        <f t="shared" si="12"/>
        <v>9.556313993174062E-2</v>
      </c>
      <c r="H103" s="111">
        <f>IFERROR(VLOOKUP($B103,MMWR_TRAD_AGG_STATE_PEN[],H$1,0),"ERROR")</f>
        <v>359</v>
      </c>
      <c r="I103" s="112">
        <f>IFERROR(VLOOKUP($B103,MMWR_TRAD_AGG_STATE_PEN[],I$1,0),"ERROR")</f>
        <v>49</v>
      </c>
      <c r="J103" s="114">
        <f t="shared" si="13"/>
        <v>0.13649025069637882</v>
      </c>
      <c r="K103" s="111">
        <f>IFERROR(VLOOKUP($B103,MMWR_TRAD_AGG_STATE_PEN[],K$1,0),"ERROR")</f>
        <v>4</v>
      </c>
      <c r="L103" s="112">
        <f>IFERROR(VLOOKUP($B103,MMWR_TRAD_AGG_STATE_PEN[],L$1,0),"ERROR")</f>
        <v>4</v>
      </c>
      <c r="M103" s="114">
        <f t="shared" si="14"/>
        <v>1</v>
      </c>
      <c r="N103" s="111">
        <f>IFERROR(VLOOKUP($B103,MMWR_TRAD_AGG_STATE_PEN[],N$1,0),"ERROR")</f>
        <v>38</v>
      </c>
      <c r="O103" s="112">
        <f>IFERROR(VLOOKUP($B103,MMWR_TRAD_AGG_STATE_PEN[],O$1,0),"ERROR")</f>
        <v>6</v>
      </c>
      <c r="P103" s="114">
        <f t="shared" si="15"/>
        <v>0.15789473684210525</v>
      </c>
      <c r="Q103" s="115">
        <f>IFERROR(VLOOKUP($B103,MMWR_TRAD_AGG_STATE_PEN[],Q$1,0),"ERROR")</f>
        <v>75</v>
      </c>
      <c r="R103" s="115">
        <f>IFERROR(VLOOKUP($B103,MMWR_TRAD_AGG_STATE_PEN[],R$1,0),"ERROR")</f>
        <v>33</v>
      </c>
      <c r="S103" s="115">
        <f>IFERROR(VLOOKUP($B103,MMWR_APP_STATE_PEN[],S$1,0),"ERROR")</f>
        <v>153</v>
      </c>
      <c r="T103" s="28"/>
    </row>
    <row r="104" spans="1:20" s="123" customFormat="1" x14ac:dyDescent="0.2">
      <c r="A104" s="28"/>
      <c r="B104" s="127" t="s">
        <v>418</v>
      </c>
      <c r="C104" s="109">
        <f>IFERROR(VLOOKUP($B104,MMWR_TRAD_AGG_STATE_PEN[],C$1,0),"ERROR")</f>
        <v>58</v>
      </c>
      <c r="D104" s="110">
        <f>IFERROR(VLOOKUP($B104,MMWR_TRAD_AGG_STATE_PEN[],D$1,0),"ERROR")</f>
        <v>76.189655172399995</v>
      </c>
      <c r="E104" s="111">
        <f>IFERROR(VLOOKUP($B104,MMWR_TRAD_AGG_STATE_PEN[],E$1,0),"ERROR")</f>
        <v>85</v>
      </c>
      <c r="F104" s="112">
        <f>IFERROR(VLOOKUP($B104,MMWR_TRAD_AGG_STATE_PEN[],F$1,0),"ERROR")</f>
        <v>3</v>
      </c>
      <c r="G104" s="113">
        <f t="shared" si="12"/>
        <v>3.5294117647058823E-2</v>
      </c>
      <c r="H104" s="111">
        <f>IFERROR(VLOOKUP($B104,MMWR_TRAD_AGG_STATE_PEN[],H$1,0),"ERROR")</f>
        <v>93</v>
      </c>
      <c r="I104" s="112">
        <f>IFERROR(VLOOKUP($B104,MMWR_TRAD_AGG_STATE_PEN[],I$1,0),"ERROR")</f>
        <v>14</v>
      </c>
      <c r="J104" s="114">
        <f t="shared" si="13"/>
        <v>0.15053763440860216</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0</v>
      </c>
      <c r="P104" s="114">
        <f t="shared" si="15"/>
        <v>0</v>
      </c>
      <c r="Q104" s="115">
        <f>IFERROR(VLOOKUP($B104,MMWR_TRAD_AGG_STATE_PEN[],Q$1,0),"ERROR")</f>
        <v>125</v>
      </c>
      <c r="R104" s="115">
        <f>IFERROR(VLOOKUP($B104,MMWR_TRAD_AGG_STATE_PEN[],R$1,0),"ERROR")</f>
        <v>20</v>
      </c>
      <c r="S104" s="115">
        <f>IFERROR(VLOOKUP($B104,MMWR_APP_STATE_PEN[],S$1,0),"ERROR")</f>
        <v>4</v>
      </c>
      <c r="T104" s="28"/>
    </row>
    <row r="105" spans="1:20" s="123" customFormat="1" x14ac:dyDescent="0.2">
      <c r="A105" s="28"/>
      <c r="B105" s="127" t="s">
        <v>412</v>
      </c>
      <c r="C105" s="109">
        <f>IFERROR(VLOOKUP($B105,MMWR_TRAD_AGG_STATE_PEN[],C$1,0),"ERROR")</f>
        <v>296</v>
      </c>
      <c r="D105" s="110">
        <f>IFERROR(VLOOKUP($B105,MMWR_TRAD_AGG_STATE_PEN[],D$1,0),"ERROR")</f>
        <v>59.736486486499999</v>
      </c>
      <c r="E105" s="111">
        <f>IFERROR(VLOOKUP($B105,MMWR_TRAD_AGG_STATE_PEN[],E$1,0),"ERROR")</f>
        <v>250</v>
      </c>
      <c r="F105" s="112">
        <f>IFERROR(VLOOKUP($B105,MMWR_TRAD_AGG_STATE_PEN[],F$1,0),"ERROR")</f>
        <v>13</v>
      </c>
      <c r="G105" s="113">
        <f t="shared" si="12"/>
        <v>5.1999999999999998E-2</v>
      </c>
      <c r="H105" s="111">
        <f>IFERROR(VLOOKUP($B105,MMWR_TRAD_AGG_STATE_PEN[],H$1,0),"ERROR")</f>
        <v>406</v>
      </c>
      <c r="I105" s="112">
        <f>IFERROR(VLOOKUP($B105,MMWR_TRAD_AGG_STATE_PEN[],I$1,0),"ERROR")</f>
        <v>26</v>
      </c>
      <c r="J105" s="114">
        <f t="shared" si="13"/>
        <v>6.4039408866995079E-2</v>
      </c>
      <c r="K105" s="111">
        <f>IFERROR(VLOOKUP($B105,MMWR_TRAD_AGG_STATE_PEN[],K$1,0),"ERROR")</f>
        <v>2</v>
      </c>
      <c r="L105" s="112">
        <f>IFERROR(VLOOKUP($B105,MMWR_TRAD_AGG_STATE_PEN[],L$1,0),"ERROR")</f>
        <v>2</v>
      </c>
      <c r="M105" s="114">
        <f t="shared" si="14"/>
        <v>1</v>
      </c>
      <c r="N105" s="111">
        <f>IFERROR(VLOOKUP($B105,MMWR_TRAD_AGG_STATE_PEN[],N$1,0),"ERROR")</f>
        <v>19</v>
      </c>
      <c r="O105" s="112">
        <f>IFERROR(VLOOKUP($B105,MMWR_TRAD_AGG_STATE_PEN[],O$1,0),"ERROR")</f>
        <v>10</v>
      </c>
      <c r="P105" s="114">
        <f t="shared" si="15"/>
        <v>0.52631578947368418</v>
      </c>
      <c r="Q105" s="115">
        <f>IFERROR(VLOOKUP($B105,MMWR_TRAD_AGG_STATE_PEN[],Q$1,0),"ERROR")</f>
        <v>656</v>
      </c>
      <c r="R105" s="115">
        <f>IFERROR(VLOOKUP($B105,MMWR_TRAD_AGG_STATE_PEN[],R$1,0),"ERROR")</f>
        <v>63</v>
      </c>
      <c r="S105" s="115">
        <f>IFERROR(VLOOKUP($B105,MMWR_APP_STATE_PEN[],S$1,0),"ERROR")</f>
        <v>87</v>
      </c>
      <c r="T105" s="28"/>
    </row>
    <row r="106" spans="1:20" s="123" customFormat="1" x14ac:dyDescent="0.2">
      <c r="A106" s="28"/>
      <c r="B106" s="127" t="s">
        <v>410</v>
      </c>
      <c r="C106" s="109">
        <f>IFERROR(VLOOKUP($B106,MMWR_TRAD_AGG_STATE_PEN[],C$1,0),"ERROR")</f>
        <v>1234</v>
      </c>
      <c r="D106" s="110">
        <f>IFERROR(VLOOKUP($B106,MMWR_TRAD_AGG_STATE_PEN[],D$1,0),"ERROR")</f>
        <v>67.533225283600004</v>
      </c>
      <c r="E106" s="111">
        <f>IFERROR(VLOOKUP($B106,MMWR_TRAD_AGG_STATE_PEN[],E$1,0),"ERROR")</f>
        <v>1359</v>
      </c>
      <c r="F106" s="112">
        <f>IFERROR(VLOOKUP($B106,MMWR_TRAD_AGG_STATE_PEN[],F$1,0),"ERROR")</f>
        <v>53</v>
      </c>
      <c r="G106" s="113">
        <f t="shared" si="12"/>
        <v>3.8999264164827081E-2</v>
      </c>
      <c r="H106" s="111">
        <f>IFERROR(VLOOKUP($B106,MMWR_TRAD_AGG_STATE_PEN[],H$1,0),"ERROR")</f>
        <v>1811</v>
      </c>
      <c r="I106" s="112">
        <f>IFERROR(VLOOKUP($B106,MMWR_TRAD_AGG_STATE_PEN[],I$1,0),"ERROR")</f>
        <v>150</v>
      </c>
      <c r="J106" s="114">
        <f t="shared" si="13"/>
        <v>8.2827167310877969E-2</v>
      </c>
      <c r="K106" s="111">
        <f>IFERROR(VLOOKUP($B106,MMWR_TRAD_AGG_STATE_PEN[],K$1,0),"ERROR")</f>
        <v>8</v>
      </c>
      <c r="L106" s="112">
        <f>IFERROR(VLOOKUP($B106,MMWR_TRAD_AGG_STATE_PEN[],L$1,0),"ERROR")</f>
        <v>7</v>
      </c>
      <c r="M106" s="114">
        <f t="shared" si="14"/>
        <v>0.875</v>
      </c>
      <c r="N106" s="111">
        <f>IFERROR(VLOOKUP($B106,MMWR_TRAD_AGG_STATE_PEN[],N$1,0),"ERROR")</f>
        <v>81</v>
      </c>
      <c r="O106" s="112">
        <f>IFERROR(VLOOKUP($B106,MMWR_TRAD_AGG_STATE_PEN[],O$1,0),"ERROR")</f>
        <v>37</v>
      </c>
      <c r="P106" s="114">
        <f t="shared" si="15"/>
        <v>0.4567901234567901</v>
      </c>
      <c r="Q106" s="115">
        <f>IFERROR(VLOOKUP($B106,MMWR_TRAD_AGG_STATE_PEN[],Q$1,0),"ERROR")</f>
        <v>1657</v>
      </c>
      <c r="R106" s="115">
        <f>IFERROR(VLOOKUP($B106,MMWR_TRAD_AGG_STATE_PEN[],R$1,0),"ERROR")</f>
        <v>447</v>
      </c>
      <c r="S106" s="115">
        <f>IFERROR(VLOOKUP($B106,MMWR_APP_STATE_PEN[],S$1,0),"ERROR")</f>
        <v>314</v>
      </c>
      <c r="T106" s="28"/>
    </row>
    <row r="107" spans="1:20" s="123" customFormat="1" x14ac:dyDescent="0.2">
      <c r="A107" s="28"/>
      <c r="B107" s="127" t="s">
        <v>406</v>
      </c>
      <c r="C107" s="109">
        <f>IFERROR(VLOOKUP($B107,MMWR_TRAD_AGG_STATE_PEN[],C$1,0),"ERROR")</f>
        <v>98</v>
      </c>
      <c r="D107" s="110">
        <f>IFERROR(VLOOKUP($B107,MMWR_TRAD_AGG_STATE_PEN[],D$1,0),"ERROR")</f>
        <v>65.163265306100001</v>
      </c>
      <c r="E107" s="111">
        <f>IFERROR(VLOOKUP($B107,MMWR_TRAD_AGG_STATE_PEN[],E$1,0),"ERROR")</f>
        <v>153</v>
      </c>
      <c r="F107" s="112">
        <f>IFERROR(VLOOKUP($B107,MMWR_TRAD_AGG_STATE_PEN[],F$1,0),"ERROR")</f>
        <v>5</v>
      </c>
      <c r="G107" s="113">
        <f t="shared" si="12"/>
        <v>3.2679738562091505E-2</v>
      </c>
      <c r="H107" s="111">
        <f>IFERROR(VLOOKUP($B107,MMWR_TRAD_AGG_STATE_PEN[],H$1,0),"ERROR")</f>
        <v>153</v>
      </c>
      <c r="I107" s="112">
        <f>IFERROR(VLOOKUP($B107,MMWR_TRAD_AGG_STATE_PEN[],I$1,0),"ERROR")</f>
        <v>15</v>
      </c>
      <c r="J107" s="114">
        <f t="shared" si="13"/>
        <v>9.8039215686274508E-2</v>
      </c>
      <c r="K107" s="111">
        <f>IFERROR(VLOOKUP($B107,MMWR_TRAD_AGG_STATE_PEN[],K$1,0),"ERROR")</f>
        <v>0</v>
      </c>
      <c r="L107" s="112">
        <f>IFERROR(VLOOKUP($B107,MMWR_TRAD_AGG_STATE_PEN[],L$1,0),"ERROR")</f>
        <v>0</v>
      </c>
      <c r="M107" s="114" t="str">
        <f t="shared" si="14"/>
        <v>0%</v>
      </c>
      <c r="N107" s="111">
        <f>IFERROR(VLOOKUP($B107,MMWR_TRAD_AGG_STATE_PEN[],N$1,0),"ERROR")</f>
        <v>8</v>
      </c>
      <c r="O107" s="112">
        <f>IFERROR(VLOOKUP($B107,MMWR_TRAD_AGG_STATE_PEN[],O$1,0),"ERROR")</f>
        <v>1</v>
      </c>
      <c r="P107" s="114">
        <f t="shared" si="15"/>
        <v>0.125</v>
      </c>
      <c r="Q107" s="115">
        <f>IFERROR(VLOOKUP($B107,MMWR_TRAD_AGG_STATE_PEN[],Q$1,0),"ERROR")</f>
        <v>161</v>
      </c>
      <c r="R107" s="115">
        <f>IFERROR(VLOOKUP($B107,MMWR_TRAD_AGG_STATE_PEN[],R$1,0),"ERROR")</f>
        <v>21</v>
      </c>
      <c r="S107" s="115">
        <f>IFERROR(VLOOKUP($B107,MMWR_APP_STATE_PEN[],S$1,0),"ERROR")</f>
        <v>16</v>
      </c>
      <c r="T107" s="28"/>
    </row>
    <row r="108" spans="1:20" s="123" customFormat="1" x14ac:dyDescent="0.2">
      <c r="A108" s="28"/>
      <c r="B108" s="127" t="s">
        <v>421</v>
      </c>
      <c r="C108" s="109">
        <f>IFERROR(VLOOKUP($B108,MMWR_TRAD_AGG_STATE_PEN[],C$1,0),"ERROR")</f>
        <v>19</v>
      </c>
      <c r="D108" s="110">
        <f>IFERROR(VLOOKUP($B108,MMWR_TRAD_AGG_STATE_PEN[],D$1,0),"ERROR")</f>
        <v>60.473684210499997</v>
      </c>
      <c r="E108" s="111">
        <f>IFERROR(VLOOKUP($B108,MMWR_TRAD_AGG_STATE_PEN[],E$1,0),"ERROR")</f>
        <v>28</v>
      </c>
      <c r="F108" s="112">
        <f>IFERROR(VLOOKUP($B108,MMWR_TRAD_AGG_STATE_PEN[],F$1,0),"ERROR")</f>
        <v>0</v>
      </c>
      <c r="G108" s="113">
        <f t="shared" si="12"/>
        <v>0</v>
      </c>
      <c r="H108" s="111">
        <f>IFERROR(VLOOKUP($B108,MMWR_TRAD_AGG_STATE_PEN[],H$1,0),"ERROR")</f>
        <v>39</v>
      </c>
      <c r="I108" s="112">
        <f>IFERROR(VLOOKUP($B108,MMWR_TRAD_AGG_STATE_PEN[],I$1,0),"ERROR")</f>
        <v>7</v>
      </c>
      <c r="J108" s="114">
        <f t="shared" si="13"/>
        <v>0.17948717948717949</v>
      </c>
      <c r="K108" s="111">
        <f>IFERROR(VLOOKUP($B108,MMWR_TRAD_AGG_STATE_PEN[],K$1,0),"ERROR")</f>
        <v>0</v>
      </c>
      <c r="L108" s="112">
        <f>IFERROR(VLOOKUP($B108,MMWR_TRAD_AGG_STATE_PEN[],L$1,0),"ERROR")</f>
        <v>0</v>
      </c>
      <c r="M108" s="114" t="str">
        <f t="shared" si="14"/>
        <v>0%</v>
      </c>
      <c r="N108" s="111">
        <f>IFERROR(VLOOKUP($B108,MMWR_TRAD_AGG_STATE_PEN[],N$1,0),"ERROR")</f>
        <v>2</v>
      </c>
      <c r="O108" s="112">
        <f>IFERROR(VLOOKUP($B108,MMWR_TRAD_AGG_STATE_PEN[],O$1,0),"ERROR")</f>
        <v>0</v>
      </c>
      <c r="P108" s="114">
        <f t="shared" si="15"/>
        <v>0</v>
      </c>
      <c r="Q108" s="115">
        <f>IFERROR(VLOOKUP($B108,MMWR_TRAD_AGG_STATE_PEN[],Q$1,0),"ERROR")</f>
        <v>71</v>
      </c>
      <c r="R108" s="115">
        <f>IFERROR(VLOOKUP($B108,MMWR_TRAD_AGG_STATE_PEN[],R$1,0),"ERROR")</f>
        <v>8</v>
      </c>
      <c r="S108" s="115">
        <f>IFERROR(VLOOKUP($B108,MMWR_APP_STATE_PEN[],S$1,0),"ERROR")</f>
        <v>2</v>
      </c>
      <c r="T108" s="28"/>
    </row>
    <row r="109" spans="1:20" s="123" customFormat="1" x14ac:dyDescent="0.2">
      <c r="A109" s="28"/>
      <c r="B109" s="126" t="s">
        <v>404</v>
      </c>
      <c r="C109" s="102">
        <f>IFERROR(VLOOKUP($B109,MMWR_TRAD_AGG_ST_DISTRICT_PEN[],C$1,0),"ERROR")</f>
        <v>2398</v>
      </c>
      <c r="D109" s="103">
        <f>IFERROR(VLOOKUP($B109,MMWR_TRAD_AGG_ST_DISTRICT_PEN[],D$1,0),"ERROR")</f>
        <v>71.086321934899999</v>
      </c>
      <c r="E109" s="102">
        <f>IFERROR(VLOOKUP($B109,MMWR_TRAD_AGG_ST_DISTRICT_PEN[],E$1,0),"ERROR")</f>
        <v>3224</v>
      </c>
      <c r="F109" s="102">
        <f>IFERROR(VLOOKUP($B109,MMWR_TRAD_AGG_ST_DISTRICT_PEN[],F$1,0),"ERROR")</f>
        <v>134</v>
      </c>
      <c r="G109" s="104">
        <f t="shared" si="12"/>
        <v>4.1563275434243173E-2</v>
      </c>
      <c r="H109" s="102">
        <f>IFERROR(VLOOKUP($B109,MMWR_TRAD_AGG_ST_DISTRICT_PEN[],H$1,0),"ERROR")</f>
        <v>3929</v>
      </c>
      <c r="I109" s="102">
        <f>IFERROR(VLOOKUP($B109,MMWR_TRAD_AGG_ST_DISTRICT_PEN[],I$1,0),"ERROR")</f>
        <v>507</v>
      </c>
      <c r="J109" s="104">
        <f t="shared" si="13"/>
        <v>0.12904046831254773</v>
      </c>
      <c r="K109" s="102">
        <f>IFERROR(VLOOKUP($B109,MMWR_TRAD_AGG_ST_DISTRICT_PEN[],K$1,0),"ERROR")</f>
        <v>17</v>
      </c>
      <c r="L109" s="102">
        <f>IFERROR(VLOOKUP($B109,MMWR_TRAD_AGG_ST_DISTRICT_PEN[],L$1,0),"ERROR")</f>
        <v>16</v>
      </c>
      <c r="M109" s="104">
        <f t="shared" si="14"/>
        <v>0.94117647058823528</v>
      </c>
      <c r="N109" s="102">
        <f>IFERROR(VLOOKUP($B109,MMWR_TRAD_AGG_ST_DISTRICT_PEN[],N$1,0),"ERROR")</f>
        <v>174</v>
      </c>
      <c r="O109" s="102">
        <f>IFERROR(VLOOKUP($B109,MMWR_TRAD_AGG_ST_DISTRICT_PEN[],O$1,0),"ERROR")</f>
        <v>64</v>
      </c>
      <c r="P109" s="104">
        <f t="shared" si="15"/>
        <v>0.36781609195402298</v>
      </c>
      <c r="Q109" s="102">
        <f>IFERROR(VLOOKUP($B109,MMWR_TRAD_AGG_ST_DISTRICT_PEN[],Q$1,0),"ERROR")</f>
        <v>3852</v>
      </c>
      <c r="R109" s="106">
        <f>IFERROR(VLOOKUP($B109,MMWR_TRAD_AGG_ST_DISTRICT_PEN[],R$1,0),"ERROR")</f>
        <v>817</v>
      </c>
      <c r="S109" s="106">
        <f>IFERROR(VLOOKUP($B109,MMWR_APP_STATE_PEN[],S$1,0),"ERROR")</f>
        <v>509</v>
      </c>
      <c r="T109" s="28"/>
    </row>
    <row r="110" spans="1:20" s="123" customFormat="1" x14ac:dyDescent="0.2">
      <c r="A110" s="28"/>
      <c r="B110" s="127" t="s">
        <v>424</v>
      </c>
      <c r="C110" s="109">
        <f>IFERROR(VLOOKUP($B110,MMWR_TRAD_AGG_STATE_PEN[],C$1,0),"ERROR")</f>
        <v>16</v>
      </c>
      <c r="D110" s="110">
        <f>IFERROR(VLOOKUP($B110,MMWR_TRAD_AGG_STATE_PEN[],D$1,0),"ERROR")</f>
        <v>61.875</v>
      </c>
      <c r="E110" s="111">
        <f>IFERROR(VLOOKUP($B110,MMWR_TRAD_AGG_STATE_PEN[],E$1,0),"ERROR")</f>
        <v>16</v>
      </c>
      <c r="F110" s="112">
        <f>IFERROR(VLOOKUP($B110,MMWR_TRAD_AGG_STATE_PEN[],F$1,0),"ERROR")</f>
        <v>0</v>
      </c>
      <c r="G110" s="113">
        <f t="shared" si="12"/>
        <v>0</v>
      </c>
      <c r="H110" s="111">
        <f>IFERROR(VLOOKUP($B110,MMWR_TRAD_AGG_STATE_PEN[],H$1,0),"ERROR")</f>
        <v>30</v>
      </c>
      <c r="I110" s="112">
        <f>IFERROR(VLOOKUP($B110,MMWR_TRAD_AGG_STATE_PEN[],I$1,0),"ERROR")</f>
        <v>5</v>
      </c>
      <c r="J110" s="114">
        <f t="shared" si="13"/>
        <v>0.16666666666666666</v>
      </c>
      <c r="K110" s="111">
        <f>IFERROR(VLOOKUP($B110,MMWR_TRAD_AGG_STATE_PEN[],K$1,0),"ERROR")</f>
        <v>0</v>
      </c>
      <c r="L110" s="112">
        <f>IFERROR(VLOOKUP($B110,MMWR_TRAD_AGG_STATE_PEN[],L$1,0),"ERROR")</f>
        <v>0</v>
      </c>
      <c r="M110" s="114" t="str">
        <f t="shared" si="14"/>
        <v>0%</v>
      </c>
      <c r="N110" s="111">
        <f>IFERROR(VLOOKUP($B110,MMWR_TRAD_AGG_STATE_PEN[],N$1,0),"ERROR")</f>
        <v>2</v>
      </c>
      <c r="O110" s="112">
        <f>IFERROR(VLOOKUP($B110,MMWR_TRAD_AGG_STATE_PEN[],O$1,0),"ERROR")</f>
        <v>1</v>
      </c>
      <c r="P110" s="114">
        <f t="shared" si="15"/>
        <v>0.5</v>
      </c>
      <c r="Q110" s="115">
        <f>IFERROR(VLOOKUP($B110,MMWR_TRAD_AGG_STATE_PEN[],Q$1,0),"ERROR")</f>
        <v>42</v>
      </c>
      <c r="R110" s="115">
        <f>IFERROR(VLOOKUP($B110,MMWR_TRAD_AGG_STATE_PEN[],R$1,0),"ERROR")</f>
        <v>9</v>
      </c>
      <c r="S110" s="115">
        <f>IFERROR(VLOOKUP($B110,MMWR_APP_STATE_PEN[],S$1,0),"ERROR")</f>
        <v>3</v>
      </c>
      <c r="T110" s="28"/>
    </row>
    <row r="111" spans="1:20" s="123" customFormat="1" x14ac:dyDescent="0.2">
      <c r="A111" s="28"/>
      <c r="B111" s="127" t="s">
        <v>426</v>
      </c>
      <c r="C111" s="109">
        <f>IFERROR(VLOOKUP($B111,MMWR_TRAD_AGG_STATE_PEN[],C$1,0),"ERROR")</f>
        <v>292</v>
      </c>
      <c r="D111" s="110">
        <f>IFERROR(VLOOKUP($B111,MMWR_TRAD_AGG_STATE_PEN[],D$1,0),"ERROR")</f>
        <v>67.958904109599999</v>
      </c>
      <c r="E111" s="111">
        <f>IFERROR(VLOOKUP($B111,MMWR_TRAD_AGG_STATE_PEN[],E$1,0),"ERROR")</f>
        <v>440</v>
      </c>
      <c r="F111" s="112">
        <f>IFERROR(VLOOKUP($B111,MMWR_TRAD_AGG_STATE_PEN[],F$1,0),"ERROR")</f>
        <v>25</v>
      </c>
      <c r="G111" s="113">
        <f t="shared" si="12"/>
        <v>5.6818181818181816E-2</v>
      </c>
      <c r="H111" s="111">
        <f>IFERROR(VLOOKUP($B111,MMWR_TRAD_AGG_STATE_PEN[],H$1,0),"ERROR")</f>
        <v>457</v>
      </c>
      <c r="I111" s="112">
        <f>IFERROR(VLOOKUP($B111,MMWR_TRAD_AGG_STATE_PEN[],I$1,0),"ERROR")</f>
        <v>54</v>
      </c>
      <c r="J111" s="114">
        <f t="shared" si="13"/>
        <v>0.11816192560175055</v>
      </c>
      <c r="K111" s="111">
        <f>IFERROR(VLOOKUP($B111,MMWR_TRAD_AGG_STATE_PEN[],K$1,0),"ERROR")</f>
        <v>0</v>
      </c>
      <c r="L111" s="112">
        <f>IFERROR(VLOOKUP($B111,MMWR_TRAD_AGG_STATE_PEN[],L$1,0),"ERROR")</f>
        <v>0</v>
      </c>
      <c r="M111" s="114" t="str">
        <f t="shared" si="14"/>
        <v>0%</v>
      </c>
      <c r="N111" s="111">
        <f>IFERROR(VLOOKUP($B111,MMWR_TRAD_AGG_STATE_PEN[],N$1,0),"ERROR")</f>
        <v>22</v>
      </c>
      <c r="O111" s="112">
        <f>IFERROR(VLOOKUP($B111,MMWR_TRAD_AGG_STATE_PEN[],O$1,0),"ERROR")</f>
        <v>4</v>
      </c>
      <c r="P111" s="114">
        <f t="shared" si="15"/>
        <v>0.18181818181818182</v>
      </c>
      <c r="Q111" s="115">
        <f>IFERROR(VLOOKUP($B111,MMWR_TRAD_AGG_STATE_PEN[],Q$1,0),"ERROR")</f>
        <v>495</v>
      </c>
      <c r="R111" s="115">
        <f>IFERROR(VLOOKUP($B111,MMWR_TRAD_AGG_STATE_PEN[],R$1,0),"ERROR")</f>
        <v>106</v>
      </c>
      <c r="S111" s="115">
        <f>IFERROR(VLOOKUP($B111,MMWR_APP_STATE_PEN[],S$1,0),"ERROR")</f>
        <v>57</v>
      </c>
      <c r="T111" s="28"/>
    </row>
    <row r="112" spans="1:20" s="123" customFormat="1" x14ac:dyDescent="0.2">
      <c r="A112" s="28"/>
      <c r="B112" s="127" t="s">
        <v>407</v>
      </c>
      <c r="C112" s="109">
        <f>IFERROR(VLOOKUP($B112,MMWR_TRAD_AGG_STATE_PEN[],C$1,0),"ERROR")</f>
        <v>1312</v>
      </c>
      <c r="D112" s="110">
        <f>IFERROR(VLOOKUP($B112,MMWR_TRAD_AGG_STATE_PEN[],D$1,0),"ERROR")</f>
        <v>74.567073170699999</v>
      </c>
      <c r="E112" s="111">
        <f>IFERROR(VLOOKUP($B112,MMWR_TRAD_AGG_STATE_PEN[],E$1,0),"ERROR")</f>
        <v>1772</v>
      </c>
      <c r="F112" s="112">
        <f>IFERROR(VLOOKUP($B112,MMWR_TRAD_AGG_STATE_PEN[],F$1,0),"ERROR")</f>
        <v>72</v>
      </c>
      <c r="G112" s="113">
        <f t="shared" si="12"/>
        <v>4.0632054176072234E-2</v>
      </c>
      <c r="H112" s="111">
        <f>IFERROR(VLOOKUP($B112,MMWR_TRAD_AGG_STATE_PEN[],H$1,0),"ERROR")</f>
        <v>2124</v>
      </c>
      <c r="I112" s="112">
        <f>IFERROR(VLOOKUP($B112,MMWR_TRAD_AGG_STATE_PEN[],I$1,0),"ERROR")</f>
        <v>268</v>
      </c>
      <c r="J112" s="114">
        <f t="shared" si="13"/>
        <v>0.12617702448210924</v>
      </c>
      <c r="K112" s="111">
        <f>IFERROR(VLOOKUP($B112,MMWR_TRAD_AGG_STATE_PEN[],K$1,0),"ERROR")</f>
        <v>13</v>
      </c>
      <c r="L112" s="112">
        <f>IFERROR(VLOOKUP($B112,MMWR_TRAD_AGG_STATE_PEN[],L$1,0),"ERROR")</f>
        <v>12</v>
      </c>
      <c r="M112" s="114">
        <f t="shared" si="14"/>
        <v>0.92307692307692313</v>
      </c>
      <c r="N112" s="111">
        <f>IFERROR(VLOOKUP($B112,MMWR_TRAD_AGG_STATE_PEN[],N$1,0),"ERROR")</f>
        <v>98</v>
      </c>
      <c r="O112" s="112">
        <f>IFERROR(VLOOKUP($B112,MMWR_TRAD_AGG_STATE_PEN[],O$1,0),"ERROR")</f>
        <v>36</v>
      </c>
      <c r="P112" s="114">
        <f t="shared" si="15"/>
        <v>0.36734693877551022</v>
      </c>
      <c r="Q112" s="115">
        <f>IFERROR(VLOOKUP($B112,MMWR_TRAD_AGG_STATE_PEN[],Q$1,0),"ERROR")</f>
        <v>1635</v>
      </c>
      <c r="R112" s="115">
        <f>IFERROR(VLOOKUP($B112,MMWR_TRAD_AGG_STATE_PEN[],R$1,0),"ERROR")</f>
        <v>441</v>
      </c>
      <c r="S112" s="115">
        <f>IFERROR(VLOOKUP($B112,MMWR_APP_STATE_PEN[],S$1,0),"ERROR")</f>
        <v>277</v>
      </c>
      <c r="T112" s="28"/>
    </row>
    <row r="113" spans="1:20" s="123" customFormat="1" x14ac:dyDescent="0.2">
      <c r="A113" s="28"/>
      <c r="B113" s="127" t="s">
        <v>428</v>
      </c>
      <c r="C113" s="109">
        <f>IFERROR(VLOOKUP($B113,MMWR_TRAD_AGG_STATE_PEN[],C$1,0),"ERROR")</f>
        <v>28</v>
      </c>
      <c r="D113" s="110">
        <f>IFERROR(VLOOKUP($B113,MMWR_TRAD_AGG_STATE_PEN[],D$1,0),"ERROR")</f>
        <v>86.321428571400006</v>
      </c>
      <c r="E113" s="111">
        <f>IFERROR(VLOOKUP($B113,MMWR_TRAD_AGG_STATE_PEN[],E$1,0),"ERROR")</f>
        <v>22</v>
      </c>
      <c r="F113" s="112">
        <f>IFERROR(VLOOKUP($B113,MMWR_TRAD_AGG_STATE_PEN[],F$1,0),"ERROR")</f>
        <v>2</v>
      </c>
      <c r="G113" s="113">
        <f t="shared" si="12"/>
        <v>9.0909090909090912E-2</v>
      </c>
      <c r="H113" s="111">
        <f>IFERROR(VLOOKUP($B113,MMWR_TRAD_AGG_STATE_PEN[],H$1,0),"ERROR")</f>
        <v>47</v>
      </c>
      <c r="I113" s="112">
        <f>IFERROR(VLOOKUP($B113,MMWR_TRAD_AGG_STATE_PEN[],I$1,0),"ERROR")</f>
        <v>8</v>
      </c>
      <c r="J113" s="114">
        <f t="shared" si="13"/>
        <v>0.1702127659574468</v>
      </c>
      <c r="K113" s="111">
        <f>IFERROR(VLOOKUP($B113,MMWR_TRAD_AGG_STATE_PEN[],K$1,0),"ERROR")</f>
        <v>1</v>
      </c>
      <c r="L113" s="112">
        <f>IFERROR(VLOOKUP($B113,MMWR_TRAD_AGG_STATE_PEN[],L$1,0),"ERROR")</f>
        <v>1</v>
      </c>
      <c r="M113" s="114">
        <f t="shared" si="14"/>
        <v>1</v>
      </c>
      <c r="N113" s="111">
        <f>IFERROR(VLOOKUP($B113,MMWR_TRAD_AGG_STATE_PEN[],N$1,0),"ERROR")</f>
        <v>2</v>
      </c>
      <c r="O113" s="112">
        <f>IFERROR(VLOOKUP($B113,MMWR_TRAD_AGG_STATE_PEN[],O$1,0),"ERROR")</f>
        <v>1</v>
      </c>
      <c r="P113" s="114">
        <f t="shared" si="15"/>
        <v>0.5</v>
      </c>
      <c r="Q113" s="115">
        <f>IFERROR(VLOOKUP($B113,MMWR_TRAD_AGG_STATE_PEN[],Q$1,0),"ERROR")</f>
        <v>111</v>
      </c>
      <c r="R113" s="115">
        <f>IFERROR(VLOOKUP($B113,MMWR_TRAD_AGG_STATE_PEN[],R$1,0),"ERROR")</f>
        <v>11</v>
      </c>
      <c r="S113" s="115">
        <f>IFERROR(VLOOKUP($B113,MMWR_APP_STATE_PEN[],S$1,0),"ERROR")</f>
        <v>12</v>
      </c>
      <c r="T113" s="28"/>
    </row>
    <row r="114" spans="1:20" s="123" customFormat="1" x14ac:dyDescent="0.2">
      <c r="A114" s="28"/>
      <c r="B114" s="127" t="s">
        <v>408</v>
      </c>
      <c r="C114" s="109">
        <f>IFERROR(VLOOKUP($B114,MMWR_TRAD_AGG_STATE_PEN[],C$1,0),"ERROR")</f>
        <v>83</v>
      </c>
      <c r="D114" s="110">
        <f>IFERROR(VLOOKUP($B114,MMWR_TRAD_AGG_STATE_PEN[],D$1,0),"ERROR")</f>
        <v>60.783132530099998</v>
      </c>
      <c r="E114" s="111">
        <f>IFERROR(VLOOKUP($B114,MMWR_TRAD_AGG_STATE_PEN[],E$1,0),"ERROR")</f>
        <v>80</v>
      </c>
      <c r="F114" s="112">
        <f>IFERROR(VLOOKUP($B114,MMWR_TRAD_AGG_STATE_PEN[],F$1,0),"ERROR")</f>
        <v>2</v>
      </c>
      <c r="G114" s="113">
        <f t="shared" si="12"/>
        <v>2.5000000000000001E-2</v>
      </c>
      <c r="H114" s="111">
        <f>IFERROR(VLOOKUP($B114,MMWR_TRAD_AGG_STATE_PEN[],H$1,0),"ERROR")</f>
        <v>128</v>
      </c>
      <c r="I114" s="112">
        <f>IFERROR(VLOOKUP($B114,MMWR_TRAD_AGG_STATE_PEN[],I$1,0),"ERROR")</f>
        <v>9</v>
      </c>
      <c r="J114" s="114">
        <f t="shared" si="13"/>
        <v>7.03125E-2</v>
      </c>
      <c r="K114" s="111">
        <f>IFERROR(VLOOKUP($B114,MMWR_TRAD_AGG_STATE_PEN[],K$1,0),"ERROR")</f>
        <v>1</v>
      </c>
      <c r="L114" s="112">
        <f>IFERROR(VLOOKUP($B114,MMWR_TRAD_AGG_STATE_PEN[],L$1,0),"ERROR")</f>
        <v>1</v>
      </c>
      <c r="M114" s="114">
        <f t="shared" si="14"/>
        <v>1</v>
      </c>
      <c r="N114" s="111">
        <f>IFERROR(VLOOKUP($B114,MMWR_TRAD_AGG_STATE_PEN[],N$1,0),"ERROR")</f>
        <v>3</v>
      </c>
      <c r="O114" s="112">
        <f>IFERROR(VLOOKUP($B114,MMWR_TRAD_AGG_STATE_PEN[],O$1,0),"ERROR")</f>
        <v>1</v>
      </c>
      <c r="P114" s="114">
        <f t="shared" si="15"/>
        <v>0.33333333333333331</v>
      </c>
      <c r="Q114" s="115">
        <f>IFERROR(VLOOKUP($B114,MMWR_TRAD_AGG_STATE_PEN[],Q$1,0),"ERROR")</f>
        <v>122</v>
      </c>
      <c r="R114" s="115">
        <f>IFERROR(VLOOKUP($B114,MMWR_TRAD_AGG_STATE_PEN[],R$1,0),"ERROR")</f>
        <v>17</v>
      </c>
      <c r="S114" s="115">
        <f>IFERROR(VLOOKUP($B114,MMWR_APP_STATE_PEN[],S$1,0),"ERROR")</f>
        <v>6</v>
      </c>
      <c r="T114" s="28"/>
    </row>
    <row r="115" spans="1:20" s="123" customFormat="1" x14ac:dyDescent="0.2">
      <c r="A115" s="28"/>
      <c r="B115" s="127" t="s">
        <v>413</v>
      </c>
      <c r="C115" s="109">
        <f>IFERROR(VLOOKUP($B115,MMWR_TRAD_AGG_STATE_PEN[],C$1,0),"ERROR")</f>
        <v>121</v>
      </c>
      <c r="D115" s="110">
        <f>IFERROR(VLOOKUP($B115,MMWR_TRAD_AGG_STATE_PEN[],D$1,0),"ERROR")</f>
        <v>69.809917355400003</v>
      </c>
      <c r="E115" s="111">
        <f>IFERROR(VLOOKUP($B115,MMWR_TRAD_AGG_STATE_PEN[],E$1,0),"ERROR")</f>
        <v>140</v>
      </c>
      <c r="F115" s="112">
        <f>IFERROR(VLOOKUP($B115,MMWR_TRAD_AGG_STATE_PEN[],F$1,0),"ERROR")</f>
        <v>5</v>
      </c>
      <c r="G115" s="113">
        <f t="shared" si="12"/>
        <v>3.5714285714285712E-2</v>
      </c>
      <c r="H115" s="111">
        <f>IFERROR(VLOOKUP($B115,MMWR_TRAD_AGG_STATE_PEN[],H$1,0),"ERROR")</f>
        <v>191</v>
      </c>
      <c r="I115" s="112">
        <f>IFERROR(VLOOKUP($B115,MMWR_TRAD_AGG_STATE_PEN[],I$1,0),"ERROR")</f>
        <v>24</v>
      </c>
      <c r="J115" s="114">
        <f t="shared" si="13"/>
        <v>0.1256544502617801</v>
      </c>
      <c r="K115" s="111">
        <f>IFERROR(VLOOKUP($B115,MMWR_TRAD_AGG_STATE_PEN[],K$1,0),"ERROR")</f>
        <v>0</v>
      </c>
      <c r="L115" s="112">
        <f>IFERROR(VLOOKUP($B115,MMWR_TRAD_AGG_STATE_PEN[],L$1,0),"ERROR")</f>
        <v>0</v>
      </c>
      <c r="M115" s="114" t="str">
        <f t="shared" si="14"/>
        <v>0%</v>
      </c>
      <c r="N115" s="111">
        <f>IFERROR(VLOOKUP($B115,MMWR_TRAD_AGG_STATE_PEN[],N$1,0),"ERROR")</f>
        <v>12</v>
      </c>
      <c r="O115" s="112">
        <f>IFERROR(VLOOKUP($B115,MMWR_TRAD_AGG_STATE_PEN[],O$1,0),"ERROR")</f>
        <v>7</v>
      </c>
      <c r="P115" s="114">
        <f t="shared" si="15"/>
        <v>0.58333333333333337</v>
      </c>
      <c r="Q115" s="115">
        <f>IFERROR(VLOOKUP($B115,MMWR_TRAD_AGG_STATE_PEN[],Q$1,0),"ERROR")</f>
        <v>190</v>
      </c>
      <c r="R115" s="115">
        <f>IFERROR(VLOOKUP($B115,MMWR_TRAD_AGG_STATE_PEN[],R$1,0),"ERROR")</f>
        <v>33</v>
      </c>
      <c r="S115" s="115">
        <f>IFERROR(VLOOKUP($B115,MMWR_APP_STATE_PEN[],S$1,0),"ERROR")</f>
        <v>32</v>
      </c>
      <c r="T115" s="28"/>
    </row>
    <row r="116" spans="1:20" s="123" customFormat="1" x14ac:dyDescent="0.2">
      <c r="A116" s="28"/>
      <c r="B116" s="127" t="s">
        <v>405</v>
      </c>
      <c r="C116" s="109">
        <f>IFERROR(VLOOKUP($B116,MMWR_TRAD_AGG_STATE_PEN[],C$1,0),"ERROR")</f>
        <v>80</v>
      </c>
      <c r="D116" s="110">
        <f>IFERROR(VLOOKUP($B116,MMWR_TRAD_AGG_STATE_PEN[],D$1,0),"ERROR")</f>
        <v>61.6875</v>
      </c>
      <c r="E116" s="111">
        <f>IFERROR(VLOOKUP($B116,MMWR_TRAD_AGG_STATE_PEN[],E$1,0),"ERROR")</f>
        <v>127</v>
      </c>
      <c r="F116" s="112">
        <f>IFERROR(VLOOKUP($B116,MMWR_TRAD_AGG_STATE_PEN[],F$1,0),"ERROR")</f>
        <v>4</v>
      </c>
      <c r="G116" s="113">
        <f t="shared" si="12"/>
        <v>3.1496062992125984E-2</v>
      </c>
      <c r="H116" s="111">
        <f>IFERROR(VLOOKUP($B116,MMWR_TRAD_AGG_STATE_PEN[],H$1,0),"ERROR")</f>
        <v>152</v>
      </c>
      <c r="I116" s="112">
        <f>IFERROR(VLOOKUP($B116,MMWR_TRAD_AGG_STATE_PEN[],I$1,0),"ERROR")</f>
        <v>22</v>
      </c>
      <c r="J116" s="114">
        <f t="shared" si="13"/>
        <v>0.14473684210526316</v>
      </c>
      <c r="K116" s="111">
        <f>IFERROR(VLOOKUP($B116,MMWR_TRAD_AGG_STATE_PEN[],K$1,0),"ERROR")</f>
        <v>0</v>
      </c>
      <c r="L116" s="112">
        <f>IFERROR(VLOOKUP($B116,MMWR_TRAD_AGG_STATE_PEN[],L$1,0),"ERROR")</f>
        <v>0</v>
      </c>
      <c r="M116" s="114" t="str">
        <f t="shared" si="14"/>
        <v>0%</v>
      </c>
      <c r="N116" s="111">
        <f>IFERROR(VLOOKUP($B116,MMWR_TRAD_AGG_STATE_PEN[],N$1,0),"ERROR")</f>
        <v>4</v>
      </c>
      <c r="O116" s="112">
        <f>IFERROR(VLOOKUP($B116,MMWR_TRAD_AGG_STATE_PEN[],O$1,0),"ERROR")</f>
        <v>4</v>
      </c>
      <c r="P116" s="114">
        <f t="shared" si="15"/>
        <v>1</v>
      </c>
      <c r="Q116" s="115">
        <f>IFERROR(VLOOKUP($B116,MMWR_TRAD_AGG_STATE_PEN[],Q$1,0),"ERROR")</f>
        <v>292</v>
      </c>
      <c r="R116" s="115">
        <f>IFERROR(VLOOKUP($B116,MMWR_TRAD_AGG_STATE_PEN[],R$1,0),"ERROR")</f>
        <v>23</v>
      </c>
      <c r="S116" s="115">
        <f>IFERROR(VLOOKUP($B116,MMWR_APP_STATE_PEN[],S$1,0),"ERROR")</f>
        <v>18</v>
      </c>
      <c r="T116" s="28"/>
    </row>
    <row r="117" spans="1:20" s="123" customFormat="1" x14ac:dyDescent="0.2">
      <c r="A117" s="28"/>
      <c r="B117" s="127" t="s">
        <v>409</v>
      </c>
      <c r="C117" s="109">
        <f>IFERROR(VLOOKUP($B117,MMWR_TRAD_AGG_STATE_PEN[],C$1,0),"ERROR")</f>
        <v>213</v>
      </c>
      <c r="D117" s="110">
        <f>IFERROR(VLOOKUP($B117,MMWR_TRAD_AGG_STATE_PEN[],D$1,0),"ERROR")</f>
        <v>69.7887323944</v>
      </c>
      <c r="E117" s="111">
        <f>IFERROR(VLOOKUP($B117,MMWR_TRAD_AGG_STATE_PEN[],E$1,0),"ERROR")</f>
        <v>252</v>
      </c>
      <c r="F117" s="112">
        <f>IFERROR(VLOOKUP($B117,MMWR_TRAD_AGG_STATE_PEN[],F$1,0),"ERROR")</f>
        <v>9</v>
      </c>
      <c r="G117" s="113">
        <f t="shared" si="12"/>
        <v>3.5714285714285712E-2</v>
      </c>
      <c r="H117" s="111">
        <f>IFERROR(VLOOKUP($B117,MMWR_TRAD_AGG_STATE_PEN[],H$1,0),"ERROR")</f>
        <v>349</v>
      </c>
      <c r="I117" s="112">
        <f>IFERROR(VLOOKUP($B117,MMWR_TRAD_AGG_STATE_PEN[],I$1,0),"ERROR")</f>
        <v>50</v>
      </c>
      <c r="J117" s="114">
        <f t="shared" si="13"/>
        <v>0.14326647564469913</v>
      </c>
      <c r="K117" s="111">
        <f>IFERROR(VLOOKUP($B117,MMWR_TRAD_AGG_STATE_PEN[],K$1,0),"ERROR")</f>
        <v>2</v>
      </c>
      <c r="L117" s="112">
        <f>IFERROR(VLOOKUP($B117,MMWR_TRAD_AGG_STATE_PEN[],L$1,0),"ERROR")</f>
        <v>2</v>
      </c>
      <c r="M117" s="114">
        <f t="shared" si="14"/>
        <v>1</v>
      </c>
      <c r="N117" s="111">
        <f>IFERROR(VLOOKUP($B117,MMWR_TRAD_AGG_STATE_PEN[],N$1,0),"ERROR")</f>
        <v>12</v>
      </c>
      <c r="O117" s="112">
        <f>IFERROR(VLOOKUP($B117,MMWR_TRAD_AGG_STATE_PEN[],O$1,0),"ERROR")</f>
        <v>3</v>
      </c>
      <c r="P117" s="114">
        <f t="shared" si="15"/>
        <v>0.25</v>
      </c>
      <c r="Q117" s="115">
        <f>IFERROR(VLOOKUP($B117,MMWR_TRAD_AGG_STATE_PEN[],Q$1,0),"ERROR")</f>
        <v>396</v>
      </c>
      <c r="R117" s="115">
        <f>IFERROR(VLOOKUP($B117,MMWR_TRAD_AGG_STATE_PEN[],R$1,0),"ERROR")</f>
        <v>63</v>
      </c>
      <c r="S117" s="115">
        <f>IFERROR(VLOOKUP($B117,MMWR_APP_STATE_PEN[],S$1,0),"ERROR")</f>
        <v>41</v>
      </c>
      <c r="T117" s="28"/>
    </row>
    <row r="118" spans="1:20" s="123" customFormat="1" x14ac:dyDescent="0.2">
      <c r="A118" s="28"/>
      <c r="B118" s="127" t="s">
        <v>80</v>
      </c>
      <c r="C118" s="109">
        <f>IFERROR(VLOOKUP($B118,MMWR_TRAD_AGG_STATE_PEN[],C$1,0),"ERROR")</f>
        <v>253</v>
      </c>
      <c r="D118" s="110">
        <f>IFERROR(VLOOKUP($B118,MMWR_TRAD_AGG_STATE_PEN[],D$1,0),"ERROR")</f>
        <v>63.596837944699999</v>
      </c>
      <c r="E118" s="111">
        <f>IFERROR(VLOOKUP($B118,MMWR_TRAD_AGG_STATE_PEN[],E$1,0),"ERROR")</f>
        <v>375</v>
      </c>
      <c r="F118" s="112">
        <f>IFERROR(VLOOKUP($B118,MMWR_TRAD_AGG_STATE_PEN[],F$1,0),"ERROR")</f>
        <v>15</v>
      </c>
      <c r="G118" s="113">
        <f t="shared" si="12"/>
        <v>0.04</v>
      </c>
      <c r="H118" s="111">
        <f>IFERROR(VLOOKUP($B118,MMWR_TRAD_AGG_STATE_PEN[],H$1,0),"ERROR")</f>
        <v>451</v>
      </c>
      <c r="I118" s="112">
        <f>IFERROR(VLOOKUP($B118,MMWR_TRAD_AGG_STATE_PEN[],I$1,0),"ERROR")</f>
        <v>67</v>
      </c>
      <c r="J118" s="114">
        <f t="shared" si="13"/>
        <v>0.14855875831485588</v>
      </c>
      <c r="K118" s="111">
        <f>IFERROR(VLOOKUP($B118,MMWR_TRAD_AGG_STATE_PEN[],K$1,0),"ERROR")</f>
        <v>0</v>
      </c>
      <c r="L118" s="112">
        <f>IFERROR(VLOOKUP($B118,MMWR_TRAD_AGG_STATE_PEN[],L$1,0),"ERROR")</f>
        <v>0</v>
      </c>
      <c r="M118" s="114" t="str">
        <f t="shared" si="14"/>
        <v>0%</v>
      </c>
      <c r="N118" s="111">
        <f>IFERROR(VLOOKUP($B118,MMWR_TRAD_AGG_STATE_PEN[],N$1,0),"ERROR")</f>
        <v>19</v>
      </c>
      <c r="O118" s="112">
        <f>IFERROR(VLOOKUP($B118,MMWR_TRAD_AGG_STATE_PEN[],O$1,0),"ERROR")</f>
        <v>7</v>
      </c>
      <c r="P118" s="114">
        <f t="shared" si="15"/>
        <v>0.36842105263157893</v>
      </c>
      <c r="Q118" s="115">
        <f>IFERROR(VLOOKUP($B118,MMWR_TRAD_AGG_STATE_PEN[],Q$1,0),"ERROR")</f>
        <v>569</v>
      </c>
      <c r="R118" s="115">
        <f>IFERROR(VLOOKUP($B118,MMWR_TRAD_AGG_STATE_PEN[],R$1,0),"ERROR")</f>
        <v>114</v>
      </c>
      <c r="S118" s="115">
        <f>IFERROR(VLOOKUP($B118,MMWR_APP_STATE_PEN[],S$1,0),"ERROR")</f>
        <v>63</v>
      </c>
      <c r="T118" s="28"/>
    </row>
    <row r="119" spans="1:20" s="123" customFormat="1" x14ac:dyDescent="0.2">
      <c r="A119" s="28"/>
      <c r="B119" s="126" t="s">
        <v>380</v>
      </c>
      <c r="C119" s="102">
        <f>IFERROR(VLOOKUP($B119,MMWR_TRAD_AGG_ST_DISTRICT_PEN[],C$1,0),"ERROR")</f>
        <v>8589</v>
      </c>
      <c r="D119" s="103">
        <f>IFERROR(VLOOKUP($B119,MMWR_TRAD_AGG_ST_DISTRICT_PEN[],D$1,0),"ERROR")</f>
        <v>102.402025847</v>
      </c>
      <c r="E119" s="102">
        <f>IFERROR(VLOOKUP($B119,MMWR_TRAD_AGG_ST_DISTRICT_PEN[],E$1,0),"ERROR")</f>
        <v>9312</v>
      </c>
      <c r="F119" s="102">
        <f>IFERROR(VLOOKUP($B119,MMWR_TRAD_AGG_ST_DISTRICT_PEN[],F$1,0),"ERROR")</f>
        <v>1482</v>
      </c>
      <c r="G119" s="104">
        <f t="shared" si="12"/>
        <v>0.15914948453608246</v>
      </c>
      <c r="H119" s="102">
        <f>IFERROR(VLOOKUP($B119,MMWR_TRAD_AGG_ST_DISTRICT_PEN[],H$1,0),"ERROR")</f>
        <v>10950</v>
      </c>
      <c r="I119" s="102">
        <f>IFERROR(VLOOKUP($B119,MMWR_TRAD_AGG_ST_DISTRICT_PEN[],I$1,0),"ERROR")</f>
        <v>3571</v>
      </c>
      <c r="J119" s="104">
        <f t="shared" si="13"/>
        <v>0.3261187214611872</v>
      </c>
      <c r="K119" s="102">
        <f>IFERROR(VLOOKUP($B119,MMWR_TRAD_AGG_ST_DISTRICT_PEN[],K$1,0),"ERROR")</f>
        <v>29</v>
      </c>
      <c r="L119" s="102">
        <f>IFERROR(VLOOKUP($B119,MMWR_TRAD_AGG_ST_DISTRICT_PEN[],L$1,0),"ERROR")</f>
        <v>27</v>
      </c>
      <c r="M119" s="104">
        <f t="shared" si="14"/>
        <v>0.93103448275862066</v>
      </c>
      <c r="N119" s="102">
        <f>IFERROR(VLOOKUP($B119,MMWR_TRAD_AGG_ST_DISTRICT_PEN[],N$1,0),"ERROR")</f>
        <v>431</v>
      </c>
      <c r="O119" s="102">
        <f>IFERROR(VLOOKUP($B119,MMWR_TRAD_AGG_ST_DISTRICT_PEN[],O$1,0),"ERROR")</f>
        <v>111</v>
      </c>
      <c r="P119" s="104">
        <f t="shared" si="15"/>
        <v>0.25754060324825984</v>
      </c>
      <c r="Q119" s="102">
        <f>IFERROR(VLOOKUP($B119,MMWR_TRAD_AGG_ST_DISTRICT_PEN[],Q$1,0),"ERROR")</f>
        <v>1380</v>
      </c>
      <c r="R119" s="106">
        <f>IFERROR(VLOOKUP($B119,MMWR_TRAD_AGG_ST_DISTRICT_PEN[],R$1,0),"ERROR")</f>
        <v>1546</v>
      </c>
      <c r="S119" s="106">
        <f>IFERROR(VLOOKUP($B119,MMWR_APP_STATE_PEN[],S$1,0),"ERROR")</f>
        <v>1484</v>
      </c>
      <c r="T119" s="28"/>
    </row>
    <row r="120" spans="1:20" s="123" customFormat="1" x14ac:dyDescent="0.2">
      <c r="A120" s="28"/>
      <c r="B120" s="127" t="s">
        <v>388</v>
      </c>
      <c r="C120" s="109">
        <f>IFERROR(VLOOKUP($B120,MMWR_TRAD_AGG_STATE_PEN[],C$1,0),"ERROR")</f>
        <v>629</v>
      </c>
      <c r="D120" s="110">
        <f>IFERROR(VLOOKUP($B120,MMWR_TRAD_AGG_STATE_PEN[],D$1,0),"ERROR")</f>
        <v>67.372019077900006</v>
      </c>
      <c r="E120" s="111">
        <f>IFERROR(VLOOKUP($B120,MMWR_TRAD_AGG_STATE_PEN[],E$1,0),"ERROR")</f>
        <v>796</v>
      </c>
      <c r="F120" s="112">
        <f>IFERROR(VLOOKUP($B120,MMWR_TRAD_AGG_STATE_PEN[],F$1,0),"ERROR")</f>
        <v>69</v>
      </c>
      <c r="G120" s="113">
        <f t="shared" si="12"/>
        <v>8.6683417085427136E-2</v>
      </c>
      <c r="H120" s="111">
        <f>IFERROR(VLOOKUP($B120,MMWR_TRAD_AGG_STATE_PEN[],H$1,0),"ERROR")</f>
        <v>899</v>
      </c>
      <c r="I120" s="112">
        <f>IFERROR(VLOOKUP($B120,MMWR_TRAD_AGG_STATE_PEN[],I$1,0),"ERROR")</f>
        <v>97</v>
      </c>
      <c r="J120" s="114">
        <f t="shared" si="13"/>
        <v>0.10789766407119021</v>
      </c>
      <c r="K120" s="111">
        <f>IFERROR(VLOOKUP($B120,MMWR_TRAD_AGG_STATE_PEN[],K$1,0),"ERROR")</f>
        <v>4</v>
      </c>
      <c r="L120" s="112">
        <f>IFERROR(VLOOKUP($B120,MMWR_TRAD_AGG_STATE_PEN[],L$1,0),"ERROR")</f>
        <v>4</v>
      </c>
      <c r="M120" s="114">
        <f t="shared" si="14"/>
        <v>1</v>
      </c>
      <c r="N120" s="111">
        <f>IFERROR(VLOOKUP($B120,MMWR_TRAD_AGG_STATE_PEN[],N$1,0),"ERROR")</f>
        <v>48</v>
      </c>
      <c r="O120" s="112">
        <f>IFERROR(VLOOKUP($B120,MMWR_TRAD_AGG_STATE_PEN[],O$1,0),"ERROR")</f>
        <v>11</v>
      </c>
      <c r="P120" s="114">
        <f t="shared" si="15"/>
        <v>0.22916666666666666</v>
      </c>
      <c r="Q120" s="115">
        <f>IFERROR(VLOOKUP($B120,MMWR_TRAD_AGG_STATE_PEN[],Q$1,0),"ERROR")</f>
        <v>138</v>
      </c>
      <c r="R120" s="115">
        <f>IFERROR(VLOOKUP($B120,MMWR_TRAD_AGG_STATE_PEN[],R$1,0),"ERROR")</f>
        <v>97</v>
      </c>
      <c r="S120" s="115">
        <f>IFERROR(VLOOKUP($B120,MMWR_APP_STATE_PEN[],S$1,0),"ERROR")</f>
        <v>247</v>
      </c>
      <c r="T120" s="28"/>
    </row>
    <row r="121" spans="1:20" s="123" customFormat="1" x14ac:dyDescent="0.2">
      <c r="A121" s="28"/>
      <c r="B121" s="127" t="s">
        <v>425</v>
      </c>
      <c r="C121" s="109">
        <f>IFERROR(VLOOKUP($B121,MMWR_TRAD_AGG_STATE_PEN[],C$1,0),"ERROR")</f>
        <v>2880</v>
      </c>
      <c r="D121" s="110">
        <f>IFERROR(VLOOKUP($B121,MMWR_TRAD_AGG_STATE_PEN[],D$1,0),"ERROR")</f>
        <v>102.25381944439999</v>
      </c>
      <c r="E121" s="111">
        <f>IFERROR(VLOOKUP($B121,MMWR_TRAD_AGG_STATE_PEN[],E$1,0),"ERROR")</f>
        <v>3763</v>
      </c>
      <c r="F121" s="112">
        <f>IFERROR(VLOOKUP($B121,MMWR_TRAD_AGG_STATE_PEN[],F$1,0),"ERROR")</f>
        <v>652</v>
      </c>
      <c r="G121" s="113">
        <f t="shared" si="12"/>
        <v>0.17326601116130746</v>
      </c>
      <c r="H121" s="111">
        <f>IFERROR(VLOOKUP($B121,MMWR_TRAD_AGG_STATE_PEN[],H$1,0),"ERROR")</f>
        <v>3709</v>
      </c>
      <c r="I121" s="112">
        <f>IFERROR(VLOOKUP($B121,MMWR_TRAD_AGG_STATE_PEN[],I$1,0),"ERROR")</f>
        <v>1199</v>
      </c>
      <c r="J121" s="114">
        <f t="shared" si="13"/>
        <v>0.32326772715017527</v>
      </c>
      <c r="K121" s="111">
        <f>IFERROR(VLOOKUP($B121,MMWR_TRAD_AGG_STATE_PEN[],K$1,0),"ERROR")</f>
        <v>17</v>
      </c>
      <c r="L121" s="112">
        <f>IFERROR(VLOOKUP($B121,MMWR_TRAD_AGG_STATE_PEN[],L$1,0),"ERROR")</f>
        <v>16</v>
      </c>
      <c r="M121" s="114">
        <f t="shared" si="14"/>
        <v>0.94117647058823528</v>
      </c>
      <c r="N121" s="111">
        <f>IFERROR(VLOOKUP($B121,MMWR_TRAD_AGG_STATE_PEN[],N$1,0),"ERROR")</f>
        <v>120</v>
      </c>
      <c r="O121" s="112">
        <f>IFERROR(VLOOKUP($B121,MMWR_TRAD_AGG_STATE_PEN[],O$1,0),"ERROR")</f>
        <v>33</v>
      </c>
      <c r="P121" s="114">
        <f t="shared" si="15"/>
        <v>0.27500000000000002</v>
      </c>
      <c r="Q121" s="115">
        <f>IFERROR(VLOOKUP($B121,MMWR_TRAD_AGG_STATE_PEN[],Q$1,0),"ERROR")</f>
        <v>511</v>
      </c>
      <c r="R121" s="115">
        <f>IFERROR(VLOOKUP($B121,MMWR_TRAD_AGG_STATE_PEN[],R$1,0),"ERROR")</f>
        <v>608</v>
      </c>
      <c r="S121" s="115">
        <f>IFERROR(VLOOKUP($B121,MMWR_APP_STATE_PEN[],S$1,0),"ERROR")</f>
        <v>409</v>
      </c>
      <c r="T121" s="28"/>
    </row>
    <row r="122" spans="1:20" s="123" customFormat="1" x14ac:dyDescent="0.2">
      <c r="A122" s="28"/>
      <c r="B122" s="127" t="s">
        <v>381</v>
      </c>
      <c r="C122" s="109">
        <f>IFERROR(VLOOKUP($B122,MMWR_TRAD_AGG_STATE_PEN[],C$1,0),"ERROR")</f>
        <v>1436</v>
      </c>
      <c r="D122" s="110">
        <f>IFERROR(VLOOKUP($B122,MMWR_TRAD_AGG_STATE_PEN[],D$1,0),"ERROR")</f>
        <v>107.59818941499999</v>
      </c>
      <c r="E122" s="111">
        <f>IFERROR(VLOOKUP($B122,MMWR_TRAD_AGG_STATE_PEN[],E$1,0),"ERROR")</f>
        <v>1768</v>
      </c>
      <c r="F122" s="112">
        <f>IFERROR(VLOOKUP($B122,MMWR_TRAD_AGG_STATE_PEN[],F$1,0),"ERROR")</f>
        <v>345</v>
      </c>
      <c r="G122" s="113">
        <f t="shared" si="12"/>
        <v>0.19513574660633484</v>
      </c>
      <c r="H122" s="111">
        <f>IFERROR(VLOOKUP($B122,MMWR_TRAD_AGG_STATE_PEN[],H$1,0),"ERROR")</f>
        <v>1888</v>
      </c>
      <c r="I122" s="112">
        <f>IFERROR(VLOOKUP($B122,MMWR_TRAD_AGG_STATE_PEN[],I$1,0),"ERROR")</f>
        <v>689</v>
      </c>
      <c r="J122" s="114">
        <f t="shared" si="13"/>
        <v>0.3649364406779661</v>
      </c>
      <c r="K122" s="111">
        <f>IFERROR(VLOOKUP($B122,MMWR_TRAD_AGG_STATE_PEN[],K$1,0),"ERROR")</f>
        <v>2</v>
      </c>
      <c r="L122" s="112">
        <f>IFERROR(VLOOKUP($B122,MMWR_TRAD_AGG_STATE_PEN[],L$1,0),"ERROR")</f>
        <v>1</v>
      </c>
      <c r="M122" s="114">
        <f t="shared" si="14"/>
        <v>0.5</v>
      </c>
      <c r="N122" s="111">
        <f>IFERROR(VLOOKUP($B122,MMWR_TRAD_AGG_STATE_PEN[],N$1,0),"ERROR")</f>
        <v>88</v>
      </c>
      <c r="O122" s="112">
        <f>IFERROR(VLOOKUP($B122,MMWR_TRAD_AGG_STATE_PEN[],O$1,0),"ERROR")</f>
        <v>24</v>
      </c>
      <c r="P122" s="114">
        <f t="shared" si="15"/>
        <v>0.27272727272727271</v>
      </c>
      <c r="Q122" s="115">
        <f>IFERROR(VLOOKUP($B122,MMWR_TRAD_AGG_STATE_PEN[],Q$1,0),"ERROR")</f>
        <v>241</v>
      </c>
      <c r="R122" s="115">
        <f>IFERROR(VLOOKUP($B122,MMWR_TRAD_AGG_STATE_PEN[],R$1,0),"ERROR")</f>
        <v>389</v>
      </c>
      <c r="S122" s="115">
        <f>IFERROR(VLOOKUP($B122,MMWR_APP_STATE_PEN[],S$1,0),"ERROR")</f>
        <v>238</v>
      </c>
      <c r="T122" s="28"/>
    </row>
    <row r="123" spans="1:20" s="123" customFormat="1" x14ac:dyDescent="0.2">
      <c r="A123" s="28"/>
      <c r="B123" s="127" t="s">
        <v>393</v>
      </c>
      <c r="C123" s="109">
        <f>IFERROR(VLOOKUP($B123,MMWR_TRAD_AGG_STATE_PEN[],C$1,0),"ERROR")</f>
        <v>250</v>
      </c>
      <c r="D123" s="110">
        <f>IFERROR(VLOOKUP($B123,MMWR_TRAD_AGG_STATE_PEN[],D$1,0),"ERROR")</f>
        <v>74.415999999999997</v>
      </c>
      <c r="E123" s="111">
        <f>IFERROR(VLOOKUP($B123,MMWR_TRAD_AGG_STATE_PEN[],E$1,0),"ERROR")</f>
        <v>384</v>
      </c>
      <c r="F123" s="112">
        <f>IFERROR(VLOOKUP($B123,MMWR_TRAD_AGG_STATE_PEN[],F$1,0),"ERROR")</f>
        <v>49</v>
      </c>
      <c r="G123" s="113">
        <f t="shared" si="12"/>
        <v>0.12760416666666666</v>
      </c>
      <c r="H123" s="111">
        <f>IFERROR(VLOOKUP($B123,MMWR_TRAD_AGG_STATE_PEN[],H$1,0),"ERROR")</f>
        <v>410</v>
      </c>
      <c r="I123" s="112">
        <f>IFERROR(VLOOKUP($B123,MMWR_TRAD_AGG_STATE_PEN[],I$1,0),"ERROR")</f>
        <v>60</v>
      </c>
      <c r="J123" s="114">
        <f t="shared" si="13"/>
        <v>0.14634146341463414</v>
      </c>
      <c r="K123" s="111">
        <f>IFERROR(VLOOKUP($B123,MMWR_TRAD_AGG_STATE_PEN[],K$1,0),"ERROR")</f>
        <v>1</v>
      </c>
      <c r="L123" s="112">
        <f>IFERROR(VLOOKUP($B123,MMWR_TRAD_AGG_STATE_PEN[],L$1,0),"ERROR")</f>
        <v>1</v>
      </c>
      <c r="M123" s="114">
        <f t="shared" si="14"/>
        <v>1</v>
      </c>
      <c r="N123" s="111">
        <f>IFERROR(VLOOKUP($B123,MMWR_TRAD_AGG_STATE_PEN[],N$1,0),"ERROR")</f>
        <v>40</v>
      </c>
      <c r="O123" s="112">
        <f>IFERROR(VLOOKUP($B123,MMWR_TRAD_AGG_STATE_PEN[],O$1,0),"ERROR")</f>
        <v>10</v>
      </c>
      <c r="P123" s="114">
        <f t="shared" si="15"/>
        <v>0.25</v>
      </c>
      <c r="Q123" s="115">
        <f>IFERROR(VLOOKUP($B123,MMWR_TRAD_AGG_STATE_PEN[],Q$1,0),"ERROR")</f>
        <v>82</v>
      </c>
      <c r="R123" s="115">
        <f>IFERROR(VLOOKUP($B123,MMWR_TRAD_AGG_STATE_PEN[],R$1,0),"ERROR")</f>
        <v>61</v>
      </c>
      <c r="S123" s="115">
        <f>IFERROR(VLOOKUP($B123,MMWR_APP_STATE_PEN[],S$1,0),"ERROR")</f>
        <v>108</v>
      </c>
      <c r="T123" s="28"/>
    </row>
    <row r="124" spans="1:20" s="123" customFormat="1" x14ac:dyDescent="0.2">
      <c r="A124" s="28"/>
      <c r="B124" s="127" t="s">
        <v>427</v>
      </c>
      <c r="C124" s="109">
        <f>IFERROR(VLOOKUP($B124,MMWR_TRAD_AGG_STATE_PEN[],C$1,0),"ERROR")</f>
        <v>1897</v>
      </c>
      <c r="D124" s="110">
        <f>IFERROR(VLOOKUP($B124,MMWR_TRAD_AGG_STATE_PEN[],D$1,0),"ERROR")</f>
        <v>120.016341592</v>
      </c>
      <c r="E124" s="111">
        <f>IFERROR(VLOOKUP($B124,MMWR_TRAD_AGG_STATE_PEN[],E$1,0),"ERROR")</f>
        <v>730</v>
      </c>
      <c r="F124" s="112">
        <f>IFERROR(VLOOKUP($B124,MMWR_TRAD_AGG_STATE_PEN[],F$1,0),"ERROR")</f>
        <v>122</v>
      </c>
      <c r="G124" s="113">
        <f t="shared" si="12"/>
        <v>0.16712328767123288</v>
      </c>
      <c r="H124" s="111">
        <f>IFERROR(VLOOKUP($B124,MMWR_TRAD_AGG_STATE_PEN[],H$1,0),"ERROR")</f>
        <v>2102</v>
      </c>
      <c r="I124" s="112">
        <f>IFERROR(VLOOKUP($B124,MMWR_TRAD_AGG_STATE_PEN[],I$1,0),"ERROR")</f>
        <v>973</v>
      </c>
      <c r="J124" s="114">
        <f t="shared" si="13"/>
        <v>0.46289248334919125</v>
      </c>
      <c r="K124" s="111">
        <f>IFERROR(VLOOKUP($B124,MMWR_TRAD_AGG_STATE_PEN[],K$1,0),"ERROR")</f>
        <v>3</v>
      </c>
      <c r="L124" s="112">
        <f>IFERROR(VLOOKUP($B124,MMWR_TRAD_AGG_STATE_PEN[],L$1,0),"ERROR")</f>
        <v>3</v>
      </c>
      <c r="M124" s="114">
        <f t="shared" si="14"/>
        <v>1</v>
      </c>
      <c r="N124" s="111">
        <f>IFERROR(VLOOKUP($B124,MMWR_TRAD_AGG_STATE_PEN[],N$1,0),"ERROR")</f>
        <v>12</v>
      </c>
      <c r="O124" s="112">
        <f>IFERROR(VLOOKUP($B124,MMWR_TRAD_AGG_STATE_PEN[],O$1,0),"ERROR")</f>
        <v>8</v>
      </c>
      <c r="P124" s="114">
        <f t="shared" si="15"/>
        <v>0.66666666666666663</v>
      </c>
      <c r="Q124" s="115">
        <f>IFERROR(VLOOKUP($B124,MMWR_TRAD_AGG_STATE_PEN[],Q$1,0),"ERROR")</f>
        <v>91</v>
      </c>
      <c r="R124" s="115">
        <f>IFERROR(VLOOKUP($B124,MMWR_TRAD_AGG_STATE_PEN[],R$1,0),"ERROR")</f>
        <v>86</v>
      </c>
      <c r="S124" s="115">
        <f>IFERROR(VLOOKUP($B124,MMWR_APP_STATE_PEN[],S$1,0),"ERROR")</f>
        <v>87</v>
      </c>
      <c r="T124" s="28"/>
    </row>
    <row r="125" spans="1:20" s="123" customFormat="1" x14ac:dyDescent="0.2">
      <c r="A125" s="28"/>
      <c r="B125" s="127" t="s">
        <v>383</v>
      </c>
      <c r="C125" s="109">
        <f>IFERROR(VLOOKUP($B125,MMWR_TRAD_AGG_STATE_PEN[],C$1,0),"ERROR")</f>
        <v>1016</v>
      </c>
      <c r="D125" s="110">
        <f>IFERROR(VLOOKUP($B125,MMWR_TRAD_AGG_STATE_PEN[],D$1,0),"ERROR")</f>
        <v>107.6476377953</v>
      </c>
      <c r="E125" s="111">
        <f>IFERROR(VLOOKUP($B125,MMWR_TRAD_AGG_STATE_PEN[],E$1,0),"ERROR")</f>
        <v>1128</v>
      </c>
      <c r="F125" s="112">
        <f>IFERROR(VLOOKUP($B125,MMWR_TRAD_AGG_STATE_PEN[],F$1,0),"ERROR")</f>
        <v>172</v>
      </c>
      <c r="G125" s="113">
        <f t="shared" si="12"/>
        <v>0.1524822695035461</v>
      </c>
      <c r="H125" s="111">
        <f>IFERROR(VLOOKUP($B125,MMWR_TRAD_AGG_STATE_PEN[],H$1,0),"ERROR")</f>
        <v>1219</v>
      </c>
      <c r="I125" s="112">
        <f>IFERROR(VLOOKUP($B125,MMWR_TRAD_AGG_STATE_PEN[],I$1,0),"ERROR")</f>
        <v>454</v>
      </c>
      <c r="J125" s="114">
        <f t="shared" si="13"/>
        <v>0.37243642329778509</v>
      </c>
      <c r="K125" s="111">
        <f>IFERROR(VLOOKUP($B125,MMWR_TRAD_AGG_STATE_PEN[],K$1,0),"ERROR")</f>
        <v>1</v>
      </c>
      <c r="L125" s="112">
        <f>IFERROR(VLOOKUP($B125,MMWR_TRAD_AGG_STATE_PEN[],L$1,0),"ERROR")</f>
        <v>1</v>
      </c>
      <c r="M125" s="114">
        <f t="shared" si="14"/>
        <v>1</v>
      </c>
      <c r="N125" s="111">
        <f>IFERROR(VLOOKUP($B125,MMWR_TRAD_AGG_STATE_PEN[],N$1,0),"ERROR")</f>
        <v>48</v>
      </c>
      <c r="O125" s="112">
        <f>IFERROR(VLOOKUP($B125,MMWR_TRAD_AGG_STATE_PEN[],O$1,0),"ERROR")</f>
        <v>8</v>
      </c>
      <c r="P125" s="114">
        <f t="shared" si="15"/>
        <v>0.16666666666666666</v>
      </c>
      <c r="Q125" s="115">
        <f>IFERROR(VLOOKUP($B125,MMWR_TRAD_AGG_STATE_PEN[],Q$1,0),"ERROR")</f>
        <v>180</v>
      </c>
      <c r="R125" s="115">
        <f>IFERROR(VLOOKUP($B125,MMWR_TRAD_AGG_STATE_PEN[],R$1,0),"ERROR")</f>
        <v>225</v>
      </c>
      <c r="S125" s="115">
        <f>IFERROR(VLOOKUP($B125,MMWR_APP_STATE_PEN[],S$1,0),"ERROR")</f>
        <v>154</v>
      </c>
      <c r="T125" s="28"/>
    </row>
    <row r="126" spans="1:20" s="123" customFormat="1" x14ac:dyDescent="0.2">
      <c r="A126" s="28"/>
      <c r="B126" s="127" t="s">
        <v>384</v>
      </c>
      <c r="C126" s="109">
        <f>IFERROR(VLOOKUP($B126,MMWR_TRAD_AGG_STATE_PEN[],C$1,0),"ERROR")</f>
        <v>481</v>
      </c>
      <c r="D126" s="110">
        <f>IFERROR(VLOOKUP($B126,MMWR_TRAD_AGG_STATE_PEN[],D$1,0),"ERROR")</f>
        <v>67.582120582100004</v>
      </c>
      <c r="E126" s="111">
        <f>IFERROR(VLOOKUP($B126,MMWR_TRAD_AGG_STATE_PEN[],E$1,0),"ERROR")</f>
        <v>743</v>
      </c>
      <c r="F126" s="112">
        <f>IFERROR(VLOOKUP($B126,MMWR_TRAD_AGG_STATE_PEN[],F$1,0),"ERROR")</f>
        <v>73</v>
      </c>
      <c r="G126" s="113">
        <f t="shared" si="12"/>
        <v>9.8250336473755043E-2</v>
      </c>
      <c r="H126" s="111">
        <f>IFERROR(VLOOKUP($B126,MMWR_TRAD_AGG_STATE_PEN[],H$1,0),"ERROR")</f>
        <v>723</v>
      </c>
      <c r="I126" s="112">
        <f>IFERROR(VLOOKUP($B126,MMWR_TRAD_AGG_STATE_PEN[],I$1,0),"ERROR")</f>
        <v>99</v>
      </c>
      <c r="J126" s="114">
        <f t="shared" si="13"/>
        <v>0.13692946058091288</v>
      </c>
      <c r="K126" s="111">
        <f>IFERROR(VLOOKUP($B126,MMWR_TRAD_AGG_STATE_PEN[],K$1,0),"ERROR")</f>
        <v>1</v>
      </c>
      <c r="L126" s="112">
        <f>IFERROR(VLOOKUP($B126,MMWR_TRAD_AGG_STATE_PEN[],L$1,0),"ERROR")</f>
        <v>1</v>
      </c>
      <c r="M126" s="114">
        <f t="shared" si="14"/>
        <v>1</v>
      </c>
      <c r="N126" s="111">
        <f>IFERROR(VLOOKUP($B126,MMWR_TRAD_AGG_STATE_PEN[],N$1,0),"ERROR")</f>
        <v>75</v>
      </c>
      <c r="O126" s="112">
        <f>IFERROR(VLOOKUP($B126,MMWR_TRAD_AGG_STATE_PEN[],O$1,0),"ERROR")</f>
        <v>17</v>
      </c>
      <c r="P126" s="114">
        <f t="shared" si="15"/>
        <v>0.22666666666666666</v>
      </c>
      <c r="Q126" s="115">
        <f>IFERROR(VLOOKUP($B126,MMWR_TRAD_AGG_STATE_PEN[],Q$1,0),"ERROR")</f>
        <v>137</v>
      </c>
      <c r="R126" s="115">
        <f>IFERROR(VLOOKUP($B126,MMWR_TRAD_AGG_STATE_PEN[],R$1,0),"ERROR")</f>
        <v>80</v>
      </c>
      <c r="S126" s="115">
        <f>IFERROR(VLOOKUP($B126,MMWR_APP_STATE_PEN[],S$1,0),"ERROR")</f>
        <v>241</v>
      </c>
      <c r="T126" s="28"/>
    </row>
    <row r="127" spans="1:20" s="123" customFormat="1" x14ac:dyDescent="0.2">
      <c r="A127" s="28"/>
      <c r="B127" s="128" t="s">
        <v>8</v>
      </c>
      <c r="C127" s="102">
        <f>IFERROR(VLOOKUP($B127,MMWR_TRAD_AGG_ST_DISTRICT_PEN[],C$1,0),"ERROR")</f>
        <v>187</v>
      </c>
      <c r="D127" s="103">
        <f>IFERROR(VLOOKUP($B127,MMWR_TRAD_AGG_ST_DISTRICT_PEN[],D$1,0),"ERROR")</f>
        <v>109.513368984</v>
      </c>
      <c r="E127" s="102">
        <f>IFERROR(VLOOKUP($B127,MMWR_TRAD_AGG_ST_DISTRICT_PEN[],E$1,0),"ERROR")</f>
        <v>225</v>
      </c>
      <c r="F127" s="102">
        <f>IFERROR(VLOOKUP($B127,MMWR_TRAD_AGG_ST_DISTRICT_PEN[],F$1,0),"ERROR")</f>
        <v>109</v>
      </c>
      <c r="G127" s="104">
        <f t="shared" si="12"/>
        <v>0.48444444444444446</v>
      </c>
      <c r="H127" s="102">
        <f>IFERROR(VLOOKUP($B127,MMWR_TRAD_AGG_ST_DISTRICT_PEN[],H$1,0),"ERROR")</f>
        <v>368</v>
      </c>
      <c r="I127" s="102">
        <f>IFERROR(VLOOKUP($B127,MMWR_TRAD_AGG_ST_DISTRICT_PEN[],I$1,0),"ERROR")</f>
        <v>215</v>
      </c>
      <c r="J127" s="104">
        <f t="shared" si="13"/>
        <v>0.58423913043478259</v>
      </c>
      <c r="K127" s="102">
        <f>IFERROR(VLOOKUP($B127,MMWR_TRAD_AGG_ST_DISTRICT_PEN[],K$1,0),"ERROR")</f>
        <v>7</v>
      </c>
      <c r="L127" s="102">
        <f>IFERROR(VLOOKUP($B127,MMWR_TRAD_AGG_ST_DISTRICT_PEN[],L$1,0),"ERROR")</f>
        <v>6</v>
      </c>
      <c r="M127" s="104">
        <f t="shared" si="14"/>
        <v>0.8571428571428571</v>
      </c>
      <c r="N127" s="102">
        <f>IFERROR(VLOOKUP($B127,MMWR_TRAD_AGG_ST_DISTRICT_PEN[],N$1,0),"ERROR")</f>
        <v>4</v>
      </c>
      <c r="O127" s="102">
        <f>IFERROR(VLOOKUP($B127,MMWR_TRAD_AGG_ST_DISTRICT_PEN[],O$1,0),"ERROR")</f>
        <v>2</v>
      </c>
      <c r="P127" s="104">
        <f t="shared" si="15"/>
        <v>0.5</v>
      </c>
      <c r="Q127" s="102">
        <f>IFERROR(VLOOKUP($B127,MMWR_TRAD_AGG_ST_DISTRICT_PEN[],Q$1,0),"ERROR")</f>
        <v>57</v>
      </c>
      <c r="R127" s="106">
        <f>IFERROR(VLOOKUP($B127,MMWR_TRAD_AGG_ST_DISTRICT_PEN[],R$1,0),"ERROR")</f>
        <v>18</v>
      </c>
      <c r="S127" s="106">
        <f>IFERROR(VLOOKUP($B127,MMWR_APP_STATE_PEN[],S$1,0),"ERROR")</f>
        <v>1</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653</v>
      </c>
      <c r="C2" t="s">
        <v>456</v>
      </c>
      <c r="D2" t="s">
        <v>458</v>
      </c>
      <c r="F2" t="s">
        <v>652</v>
      </c>
      <c r="G2" t="s">
        <v>306</v>
      </c>
      <c r="H2" t="s">
        <v>133</v>
      </c>
      <c r="I2" t="s">
        <v>214</v>
      </c>
      <c r="J2" t="s">
        <v>215</v>
      </c>
      <c r="K2" t="s">
        <v>216</v>
      </c>
      <c r="L2" t="s">
        <v>217</v>
      </c>
      <c r="M2" t="s">
        <v>218</v>
      </c>
      <c r="N2" t="s">
        <v>219</v>
      </c>
      <c r="O2" t="s">
        <v>220</v>
      </c>
      <c r="P2" t="s">
        <v>221</v>
      </c>
      <c r="Q2" t="s">
        <v>222</v>
      </c>
      <c r="R2" t="s">
        <v>223</v>
      </c>
      <c r="T2" t="s">
        <v>651</v>
      </c>
      <c r="U2" t="s">
        <v>306</v>
      </c>
      <c r="V2" t="s">
        <v>133</v>
      </c>
      <c r="W2" t="s">
        <v>214</v>
      </c>
      <c r="X2" t="s">
        <v>459</v>
      </c>
      <c r="Y2" t="s">
        <v>216</v>
      </c>
      <c r="Z2" t="s">
        <v>217</v>
      </c>
      <c r="AA2" t="s">
        <v>218</v>
      </c>
      <c r="AB2" t="s">
        <v>460</v>
      </c>
      <c r="AC2" t="s">
        <v>220</v>
      </c>
      <c r="AD2" t="s">
        <v>221</v>
      </c>
      <c r="AE2" t="s">
        <v>222</v>
      </c>
      <c r="AF2" t="s">
        <v>223</v>
      </c>
      <c r="AH2" t="s">
        <v>650</v>
      </c>
      <c r="AI2" t="s">
        <v>306</v>
      </c>
      <c r="AJ2" t="s">
        <v>133</v>
      </c>
      <c r="AK2" t="s">
        <v>214</v>
      </c>
      <c r="AL2" t="s">
        <v>215</v>
      </c>
      <c r="AM2" t="s">
        <v>216</v>
      </c>
      <c r="AN2" t="s">
        <v>217</v>
      </c>
      <c r="AO2" t="s">
        <v>218</v>
      </c>
      <c r="AP2" t="s">
        <v>219</v>
      </c>
      <c r="AQ2" t="s">
        <v>220</v>
      </c>
      <c r="AR2" t="s">
        <v>221</v>
      </c>
      <c r="AS2" t="s">
        <v>222</v>
      </c>
      <c r="AT2" t="s">
        <v>223</v>
      </c>
      <c r="AV2" t="s">
        <v>649</v>
      </c>
      <c r="AW2" t="s">
        <v>306</v>
      </c>
      <c r="AX2" t="s">
        <v>133</v>
      </c>
      <c r="AY2" t="s">
        <v>214</v>
      </c>
      <c r="AZ2" t="s">
        <v>459</v>
      </c>
      <c r="BA2" t="s">
        <v>216</v>
      </c>
      <c r="BB2" t="s">
        <v>217</v>
      </c>
      <c r="BC2" t="s">
        <v>218</v>
      </c>
      <c r="BD2" t="s">
        <v>460</v>
      </c>
      <c r="BE2" t="s">
        <v>220</v>
      </c>
      <c r="BF2" t="s">
        <v>221</v>
      </c>
      <c r="BG2" t="s">
        <v>222</v>
      </c>
      <c r="BH2" t="s">
        <v>223</v>
      </c>
      <c r="BJ2" t="s">
        <v>711</v>
      </c>
      <c r="BK2" t="s">
        <v>730</v>
      </c>
      <c r="BL2" t="s">
        <v>699</v>
      </c>
      <c r="BM2" t="s">
        <v>700</v>
      </c>
      <c r="BN2" t="s">
        <v>701</v>
      </c>
      <c r="BO2" t="s">
        <v>702</v>
      </c>
      <c r="BP2" t="s">
        <v>703</v>
      </c>
      <c r="BQ2" t="s">
        <v>712</v>
      </c>
      <c r="BR2" t="s">
        <v>713</v>
      </c>
      <c r="BS2" t="s">
        <v>704</v>
      </c>
      <c r="BT2" t="s">
        <v>705</v>
      </c>
      <c r="BU2" t="s">
        <v>706</v>
      </c>
      <c r="BV2" t="s">
        <v>707</v>
      </c>
      <c r="BW2" t="s">
        <v>708</v>
      </c>
      <c r="BX2" t="s">
        <v>709</v>
      </c>
      <c r="BY2" t="s">
        <v>710</v>
      </c>
      <c r="CA2" t="s">
        <v>1030</v>
      </c>
      <c r="CB2" t="s">
        <v>735</v>
      </c>
      <c r="CC2" t="s">
        <v>736</v>
      </c>
      <c r="CD2" t="s">
        <v>714</v>
      </c>
      <c r="CE2" t="s">
        <v>715</v>
      </c>
      <c r="CF2" t="s">
        <v>716</v>
      </c>
      <c r="CG2" t="s">
        <v>717</v>
      </c>
      <c r="CH2" t="s">
        <v>718</v>
      </c>
      <c r="CI2" t="s">
        <v>719</v>
      </c>
      <c r="CJ2" t="s">
        <v>720</v>
      </c>
      <c r="CL2" t="s">
        <v>1031</v>
      </c>
      <c r="CM2" t="s">
        <v>735</v>
      </c>
      <c r="CN2" t="s">
        <v>736</v>
      </c>
      <c r="CO2" t="s">
        <v>714</v>
      </c>
      <c r="CP2" t="s">
        <v>715</v>
      </c>
      <c r="CQ2" t="s">
        <v>716</v>
      </c>
      <c r="CR2" t="s">
        <v>717</v>
      </c>
      <c r="CS2" t="s">
        <v>718</v>
      </c>
      <c r="CT2" t="s">
        <v>719</v>
      </c>
      <c r="CU2" t="s">
        <v>720</v>
      </c>
      <c r="CW2" t="s">
        <v>1032</v>
      </c>
      <c r="CX2" t="s">
        <v>735</v>
      </c>
      <c r="CY2" t="s">
        <v>736</v>
      </c>
      <c r="CZ2" t="s">
        <v>714</v>
      </c>
      <c r="DA2" t="s">
        <v>715</v>
      </c>
      <c r="DB2" t="s">
        <v>716</v>
      </c>
      <c r="DC2" t="s">
        <v>717</v>
      </c>
      <c r="DD2" t="s">
        <v>718</v>
      </c>
      <c r="DE2" t="s">
        <v>719</v>
      </c>
      <c r="DF2" t="s">
        <v>720</v>
      </c>
      <c r="DH2" t="s">
        <v>1033</v>
      </c>
      <c r="DI2" t="s">
        <v>735</v>
      </c>
      <c r="DJ2" t="s">
        <v>736</v>
      </c>
      <c r="DK2" t="s">
        <v>714</v>
      </c>
      <c r="DL2" t="s">
        <v>715</v>
      </c>
      <c r="DM2" t="s">
        <v>716</v>
      </c>
      <c r="DN2" t="s">
        <v>717</v>
      </c>
      <c r="DO2" t="s">
        <v>718</v>
      </c>
      <c r="DP2" t="s">
        <v>719</v>
      </c>
      <c r="DQ2" t="s">
        <v>720</v>
      </c>
    </row>
    <row r="3" spans="2:121" x14ac:dyDescent="0.2">
      <c r="C3">
        <v>357386</v>
      </c>
      <c r="D3">
        <v>284470</v>
      </c>
      <c r="F3" t="s">
        <v>31</v>
      </c>
      <c r="G3">
        <v>623</v>
      </c>
      <c r="H3">
        <v>161.33226324239999</v>
      </c>
      <c r="I3">
        <v>2839</v>
      </c>
      <c r="J3">
        <v>534</v>
      </c>
      <c r="K3">
        <v>1533</v>
      </c>
      <c r="L3">
        <v>377</v>
      </c>
      <c r="M3">
        <v>279</v>
      </c>
      <c r="N3">
        <v>112</v>
      </c>
      <c r="O3">
        <v>418</v>
      </c>
      <c r="P3">
        <v>261</v>
      </c>
      <c r="Q3">
        <v>0</v>
      </c>
      <c r="R3">
        <v>9</v>
      </c>
      <c r="T3" t="s">
        <v>209</v>
      </c>
      <c r="U3">
        <v>4873</v>
      </c>
      <c r="V3">
        <v>67.221424174000006</v>
      </c>
      <c r="W3">
        <v>7396</v>
      </c>
      <c r="X3">
        <v>769</v>
      </c>
      <c r="Y3">
        <v>6910</v>
      </c>
      <c r="Z3">
        <v>677</v>
      </c>
      <c r="AA3">
        <v>3</v>
      </c>
      <c r="AB3">
        <v>2</v>
      </c>
      <c r="AC3">
        <v>588</v>
      </c>
      <c r="AD3">
        <v>118</v>
      </c>
      <c r="AE3">
        <v>1102</v>
      </c>
      <c r="AF3">
        <v>847</v>
      </c>
      <c r="AH3" t="s">
        <v>388</v>
      </c>
      <c r="AI3">
        <v>10919</v>
      </c>
      <c r="AJ3">
        <v>364.63916109529998</v>
      </c>
      <c r="AK3">
        <v>8023</v>
      </c>
      <c r="AL3">
        <v>1884</v>
      </c>
      <c r="AM3">
        <v>16667</v>
      </c>
      <c r="AN3">
        <v>10031</v>
      </c>
      <c r="AO3">
        <v>4938</v>
      </c>
      <c r="AP3">
        <v>4215</v>
      </c>
      <c r="AQ3">
        <v>3277</v>
      </c>
      <c r="AR3">
        <v>1938</v>
      </c>
      <c r="AS3">
        <v>561</v>
      </c>
      <c r="AT3">
        <v>410</v>
      </c>
      <c r="AV3" t="s">
        <v>413</v>
      </c>
      <c r="AW3">
        <v>121</v>
      </c>
      <c r="AX3">
        <v>69.809917355400003</v>
      </c>
      <c r="AY3">
        <v>140</v>
      </c>
      <c r="AZ3">
        <v>5</v>
      </c>
      <c r="BA3">
        <v>191</v>
      </c>
      <c r="BB3">
        <v>24</v>
      </c>
      <c r="BC3">
        <v>0</v>
      </c>
      <c r="BE3">
        <v>12</v>
      </c>
      <c r="BF3">
        <v>7</v>
      </c>
      <c r="BG3">
        <v>190</v>
      </c>
      <c r="BH3">
        <v>33</v>
      </c>
      <c r="BJ3" t="s">
        <v>728</v>
      </c>
      <c r="BK3" t="s">
        <v>731</v>
      </c>
      <c r="BL3">
        <v>325813</v>
      </c>
      <c r="BM3">
        <v>68978</v>
      </c>
      <c r="BN3">
        <v>90.866886833899997</v>
      </c>
      <c r="BO3">
        <v>798323</v>
      </c>
      <c r="BP3">
        <v>4543</v>
      </c>
      <c r="BQ3">
        <v>128.899136064</v>
      </c>
      <c r="BR3">
        <v>122.90138674879999</v>
      </c>
      <c r="BS3">
        <v>325813</v>
      </c>
      <c r="BT3">
        <v>68979</v>
      </c>
      <c r="BU3">
        <v>90.868148293700003</v>
      </c>
      <c r="BV3">
        <v>798323</v>
      </c>
      <c r="BW3">
        <v>4543</v>
      </c>
      <c r="BX3">
        <v>128.899136064</v>
      </c>
      <c r="BY3">
        <v>122.90138674879999</v>
      </c>
      <c r="CA3" t="s">
        <v>1036</v>
      </c>
      <c r="CB3" t="s">
        <v>731</v>
      </c>
      <c r="CC3" t="s">
        <v>917</v>
      </c>
      <c r="CD3">
        <v>8320</v>
      </c>
      <c r="CE3">
        <v>1017</v>
      </c>
      <c r="CF3">
        <v>60.802524038500003</v>
      </c>
      <c r="CG3">
        <v>22358</v>
      </c>
      <c r="CH3">
        <v>113</v>
      </c>
      <c r="CI3">
        <v>132.34421683510001</v>
      </c>
      <c r="CJ3">
        <v>120.2212389381</v>
      </c>
      <c r="CL3" t="s">
        <v>1036</v>
      </c>
      <c r="CM3" t="s">
        <v>731</v>
      </c>
      <c r="CN3" t="s">
        <v>917</v>
      </c>
      <c r="CO3">
        <v>8320</v>
      </c>
      <c r="CP3">
        <v>1017</v>
      </c>
      <c r="CQ3">
        <v>60.802524038500003</v>
      </c>
      <c r="CR3">
        <v>22358</v>
      </c>
      <c r="CS3">
        <v>113</v>
      </c>
      <c r="CT3">
        <v>132.34421683510001</v>
      </c>
      <c r="CU3">
        <v>120.2212389381</v>
      </c>
      <c r="CW3" t="s">
        <v>1036</v>
      </c>
      <c r="CX3" t="s">
        <v>731</v>
      </c>
      <c r="CY3" t="s">
        <v>917</v>
      </c>
      <c r="CZ3">
        <v>8320</v>
      </c>
      <c r="DA3">
        <v>1017</v>
      </c>
      <c r="DB3">
        <v>60.802524038500003</v>
      </c>
      <c r="DC3">
        <v>22358</v>
      </c>
      <c r="DD3">
        <v>113</v>
      </c>
      <c r="DE3">
        <v>132.34421683510001</v>
      </c>
      <c r="DF3">
        <v>120.2212389381</v>
      </c>
      <c r="DH3" t="s">
        <v>1036</v>
      </c>
      <c r="DI3" t="s">
        <v>731</v>
      </c>
      <c r="DJ3" t="s">
        <v>917</v>
      </c>
      <c r="DK3">
        <v>8320</v>
      </c>
      <c r="DL3">
        <v>1017</v>
      </c>
      <c r="DM3">
        <v>60.802524038500003</v>
      </c>
      <c r="DN3">
        <v>22358</v>
      </c>
      <c r="DO3">
        <v>113</v>
      </c>
      <c r="DP3">
        <v>132.34421683510001</v>
      </c>
      <c r="DQ3">
        <v>120.2212389381</v>
      </c>
    </row>
    <row r="4" spans="2:121" x14ac:dyDescent="0.2">
      <c r="B4" t="s">
        <v>98</v>
      </c>
      <c r="C4">
        <v>96337</v>
      </c>
      <c r="D4">
        <v>74197</v>
      </c>
      <c r="F4" t="s">
        <v>77</v>
      </c>
      <c r="G4">
        <v>15849</v>
      </c>
      <c r="H4">
        <v>332.39522998299998</v>
      </c>
      <c r="I4">
        <v>23658</v>
      </c>
      <c r="J4">
        <v>5342</v>
      </c>
      <c r="K4">
        <v>23553</v>
      </c>
      <c r="L4">
        <v>12973</v>
      </c>
      <c r="M4">
        <v>4984</v>
      </c>
      <c r="N4">
        <v>4025</v>
      </c>
      <c r="O4">
        <v>13054</v>
      </c>
      <c r="P4">
        <v>9722</v>
      </c>
      <c r="Q4">
        <v>7</v>
      </c>
      <c r="R4">
        <v>291</v>
      </c>
      <c r="T4" t="s">
        <v>224</v>
      </c>
      <c r="U4">
        <v>0</v>
      </c>
      <c r="W4">
        <v>375</v>
      </c>
      <c r="X4">
        <v>154</v>
      </c>
      <c r="Y4">
        <v>3195</v>
      </c>
      <c r="Z4">
        <v>1191</v>
      </c>
      <c r="AA4">
        <v>206</v>
      </c>
      <c r="AB4">
        <v>206</v>
      </c>
      <c r="AC4">
        <v>162</v>
      </c>
      <c r="AD4">
        <v>95</v>
      </c>
      <c r="AE4">
        <v>9</v>
      </c>
      <c r="AF4">
        <v>0</v>
      </c>
      <c r="AH4" t="s">
        <v>424</v>
      </c>
      <c r="AI4">
        <v>2013</v>
      </c>
      <c r="AJ4">
        <v>547.11077993050003</v>
      </c>
      <c r="AK4">
        <v>1128</v>
      </c>
      <c r="AL4">
        <v>303</v>
      </c>
      <c r="AM4">
        <v>3198</v>
      </c>
      <c r="AN4">
        <v>2223</v>
      </c>
      <c r="AO4">
        <v>1478</v>
      </c>
      <c r="AP4">
        <v>1190</v>
      </c>
      <c r="AQ4">
        <v>382</v>
      </c>
      <c r="AR4">
        <v>259</v>
      </c>
      <c r="AS4">
        <v>0</v>
      </c>
      <c r="AT4">
        <v>3</v>
      </c>
      <c r="AV4" t="s">
        <v>400</v>
      </c>
      <c r="AW4">
        <v>84</v>
      </c>
      <c r="AX4">
        <v>55.773809523799997</v>
      </c>
      <c r="AY4">
        <v>85</v>
      </c>
      <c r="AZ4">
        <v>1</v>
      </c>
      <c r="BA4">
        <v>129</v>
      </c>
      <c r="BB4">
        <v>7</v>
      </c>
      <c r="BC4">
        <v>0</v>
      </c>
      <c r="BE4">
        <v>3</v>
      </c>
      <c r="BF4">
        <v>1</v>
      </c>
      <c r="BG4">
        <v>256</v>
      </c>
      <c r="BH4">
        <v>20</v>
      </c>
      <c r="BJ4" t="s">
        <v>637</v>
      </c>
      <c r="BK4" t="s">
        <v>385</v>
      </c>
      <c r="BL4">
        <v>716</v>
      </c>
      <c r="BM4">
        <v>78</v>
      </c>
      <c r="BN4">
        <v>65.817039106099998</v>
      </c>
      <c r="BO4">
        <v>2150</v>
      </c>
      <c r="BP4">
        <v>8</v>
      </c>
      <c r="BQ4">
        <v>118.7041860465</v>
      </c>
      <c r="BR4">
        <v>118.625</v>
      </c>
      <c r="BS4">
        <v>298</v>
      </c>
      <c r="BT4">
        <v>85</v>
      </c>
      <c r="BU4">
        <v>104.06040268460001</v>
      </c>
      <c r="BV4">
        <v>2627</v>
      </c>
      <c r="BW4">
        <v>26</v>
      </c>
      <c r="BX4">
        <v>123.3026265702</v>
      </c>
      <c r="BY4">
        <v>120.19230769230001</v>
      </c>
      <c r="CA4" t="s">
        <v>1035</v>
      </c>
      <c r="CB4" t="s">
        <v>731</v>
      </c>
      <c r="CC4" t="s">
        <v>917</v>
      </c>
      <c r="CD4">
        <v>325813</v>
      </c>
      <c r="CE4">
        <v>68979</v>
      </c>
      <c r="CF4">
        <v>90.868148293700003</v>
      </c>
      <c r="CG4">
        <v>798323</v>
      </c>
      <c r="CH4">
        <v>4543</v>
      </c>
      <c r="CI4">
        <v>128.899136064</v>
      </c>
      <c r="CJ4">
        <v>122.90138674879999</v>
      </c>
      <c r="CL4" t="s">
        <v>1035</v>
      </c>
      <c r="CM4" t="s">
        <v>731</v>
      </c>
      <c r="CN4" t="s">
        <v>917</v>
      </c>
      <c r="CO4">
        <v>325813</v>
      </c>
      <c r="CP4">
        <v>68979</v>
      </c>
      <c r="CQ4">
        <v>90.868148293700003</v>
      </c>
      <c r="CR4">
        <v>798323</v>
      </c>
      <c r="CS4">
        <v>4543</v>
      </c>
      <c r="CT4">
        <v>128.899136064</v>
      </c>
      <c r="CU4">
        <v>122.90138674879999</v>
      </c>
      <c r="CW4" t="s">
        <v>1035</v>
      </c>
      <c r="CX4" t="s">
        <v>731</v>
      </c>
      <c r="CY4" t="s">
        <v>917</v>
      </c>
      <c r="CZ4">
        <v>325813</v>
      </c>
      <c r="DA4">
        <v>68979</v>
      </c>
      <c r="DB4">
        <v>90.868148293700003</v>
      </c>
      <c r="DC4">
        <v>798323</v>
      </c>
      <c r="DD4">
        <v>4543</v>
      </c>
      <c r="DE4">
        <v>128.899136064</v>
      </c>
      <c r="DF4">
        <v>122.90138674879999</v>
      </c>
      <c r="DH4" t="s">
        <v>1035</v>
      </c>
      <c r="DI4" t="s">
        <v>731</v>
      </c>
      <c r="DJ4" t="s">
        <v>917</v>
      </c>
      <c r="DK4">
        <v>325813</v>
      </c>
      <c r="DL4">
        <v>68979</v>
      </c>
      <c r="DM4">
        <v>90.868148293700003</v>
      </c>
      <c r="DN4">
        <v>798323</v>
      </c>
      <c r="DO4">
        <v>4543</v>
      </c>
      <c r="DP4">
        <v>128.899136064</v>
      </c>
      <c r="DQ4">
        <v>122.90138674879999</v>
      </c>
    </row>
    <row r="5" spans="2:121" x14ac:dyDescent="0.2">
      <c r="B5" t="s">
        <v>107</v>
      </c>
      <c r="C5">
        <v>66627</v>
      </c>
      <c r="D5">
        <v>50772</v>
      </c>
      <c r="F5" t="s">
        <v>51</v>
      </c>
      <c r="G5">
        <v>3783</v>
      </c>
      <c r="H5">
        <v>303.90430874970002</v>
      </c>
      <c r="I5">
        <v>3037</v>
      </c>
      <c r="J5">
        <v>466</v>
      </c>
      <c r="K5">
        <v>7932</v>
      </c>
      <c r="L5">
        <v>3282</v>
      </c>
      <c r="M5">
        <v>3722</v>
      </c>
      <c r="N5">
        <v>2620</v>
      </c>
      <c r="O5">
        <v>1583</v>
      </c>
      <c r="P5">
        <v>1074</v>
      </c>
      <c r="Q5">
        <v>0</v>
      </c>
      <c r="R5">
        <v>95</v>
      </c>
      <c r="T5" t="s">
        <v>210</v>
      </c>
      <c r="U5">
        <v>15362</v>
      </c>
      <c r="V5">
        <v>107.9234474678</v>
      </c>
      <c r="W5">
        <v>18224</v>
      </c>
      <c r="X5">
        <v>3261</v>
      </c>
      <c r="Y5">
        <v>18013</v>
      </c>
      <c r="Z5">
        <v>6284</v>
      </c>
      <c r="AA5">
        <v>18</v>
      </c>
      <c r="AB5">
        <v>18</v>
      </c>
      <c r="AC5">
        <v>620</v>
      </c>
      <c r="AD5">
        <v>167</v>
      </c>
      <c r="AE5">
        <v>2278</v>
      </c>
      <c r="AF5">
        <v>3262</v>
      </c>
      <c r="AH5" t="s">
        <v>426</v>
      </c>
      <c r="AI5">
        <v>3913</v>
      </c>
      <c r="AJ5">
        <v>276.75185279840002</v>
      </c>
      <c r="AK5">
        <v>5469</v>
      </c>
      <c r="AL5">
        <v>974</v>
      </c>
      <c r="AM5">
        <v>7459</v>
      </c>
      <c r="AN5">
        <v>3318</v>
      </c>
      <c r="AO5">
        <v>1461</v>
      </c>
      <c r="AP5">
        <v>968</v>
      </c>
      <c r="AQ5">
        <v>2713</v>
      </c>
      <c r="AR5">
        <v>1655</v>
      </c>
      <c r="AS5">
        <v>7</v>
      </c>
      <c r="AT5">
        <v>88</v>
      </c>
      <c r="AV5" t="s">
        <v>427</v>
      </c>
      <c r="AW5">
        <v>1897</v>
      </c>
      <c r="AX5">
        <v>120.016341592</v>
      </c>
      <c r="AY5">
        <v>730</v>
      </c>
      <c r="AZ5">
        <v>122</v>
      </c>
      <c r="BA5">
        <v>2102</v>
      </c>
      <c r="BB5">
        <v>973</v>
      </c>
      <c r="BC5">
        <v>3</v>
      </c>
      <c r="BD5">
        <v>3</v>
      </c>
      <c r="BE5">
        <v>12</v>
      </c>
      <c r="BF5">
        <v>8</v>
      </c>
      <c r="BG5">
        <v>91</v>
      </c>
      <c r="BH5">
        <v>86</v>
      </c>
      <c r="BJ5" t="s">
        <v>385</v>
      </c>
      <c r="BK5" t="s">
        <v>385</v>
      </c>
      <c r="BL5">
        <v>62327</v>
      </c>
      <c r="BM5">
        <v>12762</v>
      </c>
      <c r="BN5">
        <v>89.673881303399995</v>
      </c>
      <c r="BO5">
        <v>155504</v>
      </c>
      <c r="BP5">
        <v>827</v>
      </c>
      <c r="BQ5">
        <v>133.0208483383</v>
      </c>
      <c r="BR5">
        <v>129.12333736400001</v>
      </c>
      <c r="BS5">
        <v>19115</v>
      </c>
      <c r="BT5">
        <v>5304</v>
      </c>
      <c r="BU5">
        <v>104.4357834162</v>
      </c>
      <c r="BV5">
        <v>154820</v>
      </c>
      <c r="BW5">
        <v>878</v>
      </c>
      <c r="BX5">
        <v>133.47774835289999</v>
      </c>
      <c r="BY5">
        <v>128.65261959</v>
      </c>
      <c r="CA5" t="s">
        <v>1037</v>
      </c>
      <c r="CB5" t="s">
        <v>731</v>
      </c>
      <c r="CC5" t="s">
        <v>917</v>
      </c>
      <c r="CD5">
        <v>29122</v>
      </c>
      <c r="CE5">
        <v>3263</v>
      </c>
      <c r="CF5">
        <v>69.806469335900005</v>
      </c>
      <c r="CG5">
        <v>109795</v>
      </c>
      <c r="CH5">
        <v>396</v>
      </c>
      <c r="CI5">
        <v>78.329395692000006</v>
      </c>
      <c r="CJ5">
        <v>86.545454545499993</v>
      </c>
      <c r="CL5" t="s">
        <v>1037</v>
      </c>
      <c r="CM5" t="s">
        <v>731</v>
      </c>
      <c r="CN5" t="s">
        <v>917</v>
      </c>
      <c r="CO5">
        <v>29122</v>
      </c>
      <c r="CP5">
        <v>3263</v>
      </c>
      <c r="CQ5">
        <v>69.806469335900005</v>
      </c>
      <c r="CR5">
        <v>109795</v>
      </c>
      <c r="CS5">
        <v>396</v>
      </c>
      <c r="CT5">
        <v>78.329395692000006</v>
      </c>
      <c r="CU5">
        <v>86.545454545499993</v>
      </c>
      <c r="CW5" t="s">
        <v>1037</v>
      </c>
      <c r="CX5" t="s">
        <v>731</v>
      </c>
      <c r="CY5" t="s">
        <v>917</v>
      </c>
      <c r="CZ5">
        <v>29122</v>
      </c>
      <c r="DA5">
        <v>3263</v>
      </c>
      <c r="DB5">
        <v>69.806469335900005</v>
      </c>
      <c r="DC5">
        <v>109795</v>
      </c>
      <c r="DD5">
        <v>396</v>
      </c>
      <c r="DE5">
        <v>78.329395692000006</v>
      </c>
      <c r="DF5">
        <v>86.545454545499993</v>
      </c>
      <c r="DH5" t="s">
        <v>1037</v>
      </c>
      <c r="DI5" t="s">
        <v>731</v>
      </c>
      <c r="DJ5" t="s">
        <v>917</v>
      </c>
      <c r="DK5">
        <v>29122</v>
      </c>
      <c r="DL5">
        <v>3263</v>
      </c>
      <c r="DM5">
        <v>69.806469335900005</v>
      </c>
      <c r="DN5">
        <v>109795</v>
      </c>
      <c r="DO5">
        <v>396</v>
      </c>
      <c r="DP5">
        <v>78.329395692000006</v>
      </c>
      <c r="DQ5">
        <v>86.545454545499993</v>
      </c>
    </row>
    <row r="6" spans="2:121" x14ac:dyDescent="0.2">
      <c r="B6" t="s">
        <v>90</v>
      </c>
      <c r="C6">
        <v>10645</v>
      </c>
      <c r="D6">
        <v>1854</v>
      </c>
      <c r="F6" t="s">
        <v>181</v>
      </c>
      <c r="G6">
        <v>270</v>
      </c>
      <c r="H6">
        <v>209.95925925930001</v>
      </c>
      <c r="I6">
        <v>650</v>
      </c>
      <c r="J6">
        <v>47</v>
      </c>
      <c r="K6">
        <v>1056</v>
      </c>
      <c r="L6">
        <v>101</v>
      </c>
      <c r="M6">
        <v>415</v>
      </c>
      <c r="N6">
        <v>245</v>
      </c>
      <c r="O6">
        <v>239</v>
      </c>
      <c r="P6">
        <v>120</v>
      </c>
      <c r="Q6">
        <v>0</v>
      </c>
      <c r="R6">
        <v>3</v>
      </c>
      <c r="T6" t="s">
        <v>212</v>
      </c>
      <c r="U6">
        <v>5153</v>
      </c>
      <c r="V6">
        <v>68.292256937700003</v>
      </c>
      <c r="W6">
        <v>6205</v>
      </c>
      <c r="X6">
        <v>226</v>
      </c>
      <c r="Y6">
        <v>6742</v>
      </c>
      <c r="Z6">
        <v>564</v>
      </c>
      <c r="AA6">
        <v>45</v>
      </c>
      <c r="AB6">
        <v>26</v>
      </c>
      <c r="AC6">
        <v>283</v>
      </c>
      <c r="AD6">
        <v>89</v>
      </c>
      <c r="AE6">
        <v>8827</v>
      </c>
      <c r="AF6">
        <v>1576</v>
      </c>
      <c r="AH6" t="s">
        <v>411</v>
      </c>
      <c r="AI6">
        <v>3819</v>
      </c>
      <c r="AJ6">
        <v>306.1421838178</v>
      </c>
      <c r="AK6">
        <v>3322</v>
      </c>
      <c r="AL6">
        <v>547</v>
      </c>
      <c r="AM6">
        <v>6498</v>
      </c>
      <c r="AN6">
        <v>2984</v>
      </c>
      <c r="AO6">
        <v>2257</v>
      </c>
      <c r="AP6">
        <v>1608</v>
      </c>
      <c r="AQ6">
        <v>2694</v>
      </c>
      <c r="AR6">
        <v>1695</v>
      </c>
      <c r="AS6">
        <v>477</v>
      </c>
      <c r="AT6">
        <v>100</v>
      </c>
      <c r="AV6" t="s">
        <v>420</v>
      </c>
      <c r="AW6">
        <v>59</v>
      </c>
      <c r="AX6">
        <v>69.423728813599993</v>
      </c>
      <c r="AY6">
        <v>54</v>
      </c>
      <c r="AZ6">
        <v>5</v>
      </c>
      <c r="BA6">
        <v>82</v>
      </c>
      <c r="BB6">
        <v>7</v>
      </c>
      <c r="BC6">
        <v>1</v>
      </c>
      <c r="BD6">
        <v>1</v>
      </c>
      <c r="BE6">
        <v>2</v>
      </c>
      <c r="BF6">
        <v>1</v>
      </c>
      <c r="BG6">
        <v>124</v>
      </c>
      <c r="BH6">
        <v>6</v>
      </c>
      <c r="BJ6" t="s">
        <v>584</v>
      </c>
      <c r="BK6" t="s">
        <v>385</v>
      </c>
      <c r="BL6">
        <v>5516</v>
      </c>
      <c r="BM6">
        <v>1263</v>
      </c>
      <c r="BN6">
        <v>94.374365482200005</v>
      </c>
      <c r="BO6">
        <v>14981</v>
      </c>
      <c r="BP6">
        <v>60</v>
      </c>
      <c r="BQ6">
        <v>145.6540951872</v>
      </c>
      <c r="BR6">
        <v>118.78333333330001</v>
      </c>
      <c r="BS6">
        <v>1507</v>
      </c>
      <c r="BT6">
        <v>525</v>
      </c>
      <c r="BU6">
        <v>116.5547445255</v>
      </c>
      <c r="BV6">
        <v>14545</v>
      </c>
      <c r="BW6">
        <v>58</v>
      </c>
      <c r="BX6">
        <v>144.01423169469999</v>
      </c>
      <c r="BY6">
        <v>122.7068965517</v>
      </c>
      <c r="CA6" t="s">
        <v>1038</v>
      </c>
      <c r="CB6" t="s">
        <v>731</v>
      </c>
      <c r="CC6" t="s">
        <v>917</v>
      </c>
      <c r="CD6">
        <v>7898</v>
      </c>
      <c r="CE6">
        <v>1115</v>
      </c>
      <c r="CF6">
        <v>67.358698404699993</v>
      </c>
      <c r="CG6">
        <v>19327</v>
      </c>
      <c r="CH6">
        <v>105</v>
      </c>
      <c r="CI6">
        <v>140.191959435</v>
      </c>
      <c r="CJ6">
        <v>121.6</v>
      </c>
      <c r="CL6" t="s">
        <v>1038</v>
      </c>
      <c r="CM6" t="s">
        <v>731</v>
      </c>
      <c r="CN6" t="s">
        <v>917</v>
      </c>
      <c r="CO6">
        <v>7898</v>
      </c>
      <c r="CP6">
        <v>1115</v>
      </c>
      <c r="CQ6">
        <v>67.358698404699993</v>
      </c>
      <c r="CR6">
        <v>19327</v>
      </c>
      <c r="CS6">
        <v>105</v>
      </c>
      <c r="CT6">
        <v>140.191959435</v>
      </c>
      <c r="CU6">
        <v>121.6</v>
      </c>
      <c r="CW6" t="s">
        <v>1038</v>
      </c>
      <c r="CX6" t="s">
        <v>731</v>
      </c>
      <c r="CY6" t="s">
        <v>917</v>
      </c>
      <c r="CZ6">
        <v>7898</v>
      </c>
      <c r="DA6">
        <v>1115</v>
      </c>
      <c r="DB6">
        <v>67.358698404699993</v>
      </c>
      <c r="DC6">
        <v>19327</v>
      </c>
      <c r="DD6">
        <v>105</v>
      </c>
      <c r="DE6">
        <v>140.191959435</v>
      </c>
      <c r="DF6">
        <v>121.6</v>
      </c>
      <c r="DH6" t="s">
        <v>1038</v>
      </c>
      <c r="DI6" t="s">
        <v>731</v>
      </c>
      <c r="DJ6" t="s">
        <v>917</v>
      </c>
      <c r="DK6">
        <v>7898</v>
      </c>
      <c r="DL6">
        <v>1115</v>
      </c>
      <c r="DM6">
        <v>67.358698404699993</v>
      </c>
      <c r="DN6">
        <v>19327</v>
      </c>
      <c r="DO6">
        <v>105</v>
      </c>
      <c r="DP6">
        <v>140.191959435</v>
      </c>
      <c r="DQ6">
        <v>121.6</v>
      </c>
    </row>
    <row r="7" spans="2:121" x14ac:dyDescent="0.2">
      <c r="B7" t="s">
        <v>91</v>
      </c>
      <c r="C7">
        <v>416</v>
      </c>
      <c r="D7">
        <v>37</v>
      </c>
      <c r="F7" t="s">
        <v>27</v>
      </c>
      <c r="G7">
        <v>1064</v>
      </c>
      <c r="H7">
        <v>89.703947368399994</v>
      </c>
      <c r="I7">
        <v>5274</v>
      </c>
      <c r="J7">
        <v>486</v>
      </c>
      <c r="K7">
        <v>6069</v>
      </c>
      <c r="L7">
        <v>1144</v>
      </c>
      <c r="M7">
        <v>853</v>
      </c>
      <c r="N7">
        <v>326</v>
      </c>
      <c r="O7">
        <v>1534</v>
      </c>
      <c r="P7">
        <v>933</v>
      </c>
      <c r="Q7">
        <v>0</v>
      </c>
      <c r="R7">
        <v>12</v>
      </c>
      <c r="T7" t="s">
        <v>462</v>
      </c>
      <c r="U7">
        <v>25388</v>
      </c>
      <c r="V7">
        <v>92.067118323599999</v>
      </c>
      <c r="W7">
        <v>32200</v>
      </c>
      <c r="X7">
        <v>4410</v>
      </c>
      <c r="Y7">
        <v>34860</v>
      </c>
      <c r="Z7">
        <v>8716</v>
      </c>
      <c r="AA7">
        <v>272</v>
      </c>
      <c r="AB7">
        <v>252</v>
      </c>
      <c r="AC7">
        <v>1653</v>
      </c>
      <c r="AD7">
        <v>469</v>
      </c>
      <c r="AE7">
        <v>12216</v>
      </c>
      <c r="AF7">
        <v>5685</v>
      </c>
      <c r="AH7" t="s">
        <v>407</v>
      </c>
      <c r="AI7">
        <v>20179</v>
      </c>
      <c r="AJ7">
        <v>416.26220328059998</v>
      </c>
      <c r="AK7">
        <v>33124</v>
      </c>
      <c r="AL7">
        <v>6492</v>
      </c>
      <c r="AM7">
        <v>40293</v>
      </c>
      <c r="AN7">
        <v>22298</v>
      </c>
      <c r="AO7">
        <v>10369</v>
      </c>
      <c r="AP7">
        <v>8338</v>
      </c>
      <c r="AQ7">
        <v>15493</v>
      </c>
      <c r="AR7">
        <v>10779</v>
      </c>
      <c r="AS7">
        <v>56</v>
      </c>
      <c r="AT7">
        <v>158</v>
      </c>
      <c r="AV7" t="s">
        <v>388</v>
      </c>
      <c r="AW7">
        <v>629</v>
      </c>
      <c r="AX7">
        <v>67.372019077900006</v>
      </c>
      <c r="AY7">
        <v>796</v>
      </c>
      <c r="AZ7">
        <v>69</v>
      </c>
      <c r="BA7">
        <v>899</v>
      </c>
      <c r="BB7">
        <v>97</v>
      </c>
      <c r="BC7">
        <v>4</v>
      </c>
      <c r="BD7">
        <v>4</v>
      </c>
      <c r="BE7">
        <v>48</v>
      </c>
      <c r="BF7">
        <v>11</v>
      </c>
      <c r="BG7">
        <v>138</v>
      </c>
      <c r="BH7">
        <v>97</v>
      </c>
      <c r="BJ7" t="s">
        <v>631</v>
      </c>
      <c r="BK7" t="s">
        <v>385</v>
      </c>
      <c r="BL7">
        <v>680</v>
      </c>
      <c r="BM7">
        <v>45</v>
      </c>
      <c r="BN7">
        <v>56.3338235294</v>
      </c>
      <c r="BO7">
        <v>2850</v>
      </c>
      <c r="BP7">
        <v>14</v>
      </c>
      <c r="BQ7">
        <v>83.194736842099999</v>
      </c>
      <c r="BR7">
        <v>76.928571428599994</v>
      </c>
      <c r="BS7">
        <v>438</v>
      </c>
      <c r="BT7">
        <v>71</v>
      </c>
      <c r="BU7">
        <v>77.520547945199993</v>
      </c>
      <c r="BV7">
        <v>5219</v>
      </c>
      <c r="BW7">
        <v>23</v>
      </c>
      <c r="BX7">
        <v>109.0885227055</v>
      </c>
      <c r="BY7">
        <v>82.695652173900001</v>
      </c>
      <c r="CA7" t="s">
        <v>411</v>
      </c>
      <c r="CB7" t="s">
        <v>767</v>
      </c>
      <c r="CC7" t="s">
        <v>993</v>
      </c>
      <c r="CD7">
        <v>3334</v>
      </c>
      <c r="CE7">
        <v>501</v>
      </c>
      <c r="CF7">
        <v>79.625374925000003</v>
      </c>
      <c r="CG7">
        <v>10101</v>
      </c>
      <c r="CH7">
        <v>28</v>
      </c>
      <c r="CI7">
        <v>115.33561033559999</v>
      </c>
      <c r="CJ7">
        <v>106.9642857143</v>
      </c>
      <c r="CL7" t="s">
        <v>411</v>
      </c>
      <c r="CM7" t="s">
        <v>748</v>
      </c>
      <c r="CN7" t="s">
        <v>747</v>
      </c>
      <c r="CO7">
        <v>305</v>
      </c>
      <c r="CP7">
        <v>45</v>
      </c>
      <c r="CQ7">
        <v>72.436065573799993</v>
      </c>
      <c r="CR7">
        <v>1616</v>
      </c>
      <c r="CS7">
        <v>2</v>
      </c>
      <c r="CT7">
        <v>64.768564356400006</v>
      </c>
      <c r="CU7">
        <v>35</v>
      </c>
      <c r="CW7" t="s">
        <v>411</v>
      </c>
      <c r="CX7" t="s">
        <v>758</v>
      </c>
      <c r="CY7" t="s">
        <v>757</v>
      </c>
      <c r="CZ7">
        <v>57</v>
      </c>
      <c r="DA7">
        <v>10</v>
      </c>
      <c r="DB7">
        <v>70.105263157899998</v>
      </c>
      <c r="DC7">
        <v>112</v>
      </c>
      <c r="DD7">
        <v>0</v>
      </c>
      <c r="DE7">
        <v>132.72321428570001</v>
      </c>
      <c r="DF7">
        <v>0</v>
      </c>
      <c r="DH7" t="s">
        <v>411</v>
      </c>
      <c r="DI7" t="s">
        <v>738</v>
      </c>
      <c r="DJ7" t="s">
        <v>737</v>
      </c>
      <c r="DK7">
        <v>46</v>
      </c>
      <c r="DL7">
        <v>9</v>
      </c>
      <c r="DM7">
        <v>83.956521739099998</v>
      </c>
      <c r="DN7">
        <v>90</v>
      </c>
      <c r="DO7">
        <v>2</v>
      </c>
      <c r="DP7">
        <v>135.48888888889999</v>
      </c>
      <c r="DQ7">
        <v>108</v>
      </c>
    </row>
    <row r="8" spans="2:121" x14ac:dyDescent="0.2">
      <c r="B8" t="s">
        <v>100</v>
      </c>
      <c r="C8">
        <v>330</v>
      </c>
      <c r="D8">
        <v>251</v>
      </c>
      <c r="F8" t="s">
        <v>58</v>
      </c>
      <c r="G8">
        <v>3147</v>
      </c>
      <c r="H8">
        <v>284.29806164600001</v>
      </c>
      <c r="I8">
        <v>9065</v>
      </c>
      <c r="J8">
        <v>1468</v>
      </c>
      <c r="K8">
        <v>8245</v>
      </c>
      <c r="L8">
        <v>2817</v>
      </c>
      <c r="M8">
        <v>3062</v>
      </c>
      <c r="N8">
        <v>2429</v>
      </c>
      <c r="O8">
        <v>1496</v>
      </c>
      <c r="P8">
        <v>1134</v>
      </c>
      <c r="Q8">
        <v>0</v>
      </c>
      <c r="R8">
        <v>282</v>
      </c>
      <c r="AH8" t="s">
        <v>403</v>
      </c>
      <c r="AI8">
        <v>5561</v>
      </c>
      <c r="AJ8">
        <v>395.43787088649998</v>
      </c>
      <c r="AK8">
        <v>6229</v>
      </c>
      <c r="AL8">
        <v>1333</v>
      </c>
      <c r="AM8">
        <v>10584</v>
      </c>
      <c r="AN8">
        <v>5460</v>
      </c>
      <c r="AO8">
        <v>3941</v>
      </c>
      <c r="AP8">
        <v>3217</v>
      </c>
      <c r="AQ8">
        <v>1851</v>
      </c>
      <c r="AR8">
        <v>1223</v>
      </c>
      <c r="AS8">
        <v>5</v>
      </c>
      <c r="AT8">
        <v>56</v>
      </c>
      <c r="AV8" t="s">
        <v>417</v>
      </c>
      <c r="AW8">
        <v>46</v>
      </c>
      <c r="AX8">
        <v>108.71739130429999</v>
      </c>
      <c r="AY8">
        <v>49</v>
      </c>
      <c r="AZ8">
        <v>9</v>
      </c>
      <c r="BA8">
        <v>56</v>
      </c>
      <c r="BB8">
        <v>18</v>
      </c>
      <c r="BC8">
        <v>0</v>
      </c>
      <c r="BE8">
        <v>4</v>
      </c>
      <c r="BG8">
        <v>8</v>
      </c>
      <c r="BH8">
        <v>10</v>
      </c>
      <c r="BJ8" t="s">
        <v>619</v>
      </c>
      <c r="BK8" t="s">
        <v>385</v>
      </c>
      <c r="BL8">
        <v>17641</v>
      </c>
      <c r="BM8">
        <v>4341</v>
      </c>
      <c r="BN8">
        <v>96.771554900500007</v>
      </c>
      <c r="BO8">
        <v>37141</v>
      </c>
      <c r="BP8">
        <v>245</v>
      </c>
      <c r="BQ8">
        <v>143.9030451523</v>
      </c>
      <c r="BR8">
        <v>140.44489795920001</v>
      </c>
      <c r="BS8">
        <v>3613</v>
      </c>
      <c r="BT8">
        <v>1559</v>
      </c>
      <c r="BU8">
        <v>130.3852753944</v>
      </c>
      <c r="BV8">
        <v>26691</v>
      </c>
      <c r="BW8">
        <v>232</v>
      </c>
      <c r="BX8">
        <v>138.54557716080001</v>
      </c>
      <c r="BY8">
        <v>141.21551724139999</v>
      </c>
      <c r="CA8" t="s">
        <v>403</v>
      </c>
      <c r="CB8" t="s">
        <v>767</v>
      </c>
      <c r="CC8" t="s">
        <v>994</v>
      </c>
      <c r="CD8">
        <v>5865</v>
      </c>
      <c r="CE8">
        <v>1266</v>
      </c>
      <c r="CF8">
        <v>92.483034953100002</v>
      </c>
      <c r="CG8">
        <v>16716</v>
      </c>
      <c r="CH8">
        <v>72</v>
      </c>
      <c r="CI8">
        <v>133.89189997610001</v>
      </c>
      <c r="CJ8">
        <v>107.19444444440001</v>
      </c>
      <c r="CL8" t="s">
        <v>403</v>
      </c>
      <c r="CM8" t="s">
        <v>748</v>
      </c>
      <c r="CN8" t="s">
        <v>749</v>
      </c>
      <c r="CO8">
        <v>367</v>
      </c>
      <c r="CP8">
        <v>37</v>
      </c>
      <c r="CQ8">
        <v>70.307901907399994</v>
      </c>
      <c r="CR8">
        <v>1586</v>
      </c>
      <c r="CS8">
        <v>7</v>
      </c>
      <c r="CT8">
        <v>67.877049180300006</v>
      </c>
      <c r="CU8">
        <v>121.42857142859999</v>
      </c>
      <c r="CW8" t="s">
        <v>403</v>
      </c>
      <c r="CX8" t="s">
        <v>758</v>
      </c>
      <c r="CY8" t="s">
        <v>759</v>
      </c>
      <c r="CZ8">
        <v>201</v>
      </c>
      <c r="DA8">
        <v>31</v>
      </c>
      <c r="DB8">
        <v>65.268656716400002</v>
      </c>
      <c r="DC8">
        <v>602</v>
      </c>
      <c r="DD8">
        <v>3</v>
      </c>
      <c r="DE8">
        <v>131.52657807310001</v>
      </c>
      <c r="DF8">
        <v>106.3333333333</v>
      </c>
      <c r="DH8" t="s">
        <v>403</v>
      </c>
      <c r="DI8" t="s">
        <v>738</v>
      </c>
      <c r="DJ8" t="s">
        <v>739</v>
      </c>
      <c r="DK8">
        <v>313</v>
      </c>
      <c r="DL8">
        <v>19</v>
      </c>
      <c r="DM8">
        <v>40.623003194900001</v>
      </c>
      <c r="DN8">
        <v>914</v>
      </c>
      <c r="DO8">
        <v>4</v>
      </c>
      <c r="DP8">
        <v>114.5711159737</v>
      </c>
      <c r="DQ8">
        <v>115.5</v>
      </c>
    </row>
    <row r="9" spans="2:121" x14ac:dyDescent="0.2">
      <c r="B9" t="s">
        <v>92</v>
      </c>
      <c r="C9">
        <v>9</v>
      </c>
      <c r="D9">
        <v>5</v>
      </c>
      <c r="F9" t="s">
        <v>24</v>
      </c>
      <c r="G9">
        <v>565</v>
      </c>
      <c r="H9">
        <v>199.47433628319999</v>
      </c>
      <c r="I9">
        <v>3833</v>
      </c>
      <c r="J9">
        <v>786</v>
      </c>
      <c r="K9">
        <v>2887</v>
      </c>
      <c r="L9">
        <v>917</v>
      </c>
      <c r="M9">
        <v>969</v>
      </c>
      <c r="N9">
        <v>658</v>
      </c>
      <c r="O9">
        <v>314</v>
      </c>
      <c r="P9">
        <v>146</v>
      </c>
      <c r="Q9">
        <v>0</v>
      </c>
      <c r="R9">
        <v>0</v>
      </c>
      <c r="AH9" t="s">
        <v>373</v>
      </c>
      <c r="AI9">
        <v>738</v>
      </c>
      <c r="AJ9">
        <v>287.49051490509999</v>
      </c>
      <c r="AK9">
        <v>1946</v>
      </c>
      <c r="AL9">
        <v>285</v>
      </c>
      <c r="AM9">
        <v>2686</v>
      </c>
      <c r="AN9">
        <v>774</v>
      </c>
      <c r="AO9">
        <v>626</v>
      </c>
      <c r="AP9">
        <v>391</v>
      </c>
      <c r="AQ9">
        <v>1121</v>
      </c>
      <c r="AR9">
        <v>819</v>
      </c>
      <c r="AS9">
        <v>306</v>
      </c>
      <c r="AT9">
        <v>5</v>
      </c>
      <c r="AV9" t="s">
        <v>409</v>
      </c>
      <c r="AW9">
        <v>213</v>
      </c>
      <c r="AX9">
        <v>69.7887323944</v>
      </c>
      <c r="AY9">
        <v>252</v>
      </c>
      <c r="AZ9">
        <v>9</v>
      </c>
      <c r="BA9">
        <v>349</v>
      </c>
      <c r="BB9">
        <v>50</v>
      </c>
      <c r="BC9">
        <v>2</v>
      </c>
      <c r="BD9">
        <v>2</v>
      </c>
      <c r="BE9">
        <v>12</v>
      </c>
      <c r="BF9">
        <v>3</v>
      </c>
      <c r="BG9">
        <v>396</v>
      </c>
      <c r="BH9">
        <v>63</v>
      </c>
      <c r="BJ9" t="s">
        <v>555</v>
      </c>
      <c r="BK9" t="s">
        <v>385</v>
      </c>
      <c r="BL9">
        <v>4677</v>
      </c>
      <c r="BM9">
        <v>1522</v>
      </c>
      <c r="BN9">
        <v>128.86636732950001</v>
      </c>
      <c r="BO9">
        <v>8127</v>
      </c>
      <c r="BP9">
        <v>71</v>
      </c>
      <c r="BQ9">
        <v>161.71403962100001</v>
      </c>
      <c r="BR9">
        <v>191.2112676056</v>
      </c>
      <c r="BS9">
        <v>1435</v>
      </c>
      <c r="BT9">
        <v>660</v>
      </c>
      <c r="BU9">
        <v>158.85087108010001</v>
      </c>
      <c r="BV9">
        <v>10968</v>
      </c>
      <c r="BW9">
        <v>110</v>
      </c>
      <c r="BX9">
        <v>156.7756199854</v>
      </c>
      <c r="BY9">
        <v>152.62727272730001</v>
      </c>
      <c r="CA9" t="s">
        <v>387</v>
      </c>
      <c r="CB9" t="s">
        <v>767</v>
      </c>
      <c r="CC9" t="s">
        <v>995</v>
      </c>
      <c r="CD9">
        <v>5590</v>
      </c>
      <c r="CE9">
        <v>1168</v>
      </c>
      <c r="CF9">
        <v>90.223613595700002</v>
      </c>
      <c r="CG9">
        <v>14380</v>
      </c>
      <c r="CH9">
        <v>83</v>
      </c>
      <c r="CI9">
        <v>133.05083449240001</v>
      </c>
      <c r="CJ9">
        <v>122.1084337349</v>
      </c>
      <c r="CL9" t="s">
        <v>387</v>
      </c>
      <c r="CM9" t="s">
        <v>748</v>
      </c>
      <c r="CN9" t="s">
        <v>750</v>
      </c>
      <c r="CO9">
        <v>426</v>
      </c>
      <c r="CP9">
        <v>61</v>
      </c>
      <c r="CQ9">
        <v>72.173708920199999</v>
      </c>
      <c r="CR9">
        <v>2115</v>
      </c>
      <c r="CS9">
        <v>4</v>
      </c>
      <c r="CT9">
        <v>67.198108747000006</v>
      </c>
      <c r="CU9">
        <v>55</v>
      </c>
      <c r="CW9" t="s">
        <v>387</v>
      </c>
      <c r="CX9" t="s">
        <v>758</v>
      </c>
      <c r="CY9" t="s">
        <v>760</v>
      </c>
      <c r="CZ9">
        <v>83</v>
      </c>
      <c r="DA9">
        <v>18</v>
      </c>
      <c r="DB9">
        <v>72.469879518100001</v>
      </c>
      <c r="DC9">
        <v>163</v>
      </c>
      <c r="DD9">
        <v>1</v>
      </c>
      <c r="DE9">
        <v>134.73619631899999</v>
      </c>
      <c r="DF9">
        <v>92</v>
      </c>
      <c r="DH9" t="s">
        <v>387</v>
      </c>
      <c r="DI9" t="s">
        <v>738</v>
      </c>
      <c r="DJ9" t="s">
        <v>740</v>
      </c>
      <c r="DK9">
        <v>109</v>
      </c>
      <c r="DL9">
        <v>12</v>
      </c>
      <c r="DM9">
        <v>60.706422018300003</v>
      </c>
      <c r="DN9">
        <v>324</v>
      </c>
      <c r="DO9">
        <v>3</v>
      </c>
      <c r="DP9">
        <v>118.6975308642</v>
      </c>
      <c r="DQ9">
        <v>143.3333333333</v>
      </c>
    </row>
    <row r="10" spans="2:121" x14ac:dyDescent="0.2">
      <c r="B10" t="s">
        <v>111</v>
      </c>
      <c r="C10">
        <v>8726</v>
      </c>
      <c r="D10">
        <v>553</v>
      </c>
      <c r="F10" t="s">
        <v>59</v>
      </c>
      <c r="G10">
        <v>3687</v>
      </c>
      <c r="H10">
        <v>454.77868185519998</v>
      </c>
      <c r="I10">
        <v>5252</v>
      </c>
      <c r="J10">
        <v>1125</v>
      </c>
      <c r="K10">
        <v>6577</v>
      </c>
      <c r="L10">
        <v>3396</v>
      </c>
      <c r="M10">
        <v>1149</v>
      </c>
      <c r="N10">
        <v>747</v>
      </c>
      <c r="O10">
        <v>1792</v>
      </c>
      <c r="P10">
        <v>1241</v>
      </c>
      <c r="Q10">
        <v>2</v>
      </c>
      <c r="R10">
        <v>272</v>
      </c>
      <c r="AH10" t="s">
        <v>423</v>
      </c>
      <c r="AI10">
        <v>684</v>
      </c>
      <c r="AJ10">
        <v>430.9122807018</v>
      </c>
      <c r="AK10">
        <v>987</v>
      </c>
      <c r="AL10">
        <v>217</v>
      </c>
      <c r="AM10">
        <v>1264</v>
      </c>
      <c r="AN10">
        <v>649</v>
      </c>
      <c r="AO10">
        <v>238</v>
      </c>
      <c r="AP10">
        <v>185</v>
      </c>
      <c r="AQ10">
        <v>394</v>
      </c>
      <c r="AR10">
        <v>231</v>
      </c>
      <c r="AS10">
        <v>76</v>
      </c>
      <c r="AT10">
        <v>0</v>
      </c>
      <c r="AV10" t="s">
        <v>371</v>
      </c>
      <c r="AW10">
        <v>424</v>
      </c>
      <c r="AX10">
        <v>109.09905660379999</v>
      </c>
      <c r="AY10">
        <v>619</v>
      </c>
      <c r="AZ10">
        <v>125</v>
      </c>
      <c r="BA10">
        <v>544</v>
      </c>
      <c r="BB10">
        <v>180</v>
      </c>
      <c r="BC10">
        <v>4</v>
      </c>
      <c r="BD10">
        <v>4</v>
      </c>
      <c r="BE10">
        <v>28</v>
      </c>
      <c r="BF10">
        <v>5</v>
      </c>
      <c r="BG10">
        <v>67</v>
      </c>
      <c r="BH10">
        <v>122</v>
      </c>
      <c r="BJ10" t="s">
        <v>607</v>
      </c>
      <c r="BK10" t="s">
        <v>385</v>
      </c>
      <c r="BL10">
        <v>3275</v>
      </c>
      <c r="BM10">
        <v>466</v>
      </c>
      <c r="BN10">
        <v>78.528549618300005</v>
      </c>
      <c r="BO10">
        <v>9719</v>
      </c>
      <c r="BP10">
        <v>28</v>
      </c>
      <c r="BQ10">
        <v>116.00123469490001</v>
      </c>
      <c r="BR10">
        <v>103.5357142857</v>
      </c>
      <c r="BS10">
        <v>1217</v>
      </c>
      <c r="BT10">
        <v>306</v>
      </c>
      <c r="BU10">
        <v>98.168447000800001</v>
      </c>
      <c r="BV10">
        <v>11207</v>
      </c>
      <c r="BW10">
        <v>42</v>
      </c>
      <c r="BX10">
        <v>122.51913982329999</v>
      </c>
      <c r="BY10">
        <v>104.1428571429</v>
      </c>
      <c r="CA10" t="s">
        <v>389</v>
      </c>
      <c r="CB10" t="s">
        <v>767</v>
      </c>
      <c r="CC10" t="s">
        <v>996</v>
      </c>
      <c r="CD10">
        <v>4811</v>
      </c>
      <c r="CE10">
        <v>1526</v>
      </c>
      <c r="CF10">
        <v>124.4240282686</v>
      </c>
      <c r="CG10">
        <v>9169</v>
      </c>
      <c r="CH10">
        <v>71</v>
      </c>
      <c r="CI10">
        <v>157.18769767699999</v>
      </c>
      <c r="CJ10">
        <v>150.42253521129999</v>
      </c>
      <c r="CL10" t="s">
        <v>389</v>
      </c>
      <c r="CM10" t="s">
        <v>748</v>
      </c>
      <c r="CN10" t="s">
        <v>751</v>
      </c>
      <c r="CO10">
        <v>323</v>
      </c>
      <c r="CP10">
        <v>54</v>
      </c>
      <c r="CQ10">
        <v>77.752321981400002</v>
      </c>
      <c r="CR10">
        <v>1556</v>
      </c>
      <c r="CS10">
        <v>2</v>
      </c>
      <c r="CT10">
        <v>75.503213367599997</v>
      </c>
      <c r="CU10">
        <v>130.5</v>
      </c>
      <c r="CW10" t="s">
        <v>389</v>
      </c>
      <c r="CX10" t="s">
        <v>758</v>
      </c>
      <c r="CY10" t="s">
        <v>761</v>
      </c>
      <c r="CZ10">
        <v>65</v>
      </c>
      <c r="DA10">
        <v>18</v>
      </c>
      <c r="DB10">
        <v>89.2</v>
      </c>
      <c r="DC10">
        <v>149</v>
      </c>
      <c r="DD10">
        <v>1</v>
      </c>
      <c r="DE10">
        <v>144.02684563759999</v>
      </c>
      <c r="DF10">
        <v>109</v>
      </c>
      <c r="DH10" t="s">
        <v>389</v>
      </c>
      <c r="DI10" t="s">
        <v>738</v>
      </c>
      <c r="DJ10" t="s">
        <v>741</v>
      </c>
      <c r="DK10">
        <v>70</v>
      </c>
      <c r="DL10">
        <v>15</v>
      </c>
      <c r="DM10">
        <v>77.614285714299996</v>
      </c>
      <c r="DN10">
        <v>165</v>
      </c>
      <c r="DO10">
        <v>0</v>
      </c>
      <c r="DP10">
        <v>132.95151515149999</v>
      </c>
      <c r="DQ10">
        <v>0</v>
      </c>
    </row>
    <row r="11" spans="2:121" x14ac:dyDescent="0.2">
      <c r="B11" t="s">
        <v>121</v>
      </c>
      <c r="C11">
        <v>840</v>
      </c>
      <c r="D11">
        <v>343</v>
      </c>
      <c r="F11" t="s">
        <v>57</v>
      </c>
      <c r="G11">
        <v>10538</v>
      </c>
      <c r="H11">
        <v>365.17574492310001</v>
      </c>
      <c r="I11">
        <v>7417</v>
      </c>
      <c r="J11">
        <v>1846</v>
      </c>
      <c r="K11">
        <v>14440</v>
      </c>
      <c r="L11">
        <v>8752</v>
      </c>
      <c r="M11">
        <v>4182</v>
      </c>
      <c r="N11">
        <v>3813</v>
      </c>
      <c r="O11">
        <v>1485</v>
      </c>
      <c r="P11">
        <v>609</v>
      </c>
      <c r="Q11">
        <v>0</v>
      </c>
      <c r="R11">
        <v>413</v>
      </c>
      <c r="AH11" t="s">
        <v>414</v>
      </c>
      <c r="AI11">
        <v>451</v>
      </c>
      <c r="AJ11">
        <v>635.30155210639998</v>
      </c>
      <c r="AK11">
        <v>442</v>
      </c>
      <c r="AL11">
        <v>79</v>
      </c>
      <c r="AM11">
        <v>805</v>
      </c>
      <c r="AN11">
        <v>435</v>
      </c>
      <c r="AO11">
        <v>217</v>
      </c>
      <c r="AP11">
        <v>181</v>
      </c>
      <c r="AQ11">
        <v>371</v>
      </c>
      <c r="AR11">
        <v>274</v>
      </c>
      <c r="AS11">
        <v>34</v>
      </c>
      <c r="AT11">
        <v>0</v>
      </c>
      <c r="AV11" t="s">
        <v>425</v>
      </c>
      <c r="AW11">
        <v>2880</v>
      </c>
      <c r="AX11">
        <v>102.25381944439999</v>
      </c>
      <c r="AY11">
        <v>3763</v>
      </c>
      <c r="AZ11">
        <v>652</v>
      </c>
      <c r="BA11">
        <v>3709</v>
      </c>
      <c r="BB11">
        <v>1199</v>
      </c>
      <c r="BC11">
        <v>17</v>
      </c>
      <c r="BD11">
        <v>16</v>
      </c>
      <c r="BE11">
        <v>120</v>
      </c>
      <c r="BF11">
        <v>33</v>
      </c>
      <c r="BG11">
        <v>511</v>
      </c>
      <c r="BH11">
        <v>608</v>
      </c>
      <c r="BJ11" t="s">
        <v>609</v>
      </c>
      <c r="BK11" t="s">
        <v>385</v>
      </c>
      <c r="BL11">
        <v>5170</v>
      </c>
      <c r="BM11">
        <v>473</v>
      </c>
      <c r="BN11">
        <v>64.979883945799997</v>
      </c>
      <c r="BO11">
        <v>20211</v>
      </c>
      <c r="BP11">
        <v>77</v>
      </c>
      <c r="BQ11">
        <v>110.3220028697</v>
      </c>
      <c r="BR11">
        <v>88.883116883100001</v>
      </c>
      <c r="BS11">
        <v>2665</v>
      </c>
      <c r="BT11">
        <v>209</v>
      </c>
      <c r="BU11">
        <v>66.822889305800004</v>
      </c>
      <c r="BV11">
        <v>25582</v>
      </c>
      <c r="BW11">
        <v>101</v>
      </c>
      <c r="BX11">
        <v>118.81584708</v>
      </c>
      <c r="BY11">
        <v>89.594059405899998</v>
      </c>
      <c r="CA11" t="s">
        <v>418</v>
      </c>
      <c r="CB11" t="s">
        <v>767</v>
      </c>
      <c r="CC11" t="s">
        <v>997</v>
      </c>
      <c r="CD11">
        <v>723</v>
      </c>
      <c r="CE11">
        <v>50</v>
      </c>
      <c r="CF11">
        <v>55.8298755187</v>
      </c>
      <c r="CG11">
        <v>3131</v>
      </c>
      <c r="CH11">
        <v>13</v>
      </c>
      <c r="CI11">
        <v>84.304056212099994</v>
      </c>
      <c r="CJ11">
        <v>76.461538461499998</v>
      </c>
      <c r="CL11" t="s">
        <v>418</v>
      </c>
      <c r="CM11" t="s">
        <v>748</v>
      </c>
      <c r="CN11" t="s">
        <v>752</v>
      </c>
      <c r="CO11">
        <v>86</v>
      </c>
      <c r="CP11">
        <v>6</v>
      </c>
      <c r="CQ11">
        <v>53.651162790699999</v>
      </c>
      <c r="CR11">
        <v>481</v>
      </c>
      <c r="CS11">
        <v>4</v>
      </c>
      <c r="CT11">
        <v>59.962577962600001</v>
      </c>
      <c r="CU11">
        <v>24.25</v>
      </c>
      <c r="CW11" t="s">
        <v>418</v>
      </c>
      <c r="CX11" t="s">
        <v>758</v>
      </c>
      <c r="CY11" t="s">
        <v>762</v>
      </c>
      <c r="CZ11">
        <v>8</v>
      </c>
      <c r="DA11">
        <v>0</v>
      </c>
      <c r="DB11">
        <v>34.875</v>
      </c>
      <c r="DC11">
        <v>60</v>
      </c>
      <c r="DD11">
        <v>0</v>
      </c>
      <c r="DE11">
        <v>133.6833333333</v>
      </c>
      <c r="DF11">
        <v>0</v>
      </c>
      <c r="DH11" t="s">
        <v>418</v>
      </c>
      <c r="DI11" t="s">
        <v>738</v>
      </c>
      <c r="DJ11" t="s">
        <v>742</v>
      </c>
      <c r="DK11">
        <v>13</v>
      </c>
      <c r="DL11">
        <v>2</v>
      </c>
      <c r="DM11">
        <v>58.076923076900002</v>
      </c>
      <c r="DN11">
        <v>41</v>
      </c>
      <c r="DO11">
        <v>1</v>
      </c>
      <c r="DP11">
        <v>115.9024390244</v>
      </c>
      <c r="DQ11">
        <v>91</v>
      </c>
    </row>
    <row r="12" spans="2:121" x14ac:dyDescent="0.2">
      <c r="B12" t="s">
        <v>97</v>
      </c>
      <c r="C12">
        <v>129</v>
      </c>
      <c r="D12">
        <v>90</v>
      </c>
      <c r="F12" t="s">
        <v>33</v>
      </c>
      <c r="G12">
        <v>8469</v>
      </c>
      <c r="H12">
        <v>712.28940843069995</v>
      </c>
      <c r="I12">
        <v>5364</v>
      </c>
      <c r="J12">
        <v>1238</v>
      </c>
      <c r="K12">
        <v>11478</v>
      </c>
      <c r="L12">
        <v>8117</v>
      </c>
      <c r="M12">
        <v>3478</v>
      </c>
      <c r="N12">
        <v>3067</v>
      </c>
      <c r="O12">
        <v>1516</v>
      </c>
      <c r="P12">
        <v>1181</v>
      </c>
      <c r="Q12">
        <v>0</v>
      </c>
      <c r="R12">
        <v>7</v>
      </c>
      <c r="T12" t="s">
        <v>648</v>
      </c>
      <c r="U12" t="s">
        <v>306</v>
      </c>
      <c r="V12" t="s">
        <v>133</v>
      </c>
      <c r="W12" t="s">
        <v>214</v>
      </c>
      <c r="X12" t="s">
        <v>215</v>
      </c>
      <c r="Y12" t="s">
        <v>216</v>
      </c>
      <c r="Z12" t="s">
        <v>217</v>
      </c>
      <c r="AA12" t="s">
        <v>218</v>
      </c>
      <c r="AB12" t="s">
        <v>219</v>
      </c>
      <c r="AC12" t="s">
        <v>220</v>
      </c>
      <c r="AD12" t="s">
        <v>221</v>
      </c>
      <c r="AE12" t="s">
        <v>222</v>
      </c>
      <c r="AF12" t="s">
        <v>223</v>
      </c>
      <c r="AH12" t="s">
        <v>425</v>
      </c>
      <c r="AI12">
        <v>18850</v>
      </c>
      <c r="AJ12">
        <v>343.67358090189998</v>
      </c>
      <c r="AK12">
        <v>26312</v>
      </c>
      <c r="AL12">
        <v>5844</v>
      </c>
      <c r="AM12">
        <v>30829</v>
      </c>
      <c r="AN12">
        <v>17300</v>
      </c>
      <c r="AO12">
        <v>7748</v>
      </c>
      <c r="AP12">
        <v>6073</v>
      </c>
      <c r="AQ12">
        <v>18915</v>
      </c>
      <c r="AR12">
        <v>13153</v>
      </c>
      <c r="AS12">
        <v>2312</v>
      </c>
      <c r="AT12">
        <v>316</v>
      </c>
      <c r="AV12" t="s">
        <v>387</v>
      </c>
      <c r="AW12">
        <v>404</v>
      </c>
      <c r="AX12">
        <v>69.017326732699999</v>
      </c>
      <c r="AY12">
        <v>466</v>
      </c>
      <c r="AZ12">
        <v>45</v>
      </c>
      <c r="BA12">
        <v>544</v>
      </c>
      <c r="BB12">
        <v>67</v>
      </c>
      <c r="BC12">
        <v>2</v>
      </c>
      <c r="BD12">
        <v>1</v>
      </c>
      <c r="BE12">
        <v>36</v>
      </c>
      <c r="BF12">
        <v>6</v>
      </c>
      <c r="BG12">
        <v>88</v>
      </c>
      <c r="BH12">
        <v>75</v>
      </c>
      <c r="BJ12" t="s">
        <v>551</v>
      </c>
      <c r="BK12" t="s">
        <v>385</v>
      </c>
      <c r="BL12">
        <v>5222</v>
      </c>
      <c r="BM12">
        <v>1114</v>
      </c>
      <c r="BN12">
        <v>91.9986595174</v>
      </c>
      <c r="BO12">
        <v>13447</v>
      </c>
      <c r="BP12">
        <v>69</v>
      </c>
      <c r="BQ12">
        <v>137.98460623189999</v>
      </c>
      <c r="BR12">
        <v>130.57971014489999</v>
      </c>
      <c r="BS12">
        <v>1172</v>
      </c>
      <c r="BT12">
        <v>416</v>
      </c>
      <c r="BU12">
        <v>117.1552901024</v>
      </c>
      <c r="BV12">
        <v>10287</v>
      </c>
      <c r="BW12">
        <v>62</v>
      </c>
      <c r="BX12">
        <v>140.36813453869999</v>
      </c>
      <c r="BY12">
        <v>142.74193548389999</v>
      </c>
      <c r="CA12" t="s">
        <v>412</v>
      </c>
      <c r="CB12" t="s">
        <v>767</v>
      </c>
      <c r="CC12" t="s">
        <v>998</v>
      </c>
      <c r="CD12">
        <v>5227</v>
      </c>
      <c r="CE12">
        <v>500</v>
      </c>
      <c r="CF12">
        <v>65.105988138499995</v>
      </c>
      <c r="CG12">
        <v>20411</v>
      </c>
      <c r="CH12">
        <v>78</v>
      </c>
      <c r="CI12">
        <v>97.103620596699997</v>
      </c>
      <c r="CJ12">
        <v>80.628205128199994</v>
      </c>
      <c r="CL12" t="s">
        <v>412</v>
      </c>
      <c r="CM12" t="s">
        <v>748</v>
      </c>
      <c r="CN12" t="s">
        <v>753</v>
      </c>
      <c r="CO12">
        <v>469</v>
      </c>
      <c r="CP12">
        <v>38</v>
      </c>
      <c r="CQ12">
        <v>60.234541577800002</v>
      </c>
      <c r="CR12">
        <v>2291</v>
      </c>
      <c r="CS12">
        <v>10</v>
      </c>
      <c r="CT12">
        <v>66.505019642099995</v>
      </c>
      <c r="CU12">
        <v>100.4</v>
      </c>
      <c r="CW12" t="s">
        <v>412</v>
      </c>
      <c r="CX12" t="s">
        <v>758</v>
      </c>
      <c r="CY12" t="s">
        <v>763</v>
      </c>
      <c r="CZ12">
        <v>91</v>
      </c>
      <c r="DA12">
        <v>17</v>
      </c>
      <c r="DB12">
        <v>72.164835164799996</v>
      </c>
      <c r="DC12">
        <v>266</v>
      </c>
      <c r="DD12">
        <v>1</v>
      </c>
      <c r="DE12">
        <v>125.8759398496</v>
      </c>
      <c r="DF12">
        <v>62</v>
      </c>
      <c r="DH12" t="s">
        <v>412</v>
      </c>
      <c r="DI12" t="s">
        <v>738</v>
      </c>
      <c r="DJ12" t="s">
        <v>743</v>
      </c>
      <c r="DK12">
        <v>166</v>
      </c>
      <c r="DL12">
        <v>18</v>
      </c>
      <c r="DM12">
        <v>49.7228915663</v>
      </c>
      <c r="DN12">
        <v>445</v>
      </c>
      <c r="DO12">
        <v>1</v>
      </c>
      <c r="DP12">
        <v>115.2606741573</v>
      </c>
      <c r="DQ12">
        <v>63</v>
      </c>
    </row>
    <row r="13" spans="2:121" x14ac:dyDescent="0.2">
      <c r="B13" t="s">
        <v>128</v>
      </c>
      <c r="C13">
        <v>989</v>
      </c>
      <c r="D13">
        <v>49</v>
      </c>
      <c r="F13" t="s">
        <v>34</v>
      </c>
      <c r="G13">
        <v>358</v>
      </c>
      <c r="H13">
        <v>69.360335195499999</v>
      </c>
      <c r="I13">
        <v>1666</v>
      </c>
      <c r="J13">
        <v>395</v>
      </c>
      <c r="K13">
        <v>1133</v>
      </c>
      <c r="L13">
        <v>65</v>
      </c>
      <c r="M13">
        <v>99</v>
      </c>
      <c r="N13">
        <v>24</v>
      </c>
      <c r="O13">
        <v>142</v>
      </c>
      <c r="P13">
        <v>78</v>
      </c>
      <c r="Q13">
        <v>0</v>
      </c>
      <c r="R13">
        <v>5</v>
      </c>
      <c r="T13" t="s">
        <v>385</v>
      </c>
      <c r="U13">
        <v>40622</v>
      </c>
      <c r="V13">
        <v>358.40746393580002</v>
      </c>
      <c r="W13">
        <v>63950</v>
      </c>
      <c r="X13">
        <v>13421</v>
      </c>
      <c r="Y13">
        <v>80698</v>
      </c>
      <c r="Z13">
        <v>38899</v>
      </c>
      <c r="AA13">
        <v>21275</v>
      </c>
      <c r="AB13">
        <v>15171</v>
      </c>
      <c r="AC13">
        <v>18272</v>
      </c>
      <c r="AD13">
        <v>10875</v>
      </c>
      <c r="AE13">
        <v>51</v>
      </c>
      <c r="AF13">
        <v>1167</v>
      </c>
      <c r="AH13" t="s">
        <v>381</v>
      </c>
      <c r="AI13">
        <v>13652</v>
      </c>
      <c r="AJ13">
        <v>378.6149282156</v>
      </c>
      <c r="AK13">
        <v>19662</v>
      </c>
      <c r="AL13">
        <v>5207</v>
      </c>
      <c r="AM13">
        <v>23572</v>
      </c>
      <c r="AN13">
        <v>13708</v>
      </c>
      <c r="AO13">
        <v>8610</v>
      </c>
      <c r="AP13">
        <v>7038</v>
      </c>
      <c r="AQ13">
        <v>13182</v>
      </c>
      <c r="AR13">
        <v>10305</v>
      </c>
      <c r="AS13">
        <v>1161</v>
      </c>
      <c r="AT13">
        <v>41</v>
      </c>
      <c r="AV13" t="s">
        <v>408</v>
      </c>
      <c r="AW13">
        <v>83</v>
      </c>
      <c r="AX13">
        <v>60.783132530099998</v>
      </c>
      <c r="AY13">
        <v>80</v>
      </c>
      <c r="AZ13">
        <v>2</v>
      </c>
      <c r="BA13">
        <v>128</v>
      </c>
      <c r="BB13">
        <v>9</v>
      </c>
      <c r="BC13">
        <v>1</v>
      </c>
      <c r="BD13">
        <v>1</v>
      </c>
      <c r="BE13">
        <v>3</v>
      </c>
      <c r="BF13">
        <v>1</v>
      </c>
      <c r="BG13">
        <v>122</v>
      </c>
      <c r="BH13">
        <v>17</v>
      </c>
      <c r="BJ13" t="s">
        <v>588</v>
      </c>
      <c r="BK13" t="s">
        <v>385</v>
      </c>
      <c r="BL13">
        <v>3224</v>
      </c>
      <c r="BM13">
        <v>506</v>
      </c>
      <c r="BN13">
        <v>77.833746898300006</v>
      </c>
      <c r="BO13">
        <v>4981</v>
      </c>
      <c r="BP13">
        <v>48</v>
      </c>
      <c r="BQ13">
        <v>133.12005621360001</v>
      </c>
      <c r="BR13">
        <v>143.0625</v>
      </c>
      <c r="BS13">
        <v>1115</v>
      </c>
      <c r="BT13">
        <v>219</v>
      </c>
      <c r="BU13">
        <v>87.8627802691</v>
      </c>
      <c r="BV13">
        <v>8979</v>
      </c>
      <c r="BW13">
        <v>56</v>
      </c>
      <c r="BX13">
        <v>143.43044882500001</v>
      </c>
      <c r="BY13">
        <v>126.67857142859999</v>
      </c>
      <c r="CA13" t="s">
        <v>410</v>
      </c>
      <c r="CB13" t="s">
        <v>767</v>
      </c>
      <c r="CC13" t="s">
        <v>999</v>
      </c>
      <c r="CD13">
        <v>35444</v>
      </c>
      <c r="CE13">
        <v>7405</v>
      </c>
      <c r="CF13">
        <v>89.060856562500007</v>
      </c>
      <c r="CG13">
        <v>86009</v>
      </c>
      <c r="CH13">
        <v>494</v>
      </c>
      <c r="CI13">
        <v>130.0160215791</v>
      </c>
      <c r="CJ13">
        <v>124.9433198381</v>
      </c>
      <c r="CL13" t="s">
        <v>410</v>
      </c>
      <c r="CM13" t="s">
        <v>748</v>
      </c>
      <c r="CN13" t="s">
        <v>754</v>
      </c>
      <c r="CO13">
        <v>1913</v>
      </c>
      <c r="CP13">
        <v>166</v>
      </c>
      <c r="CQ13">
        <v>61.086251960299997</v>
      </c>
      <c r="CR13">
        <v>9167</v>
      </c>
      <c r="CS13">
        <v>38</v>
      </c>
      <c r="CT13">
        <v>67.763717682999996</v>
      </c>
      <c r="CU13">
        <v>88.842105263199997</v>
      </c>
      <c r="CW13" t="s">
        <v>410</v>
      </c>
      <c r="CX13" t="s">
        <v>758</v>
      </c>
      <c r="CY13" t="s">
        <v>764</v>
      </c>
      <c r="CZ13">
        <v>933</v>
      </c>
      <c r="DA13">
        <v>147</v>
      </c>
      <c r="DB13">
        <v>68.380493033199997</v>
      </c>
      <c r="DC13">
        <v>2357</v>
      </c>
      <c r="DD13">
        <v>7</v>
      </c>
      <c r="DE13">
        <v>133.39456936779999</v>
      </c>
      <c r="DF13">
        <v>104.57142857140001</v>
      </c>
      <c r="DH13" t="s">
        <v>410</v>
      </c>
      <c r="DI13" t="s">
        <v>738</v>
      </c>
      <c r="DJ13" t="s">
        <v>744</v>
      </c>
      <c r="DK13">
        <v>944</v>
      </c>
      <c r="DL13">
        <v>108</v>
      </c>
      <c r="DM13">
        <v>61.508474576300003</v>
      </c>
      <c r="DN13">
        <v>2506</v>
      </c>
      <c r="DO13">
        <v>6</v>
      </c>
      <c r="DP13">
        <v>125.8591380686</v>
      </c>
      <c r="DQ13">
        <v>128.3333333333</v>
      </c>
    </row>
    <row r="14" spans="2:121" x14ac:dyDescent="0.2">
      <c r="B14" t="s">
        <v>1061</v>
      </c>
      <c r="C14">
        <v>234</v>
      </c>
      <c r="D14">
        <v>71</v>
      </c>
      <c r="F14" t="s">
        <v>38</v>
      </c>
      <c r="G14">
        <v>4186</v>
      </c>
      <c r="H14">
        <v>420.2283803153</v>
      </c>
      <c r="I14">
        <v>7733</v>
      </c>
      <c r="J14">
        <v>1339</v>
      </c>
      <c r="K14">
        <v>8010</v>
      </c>
      <c r="L14">
        <v>3366</v>
      </c>
      <c r="M14">
        <v>1823</v>
      </c>
      <c r="N14">
        <v>1640</v>
      </c>
      <c r="O14">
        <v>2889</v>
      </c>
      <c r="P14">
        <v>2208</v>
      </c>
      <c r="Q14">
        <v>1</v>
      </c>
      <c r="R14">
        <v>323</v>
      </c>
      <c r="T14" t="s">
        <v>390</v>
      </c>
      <c r="U14">
        <v>32898</v>
      </c>
      <c r="V14">
        <v>338.2138427868</v>
      </c>
      <c r="W14">
        <v>58676</v>
      </c>
      <c r="X14">
        <v>10716</v>
      </c>
      <c r="Y14">
        <v>74349</v>
      </c>
      <c r="Z14">
        <v>30475</v>
      </c>
      <c r="AA14">
        <v>19636</v>
      </c>
      <c r="AB14">
        <v>15336</v>
      </c>
      <c r="AC14">
        <v>12083</v>
      </c>
      <c r="AD14">
        <v>8411</v>
      </c>
      <c r="AE14">
        <v>9239</v>
      </c>
      <c r="AF14">
        <v>1082</v>
      </c>
      <c r="AH14" t="s">
        <v>428</v>
      </c>
      <c r="AI14">
        <v>1099</v>
      </c>
      <c r="AJ14">
        <v>291.4758871702</v>
      </c>
      <c r="AK14">
        <v>1977</v>
      </c>
      <c r="AL14">
        <v>268</v>
      </c>
      <c r="AM14">
        <v>2332</v>
      </c>
      <c r="AN14">
        <v>941</v>
      </c>
      <c r="AO14">
        <v>1052</v>
      </c>
      <c r="AP14">
        <v>572</v>
      </c>
      <c r="AQ14">
        <v>659</v>
      </c>
      <c r="AR14">
        <v>405</v>
      </c>
      <c r="AS14">
        <v>2</v>
      </c>
      <c r="AT14">
        <v>4</v>
      </c>
      <c r="AV14" t="s">
        <v>393</v>
      </c>
      <c r="AW14">
        <v>250</v>
      </c>
      <c r="AX14">
        <v>74.415999999999997</v>
      </c>
      <c r="AY14">
        <v>384</v>
      </c>
      <c r="AZ14">
        <v>49</v>
      </c>
      <c r="BA14">
        <v>410</v>
      </c>
      <c r="BB14">
        <v>60</v>
      </c>
      <c r="BC14">
        <v>1</v>
      </c>
      <c r="BD14">
        <v>1</v>
      </c>
      <c r="BE14">
        <v>40</v>
      </c>
      <c r="BF14">
        <v>10</v>
      </c>
      <c r="BG14">
        <v>82</v>
      </c>
      <c r="BH14">
        <v>61</v>
      </c>
      <c r="BJ14" t="s">
        <v>605</v>
      </c>
      <c r="BK14" t="s">
        <v>385</v>
      </c>
      <c r="BL14">
        <v>16206</v>
      </c>
      <c r="BM14">
        <v>2954</v>
      </c>
      <c r="BN14">
        <v>83.226459336000005</v>
      </c>
      <c r="BO14">
        <v>41897</v>
      </c>
      <c r="BP14">
        <v>207</v>
      </c>
      <c r="BQ14">
        <v>130.70802205410001</v>
      </c>
      <c r="BR14">
        <v>116.07246376809999</v>
      </c>
      <c r="BS14">
        <v>5655</v>
      </c>
      <c r="BT14">
        <v>1254</v>
      </c>
      <c r="BU14">
        <v>92.629177718799994</v>
      </c>
      <c r="BV14">
        <v>38715</v>
      </c>
      <c r="BW14">
        <v>168</v>
      </c>
      <c r="BX14">
        <v>132.1246545267</v>
      </c>
      <c r="BY14">
        <v>130.32738095240001</v>
      </c>
      <c r="CA14" t="s">
        <v>406</v>
      </c>
      <c r="CB14" t="s">
        <v>767</v>
      </c>
      <c r="CC14" t="s">
        <v>1000</v>
      </c>
      <c r="CD14">
        <v>1937</v>
      </c>
      <c r="CE14">
        <v>500</v>
      </c>
      <c r="CF14">
        <v>100.4754775426</v>
      </c>
      <c r="CG14">
        <v>4243</v>
      </c>
      <c r="CH14">
        <v>39</v>
      </c>
      <c r="CI14">
        <v>134.674287061</v>
      </c>
      <c r="CJ14">
        <v>136.1794871795</v>
      </c>
      <c r="CL14" t="s">
        <v>406</v>
      </c>
      <c r="CM14" t="s">
        <v>748</v>
      </c>
      <c r="CN14" t="s">
        <v>755</v>
      </c>
      <c r="CO14">
        <v>170</v>
      </c>
      <c r="CP14">
        <v>15</v>
      </c>
      <c r="CQ14">
        <v>67.047058823499995</v>
      </c>
      <c r="CR14">
        <v>790</v>
      </c>
      <c r="CS14">
        <v>3</v>
      </c>
      <c r="CT14">
        <v>68.058227848100003</v>
      </c>
      <c r="CU14">
        <v>96.666666666699996</v>
      </c>
      <c r="CW14" t="s">
        <v>406</v>
      </c>
      <c r="CX14" t="s">
        <v>758</v>
      </c>
      <c r="CY14" t="s">
        <v>765</v>
      </c>
      <c r="CZ14">
        <v>67</v>
      </c>
      <c r="DA14">
        <v>14</v>
      </c>
      <c r="DB14">
        <v>87</v>
      </c>
      <c r="DC14">
        <v>121</v>
      </c>
      <c r="DD14">
        <v>0</v>
      </c>
      <c r="DE14">
        <v>139.15702479340001</v>
      </c>
      <c r="DF14">
        <v>0</v>
      </c>
      <c r="DH14" t="s">
        <v>406</v>
      </c>
      <c r="DI14" t="s">
        <v>738</v>
      </c>
      <c r="DJ14" t="s">
        <v>745</v>
      </c>
      <c r="DK14">
        <v>54</v>
      </c>
      <c r="DL14">
        <v>11</v>
      </c>
      <c r="DM14">
        <v>78.092592592599999</v>
      </c>
      <c r="DN14">
        <v>147</v>
      </c>
      <c r="DO14">
        <v>1</v>
      </c>
      <c r="DP14">
        <v>128</v>
      </c>
      <c r="DQ14">
        <v>93</v>
      </c>
    </row>
    <row r="15" spans="2:121" x14ac:dyDescent="0.2">
      <c r="B15" t="s">
        <v>118</v>
      </c>
      <c r="C15">
        <v>29</v>
      </c>
      <c r="D15">
        <v>16</v>
      </c>
      <c r="F15" t="s">
        <v>36</v>
      </c>
      <c r="G15">
        <v>241</v>
      </c>
      <c r="H15">
        <v>252.34854771779999</v>
      </c>
      <c r="I15">
        <v>707</v>
      </c>
      <c r="J15">
        <v>77</v>
      </c>
      <c r="K15">
        <v>680</v>
      </c>
      <c r="L15">
        <v>209</v>
      </c>
      <c r="M15">
        <v>175</v>
      </c>
      <c r="N15">
        <v>91</v>
      </c>
      <c r="O15">
        <v>111</v>
      </c>
      <c r="P15">
        <v>43</v>
      </c>
      <c r="Q15">
        <v>2</v>
      </c>
      <c r="R15">
        <v>6</v>
      </c>
      <c r="T15" t="s">
        <v>369</v>
      </c>
      <c r="U15">
        <v>68176</v>
      </c>
      <c r="V15">
        <v>410.10538899319999</v>
      </c>
      <c r="W15">
        <v>80836</v>
      </c>
      <c r="X15">
        <v>18059</v>
      </c>
      <c r="Y15">
        <v>115204</v>
      </c>
      <c r="Z15">
        <v>63703</v>
      </c>
      <c r="AA15">
        <v>37557</v>
      </c>
      <c r="AB15">
        <v>29936</v>
      </c>
      <c r="AC15">
        <v>29126</v>
      </c>
      <c r="AD15">
        <v>22777</v>
      </c>
      <c r="AE15">
        <v>13971</v>
      </c>
      <c r="AF15">
        <v>52</v>
      </c>
      <c r="AH15" t="s">
        <v>408</v>
      </c>
      <c r="AI15">
        <v>634</v>
      </c>
      <c r="AJ15">
        <v>221.903785489</v>
      </c>
      <c r="AK15">
        <v>1779</v>
      </c>
      <c r="AL15">
        <v>427</v>
      </c>
      <c r="AM15">
        <v>1586</v>
      </c>
      <c r="AN15">
        <v>400</v>
      </c>
      <c r="AO15">
        <v>267</v>
      </c>
      <c r="AP15">
        <v>168</v>
      </c>
      <c r="AQ15">
        <v>485</v>
      </c>
      <c r="AR15">
        <v>288</v>
      </c>
      <c r="AS15">
        <v>1</v>
      </c>
      <c r="AT15">
        <v>6</v>
      </c>
      <c r="AV15" t="s">
        <v>412</v>
      </c>
      <c r="AW15">
        <v>296</v>
      </c>
      <c r="AX15">
        <v>59.736486486499999</v>
      </c>
      <c r="AY15">
        <v>250</v>
      </c>
      <c r="AZ15">
        <v>13</v>
      </c>
      <c r="BA15">
        <v>406</v>
      </c>
      <c r="BB15">
        <v>26</v>
      </c>
      <c r="BC15">
        <v>2</v>
      </c>
      <c r="BD15">
        <v>2</v>
      </c>
      <c r="BE15">
        <v>19</v>
      </c>
      <c r="BF15">
        <v>10</v>
      </c>
      <c r="BG15">
        <v>656</v>
      </c>
      <c r="BH15">
        <v>63</v>
      </c>
      <c r="BJ15" t="s">
        <v>567</v>
      </c>
      <c r="BK15" t="s">
        <v>390</v>
      </c>
      <c r="BL15">
        <v>6585</v>
      </c>
      <c r="BM15">
        <v>1568</v>
      </c>
      <c r="BN15">
        <v>98.957782839800004</v>
      </c>
      <c r="BO15">
        <v>15715</v>
      </c>
      <c r="BP15">
        <v>80</v>
      </c>
      <c r="BQ15">
        <v>143.13668469620001</v>
      </c>
      <c r="BR15">
        <v>118.91249999999999</v>
      </c>
      <c r="BS15">
        <v>1214</v>
      </c>
      <c r="BT15">
        <v>626</v>
      </c>
      <c r="BU15">
        <v>145.63097199340001</v>
      </c>
      <c r="BV15">
        <v>10433</v>
      </c>
      <c r="BW15">
        <v>61</v>
      </c>
      <c r="BX15">
        <v>127.69970286589999</v>
      </c>
      <c r="BY15">
        <v>121.26229508199999</v>
      </c>
      <c r="CA15" t="s">
        <v>421</v>
      </c>
      <c r="CB15" t="s">
        <v>767</v>
      </c>
      <c r="CC15" t="s">
        <v>1001</v>
      </c>
      <c r="CD15">
        <v>737</v>
      </c>
      <c r="CE15">
        <v>80</v>
      </c>
      <c r="CF15">
        <v>65.099050203499999</v>
      </c>
      <c r="CG15">
        <v>2311</v>
      </c>
      <c r="CH15">
        <v>10</v>
      </c>
      <c r="CI15">
        <v>118.92211164</v>
      </c>
      <c r="CJ15">
        <v>97.8</v>
      </c>
      <c r="CL15" t="s">
        <v>421</v>
      </c>
      <c r="CM15" t="s">
        <v>748</v>
      </c>
      <c r="CN15" t="s">
        <v>756</v>
      </c>
      <c r="CO15">
        <v>24</v>
      </c>
      <c r="CP15">
        <v>1</v>
      </c>
      <c r="CQ15">
        <v>54.458333333299997</v>
      </c>
      <c r="CR15">
        <v>148</v>
      </c>
      <c r="CS15">
        <v>1</v>
      </c>
      <c r="CT15">
        <v>60.324324324300001</v>
      </c>
      <c r="CU15">
        <v>108</v>
      </c>
      <c r="CW15" t="s">
        <v>421</v>
      </c>
      <c r="CX15" t="s">
        <v>758</v>
      </c>
      <c r="CY15" t="s">
        <v>766</v>
      </c>
      <c r="CZ15">
        <v>9</v>
      </c>
      <c r="DA15">
        <v>0</v>
      </c>
      <c r="DB15">
        <v>33.777777777799997</v>
      </c>
      <c r="DC15">
        <v>42</v>
      </c>
      <c r="DD15">
        <v>0</v>
      </c>
      <c r="DE15">
        <v>141.26190476190001</v>
      </c>
      <c r="DF15">
        <v>0</v>
      </c>
      <c r="DH15" t="s">
        <v>421</v>
      </c>
      <c r="DI15" t="s">
        <v>738</v>
      </c>
      <c r="DJ15" t="s">
        <v>746</v>
      </c>
      <c r="DK15">
        <v>4</v>
      </c>
      <c r="DL15">
        <v>0</v>
      </c>
      <c r="DM15">
        <v>37.25</v>
      </c>
      <c r="DN15">
        <v>39</v>
      </c>
      <c r="DO15">
        <v>0</v>
      </c>
      <c r="DP15">
        <v>127.1025641026</v>
      </c>
      <c r="DQ15">
        <v>0</v>
      </c>
    </row>
    <row r="16" spans="2:121" x14ac:dyDescent="0.2">
      <c r="B16" t="s">
        <v>119</v>
      </c>
      <c r="C16">
        <v>51</v>
      </c>
      <c r="D16">
        <v>44</v>
      </c>
      <c r="F16" t="s">
        <v>61</v>
      </c>
      <c r="G16">
        <v>454</v>
      </c>
      <c r="H16">
        <v>266.58810572689998</v>
      </c>
      <c r="I16">
        <v>2717</v>
      </c>
      <c r="J16">
        <v>691</v>
      </c>
      <c r="K16">
        <v>1688</v>
      </c>
      <c r="L16">
        <v>361</v>
      </c>
      <c r="M16">
        <v>565</v>
      </c>
      <c r="N16">
        <v>528</v>
      </c>
      <c r="O16">
        <v>1494</v>
      </c>
      <c r="P16">
        <v>1226</v>
      </c>
      <c r="Q16">
        <v>0</v>
      </c>
      <c r="R16">
        <v>1</v>
      </c>
      <c r="T16" t="s">
        <v>8</v>
      </c>
      <c r="U16">
        <v>108</v>
      </c>
      <c r="V16">
        <v>377.19444444440001</v>
      </c>
      <c r="W16">
        <v>349</v>
      </c>
      <c r="X16">
        <v>15</v>
      </c>
      <c r="Y16">
        <v>224</v>
      </c>
      <c r="Z16">
        <v>103</v>
      </c>
      <c r="AA16">
        <v>73</v>
      </c>
      <c r="AB16">
        <v>36</v>
      </c>
      <c r="AC16">
        <v>66797</v>
      </c>
      <c r="AD16">
        <v>37835</v>
      </c>
      <c r="AE16">
        <v>0</v>
      </c>
      <c r="AF16">
        <v>1</v>
      </c>
      <c r="AH16" t="s">
        <v>394</v>
      </c>
      <c r="AI16">
        <v>5447</v>
      </c>
      <c r="AJ16">
        <v>466.61428309159999</v>
      </c>
      <c r="AK16">
        <v>7574</v>
      </c>
      <c r="AL16">
        <v>1716</v>
      </c>
      <c r="AM16">
        <v>9843</v>
      </c>
      <c r="AN16">
        <v>5322</v>
      </c>
      <c r="AO16">
        <v>2378</v>
      </c>
      <c r="AP16">
        <v>2094</v>
      </c>
      <c r="AQ16">
        <v>3310</v>
      </c>
      <c r="AR16">
        <v>1962</v>
      </c>
      <c r="AS16">
        <v>1069</v>
      </c>
      <c r="AT16">
        <v>223</v>
      </c>
      <c r="AV16" t="s">
        <v>375</v>
      </c>
      <c r="AW16">
        <v>1728</v>
      </c>
      <c r="AX16">
        <v>103.36689814810001</v>
      </c>
      <c r="AY16">
        <v>2769</v>
      </c>
      <c r="AZ16">
        <v>512</v>
      </c>
      <c r="BA16">
        <v>2377</v>
      </c>
      <c r="BB16">
        <v>759</v>
      </c>
      <c r="BC16">
        <v>2</v>
      </c>
      <c r="BD16">
        <v>1</v>
      </c>
      <c r="BE16">
        <v>98</v>
      </c>
      <c r="BF16">
        <v>18</v>
      </c>
      <c r="BG16">
        <v>191</v>
      </c>
      <c r="BH16">
        <v>350</v>
      </c>
      <c r="BJ16" t="s">
        <v>559</v>
      </c>
      <c r="BK16" t="s">
        <v>390</v>
      </c>
      <c r="BL16">
        <v>7899</v>
      </c>
      <c r="BM16">
        <v>1333</v>
      </c>
      <c r="BN16">
        <v>89.714267628800002</v>
      </c>
      <c r="BO16">
        <v>21772</v>
      </c>
      <c r="BP16">
        <v>116</v>
      </c>
      <c r="BQ16">
        <v>130.68243615649999</v>
      </c>
      <c r="BR16">
        <v>104.9827586207</v>
      </c>
      <c r="BS16">
        <v>2176</v>
      </c>
      <c r="BT16">
        <v>508</v>
      </c>
      <c r="BU16">
        <v>105.4016544118</v>
      </c>
      <c r="BV16">
        <v>24220</v>
      </c>
      <c r="BW16">
        <v>159</v>
      </c>
      <c r="BX16">
        <v>136.97799339389999</v>
      </c>
      <c r="BY16">
        <v>101.37106918240001</v>
      </c>
      <c r="CA16" t="s">
        <v>385</v>
      </c>
      <c r="CB16" t="s">
        <v>767</v>
      </c>
      <c r="CD16">
        <v>63668</v>
      </c>
      <c r="CE16">
        <v>12996</v>
      </c>
      <c r="CF16">
        <v>89.382170006899997</v>
      </c>
      <c r="CG16">
        <v>166471</v>
      </c>
      <c r="CH16">
        <v>888</v>
      </c>
      <c r="CI16">
        <v>126.342756396</v>
      </c>
      <c r="CJ16">
        <v>120.29504504499999</v>
      </c>
      <c r="CL16" t="s">
        <v>385</v>
      </c>
      <c r="CM16" t="s">
        <v>748</v>
      </c>
      <c r="CO16">
        <v>4083</v>
      </c>
      <c r="CP16">
        <v>423</v>
      </c>
      <c r="CQ16">
        <v>65.1929953466</v>
      </c>
      <c r="CR16">
        <v>19750</v>
      </c>
      <c r="CS16">
        <v>71</v>
      </c>
      <c r="CT16">
        <v>67.696962025299996</v>
      </c>
      <c r="CU16">
        <v>88.3943661972</v>
      </c>
      <c r="CW16" t="s">
        <v>385</v>
      </c>
      <c r="CX16" t="s">
        <v>758</v>
      </c>
      <c r="CZ16">
        <v>1514</v>
      </c>
      <c r="DA16">
        <v>255</v>
      </c>
      <c r="DB16">
        <v>69.819022457100004</v>
      </c>
      <c r="DC16">
        <v>3872</v>
      </c>
      <c r="DD16">
        <v>13</v>
      </c>
      <c r="DE16">
        <v>133.30371900829999</v>
      </c>
      <c r="DF16">
        <v>101.0769230769</v>
      </c>
      <c r="DH16" t="s">
        <v>385</v>
      </c>
      <c r="DI16" t="s">
        <v>738</v>
      </c>
      <c r="DK16">
        <v>1719</v>
      </c>
      <c r="DL16">
        <v>194</v>
      </c>
      <c r="DM16">
        <v>58.211751018000001</v>
      </c>
      <c r="DN16">
        <v>4671</v>
      </c>
      <c r="DO16">
        <v>18</v>
      </c>
      <c r="DP16">
        <v>122.570327553</v>
      </c>
      <c r="DQ16">
        <v>118.05555555559999</v>
      </c>
    </row>
    <row r="17" spans="2:121" x14ac:dyDescent="0.2">
      <c r="B17" t="s">
        <v>94</v>
      </c>
      <c r="C17">
        <v>233</v>
      </c>
      <c r="D17">
        <v>193</v>
      </c>
      <c r="F17" t="s">
        <v>83</v>
      </c>
      <c r="G17">
        <v>16963</v>
      </c>
      <c r="H17">
        <v>314.80386724049998</v>
      </c>
      <c r="I17">
        <v>18271</v>
      </c>
      <c r="J17">
        <v>4372</v>
      </c>
      <c r="K17">
        <v>29289</v>
      </c>
      <c r="L17">
        <v>17846</v>
      </c>
      <c r="M17">
        <v>12444</v>
      </c>
      <c r="N17">
        <v>9241</v>
      </c>
      <c r="O17">
        <v>4324</v>
      </c>
      <c r="P17">
        <v>3110</v>
      </c>
      <c r="Q17">
        <v>1</v>
      </c>
      <c r="R17">
        <v>16</v>
      </c>
      <c r="T17" t="s">
        <v>404</v>
      </c>
      <c r="U17">
        <v>45556</v>
      </c>
      <c r="V17">
        <v>401.20058828689997</v>
      </c>
      <c r="W17">
        <v>62897</v>
      </c>
      <c r="X17">
        <v>12103</v>
      </c>
      <c r="Y17">
        <v>89186</v>
      </c>
      <c r="Z17">
        <v>48044</v>
      </c>
      <c r="AA17">
        <v>23265</v>
      </c>
      <c r="AB17">
        <v>17917</v>
      </c>
      <c r="AC17">
        <v>19196</v>
      </c>
      <c r="AD17">
        <v>14655</v>
      </c>
      <c r="AE17">
        <v>458</v>
      </c>
      <c r="AF17">
        <v>788</v>
      </c>
      <c r="AH17" t="s">
        <v>392</v>
      </c>
      <c r="AI17">
        <v>4802</v>
      </c>
      <c r="AJ17">
        <v>624.7211578509</v>
      </c>
      <c r="AK17">
        <v>5046</v>
      </c>
      <c r="AL17">
        <v>850</v>
      </c>
      <c r="AM17">
        <v>9820</v>
      </c>
      <c r="AN17">
        <v>5727</v>
      </c>
      <c r="AO17">
        <v>2898</v>
      </c>
      <c r="AP17">
        <v>2476</v>
      </c>
      <c r="AQ17">
        <v>3001</v>
      </c>
      <c r="AR17">
        <v>2239</v>
      </c>
      <c r="AS17">
        <v>793</v>
      </c>
      <c r="AT17">
        <v>227</v>
      </c>
      <c r="AV17" t="s">
        <v>399</v>
      </c>
      <c r="AW17">
        <v>235</v>
      </c>
      <c r="AX17">
        <v>58.2553191489</v>
      </c>
      <c r="AY17">
        <v>270</v>
      </c>
      <c r="AZ17">
        <v>6</v>
      </c>
      <c r="BA17">
        <v>333</v>
      </c>
      <c r="BB17">
        <v>18</v>
      </c>
      <c r="BC17">
        <v>0</v>
      </c>
      <c r="BE17">
        <v>16</v>
      </c>
      <c r="BF17">
        <v>5</v>
      </c>
      <c r="BG17">
        <v>361</v>
      </c>
      <c r="BH17">
        <v>39</v>
      </c>
      <c r="BJ17" t="s">
        <v>576</v>
      </c>
      <c r="BK17" t="s">
        <v>390</v>
      </c>
      <c r="BL17">
        <v>2372</v>
      </c>
      <c r="BM17">
        <v>337</v>
      </c>
      <c r="BN17">
        <v>77.948988195599995</v>
      </c>
      <c r="BO17">
        <v>6630</v>
      </c>
      <c r="BP17">
        <v>17</v>
      </c>
      <c r="BQ17">
        <v>111.42850678729999</v>
      </c>
      <c r="BR17">
        <v>87.823529411799996</v>
      </c>
      <c r="BS17">
        <v>750</v>
      </c>
      <c r="BT17">
        <v>203</v>
      </c>
      <c r="BU17">
        <v>98.118666666699994</v>
      </c>
      <c r="BV17">
        <v>8604</v>
      </c>
      <c r="BW17">
        <v>33</v>
      </c>
      <c r="BX17">
        <v>125.4567642957</v>
      </c>
      <c r="BY17">
        <v>92</v>
      </c>
      <c r="CA17" t="s">
        <v>394</v>
      </c>
      <c r="CB17" t="s">
        <v>807</v>
      </c>
      <c r="CC17" t="s">
        <v>1002</v>
      </c>
      <c r="CD17">
        <v>7169</v>
      </c>
      <c r="CE17">
        <v>1623</v>
      </c>
      <c r="CF17">
        <v>95.3144092621</v>
      </c>
      <c r="CG17">
        <v>16694</v>
      </c>
      <c r="CH17">
        <v>86</v>
      </c>
      <c r="CI17">
        <v>139.4017611118</v>
      </c>
      <c r="CJ17">
        <v>104.70930232560001</v>
      </c>
      <c r="CL17" t="s">
        <v>394</v>
      </c>
      <c r="CM17" t="s">
        <v>782</v>
      </c>
      <c r="CN17" t="s">
        <v>781</v>
      </c>
      <c r="CO17">
        <v>618</v>
      </c>
      <c r="CP17">
        <v>84</v>
      </c>
      <c r="CQ17">
        <v>71.647249190899998</v>
      </c>
      <c r="CR17">
        <v>3461</v>
      </c>
      <c r="CS17">
        <v>3</v>
      </c>
      <c r="CT17">
        <v>73.077723201400005</v>
      </c>
      <c r="CU17">
        <v>127.3333333333</v>
      </c>
      <c r="CW17" t="s">
        <v>394</v>
      </c>
      <c r="CX17" t="s">
        <v>795</v>
      </c>
      <c r="CY17" t="s">
        <v>794</v>
      </c>
      <c r="CZ17">
        <v>189</v>
      </c>
      <c r="DA17">
        <v>33</v>
      </c>
      <c r="DB17">
        <v>69.439153439199998</v>
      </c>
      <c r="DC17">
        <v>446</v>
      </c>
      <c r="DD17">
        <v>5</v>
      </c>
      <c r="DE17">
        <v>140.34529147980001</v>
      </c>
      <c r="DF17">
        <v>112.4</v>
      </c>
      <c r="DH17" t="s">
        <v>394</v>
      </c>
      <c r="DI17" t="s">
        <v>769</v>
      </c>
      <c r="DJ17" t="s">
        <v>768</v>
      </c>
      <c r="DK17">
        <v>160</v>
      </c>
      <c r="DL17">
        <v>22</v>
      </c>
      <c r="DM17">
        <v>62.274999999999999</v>
      </c>
      <c r="DN17">
        <v>407</v>
      </c>
      <c r="DO17">
        <v>0</v>
      </c>
      <c r="DP17">
        <v>125.56265356270001</v>
      </c>
      <c r="DQ17">
        <v>0</v>
      </c>
    </row>
    <row r="18" spans="2:121" x14ac:dyDescent="0.2">
      <c r="B18" t="s">
        <v>123</v>
      </c>
      <c r="C18">
        <v>46</v>
      </c>
      <c r="D18">
        <v>32</v>
      </c>
      <c r="F18" t="s">
        <v>70</v>
      </c>
      <c r="G18">
        <v>3017</v>
      </c>
      <c r="H18">
        <v>304.42492542259998</v>
      </c>
      <c r="I18">
        <v>3215</v>
      </c>
      <c r="J18">
        <v>506</v>
      </c>
      <c r="K18">
        <v>7403</v>
      </c>
      <c r="L18">
        <v>3829</v>
      </c>
      <c r="M18">
        <v>1231</v>
      </c>
      <c r="N18">
        <v>718</v>
      </c>
      <c r="O18">
        <v>424</v>
      </c>
      <c r="P18">
        <v>221</v>
      </c>
      <c r="Q18">
        <v>0</v>
      </c>
      <c r="R18">
        <v>2</v>
      </c>
      <c r="T18" t="s">
        <v>380</v>
      </c>
      <c r="U18">
        <v>57050</v>
      </c>
      <c r="V18">
        <v>363.52609991240001</v>
      </c>
      <c r="W18">
        <v>72816</v>
      </c>
      <c r="X18">
        <v>17264</v>
      </c>
      <c r="Y18">
        <v>95531</v>
      </c>
      <c r="Z18">
        <v>53430</v>
      </c>
      <c r="AA18">
        <v>27377</v>
      </c>
      <c r="AB18">
        <v>22775</v>
      </c>
      <c r="AC18">
        <v>30015</v>
      </c>
      <c r="AD18">
        <v>23212</v>
      </c>
      <c r="AE18">
        <v>171</v>
      </c>
      <c r="AF18">
        <v>1377</v>
      </c>
      <c r="AH18" t="s">
        <v>399</v>
      </c>
      <c r="AI18">
        <v>828</v>
      </c>
      <c r="AJ18">
        <v>210.78985507249999</v>
      </c>
      <c r="AK18">
        <v>2525</v>
      </c>
      <c r="AL18">
        <v>365</v>
      </c>
      <c r="AM18">
        <v>2414</v>
      </c>
      <c r="AN18">
        <v>478</v>
      </c>
      <c r="AO18">
        <v>329</v>
      </c>
      <c r="AP18">
        <v>214</v>
      </c>
      <c r="AQ18">
        <v>544</v>
      </c>
      <c r="AR18">
        <v>313</v>
      </c>
      <c r="AS18">
        <v>2</v>
      </c>
      <c r="AT18">
        <v>11</v>
      </c>
      <c r="AV18" t="s">
        <v>428</v>
      </c>
      <c r="AW18">
        <v>28</v>
      </c>
      <c r="AX18">
        <v>86.321428571400006</v>
      </c>
      <c r="AY18">
        <v>22</v>
      </c>
      <c r="AZ18">
        <v>2</v>
      </c>
      <c r="BA18">
        <v>47</v>
      </c>
      <c r="BB18">
        <v>8</v>
      </c>
      <c r="BC18">
        <v>1</v>
      </c>
      <c r="BD18">
        <v>1</v>
      </c>
      <c r="BE18">
        <v>2</v>
      </c>
      <c r="BF18">
        <v>1</v>
      </c>
      <c r="BG18">
        <v>111</v>
      </c>
      <c r="BH18">
        <v>11</v>
      </c>
      <c r="BJ18" t="s">
        <v>569</v>
      </c>
      <c r="BK18" t="s">
        <v>390</v>
      </c>
      <c r="BL18">
        <v>7730</v>
      </c>
      <c r="BM18">
        <v>1981</v>
      </c>
      <c r="BN18">
        <v>99.240491591199998</v>
      </c>
      <c r="BO18">
        <v>17056</v>
      </c>
      <c r="BP18">
        <v>77</v>
      </c>
      <c r="BQ18">
        <v>136.4467636023</v>
      </c>
      <c r="BR18">
        <v>127.62337662340001</v>
      </c>
      <c r="BS18">
        <v>1842</v>
      </c>
      <c r="BT18">
        <v>748</v>
      </c>
      <c r="BU18">
        <v>124.2779587405</v>
      </c>
      <c r="BV18">
        <v>17323</v>
      </c>
      <c r="BW18">
        <v>69</v>
      </c>
      <c r="BX18">
        <v>134.59677884889999</v>
      </c>
      <c r="BY18">
        <v>139.30434782610001</v>
      </c>
      <c r="CA18" t="s">
        <v>392</v>
      </c>
      <c r="CB18" t="s">
        <v>807</v>
      </c>
      <c r="CC18" t="s">
        <v>1003</v>
      </c>
      <c r="CD18">
        <v>5122</v>
      </c>
      <c r="CE18">
        <v>913</v>
      </c>
      <c r="CF18">
        <v>87.378953533800001</v>
      </c>
      <c r="CG18">
        <v>13467</v>
      </c>
      <c r="CH18">
        <v>69</v>
      </c>
      <c r="CI18">
        <v>123.89671047749999</v>
      </c>
      <c r="CJ18">
        <v>125.8550724638</v>
      </c>
      <c r="CL18" t="s">
        <v>392</v>
      </c>
      <c r="CM18" t="s">
        <v>782</v>
      </c>
      <c r="CN18" t="s">
        <v>783</v>
      </c>
      <c r="CO18">
        <v>376</v>
      </c>
      <c r="CP18">
        <v>41</v>
      </c>
      <c r="CQ18">
        <v>70.242021276599999</v>
      </c>
      <c r="CR18">
        <v>2057</v>
      </c>
      <c r="CS18">
        <v>4</v>
      </c>
      <c r="CT18">
        <v>73.457948468599994</v>
      </c>
      <c r="CU18">
        <v>47.75</v>
      </c>
      <c r="CW18" t="s">
        <v>392</v>
      </c>
      <c r="CX18" t="s">
        <v>795</v>
      </c>
      <c r="CY18" t="s">
        <v>796</v>
      </c>
      <c r="CZ18">
        <v>82</v>
      </c>
      <c r="DA18">
        <v>11</v>
      </c>
      <c r="DB18">
        <v>65.865853658500001</v>
      </c>
      <c r="DC18">
        <v>221</v>
      </c>
      <c r="DD18">
        <v>2</v>
      </c>
      <c r="DE18">
        <v>137.19004524889999</v>
      </c>
      <c r="DF18">
        <v>136.5</v>
      </c>
      <c r="DH18" t="s">
        <v>392</v>
      </c>
      <c r="DI18" t="s">
        <v>769</v>
      </c>
      <c r="DJ18" t="s">
        <v>770</v>
      </c>
      <c r="DK18">
        <v>51</v>
      </c>
      <c r="DL18">
        <v>8</v>
      </c>
      <c r="DM18">
        <v>69.117647058800003</v>
      </c>
      <c r="DN18">
        <v>200</v>
      </c>
      <c r="DO18">
        <v>1</v>
      </c>
      <c r="DP18">
        <v>136.48500000000001</v>
      </c>
      <c r="DQ18">
        <v>288</v>
      </c>
    </row>
    <row r="19" spans="2:121" x14ac:dyDescent="0.2">
      <c r="B19" t="s">
        <v>116</v>
      </c>
      <c r="C19">
        <v>16502</v>
      </c>
      <c r="D19">
        <v>5308</v>
      </c>
      <c r="F19" t="s">
        <v>68</v>
      </c>
      <c r="G19">
        <v>2662</v>
      </c>
      <c r="H19">
        <v>456.59053343350001</v>
      </c>
      <c r="I19">
        <v>3700</v>
      </c>
      <c r="J19">
        <v>983</v>
      </c>
      <c r="K19">
        <v>3991</v>
      </c>
      <c r="L19">
        <v>2500</v>
      </c>
      <c r="M19">
        <v>598</v>
      </c>
      <c r="N19">
        <v>487</v>
      </c>
      <c r="O19">
        <v>1211</v>
      </c>
      <c r="P19">
        <v>980</v>
      </c>
      <c r="Q19">
        <v>0</v>
      </c>
      <c r="R19">
        <v>126</v>
      </c>
      <c r="T19" t="s">
        <v>461</v>
      </c>
      <c r="U19">
        <v>244410</v>
      </c>
      <c r="V19">
        <v>379.2894194182</v>
      </c>
      <c r="W19">
        <v>339524</v>
      </c>
      <c r="X19">
        <v>71578</v>
      </c>
      <c r="Y19">
        <v>455192</v>
      </c>
      <c r="Z19">
        <v>234654</v>
      </c>
      <c r="AA19">
        <v>129183</v>
      </c>
      <c r="AB19">
        <v>101171</v>
      </c>
      <c r="AC19">
        <v>175489</v>
      </c>
      <c r="AD19">
        <v>117765</v>
      </c>
      <c r="AE19">
        <v>23890</v>
      </c>
      <c r="AF19">
        <v>4467</v>
      </c>
      <c r="AH19" t="s">
        <v>422</v>
      </c>
      <c r="AI19">
        <v>1677</v>
      </c>
      <c r="AJ19">
        <v>229.85152057249999</v>
      </c>
      <c r="AK19">
        <v>2300</v>
      </c>
      <c r="AL19">
        <v>344</v>
      </c>
      <c r="AM19">
        <v>3394</v>
      </c>
      <c r="AN19">
        <v>1259</v>
      </c>
      <c r="AO19">
        <v>1140</v>
      </c>
      <c r="AP19">
        <v>610</v>
      </c>
      <c r="AQ19">
        <v>880</v>
      </c>
      <c r="AR19">
        <v>499</v>
      </c>
      <c r="AS19">
        <v>9</v>
      </c>
      <c r="AT19">
        <v>12</v>
      </c>
      <c r="AV19" t="s">
        <v>382</v>
      </c>
      <c r="AW19">
        <v>1704</v>
      </c>
      <c r="AX19">
        <v>110.1126760563</v>
      </c>
      <c r="AY19">
        <v>1578</v>
      </c>
      <c r="AZ19">
        <v>272</v>
      </c>
      <c r="BA19">
        <v>2042</v>
      </c>
      <c r="BB19">
        <v>767</v>
      </c>
      <c r="BC19">
        <v>18</v>
      </c>
      <c r="BD19">
        <v>16</v>
      </c>
      <c r="BE19">
        <v>87</v>
      </c>
      <c r="BF19">
        <v>34</v>
      </c>
      <c r="BG19">
        <v>252</v>
      </c>
      <c r="BH19">
        <v>364</v>
      </c>
      <c r="BJ19" t="s">
        <v>633</v>
      </c>
      <c r="BK19" t="s">
        <v>390</v>
      </c>
      <c r="BL19">
        <v>990</v>
      </c>
      <c r="BM19">
        <v>123</v>
      </c>
      <c r="BN19">
        <v>65.380808080799994</v>
      </c>
      <c r="BO19">
        <v>2632</v>
      </c>
      <c r="BP19">
        <v>9</v>
      </c>
      <c r="BQ19">
        <v>100.3643617021</v>
      </c>
      <c r="BR19">
        <v>72.111111111100001</v>
      </c>
      <c r="BS19">
        <v>423</v>
      </c>
      <c r="BT19">
        <v>103</v>
      </c>
      <c r="BU19">
        <v>92.427895981099994</v>
      </c>
      <c r="BV19">
        <v>3735</v>
      </c>
      <c r="BW19">
        <v>10</v>
      </c>
      <c r="BX19">
        <v>122.3858099063</v>
      </c>
      <c r="BY19">
        <v>102.6</v>
      </c>
      <c r="CA19" t="s">
        <v>399</v>
      </c>
      <c r="CB19" t="s">
        <v>807</v>
      </c>
      <c r="CC19" t="s">
        <v>1004</v>
      </c>
      <c r="CD19">
        <v>2453</v>
      </c>
      <c r="CE19">
        <v>349</v>
      </c>
      <c r="CF19">
        <v>77.741948634300002</v>
      </c>
      <c r="CG19">
        <v>6905</v>
      </c>
      <c r="CH19">
        <v>20</v>
      </c>
      <c r="CI19">
        <v>110.4099927589</v>
      </c>
      <c r="CJ19">
        <v>82.8</v>
      </c>
      <c r="CL19" t="s">
        <v>399</v>
      </c>
      <c r="CM19" t="s">
        <v>782</v>
      </c>
      <c r="CN19" t="s">
        <v>784</v>
      </c>
      <c r="CO19">
        <v>264</v>
      </c>
      <c r="CP19">
        <v>14</v>
      </c>
      <c r="CQ19">
        <v>56.113636363600001</v>
      </c>
      <c r="CR19">
        <v>1279</v>
      </c>
      <c r="CS19">
        <v>7</v>
      </c>
      <c r="CT19">
        <v>65.845191555900001</v>
      </c>
      <c r="CU19">
        <v>77.714285714300004</v>
      </c>
      <c r="CW19" t="s">
        <v>399</v>
      </c>
      <c r="CX19" t="s">
        <v>795</v>
      </c>
      <c r="CY19" t="s">
        <v>797</v>
      </c>
      <c r="CZ19">
        <v>40</v>
      </c>
      <c r="DA19">
        <v>3</v>
      </c>
      <c r="DB19">
        <v>51.725000000000001</v>
      </c>
      <c r="DC19">
        <v>109</v>
      </c>
      <c r="DD19">
        <v>0</v>
      </c>
      <c r="DE19">
        <v>139.8348623853</v>
      </c>
      <c r="DF19">
        <v>0</v>
      </c>
      <c r="DH19" t="s">
        <v>399</v>
      </c>
      <c r="DI19" t="s">
        <v>769</v>
      </c>
      <c r="DJ19" t="s">
        <v>771</v>
      </c>
      <c r="DK19">
        <v>29</v>
      </c>
      <c r="DL19">
        <v>3</v>
      </c>
      <c r="DM19">
        <v>55.241379310299997</v>
      </c>
      <c r="DN19">
        <v>78</v>
      </c>
      <c r="DO19">
        <v>0</v>
      </c>
      <c r="DP19">
        <v>131.8333333333</v>
      </c>
      <c r="DQ19">
        <v>0</v>
      </c>
    </row>
    <row r="20" spans="2:121" x14ac:dyDescent="0.2">
      <c r="B20" t="s">
        <v>314</v>
      </c>
      <c r="C20">
        <v>1</v>
      </c>
      <c r="D20">
        <v>1</v>
      </c>
      <c r="F20" t="s">
        <v>74</v>
      </c>
      <c r="G20">
        <v>216</v>
      </c>
      <c r="H20">
        <v>121.9351851852</v>
      </c>
      <c r="I20">
        <v>1168</v>
      </c>
      <c r="J20">
        <v>260</v>
      </c>
      <c r="K20">
        <v>1016</v>
      </c>
      <c r="L20">
        <v>69</v>
      </c>
      <c r="M20">
        <v>288</v>
      </c>
      <c r="N20">
        <v>103</v>
      </c>
      <c r="O20">
        <v>25</v>
      </c>
      <c r="P20">
        <v>15</v>
      </c>
      <c r="Q20">
        <v>0</v>
      </c>
      <c r="R20">
        <v>0</v>
      </c>
      <c r="AH20" t="s">
        <v>393</v>
      </c>
      <c r="AI20">
        <v>5598</v>
      </c>
      <c r="AJ20">
        <v>531.30635941410003</v>
      </c>
      <c r="AK20">
        <v>3826</v>
      </c>
      <c r="AL20">
        <v>497</v>
      </c>
      <c r="AM20">
        <v>8961</v>
      </c>
      <c r="AN20">
        <v>5973</v>
      </c>
      <c r="AO20">
        <v>2311</v>
      </c>
      <c r="AP20">
        <v>1976</v>
      </c>
      <c r="AQ20">
        <v>2154</v>
      </c>
      <c r="AR20">
        <v>1408</v>
      </c>
      <c r="AS20">
        <v>712</v>
      </c>
      <c r="AT20">
        <v>157</v>
      </c>
      <c r="AV20" t="s">
        <v>8</v>
      </c>
      <c r="AW20">
        <v>187</v>
      </c>
      <c r="AX20">
        <v>109.513368984</v>
      </c>
      <c r="AY20">
        <v>225</v>
      </c>
      <c r="AZ20">
        <v>109</v>
      </c>
      <c r="BA20">
        <v>368</v>
      </c>
      <c r="BB20">
        <v>215</v>
      </c>
      <c r="BC20">
        <v>7</v>
      </c>
      <c r="BD20">
        <v>6</v>
      </c>
      <c r="BE20">
        <v>4</v>
      </c>
      <c r="BF20">
        <v>2</v>
      </c>
      <c r="BG20">
        <v>57</v>
      </c>
      <c r="BH20">
        <v>18</v>
      </c>
      <c r="BJ20" t="s">
        <v>561</v>
      </c>
      <c r="BK20" t="s">
        <v>390</v>
      </c>
      <c r="BL20">
        <v>5023</v>
      </c>
      <c r="BM20">
        <v>944</v>
      </c>
      <c r="BN20">
        <v>89.981684252400001</v>
      </c>
      <c r="BO20">
        <v>12838</v>
      </c>
      <c r="BP20">
        <v>67</v>
      </c>
      <c r="BQ20">
        <v>127.0990808537</v>
      </c>
      <c r="BR20">
        <v>127.9104477612</v>
      </c>
      <c r="BS20">
        <v>1222</v>
      </c>
      <c r="BT20">
        <v>376</v>
      </c>
      <c r="BU20">
        <v>108.8101472995</v>
      </c>
      <c r="BV20">
        <v>14216</v>
      </c>
      <c r="BW20">
        <v>79</v>
      </c>
      <c r="BX20">
        <v>127.85896173330001</v>
      </c>
      <c r="BY20">
        <v>127.7088607595</v>
      </c>
      <c r="CA20" t="s">
        <v>422</v>
      </c>
      <c r="CB20" t="s">
        <v>807</v>
      </c>
      <c r="CC20" t="s">
        <v>1005</v>
      </c>
      <c r="CD20">
        <v>2216</v>
      </c>
      <c r="CE20">
        <v>321</v>
      </c>
      <c r="CF20">
        <v>76.985108303199993</v>
      </c>
      <c r="CG20">
        <v>7263</v>
      </c>
      <c r="CH20">
        <v>29</v>
      </c>
      <c r="CI20">
        <v>112.39474046540001</v>
      </c>
      <c r="CJ20">
        <v>70.793103448300002</v>
      </c>
      <c r="CL20" t="s">
        <v>422</v>
      </c>
      <c r="CM20" t="s">
        <v>782</v>
      </c>
      <c r="CN20" t="s">
        <v>785</v>
      </c>
      <c r="CO20">
        <v>225</v>
      </c>
      <c r="CP20">
        <v>20</v>
      </c>
      <c r="CQ20">
        <v>63.902222222200002</v>
      </c>
      <c r="CR20">
        <v>1138</v>
      </c>
      <c r="CS20">
        <v>5</v>
      </c>
      <c r="CT20">
        <v>68.224077328600004</v>
      </c>
      <c r="CU20">
        <v>82.2</v>
      </c>
      <c r="CW20" t="s">
        <v>422</v>
      </c>
      <c r="CX20" t="s">
        <v>795</v>
      </c>
      <c r="CY20" t="s">
        <v>798</v>
      </c>
      <c r="CZ20">
        <v>64</v>
      </c>
      <c r="DA20">
        <v>5</v>
      </c>
      <c r="DB20">
        <v>54.421875</v>
      </c>
      <c r="DC20">
        <v>193</v>
      </c>
      <c r="DD20">
        <v>3</v>
      </c>
      <c r="DE20">
        <v>117.98445595850001</v>
      </c>
      <c r="DF20">
        <v>127.3333333333</v>
      </c>
      <c r="DH20" t="s">
        <v>422</v>
      </c>
      <c r="DI20" t="s">
        <v>769</v>
      </c>
      <c r="DJ20" t="s">
        <v>772</v>
      </c>
      <c r="DK20">
        <v>91</v>
      </c>
      <c r="DL20">
        <v>8</v>
      </c>
      <c r="DM20">
        <v>49.450549450499999</v>
      </c>
      <c r="DN20">
        <v>324</v>
      </c>
      <c r="DO20">
        <v>1</v>
      </c>
      <c r="DP20">
        <v>119.7777777778</v>
      </c>
      <c r="DQ20">
        <v>92</v>
      </c>
    </row>
    <row r="21" spans="2:121" x14ac:dyDescent="0.2">
      <c r="B21" t="s">
        <v>109</v>
      </c>
      <c r="C21">
        <v>17577</v>
      </c>
      <c r="D21">
        <v>14496</v>
      </c>
      <c r="F21" t="s">
        <v>8</v>
      </c>
      <c r="G21">
        <v>108</v>
      </c>
      <c r="H21">
        <v>377.19444444440001</v>
      </c>
      <c r="I21">
        <v>349</v>
      </c>
      <c r="J21">
        <v>15</v>
      </c>
      <c r="K21">
        <v>224</v>
      </c>
      <c r="L21">
        <v>103</v>
      </c>
      <c r="M21">
        <v>73</v>
      </c>
      <c r="N21">
        <v>36</v>
      </c>
      <c r="O21">
        <v>66797</v>
      </c>
      <c r="P21">
        <v>37835</v>
      </c>
      <c r="Q21">
        <v>0</v>
      </c>
      <c r="R21">
        <v>1</v>
      </c>
      <c r="AH21" t="s">
        <v>387</v>
      </c>
      <c r="AI21">
        <v>4046</v>
      </c>
      <c r="AJ21">
        <v>429.62654473549998</v>
      </c>
      <c r="AK21">
        <v>5684</v>
      </c>
      <c r="AL21">
        <v>1219</v>
      </c>
      <c r="AM21">
        <v>7753</v>
      </c>
      <c r="AN21">
        <v>3976</v>
      </c>
      <c r="AO21">
        <v>1619</v>
      </c>
      <c r="AP21">
        <v>1111</v>
      </c>
      <c r="AQ21">
        <v>2980</v>
      </c>
      <c r="AR21">
        <v>1940</v>
      </c>
      <c r="AS21">
        <v>345</v>
      </c>
      <c r="AT21">
        <v>270</v>
      </c>
      <c r="AV21" t="s">
        <v>376</v>
      </c>
      <c r="AW21">
        <v>371</v>
      </c>
      <c r="AX21">
        <v>104.5229110512</v>
      </c>
      <c r="AY21">
        <v>629</v>
      </c>
      <c r="AZ21">
        <v>113</v>
      </c>
      <c r="BA21">
        <v>545</v>
      </c>
      <c r="BB21">
        <v>177</v>
      </c>
      <c r="BC21">
        <v>8</v>
      </c>
      <c r="BD21">
        <v>8</v>
      </c>
      <c r="BE21">
        <v>23</v>
      </c>
      <c r="BF21">
        <v>11</v>
      </c>
      <c r="BG21">
        <v>83</v>
      </c>
      <c r="BH21">
        <v>147</v>
      </c>
      <c r="BJ21" t="s">
        <v>578</v>
      </c>
      <c r="BK21" t="s">
        <v>390</v>
      </c>
      <c r="BL21">
        <v>1776</v>
      </c>
      <c r="BM21">
        <v>239</v>
      </c>
      <c r="BN21">
        <v>72.810810810800007</v>
      </c>
      <c r="BO21">
        <v>5536</v>
      </c>
      <c r="BP21">
        <v>26</v>
      </c>
      <c r="BQ21">
        <v>116.76643786130001</v>
      </c>
      <c r="BR21">
        <v>89.692307692300005</v>
      </c>
      <c r="BS21">
        <v>1358</v>
      </c>
      <c r="BT21">
        <v>213</v>
      </c>
      <c r="BU21">
        <v>79.130338733399995</v>
      </c>
      <c r="BV21">
        <v>13627</v>
      </c>
      <c r="BW21">
        <v>46</v>
      </c>
      <c r="BX21">
        <v>140.95596976589999</v>
      </c>
      <c r="BY21">
        <v>91.630434782600005</v>
      </c>
      <c r="CA21" t="s">
        <v>395</v>
      </c>
      <c r="CB21" t="s">
        <v>807</v>
      </c>
      <c r="CC21" t="s">
        <v>1006</v>
      </c>
      <c r="CD21">
        <v>7837</v>
      </c>
      <c r="CE21">
        <v>1994</v>
      </c>
      <c r="CF21">
        <v>99.030496363400005</v>
      </c>
      <c r="CG21">
        <v>17667</v>
      </c>
      <c r="CH21">
        <v>81</v>
      </c>
      <c r="CI21">
        <v>134.38416256299999</v>
      </c>
      <c r="CJ21">
        <v>127.0617283951</v>
      </c>
      <c r="CL21" t="s">
        <v>395</v>
      </c>
      <c r="CM21" t="s">
        <v>782</v>
      </c>
      <c r="CN21" t="s">
        <v>786</v>
      </c>
      <c r="CO21">
        <v>771</v>
      </c>
      <c r="CP21">
        <v>110</v>
      </c>
      <c r="CQ21">
        <v>72.988326848200003</v>
      </c>
      <c r="CR21">
        <v>3869</v>
      </c>
      <c r="CS21">
        <v>5</v>
      </c>
      <c r="CT21">
        <v>71.814680796100006</v>
      </c>
      <c r="CU21">
        <v>46.2</v>
      </c>
      <c r="CW21" t="s">
        <v>395</v>
      </c>
      <c r="CX21" t="s">
        <v>795</v>
      </c>
      <c r="CY21" t="s">
        <v>799</v>
      </c>
      <c r="CZ21">
        <v>113</v>
      </c>
      <c r="DA21">
        <v>20</v>
      </c>
      <c r="DB21">
        <v>69.575221238899999</v>
      </c>
      <c r="DC21">
        <v>341</v>
      </c>
      <c r="DD21">
        <v>1</v>
      </c>
      <c r="DE21">
        <v>142.07624633430001</v>
      </c>
      <c r="DF21">
        <v>223</v>
      </c>
      <c r="DH21" t="s">
        <v>395</v>
      </c>
      <c r="DI21" t="s">
        <v>769</v>
      </c>
      <c r="DJ21" t="s">
        <v>773</v>
      </c>
      <c r="DK21">
        <v>105</v>
      </c>
      <c r="DL21">
        <v>19</v>
      </c>
      <c r="DM21">
        <v>72.542857142900004</v>
      </c>
      <c r="DN21">
        <v>274</v>
      </c>
      <c r="DO21">
        <v>2</v>
      </c>
      <c r="DP21">
        <v>123.6423357664</v>
      </c>
      <c r="DQ21">
        <v>107.5</v>
      </c>
    </row>
    <row r="22" spans="2:121" x14ac:dyDescent="0.2">
      <c r="B22" t="s">
        <v>1058</v>
      </c>
      <c r="C22">
        <v>1300</v>
      </c>
      <c r="D22">
        <v>567</v>
      </c>
      <c r="F22" t="s">
        <v>44</v>
      </c>
      <c r="G22">
        <v>600</v>
      </c>
      <c r="H22">
        <v>281.50333333330002</v>
      </c>
      <c r="I22">
        <v>1842</v>
      </c>
      <c r="J22">
        <v>277</v>
      </c>
      <c r="K22">
        <v>2477</v>
      </c>
      <c r="L22">
        <v>647</v>
      </c>
      <c r="M22">
        <v>450</v>
      </c>
      <c r="N22">
        <v>241</v>
      </c>
      <c r="O22">
        <v>800</v>
      </c>
      <c r="P22">
        <v>651</v>
      </c>
      <c r="Q22">
        <v>0</v>
      </c>
      <c r="R22">
        <v>5</v>
      </c>
      <c r="AH22" t="s">
        <v>416</v>
      </c>
      <c r="AI22">
        <v>1090</v>
      </c>
      <c r="AJ22">
        <v>315.57798165140002</v>
      </c>
      <c r="AK22">
        <v>1275</v>
      </c>
      <c r="AL22">
        <v>173</v>
      </c>
      <c r="AM22">
        <v>2160</v>
      </c>
      <c r="AN22">
        <v>899</v>
      </c>
      <c r="AO22">
        <v>871</v>
      </c>
      <c r="AP22">
        <v>645</v>
      </c>
      <c r="AQ22">
        <v>461</v>
      </c>
      <c r="AR22">
        <v>275</v>
      </c>
      <c r="AS22">
        <v>386</v>
      </c>
      <c r="AT22">
        <v>2</v>
      </c>
      <c r="AV22" t="s">
        <v>422</v>
      </c>
      <c r="AW22">
        <v>170</v>
      </c>
      <c r="AX22">
        <v>69.476470588200002</v>
      </c>
      <c r="AY22">
        <v>195</v>
      </c>
      <c r="AZ22">
        <v>11</v>
      </c>
      <c r="BA22">
        <v>241</v>
      </c>
      <c r="BB22">
        <v>30</v>
      </c>
      <c r="BC22">
        <v>0</v>
      </c>
      <c r="BE22">
        <v>14</v>
      </c>
      <c r="BF22">
        <v>3</v>
      </c>
      <c r="BG22">
        <v>179</v>
      </c>
      <c r="BH22">
        <v>31</v>
      </c>
      <c r="BJ22" t="s">
        <v>390</v>
      </c>
      <c r="BK22" t="s">
        <v>390</v>
      </c>
      <c r="BL22">
        <v>54106</v>
      </c>
      <c r="BM22">
        <v>10083</v>
      </c>
      <c r="BN22">
        <v>87.609045207600005</v>
      </c>
      <c r="BO22">
        <v>136286</v>
      </c>
      <c r="BP22">
        <v>604</v>
      </c>
      <c r="BQ22">
        <v>124.89251280400001</v>
      </c>
      <c r="BR22">
        <v>113.69867549670001</v>
      </c>
      <c r="BS22">
        <v>14797</v>
      </c>
      <c r="BT22">
        <v>4211</v>
      </c>
      <c r="BU22">
        <v>104.3829830371</v>
      </c>
      <c r="BV22">
        <v>154416</v>
      </c>
      <c r="BW22">
        <v>712</v>
      </c>
      <c r="BX22">
        <v>129.83498471659999</v>
      </c>
      <c r="BY22">
        <v>113.2134831461</v>
      </c>
      <c r="CA22" t="s">
        <v>401</v>
      </c>
      <c r="CB22" t="s">
        <v>807</v>
      </c>
      <c r="CC22" t="s">
        <v>1007</v>
      </c>
      <c r="CD22">
        <v>5016</v>
      </c>
      <c r="CE22">
        <v>667</v>
      </c>
      <c r="CF22">
        <v>75.749202551799996</v>
      </c>
      <c r="CG22">
        <v>14686</v>
      </c>
      <c r="CH22">
        <v>58</v>
      </c>
      <c r="CI22">
        <v>106.9982296064</v>
      </c>
      <c r="CJ22">
        <v>110.3620689655</v>
      </c>
      <c r="CL22" t="s">
        <v>401</v>
      </c>
      <c r="CM22" t="s">
        <v>782</v>
      </c>
      <c r="CN22" t="s">
        <v>787</v>
      </c>
      <c r="CO22">
        <v>308</v>
      </c>
      <c r="CP22">
        <v>15</v>
      </c>
      <c r="CQ22">
        <v>54.668831168799997</v>
      </c>
      <c r="CR22">
        <v>1606</v>
      </c>
      <c r="CS22">
        <v>6</v>
      </c>
      <c r="CT22">
        <v>62.995018680000001</v>
      </c>
      <c r="CU22">
        <v>68.833333333300004</v>
      </c>
      <c r="CW22" t="s">
        <v>401</v>
      </c>
      <c r="CX22" t="s">
        <v>795</v>
      </c>
      <c r="CY22" t="s">
        <v>800</v>
      </c>
      <c r="CZ22">
        <v>53</v>
      </c>
      <c r="DA22">
        <v>4</v>
      </c>
      <c r="DB22">
        <v>58.905660377399997</v>
      </c>
      <c r="DC22">
        <v>158</v>
      </c>
      <c r="DD22">
        <v>1</v>
      </c>
      <c r="DE22">
        <v>127.4367088608</v>
      </c>
      <c r="DF22">
        <v>78</v>
      </c>
      <c r="DH22" t="s">
        <v>401</v>
      </c>
      <c r="DI22" t="s">
        <v>769</v>
      </c>
      <c r="DJ22" t="s">
        <v>774</v>
      </c>
      <c r="DK22">
        <v>21</v>
      </c>
      <c r="DL22">
        <v>5</v>
      </c>
      <c r="DM22">
        <v>84.095238095200003</v>
      </c>
      <c r="DN22">
        <v>93</v>
      </c>
      <c r="DO22">
        <v>1</v>
      </c>
      <c r="DP22">
        <v>125.4946236559</v>
      </c>
      <c r="DQ22">
        <v>141</v>
      </c>
    </row>
    <row r="23" spans="2:121" x14ac:dyDescent="0.2">
      <c r="B23" t="s">
        <v>110</v>
      </c>
      <c r="C23">
        <v>1106</v>
      </c>
      <c r="D23">
        <v>354</v>
      </c>
      <c r="F23" t="s">
        <v>43</v>
      </c>
      <c r="G23">
        <v>191</v>
      </c>
      <c r="H23">
        <v>90.015706806300003</v>
      </c>
      <c r="I23">
        <v>915</v>
      </c>
      <c r="J23">
        <v>124</v>
      </c>
      <c r="K23">
        <v>953</v>
      </c>
      <c r="L23">
        <v>19</v>
      </c>
      <c r="M23">
        <v>127</v>
      </c>
      <c r="N23">
        <v>50</v>
      </c>
      <c r="O23">
        <v>74</v>
      </c>
      <c r="P23">
        <v>36</v>
      </c>
      <c r="Q23">
        <v>0</v>
      </c>
      <c r="R23">
        <v>0</v>
      </c>
      <c r="AH23" t="s">
        <v>376</v>
      </c>
      <c r="AI23">
        <v>8524</v>
      </c>
      <c r="AJ23">
        <v>648.07578601600005</v>
      </c>
      <c r="AK23">
        <v>6421</v>
      </c>
      <c r="AL23">
        <v>1441</v>
      </c>
      <c r="AM23">
        <v>12849</v>
      </c>
      <c r="AN23">
        <v>8278</v>
      </c>
      <c r="AO23">
        <v>4311</v>
      </c>
      <c r="AP23">
        <v>3692</v>
      </c>
      <c r="AQ23">
        <v>3296</v>
      </c>
      <c r="AR23">
        <v>2259</v>
      </c>
      <c r="AS23">
        <v>480</v>
      </c>
      <c r="AT23">
        <v>6</v>
      </c>
      <c r="AV23" t="s">
        <v>397</v>
      </c>
      <c r="AW23">
        <v>499</v>
      </c>
      <c r="AX23">
        <v>70.887775551100006</v>
      </c>
      <c r="AY23">
        <v>666</v>
      </c>
      <c r="AZ23">
        <v>82</v>
      </c>
      <c r="BA23">
        <v>705</v>
      </c>
      <c r="BB23">
        <v>69</v>
      </c>
      <c r="BC23">
        <v>3</v>
      </c>
      <c r="BD23">
        <v>3</v>
      </c>
      <c r="BE23">
        <v>38</v>
      </c>
      <c r="BF23">
        <v>12</v>
      </c>
      <c r="BG23">
        <v>97</v>
      </c>
      <c r="BH23">
        <v>52</v>
      </c>
      <c r="BJ23" t="s">
        <v>571</v>
      </c>
      <c r="BK23" t="s">
        <v>390</v>
      </c>
      <c r="BL23">
        <v>4298</v>
      </c>
      <c r="BM23">
        <v>592</v>
      </c>
      <c r="BN23">
        <v>77.894602140499998</v>
      </c>
      <c r="BO23">
        <v>11284</v>
      </c>
      <c r="BP23">
        <v>28</v>
      </c>
      <c r="BQ23">
        <v>114.09136830910001</v>
      </c>
      <c r="BR23">
        <v>84.214285714300004</v>
      </c>
      <c r="BS23">
        <v>1040</v>
      </c>
      <c r="BT23">
        <v>217</v>
      </c>
      <c r="BU23">
        <v>85.959615384599999</v>
      </c>
      <c r="BV23">
        <v>12906</v>
      </c>
      <c r="BW23">
        <v>35</v>
      </c>
      <c r="BX23">
        <v>127.03509995349999</v>
      </c>
      <c r="BY23">
        <v>114.7142857143</v>
      </c>
      <c r="CA23" t="s">
        <v>397</v>
      </c>
      <c r="CB23" t="s">
        <v>807</v>
      </c>
      <c r="CC23" t="s">
        <v>1008</v>
      </c>
      <c r="CD23">
        <v>6132</v>
      </c>
      <c r="CE23">
        <v>1164</v>
      </c>
      <c r="CF23">
        <v>86.381278538800004</v>
      </c>
      <c r="CG23">
        <v>15854</v>
      </c>
      <c r="CH23">
        <v>55</v>
      </c>
      <c r="CI23">
        <v>117.1843698751</v>
      </c>
      <c r="CJ23">
        <v>139.83636363639999</v>
      </c>
      <c r="CL23" t="s">
        <v>397</v>
      </c>
      <c r="CM23" t="s">
        <v>782</v>
      </c>
      <c r="CN23" t="s">
        <v>788</v>
      </c>
      <c r="CO23">
        <v>521</v>
      </c>
      <c r="CP23">
        <v>82</v>
      </c>
      <c r="CQ23">
        <v>75.666026871400007</v>
      </c>
      <c r="CR23">
        <v>2717</v>
      </c>
      <c r="CS23">
        <v>11</v>
      </c>
      <c r="CT23">
        <v>70.220463746799993</v>
      </c>
      <c r="CU23">
        <v>75.363636363599994</v>
      </c>
      <c r="CW23" t="s">
        <v>397</v>
      </c>
      <c r="CX23" t="s">
        <v>795</v>
      </c>
      <c r="CY23" t="s">
        <v>801</v>
      </c>
      <c r="CZ23">
        <v>100</v>
      </c>
      <c r="DA23">
        <v>8</v>
      </c>
      <c r="DB23">
        <v>58.93</v>
      </c>
      <c r="DC23">
        <v>389</v>
      </c>
      <c r="DD23">
        <v>2</v>
      </c>
      <c r="DE23">
        <v>125.1825192802</v>
      </c>
      <c r="DF23">
        <v>76</v>
      </c>
      <c r="DH23" t="s">
        <v>397</v>
      </c>
      <c r="DI23" t="s">
        <v>769</v>
      </c>
      <c r="DJ23" t="s">
        <v>775</v>
      </c>
      <c r="DK23">
        <v>105</v>
      </c>
      <c r="DL23">
        <v>10</v>
      </c>
      <c r="DM23">
        <v>57.952380952399999</v>
      </c>
      <c r="DN23">
        <v>358</v>
      </c>
      <c r="DO23">
        <v>1</v>
      </c>
      <c r="DP23">
        <v>124.79050279330001</v>
      </c>
      <c r="DQ23">
        <v>40</v>
      </c>
    </row>
    <row r="24" spans="2:121" x14ac:dyDescent="0.2">
      <c r="B24" t="s">
        <v>104</v>
      </c>
      <c r="C24">
        <v>35112</v>
      </c>
      <c r="D24">
        <v>24139</v>
      </c>
      <c r="F24" t="s">
        <v>39</v>
      </c>
      <c r="G24">
        <v>7934</v>
      </c>
      <c r="H24">
        <v>313.22901436849997</v>
      </c>
      <c r="I24">
        <v>9206</v>
      </c>
      <c r="J24">
        <v>2296</v>
      </c>
      <c r="K24">
        <v>14230</v>
      </c>
      <c r="L24">
        <v>8260</v>
      </c>
      <c r="M24">
        <v>2690</v>
      </c>
      <c r="N24">
        <v>2103</v>
      </c>
      <c r="O24">
        <v>1486</v>
      </c>
      <c r="P24">
        <v>976</v>
      </c>
      <c r="Q24">
        <v>1</v>
      </c>
      <c r="R24">
        <v>59</v>
      </c>
      <c r="T24" t="s">
        <v>647</v>
      </c>
      <c r="U24" t="s">
        <v>306</v>
      </c>
      <c r="V24" t="s">
        <v>133</v>
      </c>
      <c r="W24" t="s">
        <v>214</v>
      </c>
      <c r="X24" t="s">
        <v>215</v>
      </c>
      <c r="Y24" t="s">
        <v>216</v>
      </c>
      <c r="Z24" t="s">
        <v>217</v>
      </c>
      <c r="AA24" t="s">
        <v>218</v>
      </c>
      <c r="AB24" t="s">
        <v>219</v>
      </c>
      <c r="AC24" t="s">
        <v>220</v>
      </c>
      <c r="AD24" t="s">
        <v>221</v>
      </c>
      <c r="AE24" t="s">
        <v>222</v>
      </c>
      <c r="AF24" t="s">
        <v>223</v>
      </c>
      <c r="AH24" t="s">
        <v>371</v>
      </c>
      <c r="AI24">
        <v>3676</v>
      </c>
      <c r="AJ24">
        <v>560.54216539720005</v>
      </c>
      <c r="AK24">
        <v>4262</v>
      </c>
      <c r="AL24">
        <v>834</v>
      </c>
      <c r="AM24">
        <v>7793</v>
      </c>
      <c r="AN24">
        <v>3912</v>
      </c>
      <c r="AO24">
        <v>2685</v>
      </c>
      <c r="AP24">
        <v>2152</v>
      </c>
      <c r="AQ24">
        <v>1396</v>
      </c>
      <c r="AR24">
        <v>1037</v>
      </c>
      <c r="AS24">
        <v>791</v>
      </c>
      <c r="AT24">
        <v>11</v>
      </c>
      <c r="AV24" t="s">
        <v>407</v>
      </c>
      <c r="AW24">
        <v>1312</v>
      </c>
      <c r="AX24">
        <v>74.567073170699999</v>
      </c>
      <c r="AY24">
        <v>1772</v>
      </c>
      <c r="AZ24">
        <v>72</v>
      </c>
      <c r="BA24">
        <v>2124</v>
      </c>
      <c r="BB24">
        <v>268</v>
      </c>
      <c r="BC24">
        <v>13</v>
      </c>
      <c r="BD24">
        <v>12</v>
      </c>
      <c r="BE24">
        <v>98</v>
      </c>
      <c r="BF24">
        <v>36</v>
      </c>
      <c r="BG24">
        <v>1635</v>
      </c>
      <c r="BH24">
        <v>441</v>
      </c>
      <c r="BJ24" t="s">
        <v>635</v>
      </c>
      <c r="BK24" t="s">
        <v>390</v>
      </c>
      <c r="BL24">
        <v>1208</v>
      </c>
      <c r="BM24">
        <v>261</v>
      </c>
      <c r="BN24">
        <v>83.064569536400001</v>
      </c>
      <c r="BO24">
        <v>2297</v>
      </c>
      <c r="BP24">
        <v>11</v>
      </c>
      <c r="BQ24">
        <v>107.4205485416</v>
      </c>
      <c r="BR24">
        <v>96.181818181799997</v>
      </c>
      <c r="BS24">
        <v>419</v>
      </c>
      <c r="BT24">
        <v>108</v>
      </c>
      <c r="BU24">
        <v>95.300715990499995</v>
      </c>
      <c r="BV24">
        <v>4087</v>
      </c>
      <c r="BW24">
        <v>14</v>
      </c>
      <c r="BX24">
        <v>130.1561047223</v>
      </c>
      <c r="BY24">
        <v>95.642857142899999</v>
      </c>
      <c r="CA24" t="s">
        <v>400</v>
      </c>
      <c r="CB24" t="s">
        <v>807</v>
      </c>
      <c r="CC24" t="s">
        <v>1009</v>
      </c>
      <c r="CD24">
        <v>1790</v>
      </c>
      <c r="CE24">
        <v>238</v>
      </c>
      <c r="CF24">
        <v>71.824581005599995</v>
      </c>
      <c r="CG24">
        <v>5648</v>
      </c>
      <c r="CH24">
        <v>29</v>
      </c>
      <c r="CI24">
        <v>113.25424929179999</v>
      </c>
      <c r="CJ24">
        <v>90.275862068999999</v>
      </c>
      <c r="CL24" t="s">
        <v>400</v>
      </c>
      <c r="CM24" t="s">
        <v>782</v>
      </c>
      <c r="CN24" t="s">
        <v>789</v>
      </c>
      <c r="CO24">
        <v>118</v>
      </c>
      <c r="CP24">
        <v>13</v>
      </c>
      <c r="CQ24">
        <v>80.042372881399999</v>
      </c>
      <c r="CR24">
        <v>479</v>
      </c>
      <c r="CS24">
        <v>2</v>
      </c>
      <c r="CT24">
        <v>72.296450939500005</v>
      </c>
      <c r="CU24">
        <v>83</v>
      </c>
      <c r="CW24" t="s">
        <v>400</v>
      </c>
      <c r="CX24" t="s">
        <v>795</v>
      </c>
      <c r="CY24" t="s">
        <v>802</v>
      </c>
      <c r="CZ24">
        <v>30</v>
      </c>
      <c r="DA24">
        <v>5</v>
      </c>
      <c r="DB24">
        <v>65.400000000000006</v>
      </c>
      <c r="DC24">
        <v>96</v>
      </c>
      <c r="DD24">
        <v>0</v>
      </c>
      <c r="DE24">
        <v>121.3229166667</v>
      </c>
      <c r="DF24">
        <v>0</v>
      </c>
      <c r="DH24" t="s">
        <v>400</v>
      </c>
      <c r="DI24" t="s">
        <v>769</v>
      </c>
      <c r="DJ24" t="s">
        <v>776</v>
      </c>
      <c r="DK24">
        <v>76</v>
      </c>
      <c r="DL24">
        <v>3</v>
      </c>
      <c r="DM24">
        <v>41.473684210499997</v>
      </c>
      <c r="DN24">
        <v>179</v>
      </c>
      <c r="DO24">
        <v>0</v>
      </c>
      <c r="DP24">
        <v>117.87150837990001</v>
      </c>
      <c r="DQ24">
        <v>0</v>
      </c>
    </row>
    <row r="25" spans="2:121" x14ac:dyDescent="0.2">
      <c r="B25" t="s">
        <v>103</v>
      </c>
      <c r="C25">
        <v>26</v>
      </c>
      <c r="D25">
        <v>24</v>
      </c>
      <c r="F25" t="s">
        <v>35</v>
      </c>
      <c r="G25">
        <v>3579</v>
      </c>
      <c r="H25">
        <v>608.06230790719997</v>
      </c>
      <c r="I25">
        <v>3160</v>
      </c>
      <c r="J25">
        <v>619</v>
      </c>
      <c r="K25">
        <v>6905</v>
      </c>
      <c r="L25">
        <v>3775</v>
      </c>
      <c r="M25">
        <v>2649</v>
      </c>
      <c r="N25">
        <v>2096</v>
      </c>
      <c r="O25">
        <v>644</v>
      </c>
      <c r="P25">
        <v>564</v>
      </c>
      <c r="Q25">
        <v>0</v>
      </c>
      <c r="R25">
        <v>3</v>
      </c>
      <c r="T25" t="s">
        <v>385</v>
      </c>
      <c r="U25">
        <v>42567</v>
      </c>
      <c r="V25">
        <v>354.20919961470003</v>
      </c>
      <c r="W25">
        <v>65927</v>
      </c>
      <c r="X25">
        <v>13215</v>
      </c>
      <c r="Y25">
        <v>81835</v>
      </c>
      <c r="Z25">
        <v>39008</v>
      </c>
      <c r="AA25">
        <v>21211</v>
      </c>
      <c r="AB25">
        <v>15203</v>
      </c>
      <c r="AC25">
        <v>32318</v>
      </c>
      <c r="AD25">
        <v>19048</v>
      </c>
      <c r="AE25">
        <v>1401</v>
      </c>
      <c r="AF25">
        <v>1121</v>
      </c>
      <c r="AH25" t="s">
        <v>395</v>
      </c>
      <c r="AI25">
        <v>3357</v>
      </c>
      <c r="AJ25">
        <v>353.30592791179998</v>
      </c>
      <c r="AK25">
        <v>8004</v>
      </c>
      <c r="AL25">
        <v>2055</v>
      </c>
      <c r="AM25">
        <v>7937</v>
      </c>
      <c r="AN25">
        <v>3922</v>
      </c>
      <c r="AO25">
        <v>2175</v>
      </c>
      <c r="AP25">
        <v>1761</v>
      </c>
      <c r="AQ25">
        <v>2510</v>
      </c>
      <c r="AR25">
        <v>1490</v>
      </c>
      <c r="AS25">
        <v>1102</v>
      </c>
      <c r="AT25">
        <v>227</v>
      </c>
      <c r="AV25" t="s">
        <v>403</v>
      </c>
      <c r="AW25">
        <v>211</v>
      </c>
      <c r="AX25">
        <v>90.876777251199996</v>
      </c>
      <c r="AY25">
        <v>237</v>
      </c>
      <c r="AZ25">
        <v>14</v>
      </c>
      <c r="BA25">
        <v>365</v>
      </c>
      <c r="BB25">
        <v>75</v>
      </c>
      <c r="BC25">
        <v>5</v>
      </c>
      <c r="BD25">
        <v>2</v>
      </c>
      <c r="BE25">
        <v>22</v>
      </c>
      <c r="BF25">
        <v>12</v>
      </c>
      <c r="BG25">
        <v>380</v>
      </c>
      <c r="BH25">
        <v>67</v>
      </c>
      <c r="BJ25" t="s">
        <v>574</v>
      </c>
      <c r="BK25" t="s">
        <v>390</v>
      </c>
      <c r="BL25">
        <v>6312</v>
      </c>
      <c r="BM25">
        <v>1148</v>
      </c>
      <c r="BN25">
        <v>85.144803548799999</v>
      </c>
      <c r="BO25">
        <v>14948</v>
      </c>
      <c r="BP25">
        <v>58</v>
      </c>
      <c r="BQ25">
        <v>119.9493577736</v>
      </c>
      <c r="BR25">
        <v>133.84482758620001</v>
      </c>
      <c r="BS25">
        <v>2344</v>
      </c>
      <c r="BT25">
        <v>557</v>
      </c>
      <c r="BU25">
        <v>94.478242320800007</v>
      </c>
      <c r="BV25">
        <v>16795</v>
      </c>
      <c r="BW25">
        <v>66</v>
      </c>
      <c r="BX25">
        <v>123.3960107175</v>
      </c>
      <c r="BY25">
        <v>132.19696969699999</v>
      </c>
      <c r="CA25" t="s">
        <v>419</v>
      </c>
      <c r="CB25" t="s">
        <v>807</v>
      </c>
      <c r="CC25" t="s">
        <v>1010</v>
      </c>
      <c r="CD25">
        <v>633</v>
      </c>
      <c r="CE25">
        <v>83</v>
      </c>
      <c r="CF25">
        <v>67.955766192699997</v>
      </c>
      <c r="CG25">
        <v>1964</v>
      </c>
      <c r="CH25">
        <v>5</v>
      </c>
      <c r="CI25">
        <v>98.961812627300006</v>
      </c>
      <c r="CJ25">
        <v>69.400000000000006</v>
      </c>
      <c r="CL25" t="s">
        <v>419</v>
      </c>
      <c r="CM25" t="s">
        <v>782</v>
      </c>
      <c r="CN25" t="s">
        <v>790</v>
      </c>
      <c r="CO25">
        <v>32</v>
      </c>
      <c r="CP25">
        <v>4</v>
      </c>
      <c r="CQ25">
        <v>59.34375</v>
      </c>
      <c r="CR25">
        <v>191</v>
      </c>
      <c r="CS25">
        <v>1</v>
      </c>
      <c r="CT25">
        <v>63.157068062800001</v>
      </c>
      <c r="CU25">
        <v>36</v>
      </c>
      <c r="CW25" t="s">
        <v>419</v>
      </c>
      <c r="CX25" t="s">
        <v>795</v>
      </c>
      <c r="CY25" t="s">
        <v>803</v>
      </c>
      <c r="CZ25">
        <v>6</v>
      </c>
      <c r="DA25">
        <v>1</v>
      </c>
      <c r="DB25">
        <v>73.166666666699996</v>
      </c>
      <c r="DC25">
        <v>35</v>
      </c>
      <c r="DD25">
        <v>1</v>
      </c>
      <c r="DE25">
        <v>114.8</v>
      </c>
      <c r="DF25">
        <v>304</v>
      </c>
      <c r="DH25" t="s">
        <v>419</v>
      </c>
      <c r="DI25" t="s">
        <v>769</v>
      </c>
      <c r="DJ25" t="s">
        <v>777</v>
      </c>
      <c r="DK25">
        <v>12</v>
      </c>
      <c r="DL25">
        <v>1</v>
      </c>
      <c r="DM25">
        <v>43</v>
      </c>
      <c r="DN25">
        <v>12</v>
      </c>
      <c r="DO25">
        <v>0</v>
      </c>
      <c r="DP25">
        <v>110.8333333333</v>
      </c>
      <c r="DQ25">
        <v>0</v>
      </c>
    </row>
    <row r="26" spans="2:121" x14ac:dyDescent="0.2">
      <c r="B26" t="s">
        <v>88</v>
      </c>
      <c r="C26">
        <v>82083</v>
      </c>
      <c r="D26">
        <v>19015</v>
      </c>
      <c r="F26" t="s">
        <v>79</v>
      </c>
      <c r="G26">
        <v>9558</v>
      </c>
      <c r="H26">
        <v>321.61424984310003</v>
      </c>
      <c r="I26">
        <v>16868</v>
      </c>
      <c r="J26">
        <v>2895</v>
      </c>
      <c r="K26">
        <v>16184</v>
      </c>
      <c r="L26">
        <v>6985</v>
      </c>
      <c r="M26">
        <v>3589</v>
      </c>
      <c r="N26">
        <v>2190</v>
      </c>
      <c r="O26">
        <v>7797</v>
      </c>
      <c r="P26">
        <v>3427</v>
      </c>
      <c r="Q26">
        <v>3</v>
      </c>
      <c r="R26">
        <v>201</v>
      </c>
      <c r="T26" t="s">
        <v>390</v>
      </c>
      <c r="U26">
        <v>30465</v>
      </c>
      <c r="V26">
        <v>372.23728869190001</v>
      </c>
      <c r="W26">
        <v>52656</v>
      </c>
      <c r="X26">
        <v>9895</v>
      </c>
      <c r="Y26">
        <v>66757</v>
      </c>
      <c r="Z26">
        <v>28746</v>
      </c>
      <c r="AA26">
        <v>17674</v>
      </c>
      <c r="AB26">
        <v>14009</v>
      </c>
      <c r="AC26">
        <v>23212</v>
      </c>
      <c r="AD26">
        <v>15164</v>
      </c>
      <c r="AE26">
        <v>5844</v>
      </c>
      <c r="AF26">
        <v>1123</v>
      </c>
      <c r="AH26" t="s">
        <v>401</v>
      </c>
      <c r="AI26">
        <v>1648</v>
      </c>
      <c r="AJ26">
        <v>172.78883495150001</v>
      </c>
      <c r="AK26">
        <v>4918</v>
      </c>
      <c r="AL26">
        <v>681</v>
      </c>
      <c r="AM26">
        <v>5340</v>
      </c>
      <c r="AN26">
        <v>1003</v>
      </c>
      <c r="AO26">
        <v>1014</v>
      </c>
      <c r="AP26">
        <v>553</v>
      </c>
      <c r="AQ26">
        <v>1261</v>
      </c>
      <c r="AR26">
        <v>714</v>
      </c>
      <c r="AS26">
        <v>8</v>
      </c>
      <c r="AT26">
        <v>5</v>
      </c>
      <c r="AV26" t="s">
        <v>80</v>
      </c>
      <c r="AW26">
        <v>253</v>
      </c>
      <c r="AX26">
        <v>63.596837944699999</v>
      </c>
      <c r="AY26">
        <v>375</v>
      </c>
      <c r="AZ26">
        <v>15</v>
      </c>
      <c r="BA26">
        <v>451</v>
      </c>
      <c r="BB26">
        <v>67</v>
      </c>
      <c r="BC26">
        <v>0</v>
      </c>
      <c r="BE26">
        <v>19</v>
      </c>
      <c r="BF26">
        <v>7</v>
      </c>
      <c r="BG26">
        <v>569</v>
      </c>
      <c r="BH26">
        <v>114</v>
      </c>
      <c r="BJ26" t="s">
        <v>580</v>
      </c>
      <c r="BK26" t="s">
        <v>390</v>
      </c>
      <c r="BL26">
        <v>7636</v>
      </c>
      <c r="BM26">
        <v>1219</v>
      </c>
      <c r="BN26">
        <v>82.676401257199998</v>
      </c>
      <c r="BO26">
        <v>18873</v>
      </c>
      <c r="BP26">
        <v>86</v>
      </c>
      <c r="BQ26">
        <v>115.1601759127</v>
      </c>
      <c r="BR26">
        <v>124.488372093</v>
      </c>
      <c r="BS26">
        <v>1633</v>
      </c>
      <c r="BT26">
        <v>427</v>
      </c>
      <c r="BU26">
        <v>100.5823637477</v>
      </c>
      <c r="BV26">
        <v>22877</v>
      </c>
      <c r="BW26">
        <v>112</v>
      </c>
      <c r="BX26">
        <v>125.14062158500001</v>
      </c>
      <c r="BY26">
        <v>113.8571428571</v>
      </c>
      <c r="CA26" t="s">
        <v>391</v>
      </c>
      <c r="CB26" t="s">
        <v>807</v>
      </c>
      <c r="CC26" t="s">
        <v>1011</v>
      </c>
      <c r="CD26">
        <v>8246</v>
      </c>
      <c r="CE26">
        <v>1441</v>
      </c>
      <c r="CF26">
        <v>90.098957070099999</v>
      </c>
      <c r="CG26">
        <v>22748</v>
      </c>
      <c r="CH26">
        <v>121</v>
      </c>
      <c r="CI26">
        <v>127.9498857042</v>
      </c>
      <c r="CJ26">
        <v>107.8842975207</v>
      </c>
      <c r="CL26" t="s">
        <v>391</v>
      </c>
      <c r="CM26" t="s">
        <v>782</v>
      </c>
      <c r="CN26" t="s">
        <v>791</v>
      </c>
      <c r="CO26">
        <v>828</v>
      </c>
      <c r="CP26">
        <v>89</v>
      </c>
      <c r="CQ26">
        <v>70.060386473400001</v>
      </c>
      <c r="CR26">
        <v>4369</v>
      </c>
      <c r="CS26">
        <v>6</v>
      </c>
      <c r="CT26">
        <v>71.298924239000002</v>
      </c>
      <c r="CU26">
        <v>70.166666666699996</v>
      </c>
      <c r="CW26" t="s">
        <v>391</v>
      </c>
      <c r="CX26" t="s">
        <v>795</v>
      </c>
      <c r="CY26" t="s">
        <v>804</v>
      </c>
      <c r="CZ26">
        <v>158</v>
      </c>
      <c r="DA26">
        <v>23</v>
      </c>
      <c r="DB26">
        <v>64.1708860759</v>
      </c>
      <c r="DC26">
        <v>504</v>
      </c>
      <c r="DD26">
        <v>1</v>
      </c>
      <c r="DE26">
        <v>137.32936507939999</v>
      </c>
      <c r="DF26">
        <v>183</v>
      </c>
      <c r="DH26" t="s">
        <v>391</v>
      </c>
      <c r="DI26" t="s">
        <v>769</v>
      </c>
      <c r="DJ26" t="s">
        <v>778</v>
      </c>
      <c r="DK26">
        <v>130</v>
      </c>
      <c r="DL26">
        <v>29</v>
      </c>
      <c r="DM26">
        <v>78.853846153800006</v>
      </c>
      <c r="DN26">
        <v>345</v>
      </c>
      <c r="DO26">
        <v>3</v>
      </c>
      <c r="DP26">
        <v>130.9797101449</v>
      </c>
      <c r="DQ26">
        <v>184.3333333333</v>
      </c>
    </row>
    <row r="27" spans="2:121" x14ac:dyDescent="0.2">
      <c r="B27" t="s">
        <v>96</v>
      </c>
      <c r="C27">
        <v>195959</v>
      </c>
      <c r="D27">
        <v>61890</v>
      </c>
      <c r="F27" t="s">
        <v>55</v>
      </c>
      <c r="G27">
        <v>563</v>
      </c>
      <c r="H27">
        <v>185.16341030199999</v>
      </c>
      <c r="I27">
        <v>791</v>
      </c>
      <c r="J27">
        <v>230</v>
      </c>
      <c r="K27">
        <v>812</v>
      </c>
      <c r="L27">
        <v>368</v>
      </c>
      <c r="M27">
        <v>325</v>
      </c>
      <c r="N27">
        <v>270</v>
      </c>
      <c r="O27">
        <v>221</v>
      </c>
      <c r="P27">
        <v>148</v>
      </c>
      <c r="Q27">
        <v>449</v>
      </c>
      <c r="R27">
        <v>170</v>
      </c>
      <c r="T27" t="s">
        <v>369</v>
      </c>
      <c r="U27">
        <v>60199</v>
      </c>
      <c r="V27">
        <v>398.505623017</v>
      </c>
      <c r="W27">
        <v>74804</v>
      </c>
      <c r="X27">
        <v>16431</v>
      </c>
      <c r="Y27">
        <v>106855</v>
      </c>
      <c r="Z27">
        <v>55816</v>
      </c>
      <c r="AA27">
        <v>35350</v>
      </c>
      <c r="AB27">
        <v>28507</v>
      </c>
      <c r="AC27">
        <v>40171</v>
      </c>
      <c r="AD27">
        <v>27895</v>
      </c>
      <c r="AE27">
        <v>9353</v>
      </c>
      <c r="AF27">
        <v>143</v>
      </c>
      <c r="AH27" t="s">
        <v>389</v>
      </c>
      <c r="AI27">
        <v>3553</v>
      </c>
      <c r="AJ27">
        <v>407.68392907399999</v>
      </c>
      <c r="AK27">
        <v>4836</v>
      </c>
      <c r="AL27">
        <v>1433</v>
      </c>
      <c r="AM27">
        <v>7354</v>
      </c>
      <c r="AN27">
        <v>4216</v>
      </c>
      <c r="AO27">
        <v>1845</v>
      </c>
      <c r="AP27">
        <v>1333</v>
      </c>
      <c r="AQ27">
        <v>1775</v>
      </c>
      <c r="AR27">
        <v>1162</v>
      </c>
      <c r="AS27">
        <v>539</v>
      </c>
      <c r="AT27">
        <v>231</v>
      </c>
      <c r="AV27" t="s">
        <v>374</v>
      </c>
      <c r="AW27">
        <v>511</v>
      </c>
      <c r="AX27">
        <v>105.9099804305</v>
      </c>
      <c r="AY27">
        <v>764</v>
      </c>
      <c r="AZ27">
        <v>144</v>
      </c>
      <c r="BA27">
        <v>689</v>
      </c>
      <c r="BB27">
        <v>231</v>
      </c>
      <c r="BC27">
        <v>1</v>
      </c>
      <c r="BD27">
        <v>1</v>
      </c>
      <c r="BE27">
        <v>32</v>
      </c>
      <c r="BF27">
        <v>9</v>
      </c>
      <c r="BG27">
        <v>76</v>
      </c>
      <c r="BH27">
        <v>140</v>
      </c>
      <c r="BJ27" t="s">
        <v>639</v>
      </c>
      <c r="BK27" t="s">
        <v>390</v>
      </c>
      <c r="BL27">
        <v>2277</v>
      </c>
      <c r="BM27">
        <v>338</v>
      </c>
      <c r="BN27">
        <v>78.155467720700003</v>
      </c>
      <c r="BO27">
        <v>6705</v>
      </c>
      <c r="BP27">
        <v>29</v>
      </c>
      <c r="BQ27">
        <v>121.9439224459</v>
      </c>
      <c r="BR27">
        <v>76.793103448300002</v>
      </c>
      <c r="BS27">
        <v>376</v>
      </c>
      <c r="BT27">
        <v>125</v>
      </c>
      <c r="BU27">
        <v>109.93882978720001</v>
      </c>
      <c r="BV27">
        <v>5593</v>
      </c>
      <c r="BW27">
        <v>28</v>
      </c>
      <c r="BX27">
        <v>122.53692115139999</v>
      </c>
      <c r="BY27">
        <v>81.571428571400006</v>
      </c>
      <c r="CA27" t="s">
        <v>420</v>
      </c>
      <c r="CB27" t="s">
        <v>807</v>
      </c>
      <c r="CC27" t="s">
        <v>1012</v>
      </c>
      <c r="CD27">
        <v>1051</v>
      </c>
      <c r="CE27">
        <v>260</v>
      </c>
      <c r="CF27">
        <v>92.320647002900003</v>
      </c>
      <c r="CG27">
        <v>2430</v>
      </c>
      <c r="CH27">
        <v>10</v>
      </c>
      <c r="CI27">
        <v>106.97572016460001</v>
      </c>
      <c r="CJ27">
        <v>94.7</v>
      </c>
      <c r="CL27" t="s">
        <v>420</v>
      </c>
      <c r="CM27" t="s">
        <v>782</v>
      </c>
      <c r="CN27" t="s">
        <v>792</v>
      </c>
      <c r="CO27">
        <v>65</v>
      </c>
      <c r="CP27">
        <v>6</v>
      </c>
      <c r="CQ27">
        <v>67.476923076899993</v>
      </c>
      <c r="CR27">
        <v>339</v>
      </c>
      <c r="CS27">
        <v>3</v>
      </c>
      <c r="CT27">
        <v>61.141592920400001</v>
      </c>
      <c r="CU27">
        <v>36</v>
      </c>
      <c r="CW27" t="s">
        <v>420</v>
      </c>
      <c r="CX27" t="s">
        <v>795</v>
      </c>
      <c r="CY27" t="s">
        <v>805</v>
      </c>
      <c r="CZ27">
        <v>12</v>
      </c>
      <c r="DA27">
        <v>1</v>
      </c>
      <c r="DB27">
        <v>47.916666666700003</v>
      </c>
      <c r="DC27">
        <v>28</v>
      </c>
      <c r="DD27">
        <v>0</v>
      </c>
      <c r="DE27">
        <v>143.67857142860001</v>
      </c>
      <c r="DF27">
        <v>0</v>
      </c>
      <c r="DH27" t="s">
        <v>420</v>
      </c>
      <c r="DI27" t="s">
        <v>769</v>
      </c>
      <c r="DJ27" t="s">
        <v>779</v>
      </c>
      <c r="DK27">
        <v>11</v>
      </c>
      <c r="DL27">
        <v>1</v>
      </c>
      <c r="DM27">
        <v>59</v>
      </c>
      <c r="DN27">
        <v>22</v>
      </c>
      <c r="DO27">
        <v>0</v>
      </c>
      <c r="DP27">
        <v>153.3181818182</v>
      </c>
      <c r="DQ27">
        <v>0</v>
      </c>
    </row>
    <row r="28" spans="2:121" x14ac:dyDescent="0.2">
      <c r="B28" t="s">
        <v>106</v>
      </c>
      <c r="C28">
        <v>80216</v>
      </c>
      <c r="D28">
        <v>44972</v>
      </c>
      <c r="F28" t="s">
        <v>69</v>
      </c>
      <c r="G28">
        <v>15928</v>
      </c>
      <c r="H28">
        <v>369.68144148670001</v>
      </c>
      <c r="I28">
        <v>11373</v>
      </c>
      <c r="J28">
        <v>2064</v>
      </c>
      <c r="K28">
        <v>21880</v>
      </c>
      <c r="L28">
        <v>12131</v>
      </c>
      <c r="M28">
        <v>8286</v>
      </c>
      <c r="N28">
        <v>6922</v>
      </c>
      <c r="O28">
        <v>4617</v>
      </c>
      <c r="P28">
        <v>3999</v>
      </c>
      <c r="Q28">
        <v>5</v>
      </c>
      <c r="R28">
        <v>7</v>
      </c>
      <c r="T28" t="s">
        <v>8</v>
      </c>
      <c r="U28">
        <v>3230</v>
      </c>
      <c r="V28">
        <v>352.26625387000001</v>
      </c>
      <c r="W28">
        <v>4573</v>
      </c>
      <c r="X28">
        <v>1866</v>
      </c>
      <c r="Y28">
        <v>5153</v>
      </c>
      <c r="Z28">
        <v>3008</v>
      </c>
      <c r="AA28">
        <v>1410</v>
      </c>
      <c r="AB28">
        <v>974</v>
      </c>
      <c r="AC28">
        <v>1229</v>
      </c>
      <c r="AD28">
        <v>807</v>
      </c>
      <c r="AE28">
        <v>474</v>
      </c>
      <c r="AF28">
        <v>161</v>
      </c>
      <c r="AH28" t="s">
        <v>397</v>
      </c>
      <c r="AI28">
        <v>3622</v>
      </c>
      <c r="AJ28">
        <v>244.43484262839999</v>
      </c>
      <c r="AK28">
        <v>6308</v>
      </c>
      <c r="AL28">
        <v>1153</v>
      </c>
      <c r="AM28">
        <v>7569</v>
      </c>
      <c r="AN28">
        <v>3177</v>
      </c>
      <c r="AO28">
        <v>2518</v>
      </c>
      <c r="AP28">
        <v>2091</v>
      </c>
      <c r="AQ28">
        <v>5286</v>
      </c>
      <c r="AR28">
        <v>3756</v>
      </c>
      <c r="AS28">
        <v>1019</v>
      </c>
      <c r="AT28">
        <v>63</v>
      </c>
      <c r="AV28" t="s">
        <v>381</v>
      </c>
      <c r="AW28">
        <v>1436</v>
      </c>
      <c r="AX28">
        <v>107.59818941499999</v>
      </c>
      <c r="AY28">
        <v>1768</v>
      </c>
      <c r="AZ28">
        <v>345</v>
      </c>
      <c r="BA28">
        <v>1888</v>
      </c>
      <c r="BB28">
        <v>689</v>
      </c>
      <c r="BC28">
        <v>2</v>
      </c>
      <c r="BD28">
        <v>1</v>
      </c>
      <c r="BE28">
        <v>88</v>
      </c>
      <c r="BF28">
        <v>24</v>
      </c>
      <c r="BG28">
        <v>241</v>
      </c>
      <c r="BH28">
        <v>389</v>
      </c>
      <c r="BJ28" t="s">
        <v>533</v>
      </c>
      <c r="BK28" t="s">
        <v>369</v>
      </c>
      <c r="BL28">
        <v>5535</v>
      </c>
      <c r="BM28">
        <v>1244</v>
      </c>
      <c r="BN28">
        <v>95.212646793100006</v>
      </c>
      <c r="BO28">
        <v>11440</v>
      </c>
      <c r="BP28">
        <v>64</v>
      </c>
      <c r="BQ28">
        <v>142.820979021</v>
      </c>
      <c r="BR28">
        <v>134.203125</v>
      </c>
      <c r="BS28">
        <v>778</v>
      </c>
      <c r="BT28">
        <v>340</v>
      </c>
      <c r="BU28">
        <v>130.67095115679999</v>
      </c>
      <c r="BV28">
        <v>6188</v>
      </c>
      <c r="BW28">
        <v>23</v>
      </c>
      <c r="BX28">
        <v>142.07369101489999</v>
      </c>
      <c r="BY28">
        <v>122.9130434783</v>
      </c>
      <c r="CA28" t="s">
        <v>396</v>
      </c>
      <c r="CB28" t="s">
        <v>807</v>
      </c>
      <c r="CC28" t="s">
        <v>1013</v>
      </c>
      <c r="CD28">
        <v>3835</v>
      </c>
      <c r="CE28">
        <v>530</v>
      </c>
      <c r="CF28">
        <v>78.626857887900002</v>
      </c>
      <c r="CG28">
        <v>10606</v>
      </c>
      <c r="CH28">
        <v>26</v>
      </c>
      <c r="CI28">
        <v>113.0317744673</v>
      </c>
      <c r="CJ28">
        <v>123.6153846154</v>
      </c>
      <c r="CL28" t="s">
        <v>396</v>
      </c>
      <c r="CM28" t="s">
        <v>782</v>
      </c>
      <c r="CN28" t="s">
        <v>793</v>
      </c>
      <c r="CO28">
        <v>280</v>
      </c>
      <c r="CP28">
        <v>28</v>
      </c>
      <c r="CQ28">
        <v>63.153571428600003</v>
      </c>
      <c r="CR28">
        <v>1682</v>
      </c>
      <c r="CS28">
        <v>6</v>
      </c>
      <c r="CT28">
        <v>60.007134363900001</v>
      </c>
      <c r="CU28">
        <v>64.5</v>
      </c>
      <c r="CW28" t="s">
        <v>396</v>
      </c>
      <c r="CX28" t="s">
        <v>795</v>
      </c>
      <c r="CY28" t="s">
        <v>806</v>
      </c>
      <c r="CZ28">
        <v>59</v>
      </c>
      <c r="DA28">
        <v>10</v>
      </c>
      <c r="DB28">
        <v>71.559322033900003</v>
      </c>
      <c r="DC28">
        <v>196</v>
      </c>
      <c r="DD28">
        <v>0</v>
      </c>
      <c r="DE28">
        <v>126.7959183673</v>
      </c>
      <c r="DF28">
        <v>0</v>
      </c>
      <c r="DH28" t="s">
        <v>396</v>
      </c>
      <c r="DI28" t="s">
        <v>769</v>
      </c>
      <c r="DJ28" t="s">
        <v>780</v>
      </c>
      <c r="DK28">
        <v>51</v>
      </c>
      <c r="DL28">
        <v>12</v>
      </c>
      <c r="DM28">
        <v>88.470588235299999</v>
      </c>
      <c r="DN28">
        <v>126</v>
      </c>
      <c r="DO28">
        <v>0</v>
      </c>
      <c r="DP28">
        <v>122.31746031749999</v>
      </c>
      <c r="DQ28">
        <v>0</v>
      </c>
    </row>
    <row r="29" spans="2:121" x14ac:dyDescent="0.2">
      <c r="B29" t="s">
        <v>20</v>
      </c>
      <c r="C29">
        <v>300</v>
      </c>
      <c r="D29">
        <v>151</v>
      </c>
      <c r="F29" t="s">
        <v>41</v>
      </c>
      <c r="G29">
        <v>577</v>
      </c>
      <c r="H29">
        <v>127.07798960140001</v>
      </c>
      <c r="I29">
        <v>2287</v>
      </c>
      <c r="J29">
        <v>335</v>
      </c>
      <c r="K29">
        <v>2010</v>
      </c>
      <c r="L29">
        <v>251</v>
      </c>
      <c r="M29">
        <v>148</v>
      </c>
      <c r="N29">
        <v>90</v>
      </c>
      <c r="O29">
        <v>194</v>
      </c>
      <c r="P29">
        <v>93</v>
      </c>
      <c r="Q29">
        <v>0</v>
      </c>
      <c r="R29">
        <v>9</v>
      </c>
      <c r="T29" t="s">
        <v>404</v>
      </c>
      <c r="U29">
        <v>46398</v>
      </c>
      <c r="V29">
        <v>400.39299107720001</v>
      </c>
      <c r="W29">
        <v>62292</v>
      </c>
      <c r="X29">
        <v>12144</v>
      </c>
      <c r="Y29">
        <v>87534</v>
      </c>
      <c r="Z29">
        <v>48078</v>
      </c>
      <c r="AA29">
        <v>23198</v>
      </c>
      <c r="AB29">
        <v>17865</v>
      </c>
      <c r="AC29">
        <v>31958</v>
      </c>
      <c r="AD29">
        <v>22070</v>
      </c>
      <c r="AE29">
        <v>97</v>
      </c>
      <c r="AF29">
        <v>644</v>
      </c>
      <c r="AH29" t="s">
        <v>418</v>
      </c>
      <c r="AI29">
        <v>401</v>
      </c>
      <c r="AJ29">
        <v>275.62593516210001</v>
      </c>
      <c r="AK29">
        <v>738</v>
      </c>
      <c r="AL29">
        <v>59</v>
      </c>
      <c r="AM29">
        <v>1247</v>
      </c>
      <c r="AN29">
        <v>312</v>
      </c>
      <c r="AO29">
        <v>390</v>
      </c>
      <c r="AP29">
        <v>244</v>
      </c>
      <c r="AQ29">
        <v>451</v>
      </c>
      <c r="AR29">
        <v>246</v>
      </c>
      <c r="AS29">
        <v>1</v>
      </c>
      <c r="AT29">
        <v>5</v>
      </c>
      <c r="AV29" t="s">
        <v>418</v>
      </c>
      <c r="AW29">
        <v>58</v>
      </c>
      <c r="AX29">
        <v>76.189655172399995</v>
      </c>
      <c r="AY29">
        <v>85</v>
      </c>
      <c r="AZ29">
        <v>3</v>
      </c>
      <c r="BA29">
        <v>93</v>
      </c>
      <c r="BB29">
        <v>14</v>
      </c>
      <c r="BC29">
        <v>0</v>
      </c>
      <c r="BE29">
        <v>1</v>
      </c>
      <c r="BG29">
        <v>125</v>
      </c>
      <c r="BH29">
        <v>20</v>
      </c>
      <c r="BJ29" t="s">
        <v>512</v>
      </c>
      <c r="BK29" t="s">
        <v>369</v>
      </c>
      <c r="BL29">
        <v>3431</v>
      </c>
      <c r="BM29">
        <v>618</v>
      </c>
      <c r="BN29">
        <v>82.617312736800002</v>
      </c>
      <c r="BO29">
        <v>8677</v>
      </c>
      <c r="BP29">
        <v>58</v>
      </c>
      <c r="BQ29">
        <v>130.98375014409999</v>
      </c>
      <c r="BR29">
        <v>124.2586206897</v>
      </c>
      <c r="BS29">
        <v>785</v>
      </c>
      <c r="BT29">
        <v>229</v>
      </c>
      <c r="BU29">
        <v>96.276433120999997</v>
      </c>
      <c r="BV29">
        <v>7289</v>
      </c>
      <c r="BW29">
        <v>45</v>
      </c>
      <c r="BX29">
        <v>131.64027987380001</v>
      </c>
      <c r="BY29">
        <v>126.0444444444</v>
      </c>
      <c r="CA29" t="s">
        <v>390</v>
      </c>
      <c r="CB29" t="s">
        <v>807</v>
      </c>
      <c r="CD29">
        <v>51500</v>
      </c>
      <c r="CE29">
        <v>9583</v>
      </c>
      <c r="CF29">
        <v>87.204174757299995</v>
      </c>
      <c r="CG29">
        <v>135932</v>
      </c>
      <c r="CH29">
        <v>589</v>
      </c>
      <c r="CI29">
        <v>121.9813362564</v>
      </c>
      <c r="CJ29">
        <v>111.9898132428</v>
      </c>
      <c r="CL29" t="s">
        <v>390</v>
      </c>
      <c r="CM29" t="s">
        <v>782</v>
      </c>
      <c r="CO29">
        <v>4406</v>
      </c>
      <c r="CP29">
        <v>506</v>
      </c>
      <c r="CQ29">
        <v>68.960054471199996</v>
      </c>
      <c r="CR29">
        <v>23187</v>
      </c>
      <c r="CS29">
        <v>59</v>
      </c>
      <c r="CT29">
        <v>69.674688403000005</v>
      </c>
      <c r="CU29">
        <v>69.813559322000003</v>
      </c>
      <c r="CW29" t="s">
        <v>390</v>
      </c>
      <c r="CX29" t="s">
        <v>795</v>
      </c>
      <c r="CZ29">
        <v>906</v>
      </c>
      <c r="DA29">
        <v>124</v>
      </c>
      <c r="DB29">
        <v>64.338852097100002</v>
      </c>
      <c r="DC29">
        <v>2716</v>
      </c>
      <c r="DD29">
        <v>16</v>
      </c>
      <c r="DE29">
        <v>133.2691458027</v>
      </c>
      <c r="DF29">
        <v>134.8125</v>
      </c>
      <c r="DH29" t="s">
        <v>390</v>
      </c>
      <c r="DI29" t="s">
        <v>769</v>
      </c>
      <c r="DK29">
        <v>842</v>
      </c>
      <c r="DL29">
        <v>121</v>
      </c>
      <c r="DM29">
        <v>64.298099762500001</v>
      </c>
      <c r="DN29">
        <v>2418</v>
      </c>
      <c r="DO29">
        <v>9</v>
      </c>
      <c r="DP29">
        <v>125.7725392887</v>
      </c>
      <c r="DQ29">
        <v>147.6666666667</v>
      </c>
    </row>
    <row r="30" spans="2:121" x14ac:dyDescent="0.2">
      <c r="B30" t="s">
        <v>22</v>
      </c>
      <c r="C30">
        <v>208774</v>
      </c>
      <c r="D30">
        <v>39670</v>
      </c>
      <c r="F30" t="s">
        <v>45</v>
      </c>
      <c r="G30">
        <v>1251</v>
      </c>
      <c r="H30">
        <v>244.57633892889999</v>
      </c>
      <c r="I30">
        <v>2356</v>
      </c>
      <c r="J30">
        <v>338</v>
      </c>
      <c r="K30">
        <v>2411</v>
      </c>
      <c r="L30">
        <v>833</v>
      </c>
      <c r="M30">
        <v>983</v>
      </c>
      <c r="N30">
        <v>532</v>
      </c>
      <c r="O30">
        <v>227</v>
      </c>
      <c r="P30">
        <v>129</v>
      </c>
      <c r="Q30">
        <v>0</v>
      </c>
      <c r="R30">
        <v>0</v>
      </c>
      <c r="T30" t="s">
        <v>380</v>
      </c>
      <c r="U30">
        <v>61551</v>
      </c>
      <c r="V30">
        <v>366.84052249349998</v>
      </c>
      <c r="W30">
        <v>79272</v>
      </c>
      <c r="X30">
        <v>18027</v>
      </c>
      <c r="Y30">
        <v>107058</v>
      </c>
      <c r="Z30">
        <v>59998</v>
      </c>
      <c r="AA30">
        <v>30340</v>
      </c>
      <c r="AB30">
        <v>24613</v>
      </c>
      <c r="AC30">
        <v>46601</v>
      </c>
      <c r="AD30">
        <v>32781</v>
      </c>
      <c r="AE30">
        <v>6721</v>
      </c>
      <c r="AF30">
        <v>1275</v>
      </c>
      <c r="AH30" t="s">
        <v>400</v>
      </c>
      <c r="AI30">
        <v>717</v>
      </c>
      <c r="AJ30">
        <v>196.32496513250001</v>
      </c>
      <c r="AK30">
        <v>1911</v>
      </c>
      <c r="AL30">
        <v>259</v>
      </c>
      <c r="AM30">
        <v>2182</v>
      </c>
      <c r="AN30">
        <v>481</v>
      </c>
      <c r="AO30">
        <v>690</v>
      </c>
      <c r="AP30">
        <v>449</v>
      </c>
      <c r="AQ30">
        <v>681</v>
      </c>
      <c r="AR30">
        <v>341</v>
      </c>
      <c r="AS30">
        <v>3</v>
      </c>
      <c r="AT30">
        <v>15</v>
      </c>
      <c r="AV30" t="s">
        <v>384</v>
      </c>
      <c r="AW30">
        <v>481</v>
      </c>
      <c r="AX30">
        <v>67.582120582100004</v>
      </c>
      <c r="AY30">
        <v>743</v>
      </c>
      <c r="AZ30">
        <v>73</v>
      </c>
      <c r="BA30">
        <v>723</v>
      </c>
      <c r="BB30">
        <v>99</v>
      </c>
      <c r="BC30">
        <v>1</v>
      </c>
      <c r="BD30">
        <v>1</v>
      </c>
      <c r="BE30">
        <v>75</v>
      </c>
      <c r="BF30">
        <v>17</v>
      </c>
      <c r="BG30">
        <v>137</v>
      </c>
      <c r="BH30">
        <v>80</v>
      </c>
      <c r="BJ30" t="s">
        <v>520</v>
      </c>
      <c r="BK30" t="s">
        <v>369</v>
      </c>
      <c r="BL30">
        <v>3810</v>
      </c>
      <c r="BM30">
        <v>756</v>
      </c>
      <c r="BN30">
        <v>85.723884514399998</v>
      </c>
      <c r="BO30">
        <v>9722</v>
      </c>
      <c r="BP30">
        <v>28</v>
      </c>
      <c r="BQ30">
        <v>134.34848796540001</v>
      </c>
      <c r="BR30">
        <v>159.1428571429</v>
      </c>
      <c r="BS30">
        <v>545</v>
      </c>
      <c r="BT30">
        <v>229</v>
      </c>
      <c r="BU30">
        <v>123.2110091743</v>
      </c>
      <c r="BV30">
        <v>7911</v>
      </c>
      <c r="BW30">
        <v>28</v>
      </c>
      <c r="BX30">
        <v>132.0864618885</v>
      </c>
      <c r="BY30">
        <v>125.7142857143</v>
      </c>
      <c r="CA30" t="s">
        <v>373</v>
      </c>
      <c r="CB30" t="s">
        <v>856</v>
      </c>
      <c r="CC30" t="s">
        <v>979</v>
      </c>
      <c r="CD30">
        <v>1882</v>
      </c>
      <c r="CE30">
        <v>269</v>
      </c>
      <c r="CF30">
        <v>78.2943676939</v>
      </c>
      <c r="CG30">
        <v>5075</v>
      </c>
      <c r="CH30">
        <v>30</v>
      </c>
      <c r="CI30">
        <v>113.4738916256</v>
      </c>
      <c r="CJ30">
        <v>100.6333333333</v>
      </c>
      <c r="CL30" t="s">
        <v>373</v>
      </c>
      <c r="CM30" t="s">
        <v>825</v>
      </c>
      <c r="CN30" t="s">
        <v>824</v>
      </c>
      <c r="CO30">
        <v>282</v>
      </c>
      <c r="CP30">
        <v>21</v>
      </c>
      <c r="CQ30">
        <v>66.631205673799997</v>
      </c>
      <c r="CR30">
        <v>640</v>
      </c>
      <c r="CS30">
        <v>5</v>
      </c>
      <c r="CT30">
        <v>98.224999999999994</v>
      </c>
      <c r="CU30">
        <v>86.8</v>
      </c>
      <c r="CW30" t="s">
        <v>373</v>
      </c>
      <c r="CX30" t="s">
        <v>841</v>
      </c>
      <c r="CY30" t="s">
        <v>840</v>
      </c>
      <c r="CZ30">
        <v>54</v>
      </c>
      <c r="DA30">
        <v>0</v>
      </c>
      <c r="DB30">
        <v>50.962962963000003</v>
      </c>
      <c r="DC30">
        <v>108</v>
      </c>
      <c r="DD30">
        <v>0</v>
      </c>
      <c r="DE30">
        <v>141.00925925929999</v>
      </c>
      <c r="DF30">
        <v>0</v>
      </c>
      <c r="DH30" t="s">
        <v>373</v>
      </c>
      <c r="DI30" t="s">
        <v>809</v>
      </c>
      <c r="DJ30" t="s">
        <v>808</v>
      </c>
      <c r="DK30">
        <v>30</v>
      </c>
      <c r="DL30">
        <v>2</v>
      </c>
      <c r="DM30">
        <v>53.233333333300003</v>
      </c>
      <c r="DN30">
        <v>127</v>
      </c>
      <c r="DO30">
        <v>0</v>
      </c>
      <c r="DP30">
        <v>134.38582677170001</v>
      </c>
      <c r="DQ30">
        <v>0</v>
      </c>
    </row>
    <row r="31" spans="2:121" x14ac:dyDescent="0.2">
      <c r="B31" t="s">
        <v>157</v>
      </c>
      <c r="C31">
        <v>3815</v>
      </c>
      <c r="D31">
        <v>3656</v>
      </c>
      <c r="F31" t="s">
        <v>73</v>
      </c>
      <c r="G31">
        <v>9795</v>
      </c>
      <c r="H31">
        <v>396.80010209289998</v>
      </c>
      <c r="I31">
        <v>7743</v>
      </c>
      <c r="J31">
        <v>1221</v>
      </c>
      <c r="K31">
        <v>18613</v>
      </c>
      <c r="L31">
        <v>10186</v>
      </c>
      <c r="M31">
        <v>4179</v>
      </c>
      <c r="N31">
        <v>3037</v>
      </c>
      <c r="O31">
        <v>4288</v>
      </c>
      <c r="P31">
        <v>3513</v>
      </c>
      <c r="Q31">
        <v>5</v>
      </c>
      <c r="R31">
        <v>156</v>
      </c>
      <c r="T31" t="s">
        <v>461</v>
      </c>
      <c r="U31">
        <v>244410</v>
      </c>
      <c r="V31">
        <v>379.2894194182</v>
      </c>
      <c r="W31">
        <v>339524</v>
      </c>
      <c r="X31">
        <v>71578</v>
      </c>
      <c r="Y31">
        <v>455192</v>
      </c>
      <c r="Z31">
        <v>234654</v>
      </c>
      <c r="AA31">
        <v>129183</v>
      </c>
      <c r="AB31">
        <v>101171</v>
      </c>
      <c r="AC31">
        <v>175489</v>
      </c>
      <c r="AD31">
        <v>117765</v>
      </c>
      <c r="AE31">
        <v>23890</v>
      </c>
      <c r="AF31">
        <v>4467</v>
      </c>
      <c r="AH31" t="s">
        <v>413</v>
      </c>
      <c r="AI31">
        <v>2955</v>
      </c>
      <c r="AJ31">
        <v>447.94382402709999</v>
      </c>
      <c r="AK31">
        <v>3970</v>
      </c>
      <c r="AL31">
        <v>1020</v>
      </c>
      <c r="AM31">
        <v>4774</v>
      </c>
      <c r="AN31">
        <v>2969</v>
      </c>
      <c r="AO31">
        <v>1014</v>
      </c>
      <c r="AP31">
        <v>807</v>
      </c>
      <c r="AQ31">
        <v>1974</v>
      </c>
      <c r="AR31">
        <v>1458</v>
      </c>
      <c r="AS31">
        <v>4</v>
      </c>
      <c r="AT31">
        <v>126</v>
      </c>
      <c r="AV31" t="s">
        <v>405</v>
      </c>
      <c r="AW31">
        <v>80</v>
      </c>
      <c r="AX31">
        <v>61.6875</v>
      </c>
      <c r="AY31">
        <v>127</v>
      </c>
      <c r="AZ31">
        <v>4</v>
      </c>
      <c r="BA31">
        <v>152</v>
      </c>
      <c r="BB31">
        <v>22</v>
      </c>
      <c r="BC31">
        <v>0</v>
      </c>
      <c r="BE31">
        <v>4</v>
      </c>
      <c r="BF31">
        <v>4</v>
      </c>
      <c r="BG31">
        <v>292</v>
      </c>
      <c r="BH31">
        <v>23</v>
      </c>
      <c r="BJ31" t="s">
        <v>522</v>
      </c>
      <c r="BK31" t="s">
        <v>369</v>
      </c>
      <c r="BL31">
        <v>1884</v>
      </c>
      <c r="BM31">
        <v>273</v>
      </c>
      <c r="BN31">
        <v>81.064225053100003</v>
      </c>
      <c r="BO31">
        <v>4937</v>
      </c>
      <c r="BP31">
        <v>30</v>
      </c>
      <c r="BQ31">
        <v>114.75086084669999</v>
      </c>
      <c r="BR31">
        <v>127.7333333333</v>
      </c>
      <c r="BS31">
        <v>731</v>
      </c>
      <c r="BT31">
        <v>154</v>
      </c>
      <c r="BU31">
        <v>95.900136798899993</v>
      </c>
      <c r="BV31">
        <v>7190</v>
      </c>
      <c r="BW31">
        <v>34</v>
      </c>
      <c r="BX31">
        <v>126.7065368567</v>
      </c>
      <c r="BY31">
        <v>123.1764705882</v>
      </c>
      <c r="CA31" t="s">
        <v>423</v>
      </c>
      <c r="CB31" t="s">
        <v>856</v>
      </c>
      <c r="CC31" t="s">
        <v>980</v>
      </c>
      <c r="CD31">
        <v>939</v>
      </c>
      <c r="CE31">
        <v>203</v>
      </c>
      <c r="CF31">
        <v>90.481363152300005</v>
      </c>
      <c r="CG31">
        <v>2239</v>
      </c>
      <c r="CH31">
        <v>15</v>
      </c>
      <c r="CI31">
        <v>136.0308173292</v>
      </c>
      <c r="CJ31">
        <v>120.4</v>
      </c>
      <c r="CL31" t="s">
        <v>423</v>
      </c>
      <c r="CM31" t="s">
        <v>825</v>
      </c>
      <c r="CN31" t="s">
        <v>826</v>
      </c>
      <c r="CO31">
        <v>87</v>
      </c>
      <c r="CP31">
        <v>8</v>
      </c>
      <c r="CQ31">
        <v>71.724137931000001</v>
      </c>
      <c r="CR31">
        <v>223</v>
      </c>
      <c r="CS31">
        <v>3</v>
      </c>
      <c r="CT31">
        <v>98.798206277999995</v>
      </c>
      <c r="CU31">
        <v>71.333333333300004</v>
      </c>
      <c r="CW31" t="s">
        <v>423</v>
      </c>
      <c r="CX31" t="s">
        <v>841</v>
      </c>
      <c r="CY31" t="s">
        <v>842</v>
      </c>
      <c r="CZ31">
        <v>21</v>
      </c>
      <c r="DA31">
        <v>6</v>
      </c>
      <c r="DB31">
        <v>88.761904761899999</v>
      </c>
      <c r="DC31">
        <v>31</v>
      </c>
      <c r="DD31">
        <v>0</v>
      </c>
      <c r="DE31">
        <v>156.29032258059999</v>
      </c>
      <c r="DF31">
        <v>0</v>
      </c>
      <c r="DH31" t="s">
        <v>423</v>
      </c>
      <c r="DI31" t="s">
        <v>809</v>
      </c>
      <c r="DJ31" t="s">
        <v>810</v>
      </c>
      <c r="DK31">
        <v>21</v>
      </c>
      <c r="DL31">
        <v>5</v>
      </c>
      <c r="DM31">
        <v>66.428571428599994</v>
      </c>
      <c r="DN31">
        <v>47</v>
      </c>
      <c r="DO31">
        <v>0</v>
      </c>
      <c r="DP31">
        <v>152.61702127660001</v>
      </c>
      <c r="DQ31">
        <v>0</v>
      </c>
    </row>
    <row r="32" spans="2:121" x14ac:dyDescent="0.2">
      <c r="B32" t="s">
        <v>114</v>
      </c>
      <c r="C32">
        <v>5435</v>
      </c>
      <c r="D32">
        <v>389</v>
      </c>
      <c r="F32" t="s">
        <v>65</v>
      </c>
      <c r="G32">
        <v>3314</v>
      </c>
      <c r="H32">
        <v>411.0467712734</v>
      </c>
      <c r="I32">
        <v>5289</v>
      </c>
      <c r="J32">
        <v>1618</v>
      </c>
      <c r="K32">
        <v>5827</v>
      </c>
      <c r="L32">
        <v>3306</v>
      </c>
      <c r="M32">
        <v>455</v>
      </c>
      <c r="N32">
        <v>350</v>
      </c>
      <c r="O32">
        <v>780</v>
      </c>
      <c r="P32">
        <v>581</v>
      </c>
      <c r="Q32">
        <v>0</v>
      </c>
      <c r="R32">
        <v>1</v>
      </c>
      <c r="AH32" t="s">
        <v>415</v>
      </c>
      <c r="AI32">
        <v>1031</v>
      </c>
      <c r="AJ32">
        <v>272.9825412221</v>
      </c>
      <c r="AK32">
        <v>1313</v>
      </c>
      <c r="AL32">
        <v>208</v>
      </c>
      <c r="AM32">
        <v>2051</v>
      </c>
      <c r="AN32">
        <v>874</v>
      </c>
      <c r="AO32">
        <v>349</v>
      </c>
      <c r="AP32">
        <v>263</v>
      </c>
      <c r="AQ32">
        <v>326</v>
      </c>
      <c r="AR32">
        <v>178</v>
      </c>
      <c r="AS32">
        <v>201</v>
      </c>
      <c r="AT32">
        <v>4</v>
      </c>
      <c r="AV32" t="s">
        <v>415</v>
      </c>
      <c r="AW32">
        <v>127</v>
      </c>
      <c r="AX32">
        <v>94.984251968500004</v>
      </c>
      <c r="AY32">
        <v>169</v>
      </c>
      <c r="AZ32">
        <v>29</v>
      </c>
      <c r="BA32">
        <v>153</v>
      </c>
      <c r="BB32">
        <v>40</v>
      </c>
      <c r="BC32">
        <v>0</v>
      </c>
      <c r="BE32">
        <v>7</v>
      </c>
      <c r="BF32">
        <v>2</v>
      </c>
      <c r="BG32">
        <v>13</v>
      </c>
      <c r="BH32">
        <v>23</v>
      </c>
      <c r="BJ32" t="s">
        <v>537</v>
      </c>
      <c r="BK32" t="s">
        <v>369</v>
      </c>
      <c r="BL32">
        <v>2482</v>
      </c>
      <c r="BM32">
        <v>419</v>
      </c>
      <c r="BN32">
        <v>83.867445608400004</v>
      </c>
      <c r="BO32">
        <v>6859</v>
      </c>
      <c r="BP32">
        <v>55</v>
      </c>
      <c r="BQ32">
        <v>115.99008601840001</v>
      </c>
      <c r="BR32">
        <v>94.963636363600003</v>
      </c>
      <c r="BS32">
        <v>1964</v>
      </c>
      <c r="BT32">
        <v>393</v>
      </c>
      <c r="BU32">
        <v>83.055498981699998</v>
      </c>
      <c r="BV32">
        <v>12467</v>
      </c>
      <c r="BW32">
        <v>89</v>
      </c>
      <c r="BX32">
        <v>128.5934868052</v>
      </c>
      <c r="BY32">
        <v>92.977528089900005</v>
      </c>
      <c r="CA32" t="s">
        <v>414</v>
      </c>
      <c r="CB32" t="s">
        <v>856</v>
      </c>
      <c r="CC32" t="s">
        <v>981</v>
      </c>
      <c r="CD32">
        <v>405</v>
      </c>
      <c r="CE32">
        <v>70</v>
      </c>
      <c r="CF32">
        <v>96.271604938300001</v>
      </c>
      <c r="CG32">
        <v>1033</v>
      </c>
      <c r="CH32">
        <v>11</v>
      </c>
      <c r="CI32">
        <v>137.86737657309999</v>
      </c>
      <c r="CJ32">
        <v>81.090909090899999</v>
      </c>
      <c r="CL32" t="s">
        <v>414</v>
      </c>
      <c r="CM32" t="s">
        <v>825</v>
      </c>
      <c r="CN32" t="s">
        <v>827</v>
      </c>
      <c r="CO32">
        <v>63</v>
      </c>
      <c r="CP32">
        <v>8</v>
      </c>
      <c r="CQ32">
        <v>75.507936507899998</v>
      </c>
      <c r="CR32">
        <v>192</v>
      </c>
      <c r="CS32">
        <v>0</v>
      </c>
      <c r="CT32">
        <v>108.59375</v>
      </c>
      <c r="CU32">
        <v>0</v>
      </c>
      <c r="CW32" t="s">
        <v>414</v>
      </c>
      <c r="CX32" t="s">
        <v>841</v>
      </c>
      <c r="CY32" t="s">
        <v>843</v>
      </c>
      <c r="CZ32">
        <v>12</v>
      </c>
      <c r="DA32">
        <v>1</v>
      </c>
      <c r="DB32">
        <v>70.083333333300004</v>
      </c>
      <c r="DC32">
        <v>33</v>
      </c>
      <c r="DD32">
        <v>0</v>
      </c>
      <c r="DE32">
        <v>159.24242424240001</v>
      </c>
      <c r="DF32">
        <v>0</v>
      </c>
      <c r="DH32" t="s">
        <v>414</v>
      </c>
      <c r="DI32" t="s">
        <v>809</v>
      </c>
      <c r="DJ32" t="s">
        <v>811</v>
      </c>
      <c r="DK32">
        <v>19</v>
      </c>
      <c r="DL32">
        <v>2</v>
      </c>
      <c r="DM32">
        <v>39.736842105299999</v>
      </c>
      <c r="DN32">
        <v>48</v>
      </c>
      <c r="DO32">
        <v>0</v>
      </c>
      <c r="DP32">
        <v>136.5625</v>
      </c>
      <c r="DQ32">
        <v>0</v>
      </c>
    </row>
    <row r="33" spans="2:121" x14ac:dyDescent="0.2">
      <c r="B33" t="s">
        <v>122</v>
      </c>
      <c r="C33">
        <v>559</v>
      </c>
      <c r="D33">
        <v>24</v>
      </c>
      <c r="F33" t="s">
        <v>67</v>
      </c>
      <c r="G33">
        <v>775</v>
      </c>
      <c r="H33">
        <v>228.25935483870001</v>
      </c>
      <c r="I33">
        <v>2646</v>
      </c>
      <c r="J33">
        <v>371</v>
      </c>
      <c r="K33">
        <v>3358</v>
      </c>
      <c r="L33">
        <v>746</v>
      </c>
      <c r="M33">
        <v>1497</v>
      </c>
      <c r="N33">
        <v>1421</v>
      </c>
      <c r="O33">
        <v>438</v>
      </c>
      <c r="P33">
        <v>259</v>
      </c>
      <c r="Q33">
        <v>0</v>
      </c>
      <c r="R33">
        <v>0</v>
      </c>
      <c r="AH33" t="s">
        <v>374</v>
      </c>
      <c r="AI33">
        <v>1607</v>
      </c>
      <c r="AJ33">
        <v>354.0672059739</v>
      </c>
      <c r="AK33">
        <v>4550</v>
      </c>
      <c r="AL33">
        <v>1221</v>
      </c>
      <c r="AM33">
        <v>4351</v>
      </c>
      <c r="AN33">
        <v>1640</v>
      </c>
      <c r="AO33">
        <v>1437</v>
      </c>
      <c r="AP33">
        <v>1209</v>
      </c>
      <c r="AQ33">
        <v>2511</v>
      </c>
      <c r="AR33">
        <v>1768</v>
      </c>
      <c r="AS33">
        <v>777</v>
      </c>
      <c r="AT33">
        <v>6</v>
      </c>
      <c r="AV33" t="s">
        <v>426</v>
      </c>
      <c r="AW33">
        <v>292</v>
      </c>
      <c r="AX33">
        <v>67.958904109599999</v>
      </c>
      <c r="AY33">
        <v>440</v>
      </c>
      <c r="AZ33">
        <v>25</v>
      </c>
      <c r="BA33">
        <v>457</v>
      </c>
      <c r="BB33">
        <v>54</v>
      </c>
      <c r="BC33">
        <v>0</v>
      </c>
      <c r="BE33">
        <v>22</v>
      </c>
      <c r="BF33">
        <v>4</v>
      </c>
      <c r="BG33">
        <v>495</v>
      </c>
      <c r="BH33">
        <v>106</v>
      </c>
      <c r="BJ33" t="s">
        <v>622</v>
      </c>
      <c r="BK33" t="s">
        <v>369</v>
      </c>
      <c r="BL33">
        <v>1266</v>
      </c>
      <c r="BM33">
        <v>172</v>
      </c>
      <c r="BN33">
        <v>74.521327014199997</v>
      </c>
      <c r="BO33">
        <v>2951</v>
      </c>
      <c r="BP33">
        <v>19</v>
      </c>
      <c r="BQ33">
        <v>127.55981023379999</v>
      </c>
      <c r="BR33">
        <v>102.3684210526</v>
      </c>
      <c r="BS33">
        <v>397</v>
      </c>
      <c r="BT33">
        <v>116</v>
      </c>
      <c r="BU33">
        <v>104.77581863979999</v>
      </c>
      <c r="BV33">
        <v>3143</v>
      </c>
      <c r="BW33">
        <v>21</v>
      </c>
      <c r="BX33">
        <v>131.72764874320001</v>
      </c>
      <c r="BY33">
        <v>80.523809523799997</v>
      </c>
      <c r="CA33" t="s">
        <v>416</v>
      </c>
      <c r="CB33" t="s">
        <v>856</v>
      </c>
      <c r="CC33" t="s">
        <v>982</v>
      </c>
      <c r="CD33">
        <v>1238</v>
      </c>
      <c r="CE33">
        <v>164</v>
      </c>
      <c r="CF33">
        <v>70.886914378</v>
      </c>
      <c r="CG33">
        <v>3977</v>
      </c>
      <c r="CH33">
        <v>37</v>
      </c>
      <c r="CI33">
        <v>104.42519487049999</v>
      </c>
      <c r="CJ33">
        <v>99.270270270300003</v>
      </c>
      <c r="CL33" t="s">
        <v>416</v>
      </c>
      <c r="CM33" t="s">
        <v>825</v>
      </c>
      <c r="CN33" t="s">
        <v>828</v>
      </c>
      <c r="CO33">
        <v>132</v>
      </c>
      <c r="CP33">
        <v>15</v>
      </c>
      <c r="CQ33">
        <v>70.318181818200003</v>
      </c>
      <c r="CR33">
        <v>421</v>
      </c>
      <c r="CS33">
        <v>1</v>
      </c>
      <c r="CT33">
        <v>87.648456057000004</v>
      </c>
      <c r="CU33">
        <v>134</v>
      </c>
      <c r="CW33" t="s">
        <v>416</v>
      </c>
      <c r="CX33" t="s">
        <v>841</v>
      </c>
      <c r="CY33" t="s">
        <v>844</v>
      </c>
      <c r="CZ33">
        <v>13</v>
      </c>
      <c r="DA33">
        <v>2</v>
      </c>
      <c r="DB33">
        <v>69.692307692300005</v>
      </c>
      <c r="DC33">
        <v>46</v>
      </c>
      <c r="DD33">
        <v>0</v>
      </c>
      <c r="DE33">
        <v>146.65217391300001</v>
      </c>
      <c r="DF33">
        <v>0</v>
      </c>
      <c r="DH33" t="s">
        <v>416</v>
      </c>
      <c r="DI33" t="s">
        <v>809</v>
      </c>
      <c r="DJ33" t="s">
        <v>812</v>
      </c>
      <c r="DK33">
        <v>9</v>
      </c>
      <c r="DL33">
        <v>0</v>
      </c>
      <c r="DM33">
        <v>26.777777777800001</v>
      </c>
      <c r="DN33">
        <v>50</v>
      </c>
      <c r="DO33">
        <v>1</v>
      </c>
      <c r="DP33">
        <v>136.12</v>
      </c>
      <c r="DQ33">
        <v>47</v>
      </c>
    </row>
    <row r="34" spans="2:121" x14ac:dyDescent="0.2">
      <c r="B34" t="s">
        <v>93</v>
      </c>
      <c r="C34">
        <v>229</v>
      </c>
      <c r="D34">
        <v>151</v>
      </c>
      <c r="F34" t="s">
        <v>71</v>
      </c>
      <c r="G34">
        <v>5064</v>
      </c>
      <c r="H34">
        <v>344.70102685619997</v>
      </c>
      <c r="I34">
        <v>11521</v>
      </c>
      <c r="J34">
        <v>1929</v>
      </c>
      <c r="K34">
        <v>19252</v>
      </c>
      <c r="L34">
        <v>9451</v>
      </c>
      <c r="M34">
        <v>6569</v>
      </c>
      <c r="N34">
        <v>4483</v>
      </c>
      <c r="O34">
        <v>2399</v>
      </c>
      <c r="P34">
        <v>1647</v>
      </c>
      <c r="Q34">
        <v>0</v>
      </c>
      <c r="R34">
        <v>61</v>
      </c>
      <c r="AH34" t="s">
        <v>405</v>
      </c>
      <c r="AI34">
        <v>834</v>
      </c>
      <c r="AJ34">
        <v>252.5467625899</v>
      </c>
      <c r="AK34">
        <v>2706</v>
      </c>
      <c r="AL34">
        <v>558</v>
      </c>
      <c r="AM34">
        <v>2040</v>
      </c>
      <c r="AN34">
        <v>744</v>
      </c>
      <c r="AO34">
        <v>541</v>
      </c>
      <c r="AP34">
        <v>328</v>
      </c>
      <c r="AQ34">
        <v>992</v>
      </c>
      <c r="AR34">
        <v>573</v>
      </c>
      <c r="AS34">
        <v>5</v>
      </c>
      <c r="AT34">
        <v>11</v>
      </c>
      <c r="AV34" t="s">
        <v>395</v>
      </c>
      <c r="AW34">
        <v>551</v>
      </c>
      <c r="AX34">
        <v>66.281306715100001</v>
      </c>
      <c r="AY34">
        <v>1023</v>
      </c>
      <c r="AZ34">
        <v>129</v>
      </c>
      <c r="BA34">
        <v>825</v>
      </c>
      <c r="BB34">
        <v>103</v>
      </c>
      <c r="BC34">
        <v>1</v>
      </c>
      <c r="BD34">
        <v>1</v>
      </c>
      <c r="BE34">
        <v>61</v>
      </c>
      <c r="BF34">
        <v>9</v>
      </c>
      <c r="BG34">
        <v>113</v>
      </c>
      <c r="BH34">
        <v>98</v>
      </c>
      <c r="BJ34" t="s">
        <v>518</v>
      </c>
      <c r="BK34" t="s">
        <v>369</v>
      </c>
      <c r="BL34">
        <v>5148</v>
      </c>
      <c r="BM34">
        <v>1355</v>
      </c>
      <c r="BN34">
        <v>107.9242424242</v>
      </c>
      <c r="BO34">
        <v>10699</v>
      </c>
      <c r="BP34">
        <v>71</v>
      </c>
      <c r="BQ34">
        <v>136.84680811289999</v>
      </c>
      <c r="BR34">
        <v>144.5211267606</v>
      </c>
      <c r="BS34">
        <v>944</v>
      </c>
      <c r="BT34">
        <v>378</v>
      </c>
      <c r="BU34">
        <v>136.8824152542</v>
      </c>
      <c r="BV34">
        <v>8716</v>
      </c>
      <c r="BW34">
        <v>57</v>
      </c>
      <c r="BX34">
        <v>131.28246902250001</v>
      </c>
      <c r="BY34">
        <v>151.40350877189999</v>
      </c>
      <c r="CA34" t="s">
        <v>376</v>
      </c>
      <c r="CB34" t="s">
        <v>856</v>
      </c>
      <c r="CC34" t="s">
        <v>983</v>
      </c>
      <c r="CD34">
        <v>6135</v>
      </c>
      <c r="CE34">
        <v>1381</v>
      </c>
      <c r="CF34">
        <v>95.660472697599999</v>
      </c>
      <c r="CG34">
        <v>13279</v>
      </c>
      <c r="CH34">
        <v>65</v>
      </c>
      <c r="CI34">
        <v>136.32359364409999</v>
      </c>
      <c r="CJ34">
        <v>133.03076923079999</v>
      </c>
      <c r="CL34" t="s">
        <v>376</v>
      </c>
      <c r="CM34" t="s">
        <v>825</v>
      </c>
      <c r="CN34" t="s">
        <v>829</v>
      </c>
      <c r="CO34">
        <v>550</v>
      </c>
      <c r="CP34">
        <v>61</v>
      </c>
      <c r="CQ34">
        <v>76.556363636399993</v>
      </c>
      <c r="CR34">
        <v>1402</v>
      </c>
      <c r="CS34">
        <v>9</v>
      </c>
      <c r="CT34">
        <v>101.6590584879</v>
      </c>
      <c r="CU34">
        <v>146.2222222222</v>
      </c>
      <c r="CW34" t="s">
        <v>376</v>
      </c>
      <c r="CX34" t="s">
        <v>841</v>
      </c>
      <c r="CY34" t="s">
        <v>845</v>
      </c>
      <c r="CZ34">
        <v>161</v>
      </c>
      <c r="DA34">
        <v>20</v>
      </c>
      <c r="DB34">
        <v>68.894409937899994</v>
      </c>
      <c r="DC34">
        <v>462</v>
      </c>
      <c r="DD34">
        <v>1</v>
      </c>
      <c r="DE34">
        <v>148.75757575759999</v>
      </c>
      <c r="DF34">
        <v>81</v>
      </c>
      <c r="DH34" t="s">
        <v>376</v>
      </c>
      <c r="DI34" t="s">
        <v>809</v>
      </c>
      <c r="DJ34" t="s">
        <v>813</v>
      </c>
      <c r="DK34">
        <v>216</v>
      </c>
      <c r="DL34">
        <v>29</v>
      </c>
      <c r="DM34">
        <v>91.574074074099997</v>
      </c>
      <c r="DN34">
        <v>644</v>
      </c>
      <c r="DO34">
        <v>7</v>
      </c>
      <c r="DP34">
        <v>144.5062111801</v>
      </c>
      <c r="DQ34">
        <v>111.42857142859999</v>
      </c>
    </row>
    <row r="35" spans="2:121" x14ac:dyDescent="0.2">
      <c r="B35" t="s">
        <v>89</v>
      </c>
      <c r="C35">
        <v>12</v>
      </c>
      <c r="F35" t="s">
        <v>37</v>
      </c>
      <c r="G35">
        <v>4689</v>
      </c>
      <c r="H35">
        <v>509.12348048619998</v>
      </c>
      <c r="I35">
        <v>6534</v>
      </c>
      <c r="J35">
        <v>1575</v>
      </c>
      <c r="K35">
        <v>7841</v>
      </c>
      <c r="L35">
        <v>4546</v>
      </c>
      <c r="M35">
        <v>1746</v>
      </c>
      <c r="N35">
        <v>1619</v>
      </c>
      <c r="O35">
        <v>1403</v>
      </c>
      <c r="P35">
        <v>846</v>
      </c>
      <c r="Q35">
        <v>1</v>
      </c>
      <c r="R35">
        <v>220</v>
      </c>
      <c r="AH35" t="s">
        <v>60</v>
      </c>
      <c r="AI35">
        <v>3529</v>
      </c>
      <c r="AJ35">
        <v>301.29498441480001</v>
      </c>
      <c r="AK35">
        <v>9360</v>
      </c>
      <c r="AL35">
        <v>2197</v>
      </c>
      <c r="AM35">
        <v>9863</v>
      </c>
      <c r="AN35">
        <v>3848</v>
      </c>
      <c r="AO35">
        <v>3460</v>
      </c>
      <c r="AP35">
        <v>2798</v>
      </c>
      <c r="AQ35">
        <v>6157</v>
      </c>
      <c r="AR35">
        <v>3504</v>
      </c>
      <c r="AS35">
        <v>1719</v>
      </c>
      <c r="AT35">
        <v>10</v>
      </c>
      <c r="AV35" t="s">
        <v>372</v>
      </c>
      <c r="AW35">
        <v>93</v>
      </c>
      <c r="AX35">
        <v>107.3655913978</v>
      </c>
      <c r="AY35">
        <v>169</v>
      </c>
      <c r="AZ35">
        <v>34</v>
      </c>
      <c r="BA35">
        <v>117</v>
      </c>
      <c r="BB35">
        <v>42</v>
      </c>
      <c r="BC35">
        <v>0</v>
      </c>
      <c r="BE35">
        <v>16</v>
      </c>
      <c r="BF35">
        <v>4</v>
      </c>
      <c r="BG35">
        <v>14</v>
      </c>
      <c r="BH35">
        <v>16</v>
      </c>
      <c r="BJ35" t="s">
        <v>524</v>
      </c>
      <c r="BK35" t="s">
        <v>369</v>
      </c>
      <c r="BL35">
        <v>2827</v>
      </c>
      <c r="BM35">
        <v>694</v>
      </c>
      <c r="BN35">
        <v>97.629288998899995</v>
      </c>
      <c r="BO35">
        <v>6002</v>
      </c>
      <c r="BP35">
        <v>32</v>
      </c>
      <c r="BQ35">
        <v>136.90703098969999</v>
      </c>
      <c r="BR35">
        <v>126.5625</v>
      </c>
      <c r="BS35">
        <v>659</v>
      </c>
      <c r="BT35">
        <v>264</v>
      </c>
      <c r="BU35">
        <v>130.6767830046</v>
      </c>
      <c r="BV35">
        <v>4081</v>
      </c>
      <c r="BW35">
        <v>11</v>
      </c>
      <c r="BX35">
        <v>141.03332516539999</v>
      </c>
      <c r="BY35">
        <v>162.63636363640001</v>
      </c>
      <c r="CA35" t="s">
        <v>371</v>
      </c>
      <c r="CB35" t="s">
        <v>856</v>
      </c>
      <c r="CC35" t="s">
        <v>984</v>
      </c>
      <c r="CD35">
        <v>4253</v>
      </c>
      <c r="CE35">
        <v>786</v>
      </c>
      <c r="CF35">
        <v>84.114977662800001</v>
      </c>
      <c r="CG35">
        <v>10752</v>
      </c>
      <c r="CH35">
        <v>71</v>
      </c>
      <c r="CI35">
        <v>127.4201078869</v>
      </c>
      <c r="CJ35">
        <v>116.22535211269999</v>
      </c>
      <c r="CL35" t="s">
        <v>371</v>
      </c>
      <c r="CM35" t="s">
        <v>825</v>
      </c>
      <c r="CN35" t="s">
        <v>830</v>
      </c>
      <c r="CO35">
        <v>477</v>
      </c>
      <c r="CP35">
        <v>76</v>
      </c>
      <c r="CQ35">
        <v>76.463312368999993</v>
      </c>
      <c r="CR35">
        <v>1382</v>
      </c>
      <c r="CS35">
        <v>4</v>
      </c>
      <c r="CT35">
        <v>92.143270622299994</v>
      </c>
      <c r="CU35">
        <v>104.75</v>
      </c>
      <c r="CW35" t="s">
        <v>371</v>
      </c>
      <c r="CX35" t="s">
        <v>841</v>
      </c>
      <c r="CY35" t="s">
        <v>846</v>
      </c>
      <c r="CZ35">
        <v>68</v>
      </c>
      <c r="DA35">
        <v>8</v>
      </c>
      <c r="DB35">
        <v>63.058823529400001</v>
      </c>
      <c r="DC35">
        <v>174</v>
      </c>
      <c r="DD35">
        <v>0</v>
      </c>
      <c r="DE35">
        <v>142.22988505750001</v>
      </c>
      <c r="DF35">
        <v>0</v>
      </c>
      <c r="DH35" t="s">
        <v>371</v>
      </c>
      <c r="DI35" t="s">
        <v>809</v>
      </c>
      <c r="DJ35" t="s">
        <v>814</v>
      </c>
      <c r="DK35">
        <v>47</v>
      </c>
      <c r="DL35">
        <v>0</v>
      </c>
      <c r="DM35">
        <v>45.276595744700003</v>
      </c>
      <c r="DN35">
        <v>107</v>
      </c>
      <c r="DO35">
        <v>1</v>
      </c>
      <c r="DP35">
        <v>129.12149532710001</v>
      </c>
      <c r="DQ35">
        <v>92</v>
      </c>
    </row>
    <row r="36" spans="2:121" x14ac:dyDescent="0.2">
      <c r="B36" t="s">
        <v>95</v>
      </c>
      <c r="C36">
        <v>1165</v>
      </c>
      <c r="D36">
        <v>743</v>
      </c>
      <c r="F36" t="s">
        <v>47</v>
      </c>
      <c r="G36">
        <v>1927</v>
      </c>
      <c r="H36">
        <v>274.28956927870001</v>
      </c>
      <c r="I36">
        <v>2343</v>
      </c>
      <c r="J36">
        <v>410</v>
      </c>
      <c r="K36">
        <v>3595</v>
      </c>
      <c r="L36">
        <v>2004</v>
      </c>
      <c r="M36">
        <v>452</v>
      </c>
      <c r="N36">
        <v>364</v>
      </c>
      <c r="O36">
        <v>1258</v>
      </c>
      <c r="P36">
        <v>939</v>
      </c>
      <c r="Q36">
        <v>0</v>
      </c>
      <c r="R36">
        <v>8</v>
      </c>
      <c r="T36" t="s">
        <v>646</v>
      </c>
      <c r="U36" t="s">
        <v>306</v>
      </c>
      <c r="V36" t="s">
        <v>133</v>
      </c>
      <c r="W36" t="s">
        <v>214</v>
      </c>
      <c r="X36" t="s">
        <v>459</v>
      </c>
      <c r="Y36" t="s">
        <v>216</v>
      </c>
      <c r="Z36" t="s">
        <v>217</v>
      </c>
      <c r="AA36" t="s">
        <v>218</v>
      </c>
      <c r="AB36" t="s">
        <v>460</v>
      </c>
      <c r="AC36" t="s">
        <v>220</v>
      </c>
      <c r="AD36" t="s">
        <v>221</v>
      </c>
      <c r="AE36" t="s">
        <v>222</v>
      </c>
      <c r="AF36" t="s">
        <v>223</v>
      </c>
      <c r="AH36" t="s">
        <v>382</v>
      </c>
      <c r="AI36">
        <v>14331</v>
      </c>
      <c r="AJ36">
        <v>304.47128602330002</v>
      </c>
      <c r="AK36">
        <v>17795</v>
      </c>
      <c r="AL36">
        <v>4300</v>
      </c>
      <c r="AM36">
        <v>21301</v>
      </c>
      <c r="AN36">
        <v>12545</v>
      </c>
      <c r="AO36">
        <v>9107</v>
      </c>
      <c r="AP36">
        <v>7298</v>
      </c>
      <c r="AQ36">
        <v>7749</v>
      </c>
      <c r="AR36">
        <v>5194</v>
      </c>
      <c r="AS36">
        <v>1272</v>
      </c>
      <c r="AT36">
        <v>46</v>
      </c>
      <c r="AV36" t="s">
        <v>383</v>
      </c>
      <c r="AW36">
        <v>1016</v>
      </c>
      <c r="AX36">
        <v>107.6476377953</v>
      </c>
      <c r="AY36">
        <v>1128</v>
      </c>
      <c r="AZ36">
        <v>172</v>
      </c>
      <c r="BA36">
        <v>1219</v>
      </c>
      <c r="BB36">
        <v>454</v>
      </c>
      <c r="BC36">
        <v>1</v>
      </c>
      <c r="BD36">
        <v>1</v>
      </c>
      <c r="BE36">
        <v>48</v>
      </c>
      <c r="BF36">
        <v>8</v>
      </c>
      <c r="BG36">
        <v>180</v>
      </c>
      <c r="BH36">
        <v>225</v>
      </c>
      <c r="BJ36" t="s">
        <v>369</v>
      </c>
      <c r="BK36" t="s">
        <v>369</v>
      </c>
      <c r="BL36">
        <v>74350</v>
      </c>
      <c r="BM36">
        <v>16654</v>
      </c>
      <c r="BN36">
        <v>92.696677874900004</v>
      </c>
      <c r="BO36">
        <v>175640</v>
      </c>
      <c r="BP36">
        <v>1064</v>
      </c>
      <c r="BQ36">
        <v>130.74984627649999</v>
      </c>
      <c r="BR36">
        <v>121.3355263158</v>
      </c>
      <c r="BS36">
        <v>19060</v>
      </c>
      <c r="BT36">
        <v>5506</v>
      </c>
      <c r="BU36">
        <v>103.9472717733</v>
      </c>
      <c r="BV36">
        <v>169130</v>
      </c>
      <c r="BW36">
        <v>996</v>
      </c>
      <c r="BX36">
        <v>129.7546975699</v>
      </c>
      <c r="BY36">
        <v>119.0040160643</v>
      </c>
      <c r="CA36" t="s">
        <v>415</v>
      </c>
      <c r="CB36" t="s">
        <v>856</v>
      </c>
      <c r="CC36" t="s">
        <v>985</v>
      </c>
      <c r="CD36">
        <v>1334</v>
      </c>
      <c r="CE36">
        <v>200</v>
      </c>
      <c r="CF36">
        <v>77.3050974513</v>
      </c>
      <c r="CG36">
        <v>3145</v>
      </c>
      <c r="CH36">
        <v>16</v>
      </c>
      <c r="CI36">
        <v>126.906836248</v>
      </c>
      <c r="CJ36">
        <v>95.25</v>
      </c>
      <c r="CL36" t="s">
        <v>415</v>
      </c>
      <c r="CM36" t="s">
        <v>825</v>
      </c>
      <c r="CN36" t="s">
        <v>831</v>
      </c>
      <c r="CO36">
        <v>133</v>
      </c>
      <c r="CP36">
        <v>14</v>
      </c>
      <c r="CQ36">
        <v>66.466165413499994</v>
      </c>
      <c r="CR36">
        <v>333</v>
      </c>
      <c r="CS36">
        <v>0</v>
      </c>
      <c r="CT36">
        <v>94.807807807800003</v>
      </c>
      <c r="CU36">
        <v>0</v>
      </c>
      <c r="CW36" t="s">
        <v>415</v>
      </c>
      <c r="CX36" t="s">
        <v>841</v>
      </c>
      <c r="CY36" t="s">
        <v>847</v>
      </c>
      <c r="CZ36">
        <v>22</v>
      </c>
      <c r="DA36">
        <v>1</v>
      </c>
      <c r="DB36">
        <v>55.772727272700003</v>
      </c>
      <c r="DC36">
        <v>46</v>
      </c>
      <c r="DD36">
        <v>0</v>
      </c>
      <c r="DE36">
        <v>150.91304347830001</v>
      </c>
      <c r="DF36">
        <v>0</v>
      </c>
      <c r="DH36" t="s">
        <v>415</v>
      </c>
      <c r="DI36" t="s">
        <v>809</v>
      </c>
      <c r="DJ36" t="s">
        <v>815</v>
      </c>
      <c r="DK36">
        <v>7</v>
      </c>
      <c r="DL36">
        <v>2</v>
      </c>
      <c r="DM36">
        <v>91.571428571400006</v>
      </c>
      <c r="DN36">
        <v>48</v>
      </c>
      <c r="DO36">
        <v>1</v>
      </c>
      <c r="DP36">
        <v>136.2708333333</v>
      </c>
      <c r="DQ36">
        <v>303</v>
      </c>
    </row>
    <row r="37" spans="2:121" x14ac:dyDescent="0.2">
      <c r="B37" t="s">
        <v>1059</v>
      </c>
      <c r="C37">
        <v>110</v>
      </c>
      <c r="D37">
        <v>103</v>
      </c>
      <c r="F37" t="s">
        <v>82</v>
      </c>
      <c r="G37">
        <v>528</v>
      </c>
      <c r="H37">
        <v>433.45265151519999</v>
      </c>
      <c r="I37">
        <v>773</v>
      </c>
      <c r="J37">
        <v>168</v>
      </c>
      <c r="K37">
        <v>875</v>
      </c>
      <c r="L37">
        <v>458</v>
      </c>
      <c r="M37">
        <v>48</v>
      </c>
      <c r="N37">
        <v>46</v>
      </c>
      <c r="O37">
        <v>88</v>
      </c>
      <c r="P37">
        <v>45</v>
      </c>
      <c r="Q37">
        <v>0</v>
      </c>
      <c r="R37">
        <v>0</v>
      </c>
      <c r="T37" t="s">
        <v>390</v>
      </c>
      <c r="U37">
        <v>3553</v>
      </c>
      <c r="V37">
        <v>67.561778778499999</v>
      </c>
      <c r="W37">
        <v>5459</v>
      </c>
      <c r="X37">
        <v>529</v>
      </c>
      <c r="Y37">
        <v>5238</v>
      </c>
      <c r="Z37">
        <v>557</v>
      </c>
      <c r="AA37">
        <v>15</v>
      </c>
      <c r="AB37">
        <v>12</v>
      </c>
      <c r="AC37">
        <v>381</v>
      </c>
      <c r="AD37">
        <v>80</v>
      </c>
      <c r="AE37">
        <v>2356</v>
      </c>
      <c r="AF37">
        <v>659</v>
      </c>
      <c r="AH37" t="s">
        <v>419</v>
      </c>
      <c r="AI37">
        <v>208</v>
      </c>
      <c r="AJ37">
        <v>198.36538461539999</v>
      </c>
      <c r="AK37">
        <v>612</v>
      </c>
      <c r="AL37">
        <v>87</v>
      </c>
      <c r="AM37">
        <v>841</v>
      </c>
      <c r="AN37">
        <v>114</v>
      </c>
      <c r="AO37">
        <v>141</v>
      </c>
      <c r="AP37">
        <v>73</v>
      </c>
      <c r="AQ37">
        <v>165</v>
      </c>
      <c r="AR37">
        <v>99</v>
      </c>
      <c r="AS37">
        <v>1</v>
      </c>
      <c r="AT37">
        <v>3</v>
      </c>
      <c r="AV37" t="s">
        <v>391</v>
      </c>
      <c r="AW37">
        <v>571</v>
      </c>
      <c r="AX37">
        <v>65.509632224200004</v>
      </c>
      <c r="AY37">
        <v>1142</v>
      </c>
      <c r="AZ37">
        <v>101</v>
      </c>
      <c r="BA37">
        <v>954</v>
      </c>
      <c r="BB37">
        <v>109</v>
      </c>
      <c r="BC37">
        <v>5</v>
      </c>
      <c r="BD37">
        <v>3</v>
      </c>
      <c r="BE37">
        <v>90</v>
      </c>
      <c r="BF37">
        <v>13</v>
      </c>
      <c r="BG37">
        <v>125</v>
      </c>
      <c r="BH37">
        <v>106</v>
      </c>
      <c r="BJ37" t="s">
        <v>526</v>
      </c>
      <c r="BK37" t="s">
        <v>369</v>
      </c>
      <c r="BL37">
        <v>8381</v>
      </c>
      <c r="BM37">
        <v>2426</v>
      </c>
      <c r="BN37">
        <v>109.3660661019</v>
      </c>
      <c r="BO37">
        <v>17457</v>
      </c>
      <c r="BP37">
        <v>58</v>
      </c>
      <c r="BQ37">
        <v>148.44841610820001</v>
      </c>
      <c r="BR37">
        <v>139.10344827590001</v>
      </c>
      <c r="BS37">
        <v>2412</v>
      </c>
      <c r="BT37">
        <v>853</v>
      </c>
      <c r="BU37">
        <v>123.2823383085</v>
      </c>
      <c r="BV37">
        <v>17752</v>
      </c>
      <c r="BW37">
        <v>48</v>
      </c>
      <c r="BX37">
        <v>146.12708427219999</v>
      </c>
      <c r="BY37">
        <v>143.4375</v>
      </c>
      <c r="CA37" t="s">
        <v>374</v>
      </c>
      <c r="CB37" t="s">
        <v>856</v>
      </c>
      <c r="CC37" t="s">
        <v>986</v>
      </c>
      <c r="CD37">
        <v>4287</v>
      </c>
      <c r="CE37">
        <v>1154</v>
      </c>
      <c r="CF37">
        <v>103.7284814556</v>
      </c>
      <c r="CG37">
        <v>9264</v>
      </c>
      <c r="CH37">
        <v>35</v>
      </c>
      <c r="CI37">
        <v>137.44127806559999</v>
      </c>
      <c r="CJ37">
        <v>127.57142857140001</v>
      </c>
      <c r="CL37" t="s">
        <v>374</v>
      </c>
      <c r="CM37" t="s">
        <v>825</v>
      </c>
      <c r="CN37" t="s">
        <v>832</v>
      </c>
      <c r="CO37">
        <v>593</v>
      </c>
      <c r="CP37">
        <v>77</v>
      </c>
      <c r="CQ37">
        <v>73.256323777399999</v>
      </c>
      <c r="CR37">
        <v>1473</v>
      </c>
      <c r="CS37">
        <v>1</v>
      </c>
      <c r="CT37">
        <v>96.542430414099996</v>
      </c>
      <c r="CU37">
        <v>54</v>
      </c>
      <c r="CW37" t="s">
        <v>374</v>
      </c>
      <c r="CX37" t="s">
        <v>841</v>
      </c>
      <c r="CY37" t="s">
        <v>848</v>
      </c>
      <c r="CZ37">
        <v>88</v>
      </c>
      <c r="DA37">
        <v>14</v>
      </c>
      <c r="DB37">
        <v>68.920454545499993</v>
      </c>
      <c r="DC37">
        <v>205</v>
      </c>
      <c r="DD37">
        <v>3</v>
      </c>
      <c r="DE37">
        <v>148.08780487799999</v>
      </c>
      <c r="DF37">
        <v>137.6666666667</v>
      </c>
      <c r="DH37" t="s">
        <v>374</v>
      </c>
      <c r="DI37" t="s">
        <v>809</v>
      </c>
      <c r="DJ37" t="s">
        <v>816</v>
      </c>
      <c r="DK37">
        <v>74</v>
      </c>
      <c r="DL37">
        <v>12</v>
      </c>
      <c r="DM37">
        <v>62.486486486499999</v>
      </c>
      <c r="DN37">
        <v>158</v>
      </c>
      <c r="DO37">
        <v>0</v>
      </c>
      <c r="DP37">
        <v>137.01265822779999</v>
      </c>
      <c r="DQ37">
        <v>0</v>
      </c>
    </row>
    <row r="38" spans="2:121" x14ac:dyDescent="0.2">
      <c r="B38" t="s">
        <v>115</v>
      </c>
      <c r="C38">
        <v>6275</v>
      </c>
      <c r="D38">
        <v>1785</v>
      </c>
      <c r="F38" t="s">
        <v>52</v>
      </c>
      <c r="G38">
        <v>6480</v>
      </c>
      <c r="H38">
        <v>448.72114197529999</v>
      </c>
      <c r="I38">
        <v>10536</v>
      </c>
      <c r="J38">
        <v>2028</v>
      </c>
      <c r="K38">
        <v>10635</v>
      </c>
      <c r="L38">
        <v>5957</v>
      </c>
      <c r="M38">
        <v>1033</v>
      </c>
      <c r="N38">
        <v>889</v>
      </c>
      <c r="O38">
        <v>4040</v>
      </c>
      <c r="P38">
        <v>3330</v>
      </c>
      <c r="Q38">
        <v>4</v>
      </c>
      <c r="R38">
        <v>35</v>
      </c>
      <c r="T38" t="s">
        <v>380</v>
      </c>
      <c r="U38">
        <v>8589</v>
      </c>
      <c r="V38">
        <v>102.402025847</v>
      </c>
      <c r="W38">
        <v>9312</v>
      </c>
      <c r="X38">
        <v>1482</v>
      </c>
      <c r="Y38">
        <v>10950</v>
      </c>
      <c r="Z38">
        <v>3571</v>
      </c>
      <c r="AA38">
        <v>29</v>
      </c>
      <c r="AB38">
        <v>27</v>
      </c>
      <c r="AC38">
        <v>431</v>
      </c>
      <c r="AD38">
        <v>111</v>
      </c>
      <c r="AE38">
        <v>1380</v>
      </c>
      <c r="AF38">
        <v>1546</v>
      </c>
      <c r="AH38" t="s">
        <v>391</v>
      </c>
      <c r="AI38">
        <v>4759</v>
      </c>
      <c r="AJ38">
        <v>401.19899138469998</v>
      </c>
      <c r="AK38">
        <v>8541</v>
      </c>
      <c r="AL38">
        <v>1554</v>
      </c>
      <c r="AM38">
        <v>10264</v>
      </c>
      <c r="AN38">
        <v>4825</v>
      </c>
      <c r="AO38">
        <v>3169</v>
      </c>
      <c r="AP38">
        <v>2843</v>
      </c>
      <c r="AQ38">
        <v>4320</v>
      </c>
      <c r="AR38">
        <v>3019</v>
      </c>
      <c r="AS38">
        <v>1197</v>
      </c>
      <c r="AT38">
        <v>330</v>
      </c>
      <c r="AV38" t="s">
        <v>414</v>
      </c>
      <c r="AW38">
        <v>38</v>
      </c>
      <c r="AX38">
        <v>103.6315789474</v>
      </c>
      <c r="AY38">
        <v>56</v>
      </c>
      <c r="AZ38">
        <v>6</v>
      </c>
      <c r="BA38">
        <v>52</v>
      </c>
      <c r="BB38">
        <v>18</v>
      </c>
      <c r="BC38">
        <v>2</v>
      </c>
      <c r="BD38">
        <v>2</v>
      </c>
      <c r="BE38">
        <v>2</v>
      </c>
      <c r="BG38">
        <v>10</v>
      </c>
      <c r="BH38">
        <v>18</v>
      </c>
      <c r="BJ38" t="s">
        <v>529</v>
      </c>
      <c r="BK38" t="s">
        <v>369</v>
      </c>
      <c r="BL38">
        <v>5092</v>
      </c>
      <c r="BM38">
        <v>1582</v>
      </c>
      <c r="BN38">
        <v>110.3313040063</v>
      </c>
      <c r="BO38">
        <v>9782</v>
      </c>
      <c r="BP38">
        <v>66</v>
      </c>
      <c r="BQ38">
        <v>157.25955837250001</v>
      </c>
      <c r="BR38">
        <v>150.01515151519999</v>
      </c>
      <c r="BS38">
        <v>601</v>
      </c>
      <c r="BT38">
        <v>331</v>
      </c>
      <c r="BU38">
        <v>150.1680532446</v>
      </c>
      <c r="BV38">
        <v>8411</v>
      </c>
      <c r="BW38">
        <v>57</v>
      </c>
      <c r="BX38">
        <v>170.86065866129999</v>
      </c>
      <c r="BY38">
        <v>187.05263157889999</v>
      </c>
      <c r="CA38" t="s">
        <v>60</v>
      </c>
      <c r="CB38" t="s">
        <v>856</v>
      </c>
      <c r="CC38" t="s">
        <v>518</v>
      </c>
      <c r="CD38">
        <v>9054</v>
      </c>
      <c r="CE38">
        <v>2112</v>
      </c>
      <c r="CF38">
        <v>96.025844930399998</v>
      </c>
      <c r="CG38">
        <v>21216</v>
      </c>
      <c r="CH38">
        <v>105</v>
      </c>
      <c r="CI38">
        <v>129.89126131219999</v>
      </c>
      <c r="CJ38">
        <v>136.8571428571</v>
      </c>
      <c r="CL38" t="s">
        <v>60</v>
      </c>
      <c r="CM38" t="s">
        <v>825</v>
      </c>
      <c r="CN38" t="s">
        <v>833</v>
      </c>
      <c r="CO38">
        <v>1438</v>
      </c>
      <c r="CP38">
        <v>168</v>
      </c>
      <c r="CQ38">
        <v>74.993741307400001</v>
      </c>
      <c r="CR38">
        <v>3742</v>
      </c>
      <c r="CS38">
        <v>14</v>
      </c>
      <c r="CT38">
        <v>98.805451630099995</v>
      </c>
      <c r="CU38">
        <v>86.071428571400006</v>
      </c>
      <c r="CW38" t="s">
        <v>60</v>
      </c>
      <c r="CX38" t="s">
        <v>841</v>
      </c>
      <c r="CY38" t="s">
        <v>849</v>
      </c>
      <c r="CZ38">
        <v>219</v>
      </c>
      <c r="DA38">
        <v>22</v>
      </c>
      <c r="DB38">
        <v>64.968036529700001</v>
      </c>
      <c r="DC38">
        <v>457</v>
      </c>
      <c r="DD38">
        <v>2</v>
      </c>
      <c r="DE38">
        <v>141.41137855580001</v>
      </c>
      <c r="DF38">
        <v>119.5</v>
      </c>
      <c r="DH38" t="s">
        <v>60</v>
      </c>
      <c r="DI38" t="s">
        <v>809</v>
      </c>
      <c r="DJ38" t="s">
        <v>817</v>
      </c>
      <c r="DK38">
        <v>137</v>
      </c>
      <c r="DL38">
        <v>19</v>
      </c>
      <c r="DM38">
        <v>60.883211678800002</v>
      </c>
      <c r="DN38">
        <v>339</v>
      </c>
      <c r="DO38">
        <v>3</v>
      </c>
      <c r="DP38">
        <v>131.99115044249999</v>
      </c>
      <c r="DQ38">
        <v>101</v>
      </c>
    </row>
    <row r="39" spans="2:121" x14ac:dyDescent="0.2">
      <c r="B39" t="s">
        <v>99</v>
      </c>
      <c r="C39">
        <v>16985</v>
      </c>
      <c r="D39">
        <v>2706</v>
      </c>
      <c r="F39" t="s">
        <v>60</v>
      </c>
      <c r="G39">
        <v>2483</v>
      </c>
      <c r="H39">
        <v>310.24043495770002</v>
      </c>
      <c r="I39">
        <v>4878</v>
      </c>
      <c r="J39">
        <v>1328</v>
      </c>
      <c r="K39">
        <v>5353</v>
      </c>
      <c r="L39">
        <v>2135</v>
      </c>
      <c r="M39">
        <v>2210</v>
      </c>
      <c r="N39">
        <v>1939</v>
      </c>
      <c r="O39">
        <v>4006</v>
      </c>
      <c r="P39">
        <v>2172</v>
      </c>
      <c r="Q39">
        <v>0</v>
      </c>
      <c r="R39">
        <v>1</v>
      </c>
      <c r="T39" t="s">
        <v>369</v>
      </c>
      <c r="U39">
        <v>7863</v>
      </c>
      <c r="V39">
        <v>106.1100089025</v>
      </c>
      <c r="W39">
        <v>10843</v>
      </c>
      <c r="X39">
        <v>1970</v>
      </c>
      <c r="Y39">
        <v>10287</v>
      </c>
      <c r="Z39">
        <v>3434</v>
      </c>
      <c r="AA39">
        <v>179</v>
      </c>
      <c r="AB39">
        <v>172</v>
      </c>
      <c r="AC39">
        <v>433</v>
      </c>
      <c r="AD39">
        <v>136</v>
      </c>
      <c r="AE39">
        <v>1275</v>
      </c>
      <c r="AF39">
        <v>1875</v>
      </c>
      <c r="AH39" t="s">
        <v>412</v>
      </c>
      <c r="AI39">
        <v>1496</v>
      </c>
      <c r="AJ39">
        <v>179.01336898400001</v>
      </c>
      <c r="AK39">
        <v>5624</v>
      </c>
      <c r="AL39">
        <v>566</v>
      </c>
      <c r="AM39">
        <v>4610</v>
      </c>
      <c r="AN39">
        <v>727</v>
      </c>
      <c r="AO39">
        <v>969</v>
      </c>
      <c r="AP39">
        <v>498</v>
      </c>
      <c r="AQ39">
        <v>2986</v>
      </c>
      <c r="AR39">
        <v>1732</v>
      </c>
      <c r="AS39">
        <v>7</v>
      </c>
      <c r="AT39">
        <v>15</v>
      </c>
      <c r="AV39" t="s">
        <v>396</v>
      </c>
      <c r="AW39">
        <v>273</v>
      </c>
      <c r="AX39">
        <v>60.717948717900001</v>
      </c>
      <c r="AY39">
        <v>406</v>
      </c>
      <c r="AZ39">
        <v>42</v>
      </c>
      <c r="BA39">
        <v>377</v>
      </c>
      <c r="BB39">
        <v>35</v>
      </c>
      <c r="BC39">
        <v>1</v>
      </c>
      <c r="BD39">
        <v>1</v>
      </c>
      <c r="BE39">
        <v>36</v>
      </c>
      <c r="BF39">
        <v>8</v>
      </c>
      <c r="BG39">
        <v>62</v>
      </c>
      <c r="BH39">
        <v>32</v>
      </c>
      <c r="BJ39" t="s">
        <v>514</v>
      </c>
      <c r="BK39" t="s">
        <v>369</v>
      </c>
      <c r="BL39">
        <v>3279</v>
      </c>
      <c r="BM39">
        <v>376</v>
      </c>
      <c r="BN39">
        <v>57.896309850599998</v>
      </c>
      <c r="BO39">
        <v>16293</v>
      </c>
      <c r="BP39">
        <v>94</v>
      </c>
      <c r="BQ39">
        <v>56.266924446099999</v>
      </c>
      <c r="BR39">
        <v>46.085106383000003</v>
      </c>
      <c r="BS39">
        <v>1514</v>
      </c>
      <c r="BT39">
        <v>125</v>
      </c>
      <c r="BU39">
        <v>47.638705416100002</v>
      </c>
      <c r="BV39">
        <v>19609</v>
      </c>
      <c r="BW39">
        <v>121</v>
      </c>
      <c r="BX39">
        <v>72.929318170200006</v>
      </c>
      <c r="BY39">
        <v>55.247933884299997</v>
      </c>
      <c r="CA39" t="s">
        <v>382</v>
      </c>
      <c r="CB39" t="s">
        <v>856</v>
      </c>
      <c r="CC39" t="s">
        <v>987</v>
      </c>
      <c r="CD39">
        <v>16848</v>
      </c>
      <c r="CE39">
        <v>4071</v>
      </c>
      <c r="CF39">
        <v>94.748456790099993</v>
      </c>
      <c r="CG39">
        <v>38243</v>
      </c>
      <c r="CH39">
        <v>216</v>
      </c>
      <c r="CI39">
        <v>136.42376382609999</v>
      </c>
      <c r="CJ39">
        <v>139.7962962963</v>
      </c>
      <c r="CL39" t="s">
        <v>382</v>
      </c>
      <c r="CM39" t="s">
        <v>825</v>
      </c>
      <c r="CN39" t="s">
        <v>834</v>
      </c>
      <c r="CO39">
        <v>1508</v>
      </c>
      <c r="CP39">
        <v>194</v>
      </c>
      <c r="CQ39">
        <v>75.464190981399994</v>
      </c>
      <c r="CR39">
        <v>3808</v>
      </c>
      <c r="CS39">
        <v>16</v>
      </c>
      <c r="CT39">
        <v>97.010766806700005</v>
      </c>
      <c r="CU39">
        <v>125.4375</v>
      </c>
      <c r="CW39" t="s">
        <v>382</v>
      </c>
      <c r="CX39" t="s">
        <v>841</v>
      </c>
      <c r="CY39" t="s">
        <v>850</v>
      </c>
      <c r="CZ39">
        <v>471</v>
      </c>
      <c r="DA39">
        <v>62</v>
      </c>
      <c r="DB39">
        <v>67.762208067900005</v>
      </c>
      <c r="DC39">
        <v>1043</v>
      </c>
      <c r="DD39">
        <v>4</v>
      </c>
      <c r="DE39">
        <v>152.1150527325</v>
      </c>
      <c r="DF39">
        <v>126.25</v>
      </c>
      <c r="DH39" t="s">
        <v>382</v>
      </c>
      <c r="DI39" t="s">
        <v>809</v>
      </c>
      <c r="DJ39" t="s">
        <v>818</v>
      </c>
      <c r="DK39">
        <v>763</v>
      </c>
      <c r="DL39">
        <v>88</v>
      </c>
      <c r="DM39">
        <v>54.715596330300002</v>
      </c>
      <c r="DN39">
        <v>1885</v>
      </c>
      <c r="DO39">
        <v>12</v>
      </c>
      <c r="DP39">
        <v>142.350132626</v>
      </c>
      <c r="DQ39">
        <v>119.25</v>
      </c>
    </row>
    <row r="40" spans="2:121" x14ac:dyDescent="0.2">
      <c r="B40" t="s">
        <v>124</v>
      </c>
      <c r="C40">
        <v>208</v>
      </c>
      <c r="D40">
        <v>70</v>
      </c>
      <c r="F40" t="s">
        <v>49</v>
      </c>
      <c r="G40">
        <v>3218</v>
      </c>
      <c r="H40">
        <v>416.77501553759998</v>
      </c>
      <c r="I40">
        <v>4564</v>
      </c>
      <c r="J40">
        <v>1415</v>
      </c>
      <c r="K40">
        <v>7117</v>
      </c>
      <c r="L40">
        <v>4225</v>
      </c>
      <c r="M40">
        <v>2541</v>
      </c>
      <c r="N40">
        <v>1979</v>
      </c>
      <c r="O40">
        <v>816</v>
      </c>
      <c r="P40">
        <v>607</v>
      </c>
      <c r="Q40">
        <v>42</v>
      </c>
      <c r="R40">
        <v>275</v>
      </c>
      <c r="T40" t="s">
        <v>8</v>
      </c>
      <c r="U40">
        <v>187</v>
      </c>
      <c r="V40">
        <v>109.513368984</v>
      </c>
      <c r="W40">
        <v>225</v>
      </c>
      <c r="X40">
        <v>109</v>
      </c>
      <c r="Y40">
        <v>368</v>
      </c>
      <c r="Z40">
        <v>215</v>
      </c>
      <c r="AA40">
        <v>7</v>
      </c>
      <c r="AB40">
        <v>6</v>
      </c>
      <c r="AC40">
        <v>4</v>
      </c>
      <c r="AD40">
        <v>2</v>
      </c>
      <c r="AE40">
        <v>57</v>
      </c>
      <c r="AF40">
        <v>18</v>
      </c>
      <c r="AH40" t="s">
        <v>409</v>
      </c>
      <c r="AI40">
        <v>5544</v>
      </c>
      <c r="AJ40">
        <v>436.83279220780003</v>
      </c>
      <c r="AK40">
        <v>4766</v>
      </c>
      <c r="AL40">
        <v>907</v>
      </c>
      <c r="AM40">
        <v>9212</v>
      </c>
      <c r="AN40">
        <v>5580</v>
      </c>
      <c r="AO40">
        <v>3145</v>
      </c>
      <c r="AP40">
        <v>2767</v>
      </c>
      <c r="AQ40">
        <v>3203</v>
      </c>
      <c r="AR40">
        <v>2181</v>
      </c>
      <c r="AS40">
        <v>6</v>
      </c>
      <c r="AT40">
        <v>100</v>
      </c>
      <c r="AV40" t="s">
        <v>60</v>
      </c>
      <c r="AW40">
        <v>1185</v>
      </c>
      <c r="AX40">
        <v>105.61603375529999</v>
      </c>
      <c r="AY40">
        <v>2235</v>
      </c>
      <c r="AZ40">
        <v>456</v>
      </c>
      <c r="BA40">
        <v>1628</v>
      </c>
      <c r="BB40">
        <v>527</v>
      </c>
      <c r="BC40">
        <v>5</v>
      </c>
      <c r="BD40">
        <v>4</v>
      </c>
      <c r="BE40">
        <v>46</v>
      </c>
      <c r="BF40">
        <v>19</v>
      </c>
      <c r="BG40">
        <v>201</v>
      </c>
      <c r="BH40">
        <v>284</v>
      </c>
      <c r="BJ40" t="s">
        <v>535</v>
      </c>
      <c r="BK40" t="s">
        <v>369</v>
      </c>
      <c r="BL40">
        <v>11118</v>
      </c>
      <c r="BM40">
        <v>2105</v>
      </c>
      <c r="BN40">
        <v>85.645169994599996</v>
      </c>
      <c r="BO40">
        <v>26236</v>
      </c>
      <c r="BP40">
        <v>204</v>
      </c>
      <c r="BQ40">
        <v>135.92403567619999</v>
      </c>
      <c r="BR40">
        <v>114.5049019608</v>
      </c>
      <c r="BS40">
        <v>2261</v>
      </c>
      <c r="BT40">
        <v>668</v>
      </c>
      <c r="BU40">
        <v>105.71915081820001</v>
      </c>
      <c r="BV40">
        <v>26303</v>
      </c>
      <c r="BW40">
        <v>231</v>
      </c>
      <c r="BX40">
        <v>132.5709234688</v>
      </c>
      <c r="BY40">
        <v>113.17748917749999</v>
      </c>
      <c r="CA40" t="s">
        <v>375</v>
      </c>
      <c r="CB40" t="s">
        <v>856</v>
      </c>
      <c r="CC40" t="s">
        <v>988</v>
      </c>
      <c r="CD40">
        <v>9708</v>
      </c>
      <c r="CE40">
        <v>2556</v>
      </c>
      <c r="CF40">
        <v>104.8019159456</v>
      </c>
      <c r="CG40">
        <v>21472</v>
      </c>
      <c r="CH40">
        <v>87</v>
      </c>
      <c r="CI40">
        <v>140.03744411330001</v>
      </c>
      <c r="CJ40">
        <v>132.67816091949999</v>
      </c>
      <c r="CL40" t="s">
        <v>375</v>
      </c>
      <c r="CM40" t="s">
        <v>825</v>
      </c>
      <c r="CN40" t="s">
        <v>835</v>
      </c>
      <c r="CO40">
        <v>1745</v>
      </c>
      <c r="CP40">
        <v>187</v>
      </c>
      <c r="CQ40">
        <v>71.927220630400001</v>
      </c>
      <c r="CR40">
        <v>4451</v>
      </c>
      <c r="CS40">
        <v>15</v>
      </c>
      <c r="CT40">
        <v>95.901370478499999</v>
      </c>
      <c r="CU40">
        <v>77.599999999999994</v>
      </c>
      <c r="CW40" t="s">
        <v>375</v>
      </c>
      <c r="CX40" t="s">
        <v>841</v>
      </c>
      <c r="CY40" t="s">
        <v>851</v>
      </c>
      <c r="CZ40">
        <v>158</v>
      </c>
      <c r="DA40">
        <v>22</v>
      </c>
      <c r="DB40">
        <v>64.898734177199998</v>
      </c>
      <c r="DC40">
        <v>382</v>
      </c>
      <c r="DD40">
        <v>3</v>
      </c>
      <c r="DE40">
        <v>143.219895288</v>
      </c>
      <c r="DF40">
        <v>94</v>
      </c>
      <c r="DH40" t="s">
        <v>375</v>
      </c>
      <c r="DI40" t="s">
        <v>809</v>
      </c>
      <c r="DJ40" t="s">
        <v>819</v>
      </c>
      <c r="DK40">
        <v>103</v>
      </c>
      <c r="DL40">
        <v>16</v>
      </c>
      <c r="DM40">
        <v>72.184466019400006</v>
      </c>
      <c r="DN40">
        <v>318</v>
      </c>
      <c r="DO40">
        <v>0</v>
      </c>
      <c r="DP40">
        <v>130.68867924529999</v>
      </c>
      <c r="DQ40">
        <v>0</v>
      </c>
    </row>
    <row r="41" spans="2:121" x14ac:dyDescent="0.2">
      <c r="B41" t="s">
        <v>105</v>
      </c>
      <c r="C41">
        <v>8059</v>
      </c>
      <c r="D41">
        <v>6107</v>
      </c>
      <c r="F41" t="s">
        <v>25</v>
      </c>
      <c r="G41">
        <v>11855</v>
      </c>
      <c r="H41">
        <v>388.0912695065</v>
      </c>
      <c r="I41">
        <v>17568</v>
      </c>
      <c r="J41">
        <v>4935</v>
      </c>
      <c r="K41">
        <v>20601</v>
      </c>
      <c r="L41">
        <v>12081</v>
      </c>
      <c r="M41">
        <v>8289</v>
      </c>
      <c r="N41">
        <v>6545</v>
      </c>
      <c r="O41">
        <v>9668</v>
      </c>
      <c r="P41">
        <v>8653</v>
      </c>
      <c r="Q41">
        <v>76</v>
      </c>
      <c r="R41">
        <v>22</v>
      </c>
      <c r="T41" t="s">
        <v>385</v>
      </c>
      <c r="U41">
        <v>2798</v>
      </c>
      <c r="V41">
        <v>68.811651179400002</v>
      </c>
      <c r="W41">
        <v>3137</v>
      </c>
      <c r="X41">
        <v>186</v>
      </c>
      <c r="Y41">
        <v>4088</v>
      </c>
      <c r="Z41">
        <v>432</v>
      </c>
      <c r="AA41">
        <v>25</v>
      </c>
      <c r="AB41">
        <v>19</v>
      </c>
      <c r="AC41">
        <v>230</v>
      </c>
      <c r="AD41">
        <v>76</v>
      </c>
      <c r="AE41">
        <v>3296</v>
      </c>
      <c r="AF41">
        <v>770</v>
      </c>
      <c r="AH41" t="s">
        <v>8</v>
      </c>
      <c r="AI41">
        <v>3230</v>
      </c>
      <c r="AJ41">
        <v>352.26625387000001</v>
      </c>
      <c r="AK41">
        <v>4573</v>
      </c>
      <c r="AL41">
        <v>1866</v>
      </c>
      <c r="AM41">
        <v>5153</v>
      </c>
      <c r="AN41">
        <v>3008</v>
      </c>
      <c r="AO41">
        <v>1410</v>
      </c>
      <c r="AP41">
        <v>974</v>
      </c>
      <c r="AQ41">
        <v>1229</v>
      </c>
      <c r="AR41">
        <v>807</v>
      </c>
      <c r="AS41">
        <v>474</v>
      </c>
      <c r="AT41">
        <v>161</v>
      </c>
      <c r="AV41" t="s">
        <v>416</v>
      </c>
      <c r="AW41">
        <v>129</v>
      </c>
      <c r="AX41">
        <v>106.5968992248</v>
      </c>
      <c r="AY41">
        <v>133</v>
      </c>
      <c r="AZ41">
        <v>25</v>
      </c>
      <c r="BA41">
        <v>167</v>
      </c>
      <c r="BB41">
        <v>52</v>
      </c>
      <c r="BC41">
        <v>1</v>
      </c>
      <c r="BD41">
        <v>1</v>
      </c>
      <c r="BE41">
        <v>10</v>
      </c>
      <c r="BF41">
        <v>5</v>
      </c>
      <c r="BG41">
        <v>38</v>
      </c>
      <c r="BH41">
        <v>24</v>
      </c>
      <c r="BJ41" t="s">
        <v>627</v>
      </c>
      <c r="BK41" t="s">
        <v>369</v>
      </c>
      <c r="BL41">
        <v>1359</v>
      </c>
      <c r="BM41">
        <v>156</v>
      </c>
      <c r="BN41">
        <v>66.123620309100005</v>
      </c>
      <c r="BO41">
        <v>3872</v>
      </c>
      <c r="BP41">
        <v>38</v>
      </c>
      <c r="BQ41">
        <v>104.6725206612</v>
      </c>
      <c r="BR41">
        <v>98.052631578900005</v>
      </c>
      <c r="BS41">
        <v>1658</v>
      </c>
      <c r="BT41">
        <v>164</v>
      </c>
      <c r="BU41">
        <v>71.622436670699997</v>
      </c>
      <c r="BV41">
        <v>13084</v>
      </c>
      <c r="BW41">
        <v>84</v>
      </c>
      <c r="BX41">
        <v>128.25993579940001</v>
      </c>
      <c r="BY41">
        <v>83.976190476200003</v>
      </c>
      <c r="CA41" t="s">
        <v>372</v>
      </c>
      <c r="CB41" t="s">
        <v>856</v>
      </c>
      <c r="CC41" t="s">
        <v>989</v>
      </c>
      <c r="CD41">
        <v>929</v>
      </c>
      <c r="CE41">
        <v>169</v>
      </c>
      <c r="CF41">
        <v>84.902045209899995</v>
      </c>
      <c r="CG41">
        <v>2502</v>
      </c>
      <c r="CH41">
        <v>16</v>
      </c>
      <c r="CI41">
        <v>107.05555555559999</v>
      </c>
      <c r="CJ41">
        <v>78.5625</v>
      </c>
      <c r="CL41" t="s">
        <v>372</v>
      </c>
      <c r="CM41" t="s">
        <v>825</v>
      </c>
      <c r="CN41" t="s">
        <v>836</v>
      </c>
      <c r="CO41">
        <v>124</v>
      </c>
      <c r="CP41">
        <v>17</v>
      </c>
      <c r="CQ41">
        <v>77.685483871000002</v>
      </c>
      <c r="CR41">
        <v>342</v>
      </c>
      <c r="CS41">
        <v>1</v>
      </c>
      <c r="CT41">
        <v>94.9795321637</v>
      </c>
      <c r="CU41">
        <v>57</v>
      </c>
      <c r="CW41" t="s">
        <v>372</v>
      </c>
      <c r="CX41" t="s">
        <v>841</v>
      </c>
      <c r="CY41" t="s">
        <v>852</v>
      </c>
      <c r="CZ41">
        <v>5</v>
      </c>
      <c r="DA41">
        <v>0</v>
      </c>
      <c r="DB41">
        <v>38.200000000000003</v>
      </c>
      <c r="DC41">
        <v>27</v>
      </c>
      <c r="DD41">
        <v>0</v>
      </c>
      <c r="DE41">
        <v>156.6296296296</v>
      </c>
      <c r="DF41">
        <v>0</v>
      </c>
      <c r="DH41" t="s">
        <v>372</v>
      </c>
      <c r="DI41" t="s">
        <v>809</v>
      </c>
      <c r="DJ41" t="s">
        <v>820</v>
      </c>
      <c r="DK41">
        <v>7</v>
      </c>
      <c r="DL41">
        <v>0</v>
      </c>
      <c r="DM41">
        <v>45.714285714299997</v>
      </c>
      <c r="DN41">
        <v>21</v>
      </c>
      <c r="DO41">
        <v>0</v>
      </c>
      <c r="DP41">
        <v>130.09523809519999</v>
      </c>
      <c r="DQ41">
        <v>0</v>
      </c>
    </row>
    <row r="42" spans="2:121" x14ac:dyDescent="0.2">
      <c r="B42" t="s">
        <v>112</v>
      </c>
      <c r="C42">
        <v>7612</v>
      </c>
      <c r="D42">
        <v>582</v>
      </c>
      <c r="F42" t="s">
        <v>75</v>
      </c>
      <c r="G42">
        <v>3188</v>
      </c>
      <c r="H42">
        <v>224.77446675030001</v>
      </c>
      <c r="I42">
        <v>6342</v>
      </c>
      <c r="J42">
        <v>1059</v>
      </c>
      <c r="K42">
        <v>6490</v>
      </c>
      <c r="L42">
        <v>2633</v>
      </c>
      <c r="M42">
        <v>2067</v>
      </c>
      <c r="N42">
        <v>1749</v>
      </c>
      <c r="O42">
        <v>1660</v>
      </c>
      <c r="P42">
        <v>1360</v>
      </c>
      <c r="Q42">
        <v>0</v>
      </c>
      <c r="R42">
        <v>51</v>
      </c>
      <c r="T42" t="s">
        <v>404</v>
      </c>
      <c r="U42">
        <v>2398</v>
      </c>
      <c r="V42">
        <v>71.086321934899999</v>
      </c>
      <c r="W42">
        <v>3224</v>
      </c>
      <c r="X42">
        <v>134</v>
      </c>
      <c r="Y42">
        <v>3929</v>
      </c>
      <c r="Z42">
        <v>507</v>
      </c>
      <c r="AA42">
        <v>17</v>
      </c>
      <c r="AB42">
        <v>16</v>
      </c>
      <c r="AC42">
        <v>174</v>
      </c>
      <c r="AD42">
        <v>64</v>
      </c>
      <c r="AE42">
        <v>3852</v>
      </c>
      <c r="AF42">
        <v>817</v>
      </c>
      <c r="AH42" t="s">
        <v>375</v>
      </c>
      <c r="AI42">
        <v>5400</v>
      </c>
      <c r="AJ42">
        <v>416.01629629630003</v>
      </c>
      <c r="AK42">
        <v>10230</v>
      </c>
      <c r="AL42">
        <v>2661</v>
      </c>
      <c r="AM42">
        <v>11723</v>
      </c>
      <c r="AN42">
        <v>6109</v>
      </c>
      <c r="AO42">
        <v>2352</v>
      </c>
      <c r="AP42">
        <v>1969</v>
      </c>
      <c r="AQ42">
        <v>6492</v>
      </c>
      <c r="AR42">
        <v>5240</v>
      </c>
      <c r="AS42">
        <v>1596</v>
      </c>
      <c r="AT42">
        <v>16</v>
      </c>
      <c r="AV42" t="s">
        <v>410</v>
      </c>
      <c r="AW42">
        <v>1234</v>
      </c>
      <c r="AX42">
        <v>67.533225283600004</v>
      </c>
      <c r="AY42">
        <v>1359</v>
      </c>
      <c r="AZ42">
        <v>53</v>
      </c>
      <c r="BA42">
        <v>1811</v>
      </c>
      <c r="BB42">
        <v>150</v>
      </c>
      <c r="BC42">
        <v>8</v>
      </c>
      <c r="BD42">
        <v>7</v>
      </c>
      <c r="BE42">
        <v>81</v>
      </c>
      <c r="BF42">
        <v>37</v>
      </c>
      <c r="BG42">
        <v>1657</v>
      </c>
      <c r="BH42">
        <v>447</v>
      </c>
      <c r="BJ42" t="s">
        <v>629</v>
      </c>
      <c r="BK42" t="s">
        <v>369</v>
      </c>
      <c r="BL42">
        <v>592</v>
      </c>
      <c r="BM42">
        <v>156</v>
      </c>
      <c r="BN42">
        <v>97.645270270300003</v>
      </c>
      <c r="BO42">
        <v>1104</v>
      </c>
      <c r="BP42">
        <v>5</v>
      </c>
      <c r="BQ42">
        <v>135.11141304349999</v>
      </c>
      <c r="BR42">
        <v>107.2</v>
      </c>
      <c r="BS42">
        <v>239</v>
      </c>
      <c r="BT42">
        <v>120</v>
      </c>
      <c r="BU42">
        <v>136.36820083680001</v>
      </c>
      <c r="BV42">
        <v>1680</v>
      </c>
      <c r="BW42">
        <v>15</v>
      </c>
      <c r="BX42">
        <v>141.84464285710001</v>
      </c>
      <c r="BY42">
        <v>103.2</v>
      </c>
      <c r="CA42" t="s">
        <v>417</v>
      </c>
      <c r="CB42" t="s">
        <v>856</v>
      </c>
      <c r="CC42" t="s">
        <v>990</v>
      </c>
      <c r="CD42">
        <v>580</v>
      </c>
      <c r="CE42">
        <v>151</v>
      </c>
      <c r="CF42">
        <v>97.291379310300002</v>
      </c>
      <c r="CG42">
        <v>1084</v>
      </c>
      <c r="CH42">
        <v>5</v>
      </c>
      <c r="CI42">
        <v>130.6014760148</v>
      </c>
      <c r="CJ42">
        <v>107.2</v>
      </c>
      <c r="CL42" t="s">
        <v>417</v>
      </c>
      <c r="CM42" t="s">
        <v>825</v>
      </c>
      <c r="CN42" t="s">
        <v>837</v>
      </c>
      <c r="CO42">
        <v>40</v>
      </c>
      <c r="CP42">
        <v>5</v>
      </c>
      <c r="CQ42">
        <v>64.5</v>
      </c>
      <c r="CR42">
        <v>128</v>
      </c>
      <c r="CS42">
        <v>0</v>
      </c>
      <c r="CT42">
        <v>101.78125</v>
      </c>
      <c r="CU42">
        <v>0</v>
      </c>
      <c r="CW42" t="s">
        <v>417</v>
      </c>
      <c r="CX42" t="s">
        <v>841</v>
      </c>
      <c r="CY42" t="s">
        <v>853</v>
      </c>
      <c r="CZ42">
        <v>7</v>
      </c>
      <c r="DA42">
        <v>1</v>
      </c>
      <c r="DB42">
        <v>63</v>
      </c>
      <c r="DC42">
        <v>11</v>
      </c>
      <c r="DD42">
        <v>0</v>
      </c>
      <c r="DE42">
        <v>144.45454545449999</v>
      </c>
      <c r="DF42">
        <v>0</v>
      </c>
      <c r="DH42" t="s">
        <v>417</v>
      </c>
      <c r="DI42" t="s">
        <v>809</v>
      </c>
      <c r="DJ42" t="s">
        <v>821</v>
      </c>
      <c r="DK42">
        <v>6</v>
      </c>
      <c r="DL42">
        <v>2</v>
      </c>
      <c r="DM42">
        <v>79</v>
      </c>
      <c r="DN42">
        <v>12</v>
      </c>
      <c r="DO42">
        <v>0</v>
      </c>
      <c r="DP42">
        <v>115.4166666667</v>
      </c>
      <c r="DQ42">
        <v>0</v>
      </c>
    </row>
    <row r="43" spans="2:121" x14ac:dyDescent="0.2">
      <c r="B43" t="s">
        <v>113</v>
      </c>
      <c r="C43">
        <v>15862</v>
      </c>
      <c r="D43">
        <v>3275</v>
      </c>
      <c r="F43" t="s">
        <v>66</v>
      </c>
      <c r="G43">
        <v>5531</v>
      </c>
      <c r="H43">
        <v>428.35310070510002</v>
      </c>
      <c r="I43">
        <v>4627</v>
      </c>
      <c r="J43">
        <v>887</v>
      </c>
      <c r="K43">
        <v>8179</v>
      </c>
      <c r="L43">
        <v>4997</v>
      </c>
      <c r="M43">
        <v>3029</v>
      </c>
      <c r="N43">
        <v>2770</v>
      </c>
      <c r="O43">
        <v>2168</v>
      </c>
      <c r="P43">
        <v>1575</v>
      </c>
      <c r="Q43">
        <v>0</v>
      </c>
      <c r="R43">
        <v>99</v>
      </c>
      <c r="AH43" t="s">
        <v>427</v>
      </c>
      <c r="AI43">
        <v>1132</v>
      </c>
      <c r="AJ43">
        <v>260.83922261480001</v>
      </c>
      <c r="AK43">
        <v>2402</v>
      </c>
      <c r="AL43">
        <v>550</v>
      </c>
      <c r="AM43">
        <v>4903</v>
      </c>
      <c r="AN43">
        <v>2036</v>
      </c>
      <c r="AO43">
        <v>1008</v>
      </c>
      <c r="AP43">
        <v>846</v>
      </c>
      <c r="AQ43">
        <v>2086</v>
      </c>
      <c r="AR43">
        <v>1474</v>
      </c>
      <c r="AS43">
        <v>410</v>
      </c>
      <c r="AT43">
        <v>2</v>
      </c>
      <c r="AV43" t="s">
        <v>411</v>
      </c>
      <c r="AW43">
        <v>225</v>
      </c>
      <c r="AX43">
        <v>66.36</v>
      </c>
      <c r="AY43">
        <v>266</v>
      </c>
      <c r="AZ43">
        <v>25</v>
      </c>
      <c r="BA43">
        <v>318</v>
      </c>
      <c r="BB43">
        <v>29</v>
      </c>
      <c r="BC43">
        <v>4</v>
      </c>
      <c r="BD43">
        <v>3</v>
      </c>
      <c r="BE43">
        <v>23</v>
      </c>
      <c r="BF43">
        <v>4</v>
      </c>
      <c r="BG43">
        <v>83</v>
      </c>
      <c r="BH43">
        <v>36</v>
      </c>
      <c r="BJ43" t="s">
        <v>643</v>
      </c>
      <c r="BK43" t="s">
        <v>369</v>
      </c>
      <c r="BL43">
        <v>795</v>
      </c>
      <c r="BM43">
        <v>170</v>
      </c>
      <c r="BN43">
        <v>89.413836477999993</v>
      </c>
      <c r="BO43">
        <v>1866</v>
      </c>
      <c r="BP43">
        <v>14</v>
      </c>
      <c r="BQ43">
        <v>139.8488745981</v>
      </c>
      <c r="BR43">
        <v>124.2857142857</v>
      </c>
      <c r="BS43">
        <v>194</v>
      </c>
      <c r="BT43">
        <v>75</v>
      </c>
      <c r="BU43">
        <v>116.5515463918</v>
      </c>
      <c r="BV43">
        <v>1101</v>
      </c>
      <c r="BW43">
        <v>1</v>
      </c>
      <c r="BX43">
        <v>126.3978201635</v>
      </c>
      <c r="BY43">
        <v>51</v>
      </c>
      <c r="CA43" t="s">
        <v>378</v>
      </c>
      <c r="CB43" t="s">
        <v>856</v>
      </c>
      <c r="CC43" t="s">
        <v>991</v>
      </c>
      <c r="CD43">
        <v>10933</v>
      </c>
      <c r="CE43">
        <v>1889</v>
      </c>
      <c r="CF43">
        <v>82.279337784700004</v>
      </c>
      <c r="CG43">
        <v>27261</v>
      </c>
      <c r="CH43">
        <v>217</v>
      </c>
      <c r="CI43">
        <v>130.82410769960001</v>
      </c>
      <c r="CJ43">
        <v>116.95852534559999</v>
      </c>
      <c r="CL43" t="s">
        <v>378</v>
      </c>
      <c r="CM43" t="s">
        <v>825</v>
      </c>
      <c r="CN43" t="s">
        <v>838</v>
      </c>
      <c r="CO43">
        <v>1022</v>
      </c>
      <c r="CP43">
        <v>107</v>
      </c>
      <c r="CQ43">
        <v>70.041095890400001</v>
      </c>
      <c r="CR43">
        <v>2390</v>
      </c>
      <c r="CS43">
        <v>7</v>
      </c>
      <c r="CT43">
        <v>101.7543933054</v>
      </c>
      <c r="CU43">
        <v>114.1428571429</v>
      </c>
      <c r="CW43" t="s">
        <v>378</v>
      </c>
      <c r="CX43" t="s">
        <v>841</v>
      </c>
      <c r="CY43" t="s">
        <v>854</v>
      </c>
      <c r="CZ43">
        <v>552</v>
      </c>
      <c r="DA43">
        <v>68</v>
      </c>
      <c r="DB43">
        <v>69.402173912999999</v>
      </c>
      <c r="DC43">
        <v>1183</v>
      </c>
      <c r="DD43">
        <v>7</v>
      </c>
      <c r="DE43">
        <v>156.06255283179999</v>
      </c>
      <c r="DF43">
        <v>127.2857142857</v>
      </c>
      <c r="DH43" t="s">
        <v>378</v>
      </c>
      <c r="DI43" t="s">
        <v>809</v>
      </c>
      <c r="DJ43" t="s">
        <v>822</v>
      </c>
      <c r="DK43">
        <v>777</v>
      </c>
      <c r="DL43">
        <v>97</v>
      </c>
      <c r="DM43">
        <v>58.157014156999999</v>
      </c>
      <c r="DN43">
        <v>2046</v>
      </c>
      <c r="DO43">
        <v>16</v>
      </c>
      <c r="DP43">
        <v>148.63880742910001</v>
      </c>
      <c r="DQ43">
        <v>99.5625</v>
      </c>
    </row>
    <row r="44" spans="2:121" x14ac:dyDescent="0.2">
      <c r="B44" t="s">
        <v>127</v>
      </c>
      <c r="C44">
        <v>66223</v>
      </c>
      <c r="D44">
        <v>56747</v>
      </c>
      <c r="F44" t="s">
        <v>32</v>
      </c>
      <c r="G44">
        <v>2227</v>
      </c>
      <c r="H44">
        <v>569.59946115850005</v>
      </c>
      <c r="I44">
        <v>1079</v>
      </c>
      <c r="J44">
        <v>297</v>
      </c>
      <c r="K44">
        <v>3306</v>
      </c>
      <c r="L44">
        <v>2430</v>
      </c>
      <c r="M44">
        <v>1615</v>
      </c>
      <c r="N44">
        <v>1345</v>
      </c>
      <c r="O44">
        <v>175</v>
      </c>
      <c r="P44">
        <v>146</v>
      </c>
      <c r="Q44">
        <v>0</v>
      </c>
      <c r="R44">
        <v>4</v>
      </c>
      <c r="AH44" t="s">
        <v>372</v>
      </c>
      <c r="AI44">
        <v>260</v>
      </c>
      <c r="AJ44">
        <v>256.64230769229999</v>
      </c>
      <c r="AK44">
        <v>935</v>
      </c>
      <c r="AL44">
        <v>173</v>
      </c>
      <c r="AM44">
        <v>1058</v>
      </c>
      <c r="AN44">
        <v>251</v>
      </c>
      <c r="AO44">
        <v>206</v>
      </c>
      <c r="AP44">
        <v>167</v>
      </c>
      <c r="AQ44">
        <v>221</v>
      </c>
      <c r="AR44">
        <v>118</v>
      </c>
      <c r="AS44">
        <v>198</v>
      </c>
      <c r="AT44">
        <v>3</v>
      </c>
      <c r="AV44" t="s">
        <v>394</v>
      </c>
      <c r="AW44">
        <v>482</v>
      </c>
      <c r="AX44">
        <v>76.120331950199997</v>
      </c>
      <c r="AY44">
        <v>765</v>
      </c>
      <c r="AZ44">
        <v>78</v>
      </c>
      <c r="BA44">
        <v>656</v>
      </c>
      <c r="BB44">
        <v>71</v>
      </c>
      <c r="BC44">
        <v>1</v>
      </c>
      <c r="BE44">
        <v>48</v>
      </c>
      <c r="BF44">
        <v>11</v>
      </c>
      <c r="BG44">
        <v>90</v>
      </c>
      <c r="BH44">
        <v>132</v>
      </c>
      <c r="BJ44" t="s">
        <v>543</v>
      </c>
      <c r="BK44" t="s">
        <v>369</v>
      </c>
      <c r="BL44">
        <v>17351</v>
      </c>
      <c r="BM44">
        <v>4152</v>
      </c>
      <c r="BN44">
        <v>93.879718748200006</v>
      </c>
      <c r="BO44">
        <v>37743</v>
      </c>
      <c r="BP44">
        <v>228</v>
      </c>
      <c r="BQ44">
        <v>144.02482579549999</v>
      </c>
      <c r="BR44">
        <v>139.8070175439</v>
      </c>
      <c r="BS44">
        <v>3378</v>
      </c>
      <c r="BT44">
        <v>1067</v>
      </c>
      <c r="BU44">
        <v>110.7092954411</v>
      </c>
      <c r="BV44">
        <v>24205</v>
      </c>
      <c r="BW44">
        <v>131</v>
      </c>
      <c r="BX44">
        <v>140.87630654820001</v>
      </c>
      <c r="BY44">
        <v>174.86259541979999</v>
      </c>
      <c r="CA44" t="s">
        <v>379</v>
      </c>
      <c r="CB44" t="s">
        <v>856</v>
      </c>
      <c r="CC44" t="s">
        <v>992</v>
      </c>
      <c r="CD44">
        <v>2543</v>
      </c>
      <c r="CE44">
        <v>448</v>
      </c>
      <c r="CF44">
        <v>84.531262288600004</v>
      </c>
      <c r="CG44">
        <v>7051</v>
      </c>
      <c r="CH44">
        <v>58</v>
      </c>
      <c r="CI44">
        <v>116.9427031627</v>
      </c>
      <c r="CJ44">
        <v>93.758620689699995</v>
      </c>
      <c r="CL44" t="s">
        <v>379</v>
      </c>
      <c r="CM44" t="s">
        <v>825</v>
      </c>
      <c r="CN44" t="s">
        <v>839</v>
      </c>
      <c r="CO44">
        <v>272</v>
      </c>
      <c r="CP44">
        <v>33</v>
      </c>
      <c r="CQ44">
        <v>70.757352941199997</v>
      </c>
      <c r="CR44">
        <v>797</v>
      </c>
      <c r="CS44">
        <v>1</v>
      </c>
      <c r="CT44">
        <v>98.676286072799996</v>
      </c>
      <c r="CU44">
        <v>102</v>
      </c>
      <c r="CW44" t="s">
        <v>379</v>
      </c>
      <c r="CX44" t="s">
        <v>841</v>
      </c>
      <c r="CY44" t="s">
        <v>855</v>
      </c>
      <c r="CZ44">
        <v>22</v>
      </c>
      <c r="DA44">
        <v>1</v>
      </c>
      <c r="DB44">
        <v>60.318181818200003</v>
      </c>
      <c r="DC44">
        <v>42</v>
      </c>
      <c r="DD44">
        <v>1</v>
      </c>
      <c r="DE44">
        <v>144.73809523809999</v>
      </c>
      <c r="DF44">
        <v>104</v>
      </c>
      <c r="DH44" t="s">
        <v>379</v>
      </c>
      <c r="DI44" t="s">
        <v>809</v>
      </c>
      <c r="DJ44" t="s">
        <v>823</v>
      </c>
      <c r="DK44">
        <v>13</v>
      </c>
      <c r="DL44">
        <v>1</v>
      </c>
      <c r="DM44">
        <v>62.692307692299998</v>
      </c>
      <c r="DN44">
        <v>72</v>
      </c>
      <c r="DO44">
        <v>0</v>
      </c>
      <c r="DP44">
        <v>128.6527777778</v>
      </c>
      <c r="DQ44">
        <v>0</v>
      </c>
    </row>
    <row r="45" spans="2:121" x14ac:dyDescent="0.2">
      <c r="B45" t="s">
        <v>126</v>
      </c>
      <c r="C45">
        <v>10152</v>
      </c>
      <c r="D45">
        <v>6708</v>
      </c>
      <c r="F45" t="s">
        <v>63</v>
      </c>
      <c r="G45">
        <v>4457</v>
      </c>
      <c r="H45">
        <v>456.06932914520002</v>
      </c>
      <c r="I45">
        <v>14475</v>
      </c>
      <c r="J45">
        <v>3472</v>
      </c>
      <c r="K45">
        <v>8518</v>
      </c>
      <c r="L45">
        <v>4789</v>
      </c>
      <c r="M45">
        <v>1751</v>
      </c>
      <c r="N45">
        <v>1443</v>
      </c>
      <c r="O45">
        <v>7091</v>
      </c>
      <c r="P45">
        <v>6412</v>
      </c>
      <c r="Q45">
        <v>13964</v>
      </c>
      <c r="R45">
        <v>0</v>
      </c>
      <c r="AH45" t="s">
        <v>383</v>
      </c>
      <c r="AI45">
        <v>7366</v>
      </c>
      <c r="AJ45">
        <v>336.04860168340002</v>
      </c>
      <c r="AK45">
        <v>9726</v>
      </c>
      <c r="AL45">
        <v>2472</v>
      </c>
      <c r="AM45">
        <v>12919</v>
      </c>
      <c r="AN45">
        <v>7281</v>
      </c>
      <c r="AO45">
        <v>2895</v>
      </c>
      <c r="AP45">
        <v>2218</v>
      </c>
      <c r="AQ45">
        <v>3775</v>
      </c>
      <c r="AR45">
        <v>2441</v>
      </c>
      <c r="AS45">
        <v>742</v>
      </c>
      <c r="AT45">
        <v>63</v>
      </c>
      <c r="AV45" t="s">
        <v>421</v>
      </c>
      <c r="AW45">
        <v>19</v>
      </c>
      <c r="AX45">
        <v>60.473684210499997</v>
      </c>
      <c r="AY45">
        <v>28</v>
      </c>
      <c r="BA45">
        <v>39</v>
      </c>
      <c r="BB45">
        <v>7</v>
      </c>
      <c r="BC45">
        <v>0</v>
      </c>
      <c r="BE45">
        <v>2</v>
      </c>
      <c r="BG45">
        <v>71</v>
      </c>
      <c r="BH45">
        <v>8</v>
      </c>
      <c r="BJ45" t="s">
        <v>8</v>
      </c>
      <c r="BK45" t="s">
        <v>8</v>
      </c>
      <c r="BL45">
        <v>379</v>
      </c>
      <c r="BM45">
        <v>44</v>
      </c>
      <c r="BN45">
        <v>124.8812664908</v>
      </c>
      <c r="BO45">
        <v>551</v>
      </c>
      <c r="BQ45">
        <v>227.64246823959999</v>
      </c>
      <c r="BS45">
        <v>235201</v>
      </c>
      <c r="BT45">
        <v>42693</v>
      </c>
      <c r="BU45">
        <v>85.392744928799999</v>
      </c>
      <c r="BV45">
        <v>13</v>
      </c>
      <c r="BX45">
        <v>151.07692307689999</v>
      </c>
      <c r="CA45" t="s">
        <v>369</v>
      </c>
      <c r="CB45" t="s">
        <v>856</v>
      </c>
      <c r="CD45">
        <v>71068</v>
      </c>
      <c r="CE45">
        <v>15623</v>
      </c>
      <c r="CF45">
        <v>92.650278606399993</v>
      </c>
      <c r="CG45">
        <v>167593</v>
      </c>
      <c r="CH45">
        <v>984</v>
      </c>
      <c r="CI45">
        <v>131.6946650516</v>
      </c>
      <c r="CJ45">
        <v>122.9654471545</v>
      </c>
      <c r="CL45" t="s">
        <v>369</v>
      </c>
      <c r="CM45" t="s">
        <v>825</v>
      </c>
      <c r="CO45">
        <v>8466</v>
      </c>
      <c r="CP45">
        <v>991</v>
      </c>
      <c r="CQ45">
        <v>73.248759744899999</v>
      </c>
      <c r="CR45">
        <v>21724</v>
      </c>
      <c r="CS45">
        <v>77</v>
      </c>
      <c r="CT45">
        <v>97.571579819600004</v>
      </c>
      <c r="CU45">
        <v>102.6623376623</v>
      </c>
      <c r="CW45" t="s">
        <v>369</v>
      </c>
      <c r="CX45" t="s">
        <v>841</v>
      </c>
      <c r="CZ45">
        <v>1873</v>
      </c>
      <c r="DA45">
        <v>228</v>
      </c>
      <c r="DB45">
        <v>67.112653497099998</v>
      </c>
      <c r="DC45">
        <v>4250</v>
      </c>
      <c r="DD45">
        <v>21</v>
      </c>
      <c r="DE45">
        <v>149.96682352939999</v>
      </c>
      <c r="DF45">
        <v>119.7619047619</v>
      </c>
      <c r="DH45" t="s">
        <v>369</v>
      </c>
      <c r="DI45" t="s">
        <v>809</v>
      </c>
      <c r="DK45">
        <v>2229</v>
      </c>
      <c r="DL45">
        <v>275</v>
      </c>
      <c r="DM45">
        <v>60.781516375099997</v>
      </c>
      <c r="DN45">
        <v>5922</v>
      </c>
      <c r="DO45">
        <v>41</v>
      </c>
      <c r="DP45">
        <v>142.65400202629999</v>
      </c>
      <c r="DQ45">
        <v>110.9512195122</v>
      </c>
    </row>
    <row r="46" spans="2:121" x14ac:dyDescent="0.2">
      <c r="B46" t="s">
        <v>108</v>
      </c>
      <c r="C46">
        <v>494</v>
      </c>
      <c r="D46">
        <v>394</v>
      </c>
      <c r="F46" t="s">
        <v>78</v>
      </c>
      <c r="G46">
        <v>1251</v>
      </c>
      <c r="H46">
        <v>286.6762589928</v>
      </c>
      <c r="I46">
        <v>1303</v>
      </c>
      <c r="J46">
        <v>156</v>
      </c>
      <c r="K46">
        <v>2329</v>
      </c>
      <c r="L46">
        <v>957</v>
      </c>
      <c r="M46">
        <v>846</v>
      </c>
      <c r="N46">
        <v>632</v>
      </c>
      <c r="O46">
        <v>243</v>
      </c>
      <c r="P46">
        <v>166</v>
      </c>
      <c r="Q46">
        <v>1</v>
      </c>
      <c r="R46">
        <v>0</v>
      </c>
      <c r="AH46" t="s">
        <v>420</v>
      </c>
      <c r="AI46">
        <v>282</v>
      </c>
      <c r="AJ46">
        <v>196</v>
      </c>
      <c r="AK46">
        <v>1044</v>
      </c>
      <c r="AL46">
        <v>265</v>
      </c>
      <c r="AM46">
        <v>1106</v>
      </c>
      <c r="AN46">
        <v>144</v>
      </c>
      <c r="AO46">
        <v>279</v>
      </c>
      <c r="AP46">
        <v>124</v>
      </c>
      <c r="AQ46">
        <v>165</v>
      </c>
      <c r="AR46">
        <v>84</v>
      </c>
      <c r="AS46">
        <v>2</v>
      </c>
      <c r="AT46">
        <v>0</v>
      </c>
      <c r="AV46" t="s">
        <v>389</v>
      </c>
      <c r="AW46">
        <v>253</v>
      </c>
      <c r="AX46">
        <v>69.462450592899998</v>
      </c>
      <c r="AY46">
        <v>293</v>
      </c>
      <c r="AZ46">
        <v>28</v>
      </c>
      <c r="BA46">
        <v>359</v>
      </c>
      <c r="BB46">
        <v>49</v>
      </c>
      <c r="BC46">
        <v>4</v>
      </c>
      <c r="BD46">
        <v>4</v>
      </c>
      <c r="BE46">
        <v>38</v>
      </c>
      <c r="BF46">
        <v>6</v>
      </c>
      <c r="BG46">
        <v>75</v>
      </c>
      <c r="BH46">
        <v>33</v>
      </c>
      <c r="BJ46" t="s">
        <v>686</v>
      </c>
      <c r="BK46" t="s">
        <v>8</v>
      </c>
      <c r="BL46">
        <v>379</v>
      </c>
      <c r="BM46">
        <v>44</v>
      </c>
      <c r="BN46">
        <v>124.8812664908</v>
      </c>
      <c r="BO46">
        <v>551</v>
      </c>
      <c r="BQ46">
        <v>227.64246823959999</v>
      </c>
      <c r="BS46">
        <v>235201</v>
      </c>
      <c r="BT46">
        <v>42693</v>
      </c>
      <c r="BU46">
        <v>85.392744928799999</v>
      </c>
      <c r="BV46">
        <v>13</v>
      </c>
      <c r="BX46">
        <v>151.07692307689999</v>
      </c>
      <c r="CA46" t="s">
        <v>8</v>
      </c>
      <c r="CB46" t="s">
        <v>686</v>
      </c>
      <c r="CC46" t="s">
        <v>686</v>
      </c>
      <c r="CD46">
        <v>3799</v>
      </c>
      <c r="CE46">
        <v>1433</v>
      </c>
      <c r="CF46">
        <v>120.618847065</v>
      </c>
      <c r="CG46">
        <v>6922</v>
      </c>
      <c r="CH46">
        <v>48</v>
      </c>
      <c r="CI46">
        <v>170.5791678706</v>
      </c>
      <c r="CJ46">
        <v>184.9791666667</v>
      </c>
      <c r="CL46" t="s">
        <v>8</v>
      </c>
      <c r="CM46" t="s">
        <v>858</v>
      </c>
      <c r="CN46" t="s">
        <v>858</v>
      </c>
      <c r="CO46">
        <v>243</v>
      </c>
      <c r="CP46">
        <v>34</v>
      </c>
      <c r="CQ46">
        <v>79.724279835399997</v>
      </c>
      <c r="CR46">
        <v>670</v>
      </c>
      <c r="CS46">
        <v>7</v>
      </c>
      <c r="CT46">
        <v>96.502985074600005</v>
      </c>
      <c r="CU46">
        <v>104.8571428571</v>
      </c>
      <c r="CW46" t="s">
        <v>8</v>
      </c>
      <c r="CX46" t="s">
        <v>859</v>
      </c>
      <c r="CY46" t="s">
        <v>859</v>
      </c>
      <c r="CZ46">
        <v>38</v>
      </c>
      <c r="DA46">
        <v>1</v>
      </c>
      <c r="DB46">
        <v>39.157894736800003</v>
      </c>
      <c r="DC46">
        <v>47</v>
      </c>
      <c r="DD46">
        <v>0</v>
      </c>
      <c r="DE46">
        <v>144.04255319149999</v>
      </c>
      <c r="DF46">
        <v>0</v>
      </c>
      <c r="DH46" t="s">
        <v>8</v>
      </c>
      <c r="DI46" t="s">
        <v>857</v>
      </c>
      <c r="DJ46" t="s">
        <v>857</v>
      </c>
      <c r="DK46">
        <v>79</v>
      </c>
      <c r="DL46">
        <v>12</v>
      </c>
      <c r="DM46">
        <v>65.632911392400004</v>
      </c>
      <c r="DN46">
        <v>126</v>
      </c>
      <c r="DO46">
        <v>1</v>
      </c>
      <c r="DP46">
        <v>116.5079365079</v>
      </c>
      <c r="DQ46">
        <v>92</v>
      </c>
    </row>
    <row r="47" spans="2:121" x14ac:dyDescent="0.2">
      <c r="B47" t="s">
        <v>102</v>
      </c>
      <c r="C47">
        <v>24007</v>
      </c>
      <c r="D47">
        <v>16605</v>
      </c>
      <c r="F47" t="s">
        <v>81</v>
      </c>
      <c r="G47">
        <v>1574</v>
      </c>
      <c r="H47">
        <v>211.19758576870001</v>
      </c>
      <c r="I47">
        <v>2332</v>
      </c>
      <c r="J47">
        <v>364</v>
      </c>
      <c r="K47">
        <v>3133</v>
      </c>
      <c r="L47">
        <v>1121</v>
      </c>
      <c r="M47">
        <v>1080</v>
      </c>
      <c r="N47">
        <v>524</v>
      </c>
      <c r="O47">
        <v>256</v>
      </c>
      <c r="P47">
        <v>135</v>
      </c>
      <c r="Q47">
        <v>0</v>
      </c>
      <c r="R47">
        <v>6</v>
      </c>
      <c r="AH47" t="s">
        <v>384</v>
      </c>
      <c r="AI47">
        <v>4034</v>
      </c>
      <c r="AJ47">
        <v>298.94670302430001</v>
      </c>
      <c r="AK47">
        <v>9321</v>
      </c>
      <c r="AL47">
        <v>1573</v>
      </c>
      <c r="AM47">
        <v>9207</v>
      </c>
      <c r="AN47">
        <v>3669</v>
      </c>
      <c r="AO47">
        <v>2830</v>
      </c>
      <c r="AP47">
        <v>2247</v>
      </c>
      <c r="AQ47">
        <v>3212</v>
      </c>
      <c r="AR47">
        <v>2062</v>
      </c>
      <c r="AS47">
        <v>823</v>
      </c>
      <c r="AT47">
        <v>286</v>
      </c>
      <c r="AV47" t="s">
        <v>423</v>
      </c>
      <c r="AW47">
        <v>68</v>
      </c>
      <c r="AX47">
        <v>113.5588235294</v>
      </c>
      <c r="AY47">
        <v>88</v>
      </c>
      <c r="AZ47">
        <v>14</v>
      </c>
      <c r="BA47">
        <v>92</v>
      </c>
      <c r="BB47">
        <v>27</v>
      </c>
      <c r="BC47">
        <v>2</v>
      </c>
      <c r="BD47">
        <v>2</v>
      </c>
      <c r="BE47">
        <v>6</v>
      </c>
      <c r="BF47">
        <v>2</v>
      </c>
      <c r="BG47">
        <v>12</v>
      </c>
      <c r="BH47">
        <v>11</v>
      </c>
      <c r="BJ47" t="s">
        <v>586</v>
      </c>
      <c r="BK47" t="s">
        <v>404</v>
      </c>
      <c r="BL47">
        <v>2881</v>
      </c>
      <c r="BM47">
        <v>534</v>
      </c>
      <c r="BN47">
        <v>86.561263450200002</v>
      </c>
      <c r="BO47">
        <v>6935</v>
      </c>
      <c r="BP47">
        <v>33</v>
      </c>
      <c r="BQ47">
        <v>134.72718096610001</v>
      </c>
      <c r="BR47">
        <v>113.696969697</v>
      </c>
      <c r="BS47">
        <v>638</v>
      </c>
      <c r="BT47">
        <v>251</v>
      </c>
      <c r="BU47">
        <v>116.2288401254</v>
      </c>
      <c r="BV47">
        <v>6817</v>
      </c>
      <c r="BW47">
        <v>48</v>
      </c>
      <c r="BX47">
        <v>132.43684905379999</v>
      </c>
      <c r="BY47">
        <v>107.3125</v>
      </c>
      <c r="CA47" t="s">
        <v>8</v>
      </c>
      <c r="CB47" t="s">
        <v>686</v>
      </c>
      <c r="CC47" t="s">
        <v>686</v>
      </c>
      <c r="CD47">
        <v>3799</v>
      </c>
      <c r="CE47">
        <v>1433</v>
      </c>
      <c r="CF47">
        <v>120.618847065</v>
      </c>
      <c r="CG47">
        <v>6922</v>
      </c>
      <c r="CH47">
        <v>48</v>
      </c>
      <c r="CI47">
        <v>170.5791678706</v>
      </c>
      <c r="CJ47">
        <v>184.9791666667</v>
      </c>
      <c r="CL47" t="s">
        <v>8</v>
      </c>
      <c r="CM47" t="s">
        <v>858</v>
      </c>
      <c r="CN47" t="s">
        <v>858</v>
      </c>
      <c r="CO47">
        <v>243</v>
      </c>
      <c r="CP47">
        <v>34</v>
      </c>
      <c r="CQ47">
        <v>79.724279835399997</v>
      </c>
      <c r="CR47">
        <v>670</v>
      </c>
      <c r="CS47">
        <v>7</v>
      </c>
      <c r="CT47">
        <v>96.502985074600005</v>
      </c>
      <c r="CU47">
        <v>104.8571428571</v>
      </c>
      <c r="CW47" t="s">
        <v>8</v>
      </c>
      <c r="CX47" t="s">
        <v>859</v>
      </c>
      <c r="CY47" t="s">
        <v>859</v>
      </c>
      <c r="CZ47">
        <v>38</v>
      </c>
      <c r="DA47">
        <v>1</v>
      </c>
      <c r="DB47">
        <v>39.157894736800003</v>
      </c>
      <c r="DC47">
        <v>47</v>
      </c>
      <c r="DD47">
        <v>0</v>
      </c>
      <c r="DE47">
        <v>144.04255319149999</v>
      </c>
      <c r="DF47">
        <v>0</v>
      </c>
      <c r="DH47" t="s">
        <v>8</v>
      </c>
      <c r="DI47" t="s">
        <v>857</v>
      </c>
      <c r="DJ47" t="s">
        <v>857</v>
      </c>
      <c r="DK47">
        <v>79</v>
      </c>
      <c r="DL47">
        <v>12</v>
      </c>
      <c r="DM47">
        <v>65.632911392400004</v>
      </c>
      <c r="DN47">
        <v>126</v>
      </c>
      <c r="DO47">
        <v>1</v>
      </c>
      <c r="DP47">
        <v>116.5079365079</v>
      </c>
      <c r="DQ47">
        <v>92</v>
      </c>
    </row>
    <row r="48" spans="2:121" x14ac:dyDescent="0.2">
      <c r="B48" t="s">
        <v>21</v>
      </c>
      <c r="C48">
        <v>35657</v>
      </c>
      <c r="D48">
        <v>9881</v>
      </c>
      <c r="F48" t="s">
        <v>76</v>
      </c>
      <c r="G48">
        <v>3534</v>
      </c>
      <c r="H48">
        <v>169.1151669496</v>
      </c>
      <c r="I48">
        <v>10919</v>
      </c>
      <c r="J48">
        <v>1653</v>
      </c>
      <c r="K48">
        <v>12944</v>
      </c>
      <c r="L48">
        <v>3672</v>
      </c>
      <c r="M48">
        <v>5651</v>
      </c>
      <c r="N48">
        <v>4370</v>
      </c>
      <c r="O48">
        <v>1234</v>
      </c>
      <c r="P48">
        <v>679</v>
      </c>
      <c r="Q48">
        <v>32</v>
      </c>
      <c r="R48">
        <v>0</v>
      </c>
      <c r="AH48" t="s">
        <v>410</v>
      </c>
      <c r="AI48">
        <v>22565</v>
      </c>
      <c r="AJ48">
        <v>346.9797473964</v>
      </c>
      <c r="AK48">
        <v>36686</v>
      </c>
      <c r="AL48">
        <v>7452</v>
      </c>
      <c r="AM48">
        <v>40866</v>
      </c>
      <c r="AN48">
        <v>20360</v>
      </c>
      <c r="AO48">
        <v>9474</v>
      </c>
      <c r="AP48">
        <v>6785</v>
      </c>
      <c r="AQ48">
        <v>18811</v>
      </c>
      <c r="AR48">
        <v>10616</v>
      </c>
      <c r="AS48">
        <v>24</v>
      </c>
      <c r="AT48">
        <v>438</v>
      </c>
      <c r="AV48" t="s">
        <v>419</v>
      </c>
      <c r="AW48">
        <v>45</v>
      </c>
      <c r="AX48">
        <v>69.422222222200006</v>
      </c>
      <c r="AY48">
        <v>22</v>
      </c>
      <c r="BA48">
        <v>63</v>
      </c>
      <c r="BB48">
        <v>6</v>
      </c>
      <c r="BC48">
        <v>0</v>
      </c>
      <c r="BE48">
        <v>0</v>
      </c>
      <c r="BG48">
        <v>63</v>
      </c>
      <c r="BH48">
        <v>8</v>
      </c>
      <c r="BJ48" t="s">
        <v>645</v>
      </c>
      <c r="BK48" t="s">
        <v>404</v>
      </c>
      <c r="BL48">
        <v>1151</v>
      </c>
      <c r="BM48">
        <v>300</v>
      </c>
      <c r="BN48">
        <v>97.629887054700006</v>
      </c>
      <c r="BO48">
        <v>2413</v>
      </c>
      <c r="BP48">
        <v>10</v>
      </c>
      <c r="BQ48">
        <v>139.8358889349</v>
      </c>
      <c r="BR48">
        <v>100.3</v>
      </c>
      <c r="BS48">
        <v>179</v>
      </c>
      <c r="BT48">
        <v>72</v>
      </c>
      <c r="BU48">
        <v>118.1396648045</v>
      </c>
      <c r="BV48">
        <v>2021</v>
      </c>
      <c r="BW48">
        <v>4</v>
      </c>
      <c r="BX48">
        <v>147.68332508660001</v>
      </c>
      <c r="BY48">
        <v>101</v>
      </c>
      <c r="CA48" t="s">
        <v>8</v>
      </c>
      <c r="CB48" t="s">
        <v>686</v>
      </c>
      <c r="CC48" t="s">
        <v>686</v>
      </c>
      <c r="CD48">
        <v>3799</v>
      </c>
      <c r="CE48">
        <v>1433</v>
      </c>
      <c r="CF48">
        <v>120.618847065</v>
      </c>
      <c r="CG48">
        <v>6922</v>
      </c>
      <c r="CH48">
        <v>48</v>
      </c>
      <c r="CI48">
        <v>170.5791678706</v>
      </c>
      <c r="CJ48">
        <v>184.9791666667</v>
      </c>
      <c r="CL48" t="s">
        <v>8</v>
      </c>
      <c r="CM48" t="s">
        <v>858</v>
      </c>
      <c r="CN48" t="s">
        <v>858</v>
      </c>
      <c r="CO48">
        <v>243</v>
      </c>
      <c r="CP48">
        <v>34</v>
      </c>
      <c r="CQ48">
        <v>79.724279835399997</v>
      </c>
      <c r="CR48">
        <v>670</v>
      </c>
      <c r="CS48">
        <v>7</v>
      </c>
      <c r="CT48">
        <v>96.502985074600005</v>
      </c>
      <c r="CU48">
        <v>104.8571428571</v>
      </c>
      <c r="CW48" t="s">
        <v>8</v>
      </c>
      <c r="CX48" t="s">
        <v>859</v>
      </c>
      <c r="CY48" t="s">
        <v>859</v>
      </c>
      <c r="CZ48">
        <v>38</v>
      </c>
      <c r="DA48">
        <v>1</v>
      </c>
      <c r="DB48">
        <v>39.157894736800003</v>
      </c>
      <c r="DC48">
        <v>47</v>
      </c>
      <c r="DD48">
        <v>0</v>
      </c>
      <c r="DE48">
        <v>144.04255319149999</v>
      </c>
      <c r="DF48">
        <v>0</v>
      </c>
      <c r="DH48" t="s">
        <v>8</v>
      </c>
      <c r="DI48" t="s">
        <v>857</v>
      </c>
      <c r="DJ48" t="s">
        <v>857</v>
      </c>
      <c r="DK48">
        <v>79</v>
      </c>
      <c r="DL48">
        <v>12</v>
      </c>
      <c r="DM48">
        <v>65.632911392400004</v>
      </c>
      <c r="DN48">
        <v>126</v>
      </c>
      <c r="DO48">
        <v>1</v>
      </c>
      <c r="DP48">
        <v>116.5079365079</v>
      </c>
      <c r="DQ48">
        <v>92</v>
      </c>
    </row>
    <row r="49" spans="2:121" x14ac:dyDescent="0.2">
      <c r="B49" t="s">
        <v>117</v>
      </c>
      <c r="C49">
        <v>5658</v>
      </c>
      <c r="D49">
        <v>1184</v>
      </c>
      <c r="F49" t="s">
        <v>42</v>
      </c>
      <c r="G49">
        <v>2870</v>
      </c>
      <c r="H49">
        <v>360.56759581879999</v>
      </c>
      <c r="I49">
        <v>7405</v>
      </c>
      <c r="J49">
        <v>1925</v>
      </c>
      <c r="K49">
        <v>8906</v>
      </c>
      <c r="L49">
        <v>3952</v>
      </c>
      <c r="M49">
        <v>3001</v>
      </c>
      <c r="N49">
        <v>2576</v>
      </c>
      <c r="O49">
        <v>785</v>
      </c>
      <c r="P49">
        <v>504</v>
      </c>
      <c r="Q49">
        <v>2</v>
      </c>
      <c r="R49">
        <v>223</v>
      </c>
      <c r="AH49" t="s">
        <v>406</v>
      </c>
      <c r="AI49">
        <v>796</v>
      </c>
      <c r="AJ49">
        <v>261.82160804019998</v>
      </c>
      <c r="AK49">
        <v>2066</v>
      </c>
      <c r="AL49">
        <v>525</v>
      </c>
      <c r="AM49">
        <v>2075</v>
      </c>
      <c r="AN49">
        <v>634</v>
      </c>
      <c r="AO49">
        <v>485</v>
      </c>
      <c r="AP49">
        <v>272</v>
      </c>
      <c r="AQ49">
        <v>584</v>
      </c>
      <c r="AR49">
        <v>327</v>
      </c>
      <c r="AS49">
        <v>1</v>
      </c>
      <c r="AT49">
        <v>4</v>
      </c>
      <c r="AV49" t="s">
        <v>378</v>
      </c>
      <c r="AW49">
        <v>881</v>
      </c>
      <c r="AX49">
        <v>103.7434733258</v>
      </c>
      <c r="AY49">
        <v>934</v>
      </c>
      <c r="AZ49">
        <v>141</v>
      </c>
      <c r="BA49">
        <v>1129</v>
      </c>
      <c r="BB49">
        <v>375</v>
      </c>
      <c r="BC49">
        <v>135</v>
      </c>
      <c r="BD49">
        <v>133</v>
      </c>
      <c r="BE49">
        <v>45</v>
      </c>
      <c r="BF49">
        <v>20</v>
      </c>
      <c r="BG49">
        <v>217</v>
      </c>
      <c r="BH49">
        <v>251</v>
      </c>
      <c r="BJ49" t="s">
        <v>601</v>
      </c>
      <c r="BK49" t="s">
        <v>404</v>
      </c>
      <c r="BL49">
        <v>1644</v>
      </c>
      <c r="BM49">
        <v>398</v>
      </c>
      <c r="BN49">
        <v>95.532846715299996</v>
      </c>
      <c r="BO49">
        <v>3529</v>
      </c>
      <c r="BP49">
        <v>27</v>
      </c>
      <c r="BQ49">
        <v>114.2759988665</v>
      </c>
      <c r="BR49">
        <v>118.25925925929999</v>
      </c>
      <c r="BS49">
        <v>523</v>
      </c>
      <c r="BT49">
        <v>217</v>
      </c>
      <c r="BU49">
        <v>121.48757170170001</v>
      </c>
      <c r="BV49">
        <v>4712</v>
      </c>
      <c r="BW49">
        <v>36</v>
      </c>
      <c r="BX49">
        <v>116.9624363328</v>
      </c>
      <c r="BY49">
        <v>114.6111111111</v>
      </c>
      <c r="CA49" t="s">
        <v>8</v>
      </c>
      <c r="CB49" t="s">
        <v>686</v>
      </c>
      <c r="CD49">
        <v>3799</v>
      </c>
      <c r="CE49">
        <v>1433</v>
      </c>
      <c r="CF49">
        <v>120.618847065</v>
      </c>
      <c r="CG49">
        <v>6922</v>
      </c>
      <c r="CH49">
        <v>48</v>
      </c>
      <c r="CI49">
        <v>170.5791678706</v>
      </c>
      <c r="CJ49">
        <v>184.9791666667</v>
      </c>
      <c r="CL49" t="s">
        <v>8</v>
      </c>
      <c r="CM49" t="s">
        <v>858</v>
      </c>
      <c r="CO49">
        <v>243</v>
      </c>
      <c r="CP49">
        <v>34</v>
      </c>
      <c r="CQ49">
        <v>79.724279835399997</v>
      </c>
      <c r="CR49">
        <v>670</v>
      </c>
      <c r="CS49">
        <v>7</v>
      </c>
      <c r="CT49">
        <v>96.502985074600005</v>
      </c>
      <c r="CU49">
        <v>104.8571428571</v>
      </c>
      <c r="CW49" t="s">
        <v>8</v>
      </c>
      <c r="CX49" t="s">
        <v>859</v>
      </c>
      <c r="CZ49">
        <v>38</v>
      </c>
      <c r="DA49">
        <v>1</v>
      </c>
      <c r="DB49">
        <v>39.157894736800003</v>
      </c>
      <c r="DC49">
        <v>47</v>
      </c>
      <c r="DD49">
        <v>0</v>
      </c>
      <c r="DE49">
        <v>144.04255319149999</v>
      </c>
      <c r="DF49">
        <v>0</v>
      </c>
      <c r="DH49" t="s">
        <v>8</v>
      </c>
      <c r="DI49" t="s">
        <v>857</v>
      </c>
      <c r="DK49">
        <v>79</v>
      </c>
      <c r="DL49">
        <v>12</v>
      </c>
      <c r="DM49">
        <v>65.632911392400004</v>
      </c>
      <c r="DN49">
        <v>126</v>
      </c>
      <c r="DO49">
        <v>1</v>
      </c>
      <c r="DP49">
        <v>116.5079365079</v>
      </c>
      <c r="DQ49">
        <v>92</v>
      </c>
    </row>
    <row r="50" spans="2:121" x14ac:dyDescent="0.2">
      <c r="B50" t="s">
        <v>101</v>
      </c>
      <c r="C50">
        <v>145219</v>
      </c>
      <c r="D50">
        <v>95327</v>
      </c>
      <c r="F50" t="s">
        <v>53</v>
      </c>
      <c r="G50">
        <v>6980</v>
      </c>
      <c r="H50">
        <v>493.07879656159997</v>
      </c>
      <c r="I50">
        <v>4176</v>
      </c>
      <c r="J50">
        <v>874</v>
      </c>
      <c r="K50">
        <v>10856</v>
      </c>
      <c r="L50">
        <v>7485</v>
      </c>
      <c r="M50">
        <v>3307</v>
      </c>
      <c r="N50">
        <v>3073</v>
      </c>
      <c r="O50">
        <v>1613</v>
      </c>
      <c r="P50">
        <v>1107</v>
      </c>
      <c r="Q50">
        <v>87</v>
      </c>
      <c r="R50">
        <v>308</v>
      </c>
      <c r="AH50" t="s">
        <v>417</v>
      </c>
      <c r="AI50">
        <v>447</v>
      </c>
      <c r="AJ50">
        <v>346.93288590600002</v>
      </c>
      <c r="AK50">
        <v>563</v>
      </c>
      <c r="AL50">
        <v>157</v>
      </c>
      <c r="AM50">
        <v>1132</v>
      </c>
      <c r="AN50">
        <v>471</v>
      </c>
      <c r="AO50">
        <v>231</v>
      </c>
      <c r="AP50">
        <v>178</v>
      </c>
      <c r="AQ50">
        <v>185</v>
      </c>
      <c r="AR50">
        <v>84</v>
      </c>
      <c r="AS50">
        <v>72</v>
      </c>
      <c r="AT50">
        <v>2</v>
      </c>
      <c r="AV50" t="s">
        <v>373</v>
      </c>
      <c r="AW50">
        <v>228</v>
      </c>
      <c r="AX50">
        <v>109.6929824561</v>
      </c>
      <c r="AY50">
        <v>393</v>
      </c>
      <c r="AZ50">
        <v>52</v>
      </c>
      <c r="BA50">
        <v>293</v>
      </c>
      <c r="BB50">
        <v>90</v>
      </c>
      <c r="BC50">
        <v>1</v>
      </c>
      <c r="BE50">
        <v>13</v>
      </c>
      <c r="BF50">
        <v>3</v>
      </c>
      <c r="BG50">
        <v>31</v>
      </c>
      <c r="BH50">
        <v>47</v>
      </c>
      <c r="BJ50" t="s">
        <v>641</v>
      </c>
      <c r="BK50" t="s">
        <v>404</v>
      </c>
      <c r="BL50">
        <v>2290</v>
      </c>
      <c r="BM50">
        <v>328</v>
      </c>
      <c r="BN50">
        <v>77.257641921399994</v>
      </c>
      <c r="BO50">
        <v>5400</v>
      </c>
      <c r="BP50">
        <v>10</v>
      </c>
      <c r="BQ50">
        <v>125.93351851849999</v>
      </c>
      <c r="BR50">
        <v>73.8</v>
      </c>
      <c r="BS50">
        <v>591</v>
      </c>
      <c r="BT50">
        <v>155</v>
      </c>
      <c r="BU50">
        <v>95.216582064299999</v>
      </c>
      <c r="BV50">
        <v>4991</v>
      </c>
      <c r="BW50">
        <v>15</v>
      </c>
      <c r="BX50">
        <v>121.7733921058</v>
      </c>
      <c r="BY50">
        <v>91.2</v>
      </c>
      <c r="CA50" t="s">
        <v>424</v>
      </c>
      <c r="CB50" t="s">
        <v>890</v>
      </c>
      <c r="CC50" t="s">
        <v>1014</v>
      </c>
      <c r="CD50">
        <v>1167</v>
      </c>
      <c r="CE50">
        <v>298</v>
      </c>
      <c r="CF50">
        <v>96.136246786599997</v>
      </c>
      <c r="CG50">
        <v>2989</v>
      </c>
      <c r="CH50">
        <v>7</v>
      </c>
      <c r="CI50">
        <v>113.5078621613</v>
      </c>
      <c r="CJ50">
        <v>108</v>
      </c>
      <c r="CL50" t="s">
        <v>424</v>
      </c>
      <c r="CM50" t="s">
        <v>871</v>
      </c>
      <c r="CN50" t="s">
        <v>870</v>
      </c>
      <c r="CO50">
        <v>36</v>
      </c>
      <c r="CP50">
        <v>4</v>
      </c>
      <c r="CQ50">
        <v>74.638888888899999</v>
      </c>
      <c r="CR50">
        <v>155</v>
      </c>
      <c r="CS50">
        <v>2</v>
      </c>
      <c r="CT50">
        <v>73.116129032299995</v>
      </c>
      <c r="CU50">
        <v>120</v>
      </c>
      <c r="CW50" t="s">
        <v>424</v>
      </c>
      <c r="CX50" t="s">
        <v>881</v>
      </c>
      <c r="CY50" t="s">
        <v>880</v>
      </c>
      <c r="CZ50">
        <v>26</v>
      </c>
      <c r="DA50">
        <v>3</v>
      </c>
      <c r="DB50">
        <v>49.692307692299998</v>
      </c>
      <c r="DC50">
        <v>47</v>
      </c>
      <c r="DD50">
        <v>0</v>
      </c>
      <c r="DE50">
        <v>124.19148936169999</v>
      </c>
      <c r="DF50">
        <v>0</v>
      </c>
      <c r="DH50" t="s">
        <v>424</v>
      </c>
      <c r="DI50" t="s">
        <v>861</v>
      </c>
      <c r="DJ50" t="s">
        <v>860</v>
      </c>
      <c r="DK50">
        <v>29</v>
      </c>
      <c r="DL50">
        <v>5</v>
      </c>
      <c r="DM50">
        <v>70.482758620699997</v>
      </c>
      <c r="DN50">
        <v>86</v>
      </c>
      <c r="DO50">
        <v>0</v>
      </c>
      <c r="DP50">
        <v>122.8720930233</v>
      </c>
      <c r="DQ50">
        <v>0</v>
      </c>
    </row>
    <row r="51" spans="2:121" x14ac:dyDescent="0.2">
      <c r="B51" t="s">
        <v>125</v>
      </c>
      <c r="C51">
        <v>36106</v>
      </c>
      <c r="D51">
        <v>7409</v>
      </c>
      <c r="F51" t="s">
        <v>40</v>
      </c>
      <c r="G51">
        <v>5400</v>
      </c>
      <c r="H51">
        <v>411.46944444439998</v>
      </c>
      <c r="I51">
        <v>7171</v>
      </c>
      <c r="J51">
        <v>2197</v>
      </c>
      <c r="K51">
        <v>9840</v>
      </c>
      <c r="L51">
        <v>5337</v>
      </c>
      <c r="M51">
        <v>3937</v>
      </c>
      <c r="N51">
        <v>3301</v>
      </c>
      <c r="O51">
        <v>677</v>
      </c>
      <c r="P51">
        <v>481</v>
      </c>
      <c r="Q51">
        <v>0</v>
      </c>
      <c r="R51">
        <v>51</v>
      </c>
      <c r="AH51" t="s">
        <v>378</v>
      </c>
      <c r="AI51">
        <v>16392</v>
      </c>
      <c r="AJ51">
        <v>360.11249389950001</v>
      </c>
      <c r="AK51">
        <v>12133</v>
      </c>
      <c r="AL51">
        <v>2018</v>
      </c>
      <c r="AM51">
        <v>24124</v>
      </c>
      <c r="AN51">
        <v>13020</v>
      </c>
      <c r="AO51">
        <v>8790</v>
      </c>
      <c r="AP51">
        <v>7033</v>
      </c>
      <c r="AQ51">
        <v>7982</v>
      </c>
      <c r="AR51">
        <v>5884</v>
      </c>
      <c r="AS51">
        <v>1087</v>
      </c>
      <c r="AT51">
        <v>21</v>
      </c>
      <c r="AV51" t="s">
        <v>406</v>
      </c>
      <c r="AW51">
        <v>98</v>
      </c>
      <c r="AX51">
        <v>65.163265306100001</v>
      </c>
      <c r="AY51">
        <v>153</v>
      </c>
      <c r="AZ51">
        <v>5</v>
      </c>
      <c r="BA51">
        <v>153</v>
      </c>
      <c r="BB51">
        <v>15</v>
      </c>
      <c r="BC51">
        <v>0</v>
      </c>
      <c r="BE51">
        <v>8</v>
      </c>
      <c r="BF51">
        <v>1</v>
      </c>
      <c r="BG51">
        <v>161</v>
      </c>
      <c r="BH51">
        <v>21</v>
      </c>
      <c r="BJ51" t="s">
        <v>593</v>
      </c>
      <c r="BK51" t="s">
        <v>404</v>
      </c>
      <c r="BL51">
        <v>10309</v>
      </c>
      <c r="BM51">
        <v>2115</v>
      </c>
      <c r="BN51">
        <v>86.715588320899997</v>
      </c>
      <c r="BO51">
        <v>21648</v>
      </c>
      <c r="BP51">
        <v>177</v>
      </c>
      <c r="BQ51">
        <v>133.31878233559999</v>
      </c>
      <c r="BR51">
        <v>140.1129943503</v>
      </c>
      <c r="BS51">
        <v>1929</v>
      </c>
      <c r="BT51">
        <v>808</v>
      </c>
      <c r="BU51">
        <v>115.732503888</v>
      </c>
      <c r="BV51">
        <v>17960</v>
      </c>
      <c r="BW51">
        <v>156</v>
      </c>
      <c r="BX51">
        <v>123.6118596882</v>
      </c>
      <c r="BY51">
        <v>145.96794871789999</v>
      </c>
      <c r="CA51" t="s">
        <v>426</v>
      </c>
      <c r="CB51" t="s">
        <v>890</v>
      </c>
      <c r="CC51" t="s">
        <v>1015</v>
      </c>
      <c r="CD51">
        <v>5309</v>
      </c>
      <c r="CE51">
        <v>920</v>
      </c>
      <c r="CF51">
        <v>83.090977585199994</v>
      </c>
      <c r="CG51">
        <v>16033</v>
      </c>
      <c r="CH51">
        <v>143</v>
      </c>
      <c r="CI51">
        <v>122.8025946485</v>
      </c>
      <c r="CJ51">
        <v>111.1888111888</v>
      </c>
      <c r="CL51" t="s">
        <v>426</v>
      </c>
      <c r="CM51" t="s">
        <v>871</v>
      </c>
      <c r="CN51" t="s">
        <v>872</v>
      </c>
      <c r="CO51">
        <v>537</v>
      </c>
      <c r="CP51">
        <v>49</v>
      </c>
      <c r="CQ51">
        <v>62.467411545600001</v>
      </c>
      <c r="CR51">
        <v>2604</v>
      </c>
      <c r="CS51">
        <v>16</v>
      </c>
      <c r="CT51">
        <v>68.041858679000001</v>
      </c>
      <c r="CU51">
        <v>66.1875</v>
      </c>
      <c r="CW51" t="s">
        <v>426</v>
      </c>
      <c r="CX51" t="s">
        <v>881</v>
      </c>
      <c r="CY51" t="s">
        <v>882</v>
      </c>
      <c r="CZ51">
        <v>147</v>
      </c>
      <c r="DA51">
        <v>16</v>
      </c>
      <c r="DB51">
        <v>65.088435374100001</v>
      </c>
      <c r="DC51">
        <v>417</v>
      </c>
      <c r="DD51">
        <v>3</v>
      </c>
      <c r="DE51">
        <v>130.41247002399999</v>
      </c>
      <c r="DF51">
        <v>65</v>
      </c>
      <c r="DH51" t="s">
        <v>426</v>
      </c>
      <c r="DI51" t="s">
        <v>861</v>
      </c>
      <c r="DJ51" t="s">
        <v>862</v>
      </c>
      <c r="DK51">
        <v>101</v>
      </c>
      <c r="DL51">
        <v>17</v>
      </c>
      <c r="DM51">
        <v>71.2871287129</v>
      </c>
      <c r="DN51">
        <v>321</v>
      </c>
      <c r="DO51">
        <v>1</v>
      </c>
      <c r="DP51">
        <v>125.99065420559999</v>
      </c>
      <c r="DQ51">
        <v>88</v>
      </c>
    </row>
    <row r="52" spans="2:121" x14ac:dyDescent="0.2">
      <c r="B52" t="s">
        <v>120</v>
      </c>
      <c r="C52">
        <v>192</v>
      </c>
      <c r="D52">
        <v>192</v>
      </c>
      <c r="F52" t="s">
        <v>48</v>
      </c>
      <c r="G52">
        <v>5767</v>
      </c>
      <c r="H52">
        <v>550.90324258709995</v>
      </c>
      <c r="I52">
        <v>4641</v>
      </c>
      <c r="J52">
        <v>801</v>
      </c>
      <c r="K52">
        <v>11628</v>
      </c>
      <c r="L52">
        <v>7472</v>
      </c>
      <c r="M52">
        <v>2215</v>
      </c>
      <c r="N52">
        <v>1619</v>
      </c>
      <c r="O52">
        <v>2390</v>
      </c>
      <c r="P52">
        <v>1756</v>
      </c>
      <c r="Q52">
        <v>1</v>
      </c>
      <c r="R52">
        <v>232</v>
      </c>
      <c r="AH52" t="s">
        <v>80</v>
      </c>
      <c r="AI52">
        <v>9227</v>
      </c>
      <c r="AJ52">
        <v>387.59044109680002</v>
      </c>
      <c r="AK52">
        <v>7373</v>
      </c>
      <c r="AL52">
        <v>1195</v>
      </c>
      <c r="AM52">
        <v>16640</v>
      </c>
      <c r="AN52">
        <v>9605</v>
      </c>
      <c r="AO52">
        <v>3871</v>
      </c>
      <c r="AP52">
        <v>2727</v>
      </c>
      <c r="AQ52">
        <v>6057</v>
      </c>
      <c r="AR52">
        <v>4472</v>
      </c>
      <c r="AS52">
        <v>16</v>
      </c>
      <c r="AT52">
        <v>148</v>
      </c>
      <c r="AV52" t="s">
        <v>379</v>
      </c>
      <c r="AW52">
        <v>330</v>
      </c>
      <c r="AX52">
        <v>105.8</v>
      </c>
      <c r="AY52">
        <v>258</v>
      </c>
      <c r="AZ52">
        <v>38</v>
      </c>
      <c r="BA52">
        <v>403</v>
      </c>
      <c r="BB52">
        <v>131</v>
      </c>
      <c r="BC52">
        <v>0</v>
      </c>
      <c r="BE52">
        <v>16</v>
      </c>
      <c r="BF52">
        <v>4</v>
      </c>
      <c r="BG52">
        <v>62</v>
      </c>
      <c r="BH52">
        <v>68</v>
      </c>
      <c r="BJ52" t="s">
        <v>615</v>
      </c>
      <c r="BK52" t="s">
        <v>404</v>
      </c>
      <c r="BL52">
        <v>746</v>
      </c>
      <c r="BM52">
        <v>230</v>
      </c>
      <c r="BN52">
        <v>111.6890080429</v>
      </c>
      <c r="BO52">
        <v>2056</v>
      </c>
      <c r="BP52">
        <v>11</v>
      </c>
      <c r="BQ52">
        <v>129.46303501950001</v>
      </c>
      <c r="BR52">
        <v>131</v>
      </c>
      <c r="BS52">
        <v>605</v>
      </c>
      <c r="BT52">
        <v>180</v>
      </c>
      <c r="BU52">
        <v>113.373553719</v>
      </c>
      <c r="BV52">
        <v>4486</v>
      </c>
      <c r="BW52">
        <v>28</v>
      </c>
      <c r="BX52">
        <v>157.1578243424</v>
      </c>
      <c r="BY52">
        <v>106.9642857143</v>
      </c>
      <c r="CA52" t="s">
        <v>407</v>
      </c>
      <c r="CB52" t="s">
        <v>890</v>
      </c>
      <c r="CC52" t="s">
        <v>1016</v>
      </c>
      <c r="CD52">
        <v>31094</v>
      </c>
      <c r="CE52">
        <v>6344</v>
      </c>
      <c r="CF52">
        <v>87.828519971700004</v>
      </c>
      <c r="CG52">
        <v>70208</v>
      </c>
      <c r="CH52">
        <v>435</v>
      </c>
      <c r="CI52">
        <v>131.13653714680001</v>
      </c>
      <c r="CJ52">
        <v>123.8689655172</v>
      </c>
      <c r="CL52" t="s">
        <v>407</v>
      </c>
      <c r="CM52" t="s">
        <v>871</v>
      </c>
      <c r="CN52" t="s">
        <v>873</v>
      </c>
      <c r="CO52">
        <v>2127</v>
      </c>
      <c r="CP52">
        <v>161</v>
      </c>
      <c r="CQ52">
        <v>60.305124588600002</v>
      </c>
      <c r="CR52">
        <v>10402</v>
      </c>
      <c r="CS52">
        <v>52</v>
      </c>
      <c r="CT52">
        <v>66.375793116699995</v>
      </c>
      <c r="CU52">
        <v>54.884615384600004</v>
      </c>
      <c r="CW52" t="s">
        <v>407</v>
      </c>
      <c r="CX52" t="s">
        <v>881</v>
      </c>
      <c r="CY52" t="s">
        <v>883</v>
      </c>
      <c r="CZ52">
        <v>1130</v>
      </c>
      <c r="DA52">
        <v>145</v>
      </c>
      <c r="DB52">
        <v>62.682300884999997</v>
      </c>
      <c r="DC52">
        <v>2841</v>
      </c>
      <c r="DD52">
        <v>11</v>
      </c>
      <c r="DE52">
        <v>129.40689897920001</v>
      </c>
      <c r="DF52">
        <v>108.1818181818</v>
      </c>
      <c r="DH52" t="s">
        <v>407</v>
      </c>
      <c r="DI52" t="s">
        <v>861</v>
      </c>
      <c r="DJ52" t="s">
        <v>863</v>
      </c>
      <c r="DK52">
        <v>683</v>
      </c>
      <c r="DL52">
        <v>66</v>
      </c>
      <c r="DM52">
        <v>61.127379209399997</v>
      </c>
      <c r="DN52">
        <v>1690</v>
      </c>
      <c r="DO52">
        <v>0</v>
      </c>
      <c r="DP52">
        <v>119.9136094675</v>
      </c>
      <c r="DQ52">
        <v>0</v>
      </c>
    </row>
    <row r="53" spans="2:121" x14ac:dyDescent="0.2">
      <c r="F53" t="s">
        <v>430</v>
      </c>
      <c r="G53">
        <v>5361</v>
      </c>
      <c r="H53">
        <v>409.91550083940001</v>
      </c>
      <c r="I53">
        <v>847</v>
      </c>
      <c r="J53">
        <v>162</v>
      </c>
      <c r="K53">
        <v>5784</v>
      </c>
      <c r="L53">
        <v>4261</v>
      </c>
      <c r="M53">
        <v>1098</v>
      </c>
      <c r="N53">
        <v>722</v>
      </c>
      <c r="O53">
        <v>1202</v>
      </c>
      <c r="P53">
        <v>1185</v>
      </c>
      <c r="Q53">
        <v>0</v>
      </c>
      <c r="R53">
        <v>0</v>
      </c>
      <c r="AH53" t="s">
        <v>379</v>
      </c>
      <c r="AI53">
        <v>2039</v>
      </c>
      <c r="AJ53">
        <v>303.6483570378</v>
      </c>
      <c r="AK53">
        <v>2592</v>
      </c>
      <c r="AL53">
        <v>467</v>
      </c>
      <c r="AM53">
        <v>3695</v>
      </c>
      <c r="AN53">
        <v>2111</v>
      </c>
      <c r="AO53">
        <v>470</v>
      </c>
      <c r="AP53">
        <v>346</v>
      </c>
      <c r="AQ53">
        <v>1509</v>
      </c>
      <c r="AR53">
        <v>1030</v>
      </c>
      <c r="AS53">
        <v>358</v>
      </c>
      <c r="AT53">
        <v>11</v>
      </c>
      <c r="AV53" t="s">
        <v>401</v>
      </c>
      <c r="AW53">
        <v>289</v>
      </c>
      <c r="AX53">
        <v>63.865051903100003</v>
      </c>
      <c r="AY53">
        <v>296</v>
      </c>
      <c r="AZ53">
        <v>7</v>
      </c>
      <c r="BA53">
        <v>385</v>
      </c>
      <c r="BB53">
        <v>40</v>
      </c>
      <c r="BC53">
        <v>1</v>
      </c>
      <c r="BD53">
        <v>1</v>
      </c>
      <c r="BE53">
        <v>23</v>
      </c>
      <c r="BF53">
        <v>4</v>
      </c>
      <c r="BG53">
        <v>825</v>
      </c>
      <c r="BH53">
        <v>60</v>
      </c>
      <c r="BJ53" t="s">
        <v>591</v>
      </c>
      <c r="BK53" t="s">
        <v>404</v>
      </c>
      <c r="BL53">
        <v>11463</v>
      </c>
      <c r="BM53">
        <v>2666</v>
      </c>
      <c r="BN53">
        <v>95.973828840600007</v>
      </c>
      <c r="BO53">
        <v>23472</v>
      </c>
      <c r="BP53">
        <v>153</v>
      </c>
      <c r="BQ53">
        <v>146.3108810498</v>
      </c>
      <c r="BR53">
        <v>129.39215686270001</v>
      </c>
      <c r="BS53">
        <v>2069</v>
      </c>
      <c r="BT53">
        <v>710</v>
      </c>
      <c r="BU53">
        <v>118.95698405029999</v>
      </c>
      <c r="BV53">
        <v>13403</v>
      </c>
      <c r="BW53">
        <v>76</v>
      </c>
      <c r="BX53">
        <v>149.6739535925</v>
      </c>
      <c r="BY53">
        <v>150.11842105260001</v>
      </c>
      <c r="CA53" t="s">
        <v>428</v>
      </c>
      <c r="CB53" t="s">
        <v>890</v>
      </c>
      <c r="CC53" t="s">
        <v>1017</v>
      </c>
      <c r="CD53">
        <v>1894</v>
      </c>
      <c r="CE53">
        <v>253</v>
      </c>
      <c r="CF53">
        <v>75.601900739200005</v>
      </c>
      <c r="CG53">
        <v>5515</v>
      </c>
      <c r="CH53">
        <v>12</v>
      </c>
      <c r="CI53">
        <v>108.3356300997</v>
      </c>
      <c r="CJ53">
        <v>48.25</v>
      </c>
      <c r="CL53" t="s">
        <v>428</v>
      </c>
      <c r="CM53" t="s">
        <v>871</v>
      </c>
      <c r="CN53" t="s">
        <v>874</v>
      </c>
      <c r="CO53">
        <v>68</v>
      </c>
      <c r="CP53">
        <v>11</v>
      </c>
      <c r="CQ53">
        <v>77.897058823500004</v>
      </c>
      <c r="CR53">
        <v>319</v>
      </c>
      <c r="CS53">
        <v>1</v>
      </c>
      <c r="CT53">
        <v>72.034482758600006</v>
      </c>
      <c r="CU53">
        <v>35</v>
      </c>
      <c r="CW53" t="s">
        <v>428</v>
      </c>
      <c r="CX53" t="s">
        <v>881</v>
      </c>
      <c r="CY53" t="s">
        <v>884</v>
      </c>
      <c r="CZ53">
        <v>34</v>
      </c>
      <c r="DA53">
        <v>4</v>
      </c>
      <c r="DB53">
        <v>62.852941176500003</v>
      </c>
      <c r="DC53">
        <v>87</v>
      </c>
      <c r="DD53">
        <v>0</v>
      </c>
      <c r="DE53">
        <v>125.91954022989999</v>
      </c>
      <c r="DF53">
        <v>0</v>
      </c>
      <c r="DH53" t="s">
        <v>428</v>
      </c>
      <c r="DI53" t="s">
        <v>861</v>
      </c>
      <c r="DJ53" t="s">
        <v>864</v>
      </c>
      <c r="DK53">
        <v>108</v>
      </c>
      <c r="DL53">
        <v>4</v>
      </c>
      <c r="DM53">
        <v>40.888888888899999</v>
      </c>
      <c r="DN53">
        <v>170</v>
      </c>
      <c r="DO53">
        <v>0</v>
      </c>
      <c r="DP53">
        <v>118.7176470588</v>
      </c>
      <c r="DQ53">
        <v>0</v>
      </c>
    </row>
    <row r="54" spans="2:121" x14ac:dyDescent="0.2">
      <c r="F54" t="s">
        <v>72</v>
      </c>
      <c r="G54">
        <v>747</v>
      </c>
      <c r="H54">
        <v>268.34404283800001</v>
      </c>
      <c r="I54">
        <v>1726</v>
      </c>
      <c r="J54">
        <v>503</v>
      </c>
      <c r="K54">
        <v>3606</v>
      </c>
      <c r="L54">
        <v>1062</v>
      </c>
      <c r="M54">
        <v>863</v>
      </c>
      <c r="N54">
        <v>787</v>
      </c>
      <c r="O54">
        <v>1213</v>
      </c>
      <c r="P54">
        <v>1011</v>
      </c>
      <c r="Q54">
        <v>0</v>
      </c>
      <c r="R54">
        <v>2</v>
      </c>
      <c r="AH54" t="s">
        <v>396</v>
      </c>
      <c r="AI54">
        <v>3118</v>
      </c>
      <c r="AJ54">
        <v>236.01828094929999</v>
      </c>
      <c r="AK54">
        <v>3873</v>
      </c>
      <c r="AL54">
        <v>566</v>
      </c>
      <c r="AM54">
        <v>6047</v>
      </c>
      <c r="AN54">
        <v>2294</v>
      </c>
      <c r="AO54">
        <v>943</v>
      </c>
      <c r="AP54">
        <v>721</v>
      </c>
      <c r="AQ54">
        <v>1089</v>
      </c>
      <c r="AR54">
        <v>648</v>
      </c>
      <c r="AS54">
        <v>639</v>
      </c>
      <c r="AT54">
        <v>7</v>
      </c>
      <c r="AV54" t="s">
        <v>392</v>
      </c>
      <c r="AW54">
        <v>295</v>
      </c>
      <c r="AX54">
        <v>73.2813559322</v>
      </c>
      <c r="AY54">
        <v>535</v>
      </c>
      <c r="AZ54">
        <v>67</v>
      </c>
      <c r="BA54">
        <v>488</v>
      </c>
      <c r="BB54">
        <v>62</v>
      </c>
      <c r="BC54">
        <v>2</v>
      </c>
      <c r="BD54">
        <v>2</v>
      </c>
      <c r="BE54">
        <v>50</v>
      </c>
      <c r="BF54">
        <v>13</v>
      </c>
      <c r="BG54">
        <v>61</v>
      </c>
      <c r="BH54">
        <v>75</v>
      </c>
      <c r="BJ54" t="s">
        <v>404</v>
      </c>
      <c r="BK54" t="s">
        <v>404</v>
      </c>
      <c r="BL54">
        <v>62025</v>
      </c>
      <c r="BM54">
        <v>12133</v>
      </c>
      <c r="BN54">
        <v>87.268681983099995</v>
      </c>
      <c r="BO54">
        <v>165358</v>
      </c>
      <c r="BP54">
        <v>996</v>
      </c>
      <c r="BQ54">
        <v>115.0316585832</v>
      </c>
      <c r="BR54">
        <v>109.6265060241</v>
      </c>
      <c r="BS54">
        <v>17221</v>
      </c>
      <c r="BT54">
        <v>4943</v>
      </c>
      <c r="BU54">
        <v>100.6371290866</v>
      </c>
      <c r="BV54">
        <v>162446</v>
      </c>
      <c r="BW54">
        <v>1064</v>
      </c>
      <c r="BX54">
        <v>113.0498011647</v>
      </c>
      <c r="BY54">
        <v>107.6240601504</v>
      </c>
      <c r="CA54" t="s">
        <v>408</v>
      </c>
      <c r="CB54" t="s">
        <v>890</v>
      </c>
      <c r="CC54" t="s">
        <v>1018</v>
      </c>
      <c r="CD54">
        <v>1697</v>
      </c>
      <c r="CE54">
        <v>414</v>
      </c>
      <c r="CF54">
        <v>95.380082498500002</v>
      </c>
      <c r="CG54">
        <v>3832</v>
      </c>
      <c r="CH54">
        <v>28</v>
      </c>
      <c r="CI54">
        <v>112.3128914405</v>
      </c>
      <c r="CJ54">
        <v>118.17857142859999</v>
      </c>
      <c r="CL54" t="s">
        <v>408</v>
      </c>
      <c r="CM54" t="s">
        <v>871</v>
      </c>
      <c r="CN54" t="s">
        <v>875</v>
      </c>
      <c r="CO54">
        <v>103</v>
      </c>
      <c r="CP54">
        <v>11</v>
      </c>
      <c r="CQ54">
        <v>72.077669902899999</v>
      </c>
      <c r="CR54">
        <v>613</v>
      </c>
      <c r="CS54">
        <v>7</v>
      </c>
      <c r="CT54">
        <v>65.5791190865</v>
      </c>
      <c r="CU54">
        <v>76.714285714300004</v>
      </c>
      <c r="CW54" t="s">
        <v>408</v>
      </c>
      <c r="CX54" t="s">
        <v>881</v>
      </c>
      <c r="CY54" t="s">
        <v>885</v>
      </c>
      <c r="CZ54">
        <v>44</v>
      </c>
      <c r="DA54">
        <v>7</v>
      </c>
      <c r="DB54">
        <v>65.840909090899999</v>
      </c>
      <c r="DC54">
        <v>76</v>
      </c>
      <c r="DD54">
        <v>0</v>
      </c>
      <c r="DE54">
        <v>137.63157894739999</v>
      </c>
      <c r="DF54">
        <v>0</v>
      </c>
      <c r="DH54" t="s">
        <v>408</v>
      </c>
      <c r="DI54" t="s">
        <v>861</v>
      </c>
      <c r="DJ54" t="s">
        <v>865</v>
      </c>
      <c r="DK54">
        <v>40</v>
      </c>
      <c r="DL54">
        <v>2</v>
      </c>
      <c r="DM54">
        <v>56.35</v>
      </c>
      <c r="DN54">
        <v>112</v>
      </c>
      <c r="DO54">
        <v>0</v>
      </c>
      <c r="DP54">
        <v>120.8571428571</v>
      </c>
      <c r="DQ54">
        <v>0</v>
      </c>
    </row>
    <row r="55" spans="2:121" x14ac:dyDescent="0.2">
      <c r="F55" t="s">
        <v>50</v>
      </c>
      <c r="G55">
        <v>1450</v>
      </c>
      <c r="H55">
        <v>132.74275862069999</v>
      </c>
      <c r="I55">
        <v>1846</v>
      </c>
      <c r="J55">
        <v>247</v>
      </c>
      <c r="K55">
        <v>3179</v>
      </c>
      <c r="L55">
        <v>915</v>
      </c>
      <c r="M55">
        <v>720</v>
      </c>
      <c r="N55">
        <v>464</v>
      </c>
      <c r="O55">
        <v>559</v>
      </c>
      <c r="P55">
        <v>413</v>
      </c>
      <c r="Q55">
        <v>1</v>
      </c>
      <c r="R55">
        <v>18</v>
      </c>
      <c r="AH55" t="s">
        <v>421</v>
      </c>
      <c r="AI55">
        <v>330</v>
      </c>
      <c r="AJ55">
        <v>322.20606060609998</v>
      </c>
      <c r="AK55">
        <v>742</v>
      </c>
      <c r="AL55">
        <v>81</v>
      </c>
      <c r="AM55">
        <v>848</v>
      </c>
      <c r="AN55">
        <v>339</v>
      </c>
      <c r="AO55">
        <v>231</v>
      </c>
      <c r="AP55">
        <v>135</v>
      </c>
      <c r="AQ55">
        <v>186</v>
      </c>
      <c r="AR55">
        <v>107</v>
      </c>
      <c r="AS55">
        <v>2</v>
      </c>
      <c r="AT55">
        <v>2</v>
      </c>
      <c r="AV55" t="s">
        <v>424</v>
      </c>
      <c r="AW55">
        <v>16</v>
      </c>
      <c r="AX55">
        <v>61.875</v>
      </c>
      <c r="AY55">
        <v>16</v>
      </c>
      <c r="BA55">
        <v>30</v>
      </c>
      <c r="BB55">
        <v>5</v>
      </c>
      <c r="BC55">
        <v>0</v>
      </c>
      <c r="BE55">
        <v>2</v>
      </c>
      <c r="BF55">
        <v>1</v>
      </c>
      <c r="BG55">
        <v>42</v>
      </c>
      <c r="BH55">
        <v>9</v>
      </c>
      <c r="BJ55" t="s">
        <v>595</v>
      </c>
      <c r="BK55" t="s">
        <v>404</v>
      </c>
      <c r="BL55">
        <v>4777</v>
      </c>
      <c r="BM55">
        <v>693</v>
      </c>
      <c r="BN55">
        <v>76.987649152200007</v>
      </c>
      <c r="BO55">
        <v>12213</v>
      </c>
      <c r="BP55">
        <v>123</v>
      </c>
      <c r="BQ55">
        <v>125.1096372718</v>
      </c>
      <c r="BR55">
        <v>105.19512195119999</v>
      </c>
      <c r="BS55">
        <v>2244</v>
      </c>
      <c r="BT55">
        <v>444</v>
      </c>
      <c r="BU55">
        <v>94.019607843100005</v>
      </c>
      <c r="BV55">
        <v>18786</v>
      </c>
      <c r="BW55">
        <v>240</v>
      </c>
      <c r="BX55">
        <v>127.3774619397</v>
      </c>
      <c r="BY55">
        <v>105.5</v>
      </c>
      <c r="CA55" t="s">
        <v>413</v>
      </c>
      <c r="CB55" t="s">
        <v>890</v>
      </c>
      <c r="CC55" t="s">
        <v>1019</v>
      </c>
      <c r="CD55">
        <v>3942</v>
      </c>
      <c r="CE55">
        <v>1020</v>
      </c>
      <c r="CF55">
        <v>100.8084728564</v>
      </c>
      <c r="CG55">
        <v>8667</v>
      </c>
      <c r="CH55">
        <v>50</v>
      </c>
      <c r="CI55">
        <v>137.7520479982</v>
      </c>
      <c r="CJ55">
        <v>129.22</v>
      </c>
      <c r="CL55" t="s">
        <v>413</v>
      </c>
      <c r="CM55" t="s">
        <v>871</v>
      </c>
      <c r="CN55" t="s">
        <v>876</v>
      </c>
      <c r="CO55">
        <v>207</v>
      </c>
      <c r="CP55">
        <v>21</v>
      </c>
      <c r="CQ55">
        <v>71.222222222200003</v>
      </c>
      <c r="CR55">
        <v>1133</v>
      </c>
      <c r="CS55">
        <v>5</v>
      </c>
      <c r="CT55">
        <v>68.024713150899998</v>
      </c>
      <c r="CU55">
        <v>106.4</v>
      </c>
      <c r="CW55" t="s">
        <v>413</v>
      </c>
      <c r="CX55" t="s">
        <v>881</v>
      </c>
      <c r="CY55" t="s">
        <v>886</v>
      </c>
      <c r="CZ55">
        <v>80</v>
      </c>
      <c r="DA55">
        <v>6</v>
      </c>
      <c r="DB55">
        <v>54.587499999999999</v>
      </c>
      <c r="DC55">
        <v>223</v>
      </c>
      <c r="DD55">
        <v>1</v>
      </c>
      <c r="DE55">
        <v>134.1928251121</v>
      </c>
      <c r="DF55">
        <v>123</v>
      </c>
      <c r="DH55" t="s">
        <v>413</v>
      </c>
      <c r="DI55" t="s">
        <v>861</v>
      </c>
      <c r="DJ55" t="s">
        <v>866</v>
      </c>
      <c r="DK55">
        <v>79</v>
      </c>
      <c r="DL55">
        <v>6</v>
      </c>
      <c r="DM55">
        <v>54.392405063299996</v>
      </c>
      <c r="DN55">
        <v>259</v>
      </c>
      <c r="DO55">
        <v>0</v>
      </c>
      <c r="DP55">
        <v>119.2741312741</v>
      </c>
      <c r="DQ55">
        <v>0</v>
      </c>
    </row>
    <row r="56" spans="2:121" x14ac:dyDescent="0.2">
      <c r="F56" t="s">
        <v>64</v>
      </c>
      <c r="G56">
        <v>2981</v>
      </c>
      <c r="H56">
        <v>229.46293190200001</v>
      </c>
      <c r="I56">
        <v>4598</v>
      </c>
      <c r="J56">
        <v>696</v>
      </c>
      <c r="K56">
        <v>5406</v>
      </c>
      <c r="L56">
        <v>1920</v>
      </c>
      <c r="M56">
        <v>758</v>
      </c>
      <c r="N56">
        <v>425</v>
      </c>
      <c r="O56">
        <v>1278</v>
      </c>
      <c r="P56">
        <v>732</v>
      </c>
      <c r="Q56">
        <v>0</v>
      </c>
      <c r="R56">
        <v>80</v>
      </c>
      <c r="BJ56" t="s">
        <v>603</v>
      </c>
      <c r="BK56" t="s">
        <v>404</v>
      </c>
      <c r="BL56">
        <v>4912</v>
      </c>
      <c r="BM56">
        <v>890</v>
      </c>
      <c r="BN56">
        <v>86.944625407199993</v>
      </c>
      <c r="BO56">
        <v>11640</v>
      </c>
      <c r="BP56">
        <v>65</v>
      </c>
      <c r="BQ56">
        <v>135.9451030928</v>
      </c>
      <c r="BR56">
        <v>120.4923076923</v>
      </c>
      <c r="BS56">
        <v>1588</v>
      </c>
      <c r="BT56">
        <v>433</v>
      </c>
      <c r="BU56">
        <v>99.029596977300002</v>
      </c>
      <c r="BV56">
        <v>11266</v>
      </c>
      <c r="BW56">
        <v>55</v>
      </c>
      <c r="BX56">
        <v>135.8982780046</v>
      </c>
      <c r="BY56">
        <v>127.2363636364</v>
      </c>
      <c r="CA56" t="s">
        <v>405</v>
      </c>
      <c r="CB56" t="s">
        <v>890</v>
      </c>
      <c r="CC56" t="s">
        <v>1020</v>
      </c>
      <c r="CD56">
        <v>2645</v>
      </c>
      <c r="CE56">
        <v>536</v>
      </c>
      <c r="CF56">
        <v>88.077504725899999</v>
      </c>
      <c r="CG56">
        <v>6492</v>
      </c>
      <c r="CH56">
        <v>28</v>
      </c>
      <c r="CI56">
        <v>133.97119531729999</v>
      </c>
      <c r="CJ56">
        <v>115.2857142857</v>
      </c>
      <c r="CL56" t="s">
        <v>405</v>
      </c>
      <c r="CM56" t="s">
        <v>871</v>
      </c>
      <c r="CN56" t="s">
        <v>877</v>
      </c>
      <c r="CO56">
        <v>186</v>
      </c>
      <c r="CP56">
        <v>20</v>
      </c>
      <c r="CQ56">
        <v>66.123655913999997</v>
      </c>
      <c r="CR56">
        <v>930</v>
      </c>
      <c r="CS56">
        <v>1</v>
      </c>
      <c r="CT56">
        <v>60.432258064499997</v>
      </c>
      <c r="CU56">
        <v>80</v>
      </c>
      <c r="CW56" t="s">
        <v>405</v>
      </c>
      <c r="CX56" t="s">
        <v>881</v>
      </c>
      <c r="CY56" t="s">
        <v>887</v>
      </c>
      <c r="CZ56">
        <v>61</v>
      </c>
      <c r="DA56">
        <v>11</v>
      </c>
      <c r="DB56">
        <v>77.295081967200005</v>
      </c>
      <c r="DC56">
        <v>115</v>
      </c>
      <c r="DD56">
        <v>0</v>
      </c>
      <c r="DE56">
        <v>148.4</v>
      </c>
      <c r="DF56">
        <v>0</v>
      </c>
      <c r="DH56" t="s">
        <v>405</v>
      </c>
      <c r="DI56" t="s">
        <v>861</v>
      </c>
      <c r="DJ56" t="s">
        <v>867</v>
      </c>
      <c r="DK56">
        <v>54</v>
      </c>
      <c r="DL56">
        <v>2</v>
      </c>
      <c r="DM56">
        <v>44.962962963000003</v>
      </c>
      <c r="DN56">
        <v>162</v>
      </c>
      <c r="DO56">
        <v>0</v>
      </c>
      <c r="DP56">
        <v>128.20987654320001</v>
      </c>
      <c r="DQ56">
        <v>0</v>
      </c>
    </row>
    <row r="57" spans="2:121" x14ac:dyDescent="0.2">
      <c r="F57" t="s">
        <v>62</v>
      </c>
      <c r="G57">
        <v>8021</v>
      </c>
      <c r="H57">
        <v>456.85238748289999</v>
      </c>
      <c r="I57">
        <v>11441</v>
      </c>
      <c r="J57">
        <v>2565</v>
      </c>
      <c r="K57">
        <v>13915</v>
      </c>
      <c r="L57">
        <v>8960</v>
      </c>
      <c r="M57">
        <v>3798</v>
      </c>
      <c r="N57">
        <v>3543</v>
      </c>
      <c r="O57">
        <v>2629</v>
      </c>
      <c r="P57">
        <v>2116</v>
      </c>
      <c r="Q57">
        <v>0</v>
      </c>
      <c r="R57">
        <v>43</v>
      </c>
      <c r="BJ57" t="s">
        <v>611</v>
      </c>
      <c r="BK57" t="s">
        <v>404</v>
      </c>
      <c r="BL57">
        <v>3800</v>
      </c>
      <c r="BM57">
        <v>1009</v>
      </c>
      <c r="BN57">
        <v>102.3084210526</v>
      </c>
      <c r="BO57">
        <v>7973</v>
      </c>
      <c r="BP57">
        <v>53</v>
      </c>
      <c r="BQ57">
        <v>142.16543333749999</v>
      </c>
      <c r="BR57">
        <v>124.13207547170001</v>
      </c>
      <c r="BS57">
        <v>452</v>
      </c>
      <c r="BT57">
        <v>240</v>
      </c>
      <c r="BU57">
        <v>145.564159292</v>
      </c>
      <c r="BV57">
        <v>7126</v>
      </c>
      <c r="BW57">
        <v>39</v>
      </c>
      <c r="BX57">
        <v>129.64412012349999</v>
      </c>
      <c r="BY57">
        <v>139.69230769230001</v>
      </c>
      <c r="CA57" t="s">
        <v>409</v>
      </c>
      <c r="CB57" t="s">
        <v>890</v>
      </c>
      <c r="CC57" t="s">
        <v>1021</v>
      </c>
      <c r="CD57">
        <v>4867</v>
      </c>
      <c r="CE57">
        <v>873</v>
      </c>
      <c r="CF57">
        <v>86.391206081799993</v>
      </c>
      <c r="CG57">
        <v>11742</v>
      </c>
      <c r="CH57">
        <v>65</v>
      </c>
      <c r="CI57">
        <v>135.5833759155</v>
      </c>
      <c r="CJ57">
        <v>121.6307692308</v>
      </c>
      <c r="CL57" t="s">
        <v>409</v>
      </c>
      <c r="CM57" t="s">
        <v>871</v>
      </c>
      <c r="CN57" t="s">
        <v>878</v>
      </c>
      <c r="CO57">
        <v>333</v>
      </c>
      <c r="CP57">
        <v>34</v>
      </c>
      <c r="CQ57">
        <v>64.141141141099993</v>
      </c>
      <c r="CR57">
        <v>1705</v>
      </c>
      <c r="CS57">
        <v>7</v>
      </c>
      <c r="CT57">
        <v>68.558357771299995</v>
      </c>
      <c r="CU57">
        <v>101.8571428571</v>
      </c>
      <c r="CW57" t="s">
        <v>409</v>
      </c>
      <c r="CX57" t="s">
        <v>881</v>
      </c>
      <c r="CY57" t="s">
        <v>888</v>
      </c>
      <c r="CZ57">
        <v>63</v>
      </c>
      <c r="DA57">
        <v>7</v>
      </c>
      <c r="DB57">
        <v>59.492063492100002</v>
      </c>
      <c r="DC57">
        <v>209</v>
      </c>
      <c r="DD57">
        <v>1</v>
      </c>
      <c r="DE57">
        <v>138.79904306220001</v>
      </c>
      <c r="DF57">
        <v>130</v>
      </c>
      <c r="DH57" t="s">
        <v>409</v>
      </c>
      <c r="DI57" t="s">
        <v>861</v>
      </c>
      <c r="DJ57" t="s">
        <v>868</v>
      </c>
      <c r="DK57">
        <v>27</v>
      </c>
      <c r="DL57">
        <v>5</v>
      </c>
      <c r="DM57">
        <v>70.037037037000005</v>
      </c>
      <c r="DN57">
        <v>120</v>
      </c>
      <c r="DO57">
        <v>0</v>
      </c>
      <c r="DP57">
        <v>124.0583333333</v>
      </c>
      <c r="DQ57">
        <v>0</v>
      </c>
    </row>
    <row r="58" spans="2:121" x14ac:dyDescent="0.2">
      <c r="F58" t="s">
        <v>54</v>
      </c>
      <c r="G58">
        <v>999</v>
      </c>
      <c r="H58">
        <v>282.12112112109997</v>
      </c>
      <c r="I58">
        <v>1185</v>
      </c>
      <c r="J58">
        <v>172</v>
      </c>
      <c r="K58">
        <v>1843</v>
      </c>
      <c r="L58">
        <v>785</v>
      </c>
      <c r="M58">
        <v>212</v>
      </c>
      <c r="N58">
        <v>150</v>
      </c>
      <c r="O58">
        <v>127</v>
      </c>
      <c r="P58">
        <v>53</v>
      </c>
      <c r="Q58">
        <v>0</v>
      </c>
      <c r="R58">
        <v>1</v>
      </c>
      <c r="BJ58" t="s">
        <v>624</v>
      </c>
      <c r="BK58" t="s">
        <v>404</v>
      </c>
      <c r="BL58">
        <v>9936</v>
      </c>
      <c r="BM58">
        <v>1741</v>
      </c>
      <c r="BN58">
        <v>82.924114331699997</v>
      </c>
      <c r="BO58">
        <v>24939</v>
      </c>
      <c r="BP58">
        <v>103</v>
      </c>
      <c r="BQ58">
        <v>123.3537431332</v>
      </c>
      <c r="BR58">
        <v>110.4368932039</v>
      </c>
      <c r="BS58">
        <v>3012</v>
      </c>
      <c r="BT58">
        <v>890</v>
      </c>
      <c r="BU58">
        <v>101.7669322709</v>
      </c>
      <c r="BV58">
        <v>25546</v>
      </c>
      <c r="BW58">
        <v>109</v>
      </c>
      <c r="BX58">
        <v>127.0955531199</v>
      </c>
      <c r="BY58">
        <v>99.834862385299999</v>
      </c>
      <c r="CA58" t="s">
        <v>80</v>
      </c>
      <c r="CB58" t="s">
        <v>890</v>
      </c>
      <c r="CC58" t="s">
        <v>1022</v>
      </c>
      <c r="CD58">
        <v>6944</v>
      </c>
      <c r="CE58">
        <v>1165</v>
      </c>
      <c r="CF58">
        <v>85.755760368699995</v>
      </c>
      <c r="CG58">
        <v>18590</v>
      </c>
      <c r="CH58">
        <v>145</v>
      </c>
      <c r="CI58">
        <v>108.5176438946</v>
      </c>
      <c r="CJ58">
        <v>98.082758620700005</v>
      </c>
      <c r="CL58" t="s">
        <v>80</v>
      </c>
      <c r="CM58" t="s">
        <v>871</v>
      </c>
      <c r="CN58" t="s">
        <v>879</v>
      </c>
      <c r="CO58">
        <v>528</v>
      </c>
      <c r="CP58">
        <v>49</v>
      </c>
      <c r="CQ58">
        <v>64.946969697</v>
      </c>
      <c r="CR58">
        <v>2553</v>
      </c>
      <c r="CS58">
        <v>10</v>
      </c>
      <c r="CT58">
        <v>71.291030160600002</v>
      </c>
      <c r="CU58">
        <v>69.099999999999994</v>
      </c>
      <c r="CW58" t="s">
        <v>80</v>
      </c>
      <c r="CX58" t="s">
        <v>881</v>
      </c>
      <c r="CY58" t="s">
        <v>889</v>
      </c>
      <c r="CZ58">
        <v>295</v>
      </c>
      <c r="DA58">
        <v>31</v>
      </c>
      <c r="DB58">
        <v>58.389830508499998</v>
      </c>
      <c r="DC58">
        <v>685</v>
      </c>
      <c r="DD58">
        <v>7</v>
      </c>
      <c r="DE58">
        <v>125.0350364964</v>
      </c>
      <c r="DF58">
        <v>106.1428571429</v>
      </c>
      <c r="DH58" t="s">
        <v>80</v>
      </c>
      <c r="DI58" t="s">
        <v>861</v>
      </c>
      <c r="DJ58" t="s">
        <v>869</v>
      </c>
      <c r="DK58">
        <v>430</v>
      </c>
      <c r="DL58">
        <v>31</v>
      </c>
      <c r="DM58">
        <v>52.309302325600001</v>
      </c>
      <c r="DN58">
        <v>1039</v>
      </c>
      <c r="DO58">
        <v>1</v>
      </c>
      <c r="DP58">
        <v>119.146294514</v>
      </c>
      <c r="DQ58">
        <v>149</v>
      </c>
    </row>
    <row r="59" spans="2:121" x14ac:dyDescent="0.2">
      <c r="F59" t="s">
        <v>46</v>
      </c>
      <c r="G59">
        <v>10384</v>
      </c>
      <c r="H59">
        <v>381.76839368259999</v>
      </c>
      <c r="I59">
        <v>17212</v>
      </c>
      <c r="J59">
        <v>4207</v>
      </c>
      <c r="K59">
        <v>17840</v>
      </c>
      <c r="L59">
        <v>10391</v>
      </c>
      <c r="M59">
        <v>3663</v>
      </c>
      <c r="N59">
        <v>2954</v>
      </c>
      <c r="O59">
        <v>3299</v>
      </c>
      <c r="P59">
        <v>2728</v>
      </c>
      <c r="Q59">
        <v>2</v>
      </c>
      <c r="R59">
        <v>250</v>
      </c>
      <c r="BJ59" t="s">
        <v>597</v>
      </c>
      <c r="BK59" t="s">
        <v>404</v>
      </c>
      <c r="BL59">
        <v>8116</v>
      </c>
      <c r="BM59">
        <v>1229</v>
      </c>
      <c r="BN59">
        <v>77.888368654499999</v>
      </c>
      <c r="BO59">
        <v>43140</v>
      </c>
      <c r="BP59">
        <v>231</v>
      </c>
      <c r="BQ59">
        <v>63.970514603600002</v>
      </c>
      <c r="BR59">
        <v>68.134199134200003</v>
      </c>
      <c r="BS59">
        <v>3391</v>
      </c>
      <c r="BT59">
        <v>543</v>
      </c>
      <c r="BU59">
        <v>70.611324093199997</v>
      </c>
      <c r="BV59">
        <v>45332</v>
      </c>
      <c r="BW59">
        <v>258</v>
      </c>
      <c r="BX59">
        <v>65.705704579499994</v>
      </c>
      <c r="BY59">
        <v>68.372093023299996</v>
      </c>
      <c r="CA59" t="s">
        <v>404</v>
      </c>
      <c r="CB59" t="s">
        <v>890</v>
      </c>
      <c r="CD59">
        <v>59559</v>
      </c>
      <c r="CE59">
        <v>11823</v>
      </c>
      <c r="CF59">
        <v>87.906395339100001</v>
      </c>
      <c r="CG59">
        <v>144068</v>
      </c>
      <c r="CH59">
        <v>913</v>
      </c>
      <c r="CI59">
        <v>126.4393064386</v>
      </c>
      <c r="CJ59">
        <v>116.36801752460001</v>
      </c>
      <c r="CL59" t="s">
        <v>404</v>
      </c>
      <c r="CM59" t="s">
        <v>871</v>
      </c>
      <c r="CO59">
        <v>4125</v>
      </c>
      <c r="CP59">
        <v>360</v>
      </c>
      <c r="CQ59">
        <v>63.009696969700002</v>
      </c>
      <c r="CR59">
        <v>20414</v>
      </c>
      <c r="CS59">
        <v>101</v>
      </c>
      <c r="CT59">
        <v>67.321739982400004</v>
      </c>
      <c r="CU59">
        <v>66.742574257399994</v>
      </c>
      <c r="CW59" t="s">
        <v>404</v>
      </c>
      <c r="CX59" t="s">
        <v>881</v>
      </c>
      <c r="CZ59">
        <v>1880</v>
      </c>
      <c r="DA59">
        <v>230</v>
      </c>
      <c r="DB59">
        <v>62.117021276599999</v>
      </c>
      <c r="DC59">
        <v>4700</v>
      </c>
      <c r="DD59">
        <v>23</v>
      </c>
      <c r="DE59">
        <v>129.98468085109999</v>
      </c>
      <c r="DF59">
        <v>103.52173913039999</v>
      </c>
      <c r="DH59" t="s">
        <v>404</v>
      </c>
      <c r="DI59" t="s">
        <v>861</v>
      </c>
      <c r="DK59">
        <v>1551</v>
      </c>
      <c r="DL59">
        <v>138</v>
      </c>
      <c r="DM59">
        <v>57.235976789200002</v>
      </c>
      <c r="DN59">
        <v>3959</v>
      </c>
      <c r="DO59">
        <v>2</v>
      </c>
      <c r="DP59">
        <v>120.6678454155</v>
      </c>
      <c r="DQ59">
        <v>118.5</v>
      </c>
    </row>
    <row r="60" spans="2:121" x14ac:dyDescent="0.2">
      <c r="F60" t="s">
        <v>135</v>
      </c>
      <c r="G60">
        <v>523</v>
      </c>
      <c r="H60">
        <v>348.34799235179997</v>
      </c>
      <c r="I60">
        <v>537</v>
      </c>
      <c r="J60">
        <v>155</v>
      </c>
      <c r="K60">
        <v>1118</v>
      </c>
      <c r="L60">
        <v>468</v>
      </c>
      <c r="M60">
        <v>147</v>
      </c>
      <c r="N60">
        <v>116</v>
      </c>
      <c r="O60">
        <v>184</v>
      </c>
      <c r="P60">
        <v>88</v>
      </c>
      <c r="Q60">
        <v>0</v>
      </c>
      <c r="R60">
        <v>2</v>
      </c>
      <c r="BJ60" t="s">
        <v>539</v>
      </c>
      <c r="BK60" t="s">
        <v>380</v>
      </c>
      <c r="BL60">
        <v>17308</v>
      </c>
      <c r="BM60">
        <v>4965</v>
      </c>
      <c r="BN60">
        <v>99.258550959100006</v>
      </c>
      <c r="BO60">
        <v>35241</v>
      </c>
      <c r="BP60">
        <v>248</v>
      </c>
      <c r="BQ60">
        <v>145.4578190176</v>
      </c>
      <c r="BR60">
        <v>156.98790322580001</v>
      </c>
      <c r="BS60">
        <v>3380</v>
      </c>
      <c r="BT60">
        <v>1210</v>
      </c>
      <c r="BU60">
        <v>117.5624260355</v>
      </c>
      <c r="BV60">
        <v>27744</v>
      </c>
      <c r="BW60">
        <v>156</v>
      </c>
      <c r="BX60">
        <v>139.8497332757</v>
      </c>
      <c r="BY60">
        <v>196.37820512819999</v>
      </c>
      <c r="CA60" t="s">
        <v>388</v>
      </c>
      <c r="CB60" t="s">
        <v>915</v>
      </c>
      <c r="CC60" t="s">
        <v>1023</v>
      </c>
      <c r="CD60">
        <v>7942</v>
      </c>
      <c r="CE60">
        <v>1964</v>
      </c>
      <c r="CF60">
        <v>99.640266935300005</v>
      </c>
      <c r="CG60">
        <v>18367</v>
      </c>
      <c r="CH60">
        <v>97</v>
      </c>
      <c r="CI60">
        <v>147.01480916860001</v>
      </c>
      <c r="CJ60">
        <v>141.15463917529999</v>
      </c>
      <c r="CL60" t="s">
        <v>388</v>
      </c>
      <c r="CM60" t="s">
        <v>900</v>
      </c>
      <c r="CN60" t="s">
        <v>899</v>
      </c>
      <c r="CO60">
        <v>633</v>
      </c>
      <c r="CP60">
        <v>85</v>
      </c>
      <c r="CQ60">
        <v>75.9415481833</v>
      </c>
      <c r="CR60">
        <v>3530</v>
      </c>
      <c r="CS60">
        <v>9</v>
      </c>
      <c r="CT60">
        <v>67.300849858399999</v>
      </c>
      <c r="CU60">
        <v>102</v>
      </c>
      <c r="CW60" t="s">
        <v>388</v>
      </c>
      <c r="CX60" t="s">
        <v>908</v>
      </c>
      <c r="CY60" t="s">
        <v>907</v>
      </c>
      <c r="CZ60">
        <v>138</v>
      </c>
      <c r="DA60">
        <v>27</v>
      </c>
      <c r="DB60">
        <v>79.804347826099999</v>
      </c>
      <c r="DC60">
        <v>331</v>
      </c>
      <c r="DD60">
        <v>3</v>
      </c>
      <c r="DE60">
        <v>154.4561933535</v>
      </c>
      <c r="DF60">
        <v>143.3333333333</v>
      </c>
      <c r="DH60" t="s">
        <v>388</v>
      </c>
      <c r="DI60" t="s">
        <v>892</v>
      </c>
      <c r="DJ60" t="s">
        <v>891</v>
      </c>
      <c r="DK60">
        <v>134</v>
      </c>
      <c r="DL60">
        <v>20</v>
      </c>
      <c r="DM60">
        <v>66.380597014900005</v>
      </c>
      <c r="DN60">
        <v>393</v>
      </c>
      <c r="DO60">
        <v>2</v>
      </c>
      <c r="DP60">
        <v>148.29262086509999</v>
      </c>
      <c r="DQ60">
        <v>183.5</v>
      </c>
    </row>
    <row r="61" spans="2:121" x14ac:dyDescent="0.2">
      <c r="F61" t="s">
        <v>56</v>
      </c>
      <c r="G61">
        <v>4656</v>
      </c>
      <c r="H61">
        <v>174.46821305840001</v>
      </c>
      <c r="I61">
        <v>6554</v>
      </c>
      <c r="J61">
        <v>1034</v>
      </c>
      <c r="K61">
        <v>8239</v>
      </c>
      <c r="L61">
        <v>2459</v>
      </c>
      <c r="M61">
        <v>770</v>
      </c>
      <c r="N61">
        <v>532</v>
      </c>
      <c r="O61">
        <v>614</v>
      </c>
      <c r="P61">
        <v>366</v>
      </c>
      <c r="Q61">
        <v>9201</v>
      </c>
      <c r="R61">
        <v>0</v>
      </c>
      <c r="BJ61" t="s">
        <v>547</v>
      </c>
      <c r="BK61" t="s">
        <v>380</v>
      </c>
      <c r="BL61">
        <v>9168</v>
      </c>
      <c r="BM61">
        <v>2233</v>
      </c>
      <c r="BN61">
        <v>98.447316753899997</v>
      </c>
      <c r="BO61">
        <v>19590</v>
      </c>
      <c r="BP61">
        <v>155</v>
      </c>
      <c r="BQ61">
        <v>134.7169984686</v>
      </c>
      <c r="BR61">
        <v>136.29032258059999</v>
      </c>
      <c r="BS61">
        <v>3130</v>
      </c>
      <c r="BT61">
        <v>1014</v>
      </c>
      <c r="BU61">
        <v>112.7952076677</v>
      </c>
      <c r="BV61">
        <v>20530</v>
      </c>
      <c r="BW61">
        <v>170</v>
      </c>
      <c r="BX61">
        <v>132.02489040430001</v>
      </c>
      <c r="BY61">
        <v>124.7411764706</v>
      </c>
      <c r="CA61" t="s">
        <v>425</v>
      </c>
      <c r="CB61" t="s">
        <v>915</v>
      </c>
      <c r="CC61" t="s">
        <v>1024</v>
      </c>
      <c r="CD61">
        <v>24948</v>
      </c>
      <c r="CE61">
        <v>5719</v>
      </c>
      <c r="CF61">
        <v>94.236892736900003</v>
      </c>
      <c r="CG61">
        <v>55017</v>
      </c>
      <c r="CH61">
        <v>327</v>
      </c>
      <c r="CI61">
        <v>138.51407746699999</v>
      </c>
      <c r="CJ61">
        <v>136.2966360856</v>
      </c>
      <c r="CL61" t="s">
        <v>425</v>
      </c>
      <c r="CM61" t="s">
        <v>900</v>
      </c>
      <c r="CN61" t="s">
        <v>901</v>
      </c>
      <c r="CO61">
        <v>3012</v>
      </c>
      <c r="CP61">
        <v>328</v>
      </c>
      <c r="CQ61">
        <v>70.379814077000006</v>
      </c>
      <c r="CR61">
        <v>7797</v>
      </c>
      <c r="CS61">
        <v>31</v>
      </c>
      <c r="CT61">
        <v>95.222008464799998</v>
      </c>
      <c r="CU61">
        <v>119.064516129</v>
      </c>
      <c r="CW61" t="s">
        <v>425</v>
      </c>
      <c r="CX61" t="s">
        <v>908</v>
      </c>
      <c r="CY61" t="s">
        <v>909</v>
      </c>
      <c r="CZ61">
        <v>644</v>
      </c>
      <c r="DA61">
        <v>90</v>
      </c>
      <c r="DB61">
        <v>69.158385093199996</v>
      </c>
      <c r="DC61">
        <v>1464</v>
      </c>
      <c r="DD61">
        <v>14</v>
      </c>
      <c r="DE61">
        <v>152.23224043720001</v>
      </c>
      <c r="DF61">
        <v>124.07142857140001</v>
      </c>
      <c r="DH61" t="s">
        <v>425</v>
      </c>
      <c r="DI61" t="s">
        <v>892</v>
      </c>
      <c r="DJ61" t="s">
        <v>893</v>
      </c>
      <c r="DK61">
        <v>743</v>
      </c>
      <c r="DL61">
        <v>100</v>
      </c>
      <c r="DM61">
        <v>63.196500672900001</v>
      </c>
      <c r="DN61">
        <v>2073</v>
      </c>
      <c r="DO61">
        <v>15</v>
      </c>
      <c r="DP61">
        <v>141.90545103709999</v>
      </c>
      <c r="DQ61">
        <v>107.8666666667</v>
      </c>
    </row>
    <row r="62" spans="2:121" x14ac:dyDescent="0.2">
      <c r="BJ62" t="s">
        <v>563</v>
      </c>
      <c r="BK62" t="s">
        <v>380</v>
      </c>
      <c r="BL62">
        <v>4066</v>
      </c>
      <c r="BM62">
        <v>714</v>
      </c>
      <c r="BN62">
        <v>89.3020167241</v>
      </c>
      <c r="BO62">
        <v>11921</v>
      </c>
      <c r="BP62">
        <v>64</v>
      </c>
      <c r="BQ62">
        <v>130.57386125330001</v>
      </c>
      <c r="BR62">
        <v>93.921875</v>
      </c>
      <c r="BS62">
        <v>1182</v>
      </c>
      <c r="BT62">
        <v>320</v>
      </c>
      <c r="BU62">
        <v>110.399323181</v>
      </c>
      <c r="BV62">
        <v>16858</v>
      </c>
      <c r="BW62">
        <v>134</v>
      </c>
      <c r="BX62">
        <v>150.7541226717</v>
      </c>
      <c r="BY62">
        <v>122.9029850746</v>
      </c>
      <c r="CA62" t="s">
        <v>381</v>
      </c>
      <c r="CB62" t="s">
        <v>915</v>
      </c>
      <c r="CC62" t="s">
        <v>1025</v>
      </c>
      <c r="CD62">
        <v>18964</v>
      </c>
      <c r="CE62">
        <v>5149</v>
      </c>
      <c r="CF62">
        <v>97.714564437899995</v>
      </c>
      <c r="CG62">
        <v>39572</v>
      </c>
      <c r="CH62">
        <v>292</v>
      </c>
      <c r="CI62">
        <v>136.8220206206</v>
      </c>
      <c r="CJ62">
        <v>150.10958904110001</v>
      </c>
      <c r="CL62" t="s">
        <v>381</v>
      </c>
      <c r="CM62" t="s">
        <v>900</v>
      </c>
      <c r="CN62" t="s">
        <v>902</v>
      </c>
      <c r="CO62">
        <v>1535</v>
      </c>
      <c r="CP62">
        <v>198</v>
      </c>
      <c r="CQ62">
        <v>73.468403908799999</v>
      </c>
      <c r="CR62">
        <v>3929</v>
      </c>
      <c r="CS62">
        <v>20</v>
      </c>
      <c r="CT62">
        <v>98.231102061599998</v>
      </c>
      <c r="CU62">
        <v>90.05</v>
      </c>
      <c r="CW62" t="s">
        <v>381</v>
      </c>
      <c r="CX62" t="s">
        <v>908</v>
      </c>
      <c r="CY62" t="s">
        <v>910</v>
      </c>
      <c r="CZ62">
        <v>408</v>
      </c>
      <c r="DA62">
        <v>63</v>
      </c>
      <c r="DB62">
        <v>71.289215686299997</v>
      </c>
      <c r="DC62">
        <v>866</v>
      </c>
      <c r="DD62">
        <v>7</v>
      </c>
      <c r="DE62">
        <v>153.21247113160001</v>
      </c>
      <c r="DF62">
        <v>151.42857142860001</v>
      </c>
      <c r="DH62" t="s">
        <v>381</v>
      </c>
      <c r="DI62" t="s">
        <v>892</v>
      </c>
      <c r="DJ62" t="s">
        <v>894</v>
      </c>
      <c r="DK62">
        <v>380</v>
      </c>
      <c r="DL62">
        <v>43</v>
      </c>
      <c r="DM62">
        <v>62.002631578900001</v>
      </c>
      <c r="DN62">
        <v>1036</v>
      </c>
      <c r="DO62">
        <v>10</v>
      </c>
      <c r="DP62">
        <v>141.5588803089</v>
      </c>
      <c r="DQ62">
        <v>154.1</v>
      </c>
    </row>
    <row r="63" spans="2:121" x14ac:dyDescent="0.2">
      <c r="BJ63" t="s">
        <v>553</v>
      </c>
      <c r="BK63" t="s">
        <v>380</v>
      </c>
      <c r="BL63">
        <v>7772</v>
      </c>
      <c r="BM63">
        <v>2065</v>
      </c>
      <c r="BN63">
        <v>104.3269428718</v>
      </c>
      <c r="BO63">
        <v>17633</v>
      </c>
      <c r="BP63">
        <v>109</v>
      </c>
      <c r="BQ63">
        <v>153.69948392219999</v>
      </c>
      <c r="BR63">
        <v>161.91743119270001</v>
      </c>
      <c r="BS63">
        <v>1757</v>
      </c>
      <c r="BT63">
        <v>688</v>
      </c>
      <c r="BU63">
        <v>122.8662492886</v>
      </c>
      <c r="BV63">
        <v>16584</v>
      </c>
      <c r="BW63">
        <v>85</v>
      </c>
      <c r="BX63">
        <v>150.25862276890001</v>
      </c>
      <c r="BY63">
        <v>160.01176470589999</v>
      </c>
      <c r="CA63" t="s">
        <v>393</v>
      </c>
      <c r="CB63" t="s">
        <v>915</v>
      </c>
      <c r="CC63" t="s">
        <v>1026</v>
      </c>
      <c r="CD63">
        <v>3675</v>
      </c>
      <c r="CE63">
        <v>454</v>
      </c>
      <c r="CF63">
        <v>74.276734693899996</v>
      </c>
      <c r="CG63">
        <v>12112</v>
      </c>
      <c r="CH63">
        <v>61</v>
      </c>
      <c r="CI63">
        <v>116.2528071334</v>
      </c>
      <c r="CJ63">
        <v>93.475409836099999</v>
      </c>
      <c r="CL63" t="s">
        <v>393</v>
      </c>
      <c r="CM63" t="s">
        <v>900</v>
      </c>
      <c r="CN63" t="s">
        <v>903</v>
      </c>
      <c r="CO63">
        <v>323</v>
      </c>
      <c r="CP63">
        <v>41</v>
      </c>
      <c r="CQ63">
        <v>71.368421052599999</v>
      </c>
      <c r="CR63">
        <v>1881</v>
      </c>
      <c r="CS63">
        <v>4</v>
      </c>
      <c r="CT63">
        <v>70.270600744299998</v>
      </c>
      <c r="CU63">
        <v>36.75</v>
      </c>
      <c r="CW63" t="s">
        <v>393</v>
      </c>
      <c r="CX63" t="s">
        <v>908</v>
      </c>
      <c r="CY63" t="s">
        <v>911</v>
      </c>
      <c r="CZ63">
        <v>91</v>
      </c>
      <c r="DA63">
        <v>10</v>
      </c>
      <c r="DB63">
        <v>63.560439560399999</v>
      </c>
      <c r="DC63">
        <v>203</v>
      </c>
      <c r="DD63">
        <v>1</v>
      </c>
      <c r="DE63">
        <v>147.90147783250001</v>
      </c>
      <c r="DF63">
        <v>152</v>
      </c>
      <c r="DH63" t="s">
        <v>393</v>
      </c>
      <c r="DI63" t="s">
        <v>892</v>
      </c>
      <c r="DJ63" t="s">
        <v>895</v>
      </c>
      <c r="DK63">
        <v>132</v>
      </c>
      <c r="DL63">
        <v>13</v>
      </c>
      <c r="DM63">
        <v>48.121212121200003</v>
      </c>
      <c r="DN63">
        <v>334</v>
      </c>
      <c r="DO63">
        <v>4</v>
      </c>
      <c r="DP63">
        <v>137.9431137725</v>
      </c>
      <c r="DQ63">
        <v>138.75</v>
      </c>
    </row>
    <row r="64" spans="2:121" x14ac:dyDescent="0.2">
      <c r="BJ64" t="s">
        <v>549</v>
      </c>
      <c r="BK64" t="s">
        <v>380</v>
      </c>
      <c r="BL64">
        <v>8963</v>
      </c>
      <c r="BM64">
        <v>1360</v>
      </c>
      <c r="BN64">
        <v>79.391275242700004</v>
      </c>
      <c r="BO64">
        <v>23462</v>
      </c>
      <c r="BP64">
        <v>133</v>
      </c>
      <c r="BQ64">
        <v>120.4739578894</v>
      </c>
      <c r="BR64">
        <v>119.3609022556</v>
      </c>
      <c r="BS64">
        <v>2793</v>
      </c>
      <c r="BT64">
        <v>640</v>
      </c>
      <c r="BU64">
        <v>97.578947368399994</v>
      </c>
      <c r="BV64">
        <v>24185</v>
      </c>
      <c r="BW64">
        <v>152</v>
      </c>
      <c r="BX64">
        <v>125.71565019640001</v>
      </c>
      <c r="BY64">
        <v>122.2236842105</v>
      </c>
      <c r="CA64" t="s">
        <v>427</v>
      </c>
      <c r="CB64" t="s">
        <v>915</v>
      </c>
      <c r="CC64" t="s">
        <v>1027</v>
      </c>
      <c r="CD64">
        <v>2296</v>
      </c>
      <c r="CE64">
        <v>505</v>
      </c>
      <c r="CF64">
        <v>99.060104529599997</v>
      </c>
      <c r="CG64">
        <v>7279</v>
      </c>
      <c r="CH64">
        <v>43</v>
      </c>
      <c r="CI64">
        <v>148.967028438</v>
      </c>
      <c r="CJ64">
        <v>120.6046511628</v>
      </c>
      <c r="CL64" t="s">
        <v>427</v>
      </c>
      <c r="CM64" t="s">
        <v>900</v>
      </c>
      <c r="CN64" t="s">
        <v>904</v>
      </c>
      <c r="CO64">
        <v>606</v>
      </c>
      <c r="CP64">
        <v>77</v>
      </c>
      <c r="CQ64">
        <v>74.1749174917</v>
      </c>
      <c r="CR64">
        <v>1408</v>
      </c>
      <c r="CS64">
        <v>4</v>
      </c>
      <c r="CT64">
        <v>107.4112215909</v>
      </c>
      <c r="CU64">
        <v>194.5</v>
      </c>
      <c r="CW64" t="s">
        <v>427</v>
      </c>
      <c r="CX64" t="s">
        <v>908</v>
      </c>
      <c r="CY64" t="s">
        <v>912</v>
      </c>
      <c r="CZ64">
        <v>21</v>
      </c>
      <c r="DA64">
        <v>5</v>
      </c>
      <c r="DB64">
        <v>84</v>
      </c>
      <c r="DC64">
        <v>17</v>
      </c>
      <c r="DD64">
        <v>0</v>
      </c>
      <c r="DE64">
        <v>138.8235294118</v>
      </c>
      <c r="DF64">
        <v>0</v>
      </c>
      <c r="DH64" t="s">
        <v>427</v>
      </c>
      <c r="DI64" t="s">
        <v>892</v>
      </c>
      <c r="DJ64" t="s">
        <v>896</v>
      </c>
      <c r="DK64">
        <v>12</v>
      </c>
      <c r="DL64">
        <v>2</v>
      </c>
      <c r="DM64">
        <v>56.666666666700003</v>
      </c>
      <c r="DN64">
        <v>40</v>
      </c>
      <c r="DO64">
        <v>0</v>
      </c>
      <c r="DP64">
        <v>123.75</v>
      </c>
      <c r="DQ64">
        <v>0</v>
      </c>
    </row>
    <row r="65" spans="62:121" x14ac:dyDescent="0.2">
      <c r="BJ65" t="s">
        <v>613</v>
      </c>
      <c r="BK65" t="s">
        <v>380</v>
      </c>
      <c r="BL65">
        <v>1777</v>
      </c>
      <c r="BM65">
        <v>504</v>
      </c>
      <c r="BN65">
        <v>119.2442318514</v>
      </c>
      <c r="BO65">
        <v>7218</v>
      </c>
      <c r="BP65">
        <v>41</v>
      </c>
      <c r="BQ65">
        <v>151.53615960100001</v>
      </c>
      <c r="BR65">
        <v>122.80487804880001</v>
      </c>
      <c r="BS65">
        <v>570</v>
      </c>
      <c r="BT65">
        <v>197</v>
      </c>
      <c r="BU65">
        <v>133.96842105260001</v>
      </c>
      <c r="BV65">
        <v>7989</v>
      </c>
      <c r="BW65">
        <v>73</v>
      </c>
      <c r="BX65">
        <v>151.283640005</v>
      </c>
      <c r="BY65">
        <v>111.34246575340001</v>
      </c>
      <c r="CA65" t="s">
        <v>383</v>
      </c>
      <c r="CB65" t="s">
        <v>915</v>
      </c>
      <c r="CC65" t="s">
        <v>1028</v>
      </c>
      <c r="CD65">
        <v>9251</v>
      </c>
      <c r="CE65">
        <v>2311</v>
      </c>
      <c r="CF65">
        <v>99.126797103000001</v>
      </c>
      <c r="CG65">
        <v>20876</v>
      </c>
      <c r="CH65">
        <v>155</v>
      </c>
      <c r="CI65">
        <v>132.0019160759</v>
      </c>
      <c r="CJ65">
        <v>127.0903225806</v>
      </c>
      <c r="CL65" t="s">
        <v>383</v>
      </c>
      <c r="CM65" t="s">
        <v>900</v>
      </c>
      <c r="CN65" t="s">
        <v>905</v>
      </c>
      <c r="CO65">
        <v>1037</v>
      </c>
      <c r="CP65">
        <v>125</v>
      </c>
      <c r="CQ65">
        <v>73.4975891996</v>
      </c>
      <c r="CR65">
        <v>2332</v>
      </c>
      <c r="CS65">
        <v>10</v>
      </c>
      <c r="CT65">
        <v>94.256861063499997</v>
      </c>
      <c r="CU65">
        <v>106.4</v>
      </c>
      <c r="CW65" t="s">
        <v>383</v>
      </c>
      <c r="CX65" t="s">
        <v>908</v>
      </c>
      <c r="CY65" t="s">
        <v>913</v>
      </c>
      <c r="CZ65">
        <v>181</v>
      </c>
      <c r="DA65">
        <v>40</v>
      </c>
      <c r="DB65">
        <v>83.027624309399997</v>
      </c>
      <c r="DC65">
        <v>433</v>
      </c>
      <c r="DD65">
        <v>3</v>
      </c>
      <c r="DE65">
        <v>162.1963048499</v>
      </c>
      <c r="DF65">
        <v>148.6666666667</v>
      </c>
      <c r="DH65" t="s">
        <v>383</v>
      </c>
      <c r="DI65" t="s">
        <v>892</v>
      </c>
      <c r="DJ65" t="s">
        <v>897</v>
      </c>
      <c r="DK65">
        <v>229</v>
      </c>
      <c r="DL65">
        <v>51</v>
      </c>
      <c r="DM65">
        <v>71.9868995633</v>
      </c>
      <c r="DN65">
        <v>509</v>
      </c>
      <c r="DO65">
        <v>3</v>
      </c>
      <c r="DP65">
        <v>141.79174852649999</v>
      </c>
      <c r="DQ65">
        <v>123.6666666667</v>
      </c>
    </row>
    <row r="66" spans="62:121" x14ac:dyDescent="0.2">
      <c r="BJ66" t="s">
        <v>380</v>
      </c>
      <c r="BK66" t="s">
        <v>380</v>
      </c>
      <c r="BL66">
        <v>72626</v>
      </c>
      <c r="BM66">
        <v>17302</v>
      </c>
      <c r="BN66">
        <v>95.340043510599997</v>
      </c>
      <c r="BO66">
        <v>164984</v>
      </c>
      <c r="BP66">
        <v>1052</v>
      </c>
      <c r="BQ66">
        <v>139.922847064</v>
      </c>
      <c r="BR66">
        <v>137.44581749049999</v>
      </c>
      <c r="BS66">
        <v>20419</v>
      </c>
      <c r="BT66">
        <v>6322</v>
      </c>
      <c r="BU66">
        <v>110.9952984965</v>
      </c>
      <c r="BV66">
        <v>157498</v>
      </c>
      <c r="BW66">
        <v>893</v>
      </c>
      <c r="BX66">
        <v>138.9075226352</v>
      </c>
      <c r="BY66">
        <v>147.52071668529999</v>
      </c>
      <c r="CA66" t="s">
        <v>384</v>
      </c>
      <c r="CB66" t="s">
        <v>915</v>
      </c>
      <c r="CC66" t="s">
        <v>1029</v>
      </c>
      <c r="CD66">
        <v>9143</v>
      </c>
      <c r="CE66">
        <v>1419</v>
      </c>
      <c r="CF66">
        <v>80.176309745200001</v>
      </c>
      <c r="CG66">
        <v>24114</v>
      </c>
      <c r="CH66">
        <v>146</v>
      </c>
      <c r="CI66">
        <v>117.7172596832</v>
      </c>
      <c r="CJ66">
        <v>114.7671232877</v>
      </c>
      <c r="CL66" t="s">
        <v>384</v>
      </c>
      <c r="CM66" t="s">
        <v>900</v>
      </c>
      <c r="CN66" t="s">
        <v>906</v>
      </c>
      <c r="CO66">
        <v>653</v>
      </c>
      <c r="CP66">
        <v>95</v>
      </c>
      <c r="CQ66">
        <v>71.091883614099999</v>
      </c>
      <c r="CR66">
        <v>3173</v>
      </c>
      <c r="CS66">
        <v>3</v>
      </c>
      <c r="CT66">
        <v>69.277340056699998</v>
      </c>
      <c r="CU66">
        <v>32.666666666700003</v>
      </c>
      <c r="CW66" t="s">
        <v>384</v>
      </c>
      <c r="CX66" t="s">
        <v>908</v>
      </c>
      <c r="CY66" t="s">
        <v>914</v>
      </c>
      <c r="CZ66">
        <v>204</v>
      </c>
      <c r="DA66">
        <v>42</v>
      </c>
      <c r="DB66">
        <v>82.446078431399997</v>
      </c>
      <c r="DC66">
        <v>428</v>
      </c>
      <c r="DD66">
        <v>4</v>
      </c>
      <c r="DE66">
        <v>156.6168224299</v>
      </c>
      <c r="DF66">
        <v>144</v>
      </c>
      <c r="DH66" t="s">
        <v>384</v>
      </c>
      <c r="DI66" t="s">
        <v>892</v>
      </c>
      <c r="DJ66" t="s">
        <v>898</v>
      </c>
      <c r="DK66">
        <v>270</v>
      </c>
      <c r="DL66">
        <v>48</v>
      </c>
      <c r="DM66">
        <v>71.496296296300002</v>
      </c>
      <c r="DN66">
        <v>877</v>
      </c>
      <c r="DO66">
        <v>8</v>
      </c>
      <c r="DP66">
        <v>140.03192702390001</v>
      </c>
      <c r="DQ66">
        <v>100.125</v>
      </c>
    </row>
    <row r="67" spans="62:121" x14ac:dyDescent="0.2">
      <c r="BJ67" t="s">
        <v>541</v>
      </c>
      <c r="BK67" t="s">
        <v>380</v>
      </c>
      <c r="BL67">
        <v>23572</v>
      </c>
      <c r="BM67">
        <v>5461</v>
      </c>
      <c r="BN67">
        <v>93.595027999300001</v>
      </c>
      <c r="BO67">
        <v>49919</v>
      </c>
      <c r="BP67">
        <v>302</v>
      </c>
      <c r="BQ67">
        <v>142.88635589660001</v>
      </c>
      <c r="BR67">
        <v>132.3344370861</v>
      </c>
      <c r="BS67">
        <v>7607</v>
      </c>
      <c r="BT67">
        <v>2253</v>
      </c>
      <c r="BU67">
        <v>107.89207309059999</v>
      </c>
      <c r="BV67">
        <v>43608</v>
      </c>
      <c r="BW67">
        <v>123</v>
      </c>
      <c r="BX67">
        <v>137.70076591450001</v>
      </c>
      <c r="BY67">
        <v>187.95934959350001</v>
      </c>
      <c r="CA67" t="s">
        <v>380</v>
      </c>
      <c r="CB67" t="s">
        <v>915</v>
      </c>
      <c r="CD67">
        <v>76219</v>
      </c>
      <c r="CE67">
        <v>17521</v>
      </c>
      <c r="CF67">
        <v>93.754929873099996</v>
      </c>
      <c r="CG67">
        <v>177337</v>
      </c>
      <c r="CH67">
        <v>1121</v>
      </c>
      <c r="CI67">
        <v>134.33103074940001</v>
      </c>
      <c r="CJ67">
        <v>133.3059768064</v>
      </c>
      <c r="CL67" t="s">
        <v>380</v>
      </c>
      <c r="CM67" t="s">
        <v>900</v>
      </c>
      <c r="CO67">
        <v>7799</v>
      </c>
      <c r="CP67">
        <v>949</v>
      </c>
      <c r="CQ67">
        <v>72.249134504400004</v>
      </c>
      <c r="CR67">
        <v>24050</v>
      </c>
      <c r="CS67">
        <v>81</v>
      </c>
      <c r="CT67">
        <v>86.860956341000005</v>
      </c>
      <c r="CU67">
        <v>104.9012345679</v>
      </c>
      <c r="CW67" t="s">
        <v>380</v>
      </c>
      <c r="CX67" t="s">
        <v>908</v>
      </c>
      <c r="CZ67">
        <v>1687</v>
      </c>
      <c r="DA67">
        <v>277</v>
      </c>
      <c r="DB67">
        <v>73.522228808500003</v>
      </c>
      <c r="DC67">
        <v>3742</v>
      </c>
      <c r="DD67">
        <v>32</v>
      </c>
      <c r="DE67">
        <v>154.0144307857</v>
      </c>
      <c r="DF67">
        <v>137.53125</v>
      </c>
      <c r="DH67" t="s">
        <v>380</v>
      </c>
      <c r="DI67" t="s">
        <v>892</v>
      </c>
      <c r="DK67">
        <v>1900</v>
      </c>
      <c r="DL67">
        <v>277</v>
      </c>
      <c r="DM67">
        <v>64.332631578900006</v>
      </c>
      <c r="DN67">
        <v>5262</v>
      </c>
      <c r="DO67">
        <v>42</v>
      </c>
      <c r="DP67">
        <v>141.60148232610001</v>
      </c>
      <c r="DQ67">
        <v>125.07142857140001</v>
      </c>
    </row>
    <row r="68" spans="62:121" x14ac:dyDescent="0.2">
      <c r="BJ68" t="s">
        <v>308</v>
      </c>
      <c r="BK68" t="s">
        <v>695</v>
      </c>
      <c r="BL68">
        <v>7209</v>
      </c>
      <c r="BM68">
        <v>855</v>
      </c>
      <c r="BN68">
        <v>60.788875017300001</v>
      </c>
      <c r="BO68">
        <v>18596</v>
      </c>
      <c r="BP68">
        <v>94</v>
      </c>
      <c r="BQ68">
        <v>130.1830501183</v>
      </c>
      <c r="BR68">
        <v>118.5106382979</v>
      </c>
      <c r="BS68">
        <v>7340</v>
      </c>
      <c r="BT68">
        <v>758</v>
      </c>
      <c r="BU68">
        <v>54.736784741100003</v>
      </c>
      <c r="BV68">
        <v>5523</v>
      </c>
      <c r="BW68">
        <v>21</v>
      </c>
      <c r="BX68">
        <v>128.3617599131</v>
      </c>
      <c r="BY68">
        <v>135.3333333333</v>
      </c>
      <c r="CA68" t="s">
        <v>698</v>
      </c>
      <c r="CD68">
        <v>371153</v>
      </c>
      <c r="CE68">
        <v>74374</v>
      </c>
      <c r="CF68">
        <v>88.041330664200004</v>
      </c>
      <c r="CG68">
        <v>949803</v>
      </c>
      <c r="CH68">
        <v>5157</v>
      </c>
      <c r="CI68">
        <v>123.36427975060001</v>
      </c>
      <c r="CJ68">
        <v>120.0244328098</v>
      </c>
      <c r="CL68" t="s">
        <v>698</v>
      </c>
      <c r="CO68">
        <v>371153</v>
      </c>
      <c r="CP68">
        <v>74374</v>
      </c>
      <c r="CQ68">
        <v>88.041330664200004</v>
      </c>
      <c r="CR68">
        <v>949803</v>
      </c>
      <c r="CS68">
        <v>5157</v>
      </c>
      <c r="CT68">
        <v>123.36427975060001</v>
      </c>
      <c r="CU68">
        <v>120.0244328098</v>
      </c>
      <c r="CW68" t="s">
        <v>698</v>
      </c>
      <c r="CZ68">
        <v>371153</v>
      </c>
      <c r="DA68">
        <v>74374</v>
      </c>
      <c r="DB68">
        <v>88.041330664200004</v>
      </c>
      <c r="DC68">
        <v>949803</v>
      </c>
      <c r="DD68">
        <v>5157</v>
      </c>
      <c r="DE68">
        <v>123.36427975060001</v>
      </c>
      <c r="DF68">
        <v>120.0244328098</v>
      </c>
      <c r="DH68" t="s">
        <v>698</v>
      </c>
      <c r="DK68">
        <v>371153</v>
      </c>
      <c r="DL68">
        <v>74374</v>
      </c>
      <c r="DM68">
        <v>88.041330664200004</v>
      </c>
      <c r="DN68">
        <v>949803</v>
      </c>
      <c r="DO68">
        <v>5157</v>
      </c>
      <c r="DP68">
        <v>123.36427975060001</v>
      </c>
      <c r="DQ68">
        <v>120.0244328098</v>
      </c>
    </row>
    <row r="69" spans="62:121" x14ac:dyDescent="0.2">
      <c r="BJ69" t="s">
        <v>211</v>
      </c>
      <c r="BK69" t="s">
        <v>695</v>
      </c>
      <c r="BL69">
        <v>59</v>
      </c>
      <c r="BM69">
        <v>7</v>
      </c>
      <c r="BN69">
        <v>68.9491525424</v>
      </c>
      <c r="BO69">
        <v>170</v>
      </c>
      <c r="BP69">
        <v>1</v>
      </c>
      <c r="BQ69">
        <v>129.4</v>
      </c>
      <c r="BR69">
        <v>93</v>
      </c>
      <c r="BS69">
        <v>445</v>
      </c>
      <c r="BT69">
        <v>92</v>
      </c>
      <c r="BU69">
        <v>98.923595505600005</v>
      </c>
      <c r="BV69">
        <v>8907</v>
      </c>
      <c r="BW69">
        <v>30</v>
      </c>
      <c r="BX69">
        <v>119.1847984731</v>
      </c>
      <c r="BY69">
        <v>116.5</v>
      </c>
    </row>
    <row r="70" spans="62:121" x14ac:dyDescent="0.2">
      <c r="BJ70" t="s">
        <v>695</v>
      </c>
      <c r="BK70" t="s">
        <v>695</v>
      </c>
      <c r="BL70">
        <v>8320</v>
      </c>
      <c r="BM70">
        <v>1017</v>
      </c>
      <c r="BN70">
        <v>60.802524038500003</v>
      </c>
      <c r="BO70">
        <v>22358</v>
      </c>
      <c r="BP70">
        <v>113</v>
      </c>
      <c r="BQ70">
        <v>132.34421683510001</v>
      </c>
      <c r="BR70">
        <v>120.2212389381</v>
      </c>
      <c r="BS70">
        <v>8320</v>
      </c>
      <c r="BT70">
        <v>1017</v>
      </c>
      <c r="BU70">
        <v>60.802524038500003</v>
      </c>
      <c r="BV70">
        <v>22358</v>
      </c>
      <c r="BW70">
        <v>113</v>
      </c>
      <c r="BX70">
        <v>132.34421683510001</v>
      </c>
      <c r="BY70">
        <v>120.2212389381</v>
      </c>
    </row>
    <row r="71" spans="62:121" x14ac:dyDescent="0.2">
      <c r="BJ71" t="s">
        <v>213</v>
      </c>
      <c r="BK71" t="s">
        <v>695</v>
      </c>
      <c r="BL71">
        <v>1052</v>
      </c>
      <c r="BM71">
        <v>155</v>
      </c>
      <c r="BN71">
        <v>60.439163498100001</v>
      </c>
      <c r="BO71">
        <v>3592</v>
      </c>
      <c r="BP71">
        <v>18</v>
      </c>
      <c r="BQ71">
        <v>143.6720489978</v>
      </c>
      <c r="BR71">
        <v>130.6666666667</v>
      </c>
      <c r="BS71">
        <v>535</v>
      </c>
      <c r="BT71">
        <v>167</v>
      </c>
      <c r="BU71">
        <v>112.3140186916</v>
      </c>
      <c r="BV71">
        <v>7928</v>
      </c>
      <c r="BW71">
        <v>62</v>
      </c>
      <c r="BX71">
        <v>149.9030020182</v>
      </c>
      <c r="BY71">
        <v>116.9032258065</v>
      </c>
    </row>
    <row r="72" spans="62:121" x14ac:dyDescent="0.2">
      <c r="BJ72" t="s">
        <v>209</v>
      </c>
      <c r="BK72" t="s">
        <v>696</v>
      </c>
      <c r="BL72">
        <v>5846</v>
      </c>
      <c r="BM72">
        <v>715</v>
      </c>
      <c r="BN72">
        <v>68.393602463199997</v>
      </c>
      <c r="BO72">
        <v>31156</v>
      </c>
      <c r="BP72">
        <v>54</v>
      </c>
      <c r="BQ72">
        <v>70.7154320195</v>
      </c>
      <c r="BR72">
        <v>71.962962962999995</v>
      </c>
      <c r="BS72">
        <v>5815</v>
      </c>
      <c r="BT72">
        <v>693</v>
      </c>
      <c r="BU72">
        <v>67.362338778999998</v>
      </c>
      <c r="BV72">
        <v>31342</v>
      </c>
      <c r="BW72">
        <v>55</v>
      </c>
      <c r="BX72">
        <v>70.890306936399995</v>
      </c>
      <c r="BY72">
        <v>72.400000000000006</v>
      </c>
    </row>
    <row r="73" spans="62:121" x14ac:dyDescent="0.2">
      <c r="BJ73" t="s">
        <v>224</v>
      </c>
      <c r="BK73" t="s">
        <v>696</v>
      </c>
      <c r="BL73">
        <v>863</v>
      </c>
      <c r="BM73">
        <v>421</v>
      </c>
      <c r="BN73">
        <v>183.03244495940001</v>
      </c>
      <c r="BO73">
        <v>4032</v>
      </c>
      <c r="BP73">
        <v>12</v>
      </c>
      <c r="BQ73">
        <v>60.632440476200003</v>
      </c>
      <c r="BR73">
        <v>151</v>
      </c>
      <c r="BS73">
        <v>831</v>
      </c>
      <c r="BT73">
        <v>457</v>
      </c>
      <c r="BU73">
        <v>199.2791817088</v>
      </c>
      <c r="BV73">
        <v>3303</v>
      </c>
      <c r="BW73">
        <v>5</v>
      </c>
      <c r="BX73">
        <v>47.913109294599998</v>
      </c>
      <c r="BY73">
        <v>170.4</v>
      </c>
    </row>
    <row r="74" spans="62:121" x14ac:dyDescent="0.2">
      <c r="BJ74" t="s">
        <v>210</v>
      </c>
      <c r="BK74" t="s">
        <v>696</v>
      </c>
      <c r="BL74">
        <v>14398</v>
      </c>
      <c r="BM74">
        <v>1532</v>
      </c>
      <c r="BN74">
        <v>69.434713154600004</v>
      </c>
      <c r="BO74">
        <v>35446</v>
      </c>
      <c r="BP74">
        <v>140</v>
      </c>
      <c r="BQ74">
        <v>98.620493144500003</v>
      </c>
      <c r="BR74">
        <v>104.5571428571</v>
      </c>
      <c r="BS74">
        <v>14463</v>
      </c>
      <c r="BT74">
        <v>1533</v>
      </c>
      <c r="BU74">
        <v>69.436631404300002</v>
      </c>
      <c r="BV74">
        <v>35674</v>
      </c>
      <c r="BW74">
        <v>143</v>
      </c>
      <c r="BX74">
        <v>99.031367382400006</v>
      </c>
      <c r="BY74">
        <v>106.7062937063</v>
      </c>
    </row>
    <row r="75" spans="62:121" x14ac:dyDescent="0.2">
      <c r="BJ75" t="s">
        <v>212</v>
      </c>
      <c r="BK75" t="s">
        <v>696</v>
      </c>
      <c r="BL75">
        <v>8015</v>
      </c>
      <c r="BM75">
        <v>596</v>
      </c>
      <c r="BN75">
        <v>59.364691204000003</v>
      </c>
      <c r="BO75">
        <v>39161</v>
      </c>
      <c r="BP75">
        <v>190</v>
      </c>
      <c r="BQ75">
        <v>67.8428538597</v>
      </c>
      <c r="BR75">
        <v>73.347368421100001</v>
      </c>
      <c r="BS75">
        <v>8013</v>
      </c>
      <c r="BT75">
        <v>580</v>
      </c>
      <c r="BU75">
        <v>58.820541619899998</v>
      </c>
      <c r="BV75">
        <v>39476</v>
      </c>
      <c r="BW75">
        <v>193</v>
      </c>
      <c r="BX75">
        <v>68.072499746700004</v>
      </c>
      <c r="BY75">
        <v>73.466321243500005</v>
      </c>
    </row>
    <row r="76" spans="62:121" x14ac:dyDescent="0.2">
      <c r="BJ76" t="s">
        <v>696</v>
      </c>
      <c r="BK76" t="s">
        <v>696</v>
      </c>
      <c r="BL76">
        <v>29122</v>
      </c>
      <c r="BM76">
        <v>3264</v>
      </c>
      <c r="BN76">
        <v>69.820582377600005</v>
      </c>
      <c r="BO76">
        <v>109795</v>
      </c>
      <c r="BP76">
        <v>396</v>
      </c>
      <c r="BQ76">
        <v>78.329395692000006</v>
      </c>
      <c r="BR76">
        <v>86.545454545499993</v>
      </c>
      <c r="BS76">
        <v>29122</v>
      </c>
      <c r="BT76">
        <v>3263</v>
      </c>
      <c r="BU76">
        <v>69.806469335900005</v>
      </c>
      <c r="BV76">
        <v>109795</v>
      </c>
      <c r="BW76">
        <v>396</v>
      </c>
      <c r="BX76">
        <v>78.329395692000006</v>
      </c>
      <c r="BY76">
        <v>86.545454545499993</v>
      </c>
    </row>
    <row r="77" spans="62:121" x14ac:dyDescent="0.2">
      <c r="BJ77" t="s">
        <v>307</v>
      </c>
      <c r="BK77" t="s">
        <v>697</v>
      </c>
      <c r="BL77">
        <v>5489</v>
      </c>
      <c r="BM77">
        <v>818</v>
      </c>
      <c r="BN77">
        <v>69.711058480600002</v>
      </c>
      <c r="BO77">
        <v>12597</v>
      </c>
      <c r="BP77">
        <v>74</v>
      </c>
      <c r="BQ77">
        <v>141.5516392792</v>
      </c>
      <c r="BR77">
        <v>120.18918918919999</v>
      </c>
      <c r="BS77">
        <v>6587</v>
      </c>
      <c r="BT77">
        <v>765</v>
      </c>
      <c r="BU77">
        <v>60.763625322599999</v>
      </c>
      <c r="BV77">
        <v>3646</v>
      </c>
      <c r="BW77">
        <v>10</v>
      </c>
      <c r="BX77">
        <v>133.99094898519999</v>
      </c>
      <c r="BY77">
        <v>134.4</v>
      </c>
    </row>
    <row r="78" spans="62:121" x14ac:dyDescent="0.2">
      <c r="BJ78" t="s">
        <v>956</v>
      </c>
      <c r="BK78" t="s">
        <v>697</v>
      </c>
      <c r="BL78">
        <v>1258</v>
      </c>
      <c r="BM78">
        <v>144</v>
      </c>
      <c r="BN78">
        <v>59.233704292500001</v>
      </c>
      <c r="BO78">
        <v>3638</v>
      </c>
      <c r="BP78">
        <v>13</v>
      </c>
      <c r="BQ78">
        <v>125.21550302359999</v>
      </c>
      <c r="BR78">
        <v>104.30769230769999</v>
      </c>
      <c r="BS78">
        <v>881</v>
      </c>
      <c r="BT78">
        <v>207</v>
      </c>
      <c r="BU78">
        <v>88.629965947800002</v>
      </c>
      <c r="BV78">
        <v>8501</v>
      </c>
      <c r="BW78">
        <v>50</v>
      </c>
      <c r="BX78">
        <v>126.9120103517</v>
      </c>
      <c r="BY78">
        <v>106.88</v>
      </c>
    </row>
    <row r="79" spans="62:121" x14ac:dyDescent="0.2">
      <c r="BJ79" t="s">
        <v>697</v>
      </c>
      <c r="BK79" t="s">
        <v>697</v>
      </c>
      <c r="BL79">
        <v>7898</v>
      </c>
      <c r="BM79">
        <v>1115</v>
      </c>
      <c r="BN79">
        <v>67.358698404699993</v>
      </c>
      <c r="BO79">
        <v>19327</v>
      </c>
      <c r="BP79">
        <v>105</v>
      </c>
      <c r="BQ79">
        <v>140.191959435</v>
      </c>
      <c r="BR79">
        <v>121.6</v>
      </c>
      <c r="BS79">
        <v>7898</v>
      </c>
      <c r="BT79">
        <v>1115</v>
      </c>
      <c r="BU79">
        <v>67.358698404699993</v>
      </c>
      <c r="BV79">
        <v>19327</v>
      </c>
      <c r="BW79">
        <v>105</v>
      </c>
      <c r="BX79">
        <v>140.191959435</v>
      </c>
      <c r="BY79">
        <v>121.6</v>
      </c>
    </row>
    <row r="80" spans="62:121" x14ac:dyDescent="0.2">
      <c r="BJ80" t="s">
        <v>957</v>
      </c>
      <c r="BK80" t="s">
        <v>697</v>
      </c>
      <c r="BL80">
        <v>1151</v>
      </c>
      <c r="BM80">
        <v>153</v>
      </c>
      <c r="BN80">
        <v>65.020851433499999</v>
      </c>
      <c r="BO80">
        <v>3092</v>
      </c>
      <c r="BP80">
        <v>18</v>
      </c>
      <c r="BQ80">
        <v>152.27360931440001</v>
      </c>
      <c r="BR80">
        <v>139.8888888889</v>
      </c>
      <c r="BS80">
        <v>430</v>
      </c>
      <c r="BT80">
        <v>143</v>
      </c>
      <c r="BU80">
        <v>124.8046511628</v>
      </c>
      <c r="BV80">
        <v>7180</v>
      </c>
      <c r="BW80">
        <v>45</v>
      </c>
      <c r="BX80">
        <v>159.0640668524</v>
      </c>
      <c r="BY80">
        <v>135.1111111111</v>
      </c>
    </row>
    <row r="81" spans="62:77" x14ac:dyDescent="0.2">
      <c r="BJ81" t="s">
        <v>698</v>
      </c>
      <c r="BL81">
        <v>371153</v>
      </c>
      <c r="BM81">
        <v>74374</v>
      </c>
      <c r="BN81" s="153">
        <v>88.041330664200004</v>
      </c>
      <c r="BO81">
        <v>949803</v>
      </c>
      <c r="BP81">
        <v>5157</v>
      </c>
      <c r="BQ81">
        <v>123.36427975060001</v>
      </c>
      <c r="BR81">
        <v>120.0244328098</v>
      </c>
      <c r="BS81">
        <v>371153</v>
      </c>
      <c r="BT81">
        <v>74374</v>
      </c>
      <c r="BU81">
        <v>88.041330664200004</v>
      </c>
      <c r="BV81">
        <v>949803</v>
      </c>
      <c r="BW81">
        <v>5157</v>
      </c>
      <c r="BX81">
        <v>123.36427975060001</v>
      </c>
      <c r="BY81">
        <v>120.0244328098</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371153</CP_Inventory>
    <Fiscal_Year xmlns="c9744be7-b815-40bc-84fa-afc9c406d9bc">2016</Fiscal_Year>
    <CP_Backlog xmlns="c9744be7-b815-40bc-84fa-afc9c406d9bc">74374</CP_Backlog>
    <Creation_date xmlns="c9744be7-b815-40bc-84fa-afc9c406d9bc">2016-06-15T02:00:00</Creation_date>
    <Data_date xmlns="c9744be7-b815-40bc-84fa-afc9c406d9bc">2016-07-02T02:00:00-04:00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purl.org/dc/terms/"/>
    <ds:schemaRef ds:uri="http://www.w3.org/XML/1998/namespace"/>
    <ds:schemaRef ds:uri="c9744be7-b815-40bc-84fa-afc9c406d9bc"/>
    <ds:schemaRef ds:uri="fef9c9dc-374b-4157-9e06-089f148416e5"/>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4,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2016-07-05T17:09:40Z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