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activeTab="1"/>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DATA'!$B$2:$D$51</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<sst xmlns="http://schemas.openxmlformats.org/spreadsheetml/2006/main" count="4088" uniqueCount="1063">
  <si>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</si>
  <si>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</si>
  <si>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</si>
  <si>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</si>
  <si>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</si>
  <si>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</si>
  <si>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</si>
  <si>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</si>
  <si>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</si>
  <si>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</si>
  <si>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</si>
  <si>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</si>
  <si>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</si>
  <si>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</si>
  <si>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</si>
  <si>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</si>
  <si>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</si>
  <si>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</si>
  <si>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</si>
  <si>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</si>
  <si>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</si>
  <si>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</si>
  <si>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</si>
  <si>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</si>
  <si>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</si>
  <si>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</si>
  <si>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</si>
  <si>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</si>
  <si>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</si>
  <si>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</si>
  <si>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</si>
  <si>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</si>
  <si>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</si>
  <si>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</si>
  <si>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</si>
  <si>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</si>
  <si>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</si>
  <si>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</si>
  <si>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</si>
  <si>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</si>
  <si>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</si>
  <si>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</si>
  <si>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</si>
  <si>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</si>
  <si>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</si>
  <si>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</si>
  <si>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</si>
  <si>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</si>
  <si>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</si>
  <si>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</si>
  <si>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</si>
  <si>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</si>
  <si>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</si>
  <si>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</si>
  <si>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</si>
  <si>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</si>
  <si>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</si>
  <si>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</si>
  <si>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</si>
  <si>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</si>
  <si>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</si>
  <si>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</si>
  <si>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</si>
  <si>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</si>
  <si>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</si>
  <si>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</si>
  <si>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</si>
  <si>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</si>
  <si>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</si>
  <si>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</si>
  <si>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</si>
  <si>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</si>
  <si>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</si>
  <si>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</si>
  <si>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</si>
  <si>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</si>
  <si>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</si>
  <si>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</si>
  <si>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</si>
  <si>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</si>
  <si>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</si>
  <si>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</si>
  <si>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</si>
  <si>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</si>
  <si>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</si>
  <si>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</si>
  <si>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</si>
  <si>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</si>
  <si>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</si>
  <si>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</si>
  <si>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</si>
  <si>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</si>
  <si>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</si>
  <si>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</si>
  <si>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</si>
  <si>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</si>
  <si>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</si>
  <si>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</si>
  <si>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</si>
  <si>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</si>
  <si>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</si>
  <si>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</si>
  <si>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</si>
  <si>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</si>
  <si>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</si>
  <si>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</si>
  <si>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</si>
  <si>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</si>
  <si>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</si>
  <si>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</si>
  <si>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</si>
  <si>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</si>
  <si>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</si>
  <si>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</si>
  <si>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</si>
  <si>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</si>
  <si>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</si>
  <si>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</si>
  <si>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</si>
  <si>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</si>
  <si>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</si>
  <si>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</si>
  <si>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</si>
  <si>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</si>
  <si>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</si>
  <si>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</si>
  <si>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</si>
  <si>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</si>
  <si>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</si>
  <si>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</si>
  <si>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</si>
  <si>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</si>
  <si>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</si>
  <si>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</si>
  <si>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</si>
  <si>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</si>
  <si>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</si>
  <si>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</si>
  <si>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</si>
  <si>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</si>
  <si>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</si>
  <si>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</si>
  <si>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</si>
  <si>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</si>
  <si>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</si>
  <si>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</si>
  <si>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</si>
  <si>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</si>
  <si>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</si>
  <si>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</si>
  <si>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</si>
  <si>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</si>
  <si>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</si>
  <si>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</si>
  <si>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</si>
  <si>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</si>
  <si>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</si>
  <si>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</si>
  <si>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</si>
  <si>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</si>
  <si>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</si>
  <si>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</si>
  <si>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</si>
  <si>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</si>
  <si>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</si>
  <si>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</si>
  <si>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</si>
  <si>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</si>
  <si>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</si>
  <si>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</si>
  <si>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</si>
  <si>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</si>
  <si>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</si>
  <si>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</si>
  <si>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</si>
  <si>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</si>
  <si>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</si>
  <si>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</si>
  <si>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</si>
  <si>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</si>
  <si>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</si>
  <si>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</si>
  <si>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</si>
  <si>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</si>
  <si>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</si>
  <si>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</si>
  <si>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</si>
  <si>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</si>
  <si>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</si>
  <si>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</si>
  <si>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</si>
  <si>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</si>
  <si>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</si>
  <si>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</si>
  <si>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</si>
  <si>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</si>
  <si>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</si>
  <si>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</si>
  <si>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</si>
  <si>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</si>
  <si>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</si>
  <si>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</si>
  <si>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</si>
  <si>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</si>
  <si>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</si>
  <si>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</si>
  <si>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</si>
  <si>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</si>
  <si>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</si>
  <si>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</si>
  <si>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</si>
  <si>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</si>
  <si>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</si>
  <si>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</si>
  <si>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</si>
  <si>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</si>
  <si>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</si>
  <si>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</si>
  <si>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</si>
  <si>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</si>
  <si>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</si>
  <si>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</si>
  <si>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</si>
  <si>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</si>
  <si>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</si>
  <si>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</si>
  <si>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</si>
  <si>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</si>
  <si>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</si>
  <si>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</si>
  <si>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</si>
  <si>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</si>
  <si>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</si>
  <si>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</si>
  <si>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</si>
  <si>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</si>
  <si>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</si>
  <si>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</si>
  <si>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</si>
  <si>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</si>
  <si>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</si>
  <si>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</si>
  <si>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</si>
  <si>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</si>
  <si>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</si>
  <si>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</si>
  <si>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</si>
  <si>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</si>
  <si>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</si>
  <si>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</si>
  <si>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</si>
  <si>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</si>
  <si>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</si>
  <si>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</si>
  <si>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</si>
  <si>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</si>
  <si>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</si>
  <si>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</si>
  <si>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</si>
  <si>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</si>
  <si>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</si>
  <si>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</si>
  <si>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</si>
  <si>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</si>
  <si>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</si>
  <si>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</si>
  <si>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</si>
  <si>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</si>
  <si>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</si>
  <si>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</si>
  <si>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</si>
  <si>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</si>
  <si>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</si>
  <si>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</si>
  <si>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</si>
  <si>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</si>
  <si>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</si>
  <si>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</si>
  <si>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</si>
  <si>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</si>
  <si>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</si>
  <si>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</si>
  <si>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</si>
  <si>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</si>
  <si>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</si>
  <si>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</si>
  <si>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</si>
  <si>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</si>
  <si>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</si>
  <si>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</si>
  <si>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</si>
  <si>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</si>
  <si>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</si>
  <si>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</si>
  <si>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</si>
  <si>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</si>
  <si>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</si>
  <si>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</si>
  <si>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</si>
  <si>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</si>
  <si>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</si>
  <si>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</si>
  <si>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</si>
  <si>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</si>
  <si>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</si>
  <si>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</si>
  <si>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</si>
  <si>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</si>
  <si>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</si>
  <si>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</si>
  <si>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</si>
  <si>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</si>
  <si>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</si>
  <si>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</si>
  <si>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</si>
  <si>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</si>
  <si>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</si>
  <si>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</si>
  <si>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</si>
  <si>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</si>
  <si>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</si>
  <si>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</si>
  <si>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</si>
  <si>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</si>
  <si>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</si>
  <si>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</si>
  <si>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</si>
  <si>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</si>
  <si>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</si>
  <si>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</si>
  <si>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</si>
  <si>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</si>
  <si>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</si>
  <si>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</si>
  <si>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</si>
  <si>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</si>
  <si>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</si>
  <si>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</si>
  <si>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</si>
  <si>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</si>
  <si>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</si>
  <si>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</si>
  <si>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</si>
  <si>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</si>
  <si>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</si>
  <si>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</si>
  <si>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</si>
  <si>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</si>
  <si>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</si>
  <si>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</si>
  <si>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</si>
  <si>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</si>
  <si>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</si>
  <si>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</si>
  <si>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</si>
  <si>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</si>
  <si>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</si>
  <si>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</si>
  <si>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</si>
  <si>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</si>
  <si>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</si>
  <si>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</si>
  <si>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</si>
  <si>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</si>
  <si>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</si>
  <si>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</si>
  <si>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</si>
  <si>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</si>
  <si>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</si>
  <si>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</si>
  <si>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</si>
  <si>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</si>
  <si>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</si>
  <si>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</si>
  <si>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</si>
  <si>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</si>
  <si>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</si>
  <si>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</si>
  <si>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</si>
  <si>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</si>
  <si>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</si>
  <si>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</si>
  <si>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</si>
  <si>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</si>
  <si>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</si>
  <si>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</si>
  <si>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</si>
  <si>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</si>
  <si>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</si>
  <si>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</si>
  <si>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</si>
  <si>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</si>
  <si>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</si>
  <si>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</si>
  <si>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</si>
  <si>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</si>
  <si>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</si>
  <si>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</si>
  <si>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</si>
  <si>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</si>
  <si>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</si>
  <si>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</si>
  <si>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</si>
  <si>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</si>
  <si>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</si>
  <si>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</si>
  <si>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</si>
  <si>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</si>
  <si>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</si>
  <si>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</si>
  <si>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</si>
  <si>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</si>
  <si>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</si>
  <si>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</si>
  <si>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</si>
  <si>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</si>
  <si>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</si>
  <si>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</si>
  <si>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</si>
  <si>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</si>
  <si>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</si>
  <si>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</si>
  <si>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</si>
  <si>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</si>
  <si>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</si>
  <si>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</si>
  <si>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</si>
  <si>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</si>
  <si>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</si>
  <si>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</si>
  <si>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</si>
  <si>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</si>
  <si>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</si>
  <si>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</si>
  <si>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</si>
  <si>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</si>
  <si>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</si>
  <si>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</si>
  <si>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</si>
  <si>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</si>
  <si>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</si>
  <si>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</si>
  <si>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</si>
  <si>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</si>
  <si>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</si>
  <si>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</si>
  <si>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</si>
  <si>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</si>
  <si>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</si>
  <si>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</si>
  <si>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</si>
  <si>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</si>
  <si>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</si>
  <si>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</si>
  <si>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</si>
  <si>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</si>
  <si>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</si>
  <si>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</si>
  <si>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</si>
  <si>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</si>
  <si>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</si>
  <si>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</si>
  <si>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</si>
  <si>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</si>
  <si>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</si>
  <si>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</si>
  <si>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</si>
  <si>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</si>
  <si>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</si>
  <si>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</si>
  <si>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</si>
  <si>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</si>
  <si>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</si>
  <si>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</si>
  <si>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</si>
  <si>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</si>
  <si>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</si>
  <si>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</si>
  <si>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</si>
  <si>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</si>
  <si>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</si>
  <si>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</si>
  <si>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</si>
  <si>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</si>
  <si>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</si>
  <si>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</si>
  <si>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</si>
  <si>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</si>
  <si>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</si>
  <si>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</si>
  <si>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</si>
  <si>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</si>
  <si>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</si>
  <si>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</si>
  <si>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</si>
  <si>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</si>
  <si>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</si>
  <si>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</si>
  <si>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</si>
  <si>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</si>
  <si>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</si>
  <si>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</si>
  <si>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</si>
  <si>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</si>
  <si>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</si>
  <si>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</si>
  <si>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</si>
  <si>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</si>
  <si>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</si>
  <si>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</si>
  <si>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</si>
  <si>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</si>
  <si>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</si>
  <si>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</si>
  <si>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</si>
  <si>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</si>
  <si>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</si>
  <si>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</si>
  <si>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</si>
  <si>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</si>
  <si>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</si>
  <si>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</si>
  <si>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</si>
  <si>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</si>
  <si>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</si>
  <si>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</si>
  <si>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</si>
  <si>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</si>
  <si>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</si>
  <si>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</si>
  <si>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</si>
  <si>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</si>
  <si>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</si>
  <si>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</si>
  <si>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</si>
  <si>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</si>
  <si>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</si>
  <si>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</si>
  <si>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</si>
  <si>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</si>
  <si>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</si>
  <si>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</si>
  <si>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</si>
  <si>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</si>
  <si>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</si>
  <si>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</si>
  <si>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</si>
  <si>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</si>
  <si>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</si>
  <si>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</si>
  <si>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</si>
  <si>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</si>
  <si>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</si>
  <si>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</si>
  <si>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</si>
  <si>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</si>
  <si>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</si>
  <si>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</si>
  <si>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</si>
  <si>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</si>
  <si>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</si>
  <si>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</si>
  <si>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</si>
  <si>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</si>
  <si>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</si>
  <si>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</si>
  <si>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</si>
  <si>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</si>
  <si>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</si>
  <si>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</si>
  <si>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</si>
  <si>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</si>
  <si>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</si>
  <si>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</si>
  <si>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</si>
  <si>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</si>
  <si>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</si>
  <si>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</si>
  <si>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</si>
  <si>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</si>
  <si>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</si>
  <si>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</si>
  <si>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</si>
  <si>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</si>
  <si>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</si>
  <si>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</si>
  <si>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</si>
  <si>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</si>
  <si>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</si>
  <si>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</si>
  <si>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</si>
  <si>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</si>
  <si>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</si>
  <si>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</si>
  <si>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</si>
  <si>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</si>
  <si>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</si>
  <si>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</si>
  <si>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</si>
  <si>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</si>
  <si>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</si>
  <si>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</si>
  <si>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</si>
  <si>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</si>
  <si>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</si>
  <si>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</si>
  <si>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</si>
  <si>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</si>
  <si>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</si>
  <si>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</si>
  <si>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</si>
  <si>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</si>
  <si>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</si>
  <si>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</si>
  <si>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</si>
  <si>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</si>
  <si>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</si>
  <si>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</si>
  <si>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</si>
  <si>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</si>
  <si>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</si>
  <si>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</si>
  <si>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</si>
  <si>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</si>
  <si>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</si>
  <si>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</si>
  <si>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</si>
  <si>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</si>
  <si>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</si>
  <si>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</si>
  <si>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</si>
  <si>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</si>
  <si>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</si>
  <si>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</si>
  <si>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</si>
  <si>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</si>
  <si>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</si>
  <si>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</si>
  <si>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</si>
  <si>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</si>
  <si>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</si>
  <si>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</si>
  <si>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</si>
  <si>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</si>
  <si>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</si>
  <si>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</si>
  <si>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</si>
  <si>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</si>
  <si>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</si>
  <si>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</si>
  <si>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</si>
  <si>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</si>
  <si>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</si>
  <si>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</si>
  <si>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</si>
  <si>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</si>
  <si>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</si>
  <si>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</si>
  <si>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</si>
  <si>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</si>
  <si>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</si>
  <si>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</si>
  <si>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</si>
  <si>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</si>
  <si>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</si>
  <si>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</si>
  <si>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</si>
  <si>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</si>
  <si>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</si>
  <si>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</si>
  <si>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</si>
  <si>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</si>
  <si>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</si>
  <si>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</si>
  <si>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</si>
  <si>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</si>
  <si>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</si>
  <si>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</si>
  <si>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</si>
  <si>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</si>
  <si>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</si>
  <si>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</si>
  <si>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</si>
  <si>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</si>
  <si>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</si>
  <si>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</si>
  <si>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</si>
  <si>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</si>
  <si>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</si>
  <si>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</si>
  <si>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</si>
  <si>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</si>
  <si>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</si>
  <si>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</si>
  <si>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</si>
  <si>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</si>
  <si>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</si>
  <si>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</si>
  <si>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</si>
  <si>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</si>
  <si>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</si>
  <si>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</si>
  <si>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</si>
  <si>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</si>
  <si>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</si>
  <si>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</si>
  <si>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</si>
  <si>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</si>
  <si>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</si>
  <si>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</si>
  <si>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</si>
  <si>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</si>
  <si>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</si>
  <si>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</si>
  <si>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</si>
  <si>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</si>
  <si>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</si>
  <si>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</si>
  <si>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</si>
  <si>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</si>
  <si>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</si>
  <si>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</si>
  <si>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</si>
  <si>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</si>
  <si>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</si>
  <si>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</si>
  <si>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</si>
  <si>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</si>
  <si>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</si>
  <si>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</si>
  <si>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</si>
  <si>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</si>
  <si>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</si>
  <si>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</si>
  <si>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</si>
  <si>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</si>
  <si>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</si>
  <si>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</si>
  <si>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</si>
  <si>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</si>
  <si>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</si>
  <si>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</si>
  <si>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</si>
  <si>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</si>
  <si>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</si>
  <si>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</si>
  <si>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</si>
  <si>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</si>
  <si>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</si>
  <si>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</si>
  <si>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</si>
  <si>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</si>
  <si>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</si>
  <si>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</si>
  <si>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</si>
  <si>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</si>
  <si>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</si>
  <si>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</si>
  <si>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</si>
  <si>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</si>
  <si>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</si>
  <si>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</si>
  <si>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</si>
  <si>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</si>
  <si>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</si>
  <si>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</si>
  <si>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</si>
  <si>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</si>
  <si>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</si>
  <si>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</si>
  <si>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</si>
  <si>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</si>
  <si>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</si>
  <si>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</si>
  <si>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</si>
  <si>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</si>
  <si>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</si>
  <si>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</si>
  <si>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</si>
  <si>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</si>
  <si>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</si>
  <si>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</si>
  <si>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</si>
  <si>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</si>
  <si>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</si>
  <si>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</si>
  <si>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</si>
  <si>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</si>
  <si>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</si>
  <si>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</si>
  <si>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</si>
  <si>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</si>
  <si>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</si>
  <si>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</si>
  <si>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</si>
  <si>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</si>
  <si>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</si>
  <si>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</si>
  <si>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</si>
  <si>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</si>
  <si>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</si>
  <si>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</si>
  <si>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</si>
  <si>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</si>
  <si>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</si>
  <si>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</si>
  <si>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</si>
  <si>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</si>
  <si>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</si>
  <si>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</si>
  <si>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</si>
  <si>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</si>
  <si>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</si>
  <si>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</si>
  <si>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</si>
  <si>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</si>
  <si>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</si>
  <si>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</si>
  <si>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</si>
  <si>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</si>
  <si>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</si>
  <si>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</si>
  <si>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</si>
  <si>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</si>
  <si>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</si>
  <si>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</si>
  <si>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</si>
  <si>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</si>
  <si>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</si>
  <si>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</si>
  <si>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</si>
  <si>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</si>
  <si>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</si>
  <si>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</si>
  <si>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</si>
  <si>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</si>
  <si>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</si>
  <si>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</si>
  <si>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</si>
  <si>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</si>
  <si>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</si>
  <si>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</si>
  <si>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</si>
  <si>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</si>
  <si>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</si>
  <si>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</si>
  <si>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</si>
  <si>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</si>
  <si>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</si>
  <si>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</si>
  <si>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</si>
  <si>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</si>
  <si>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</si>
  <si>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</si>
  <si>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</si>
  <si>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</si>
  <si>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</si>
  <si>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</si>
  <si>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</si>
  <si>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</si>
  <si>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</si>
  <si>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</si>
  <si>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</si>
  <si>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</si>
  <si>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</si>
  <si>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</si>
  <si>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</si>
  <si>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</si>
  <si>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</si>
  <si>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</si>
  <si>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</si>
  <si>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</si>
  <si>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</si>
  <si>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</si>
  <si>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</si>
  <si>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</si>
  <si>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</si>
  <si>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</si>
  <si>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</si>
  <si>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</si>
  <si>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</si>
  <si>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</si>
  <si>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</si>
  <si>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</si>
  <si>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</si>
  <si>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</si>
  <si>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</si>
  <si>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</si>
  <si>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</si>
  <si>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</si>
  <si>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</si>
  <si>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</si>
  <si>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</si>
  <si>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</si>
  <si>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</si>
  <si>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</si>
  <si>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</si>
  <si>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</si>
  <si>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</si>
  <si>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</si>
  <si>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</si>
  <si>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</si>
  <si>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</si>
  <si>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</si>
  <si>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</si>
  <si>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</si>
  <si>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</si>
  <si>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</si>
  <si>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</si>
  <si>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</si>
  <si>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</si>
  <si>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</si>
  <si>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</si>
  <si>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</si>
  <si>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</si>
  <si>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</si>
  <si>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</si>
  <si>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</si>
  <si>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</si>
  <si>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</si>
  <si>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</si>
  <si>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</si>
  <si>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</si>
  <si>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</si>
  <si>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</si>
  <si>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</si>
  <si>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</si>
  <si>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</si>
  <si>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</si>
  <si>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</si>
  <si>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</si>
  <si>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</si>
  <si>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</si>
  <si>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</si>
  <si>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</si>
  <si>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</si>
  <si>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</si>
  <si>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</si>
  <si>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</si>
  <si>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</si>
  <si>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</si>
  <si>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</si>
  <si>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</si>
  <si>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</si>
  <si>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</si>
  <si>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</si>
  <si>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</si>
  <si>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</si>
  <si>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</si>
  <si>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</si>
  <si>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</si>
  <si>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</si>
  <si>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</si>
  <si>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</si>
  <si>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</si>
  <si>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</si>
  <si>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</si>
  <si>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</si>
  <si>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</si>
  <si>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</si>
  <si>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</si>
  <si>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</si>
  <si>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</si>
  <si>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</si>
  <si>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</si>
  <si>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</si>
  <si>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</si>
  <si>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</si>
  <si>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</si>
  <si>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</si>
  <si>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</si>
  <si>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</si>
  <si>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</si>
  <si>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</si>
  <si>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</si>
  <si>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</si>
  <si>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</si>
  <si>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</si>
  <si>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</si>
  <si>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</si>
  <si>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</si>
  <si>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</si>
  <si>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</si>
  <si>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</si>
  <si>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</si>
  <si>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</si>
  <si>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</si>
  <si>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</si>
  <si>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</si>
  <si>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</si>
  <si>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</si>
  <si>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</si>
  <si>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</si>
  <si>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</si>
  <si>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</si>
  <si>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</si>
  <si>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</si>
  <si>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</si>
  <si>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</si>
  <si>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</si>
  <si>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</si>
  <si>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</si>
  <si>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</si>
  <si>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</si>
  <si>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</si>
  <si>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</si>
  <si>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</si>
  <si>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</si>
  <si>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</si>
  <si>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</si>
  <si>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</si>
  <si>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</si>
  <si>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</si>
  <si>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</si>
  <si>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</si>
  <si>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</si>
  <si>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</si>
  <si>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</si>
  <si>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</si>
  <si>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</si>
  <si>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</si>
  <si>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</si>
  <si>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</si>
  <si>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</si>
  <si>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</si>
  <si>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</si>
  <si>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</si>
  <si>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</si>
  <si>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</si>
  <si>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</si>
  <si>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</si>
  <si>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</si>
  <si>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</si>
  <si>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</si>
  <si>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</si>
  <si>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</si>
  <si>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</si>
  <si>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</si>
  <si>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</si>
  <si>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</si>
  <si>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</si>
  <si>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</si>
  <si>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</si>
  <si>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</si>
  <si>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</si>
  <si>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</si>
  <si>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</si>
  <si>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</si>
  <si>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</si>
  <si>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</si>
  <si>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</si>
  <si>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</si>
  <si>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</si>
  <si>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</si>
  <si>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</si>
  <si>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</si>
  <si>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</si>
  <si>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</si>
  <si>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</si>
  <si>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</si>
  <si>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</si>
  <si>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Current Pending on 07/23/2016</t>
  </si>
  <si>
    <t>Prior Pending on 07/16/2016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</si>
</sst>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3" fontId="4" fillId="38" borderId="3" xfId="0" applyNumberFormat="1" applyFont="1" applyFill="1" applyBorder="1"/>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172"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73" formatCode="m/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1"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5"/>
    <tableColumn id="4" uniqueName="4" name="RO" queryTableFieldId="4"/>
    <tableColumn id="5" uniqueName="5" name="COMP3_ISSUES_WGHTED_ACC" queryTableFieldId="5" dataDxfId="14"/>
    <tableColumn id="6" uniqueName="6" name="COMP3_RTNG_CLM_WGHTED_ACC" queryTableFieldId="6" dataDxfId="13"/>
    <tableColumn id="7" uniqueName="7" name="COMP12_RTNG_CLM_WGHTED_ACC" queryTableFieldId="7" dataDxfId="12"/>
    <tableColumn id="8" uniqueName="8" name="COMP12_RTNG_CLM_MOE" queryTableFieldId="8" dataDxfId="11"/>
    <tableColumn id="9" uniqueName="9" name="COMP12_AUTH_CLM_WGHTED_ACC" queryTableFieldId="9" dataDxfId="10"/>
    <tableColumn id="10" uniqueName="10" name="COMP12_AUTH_CLM_MOE" queryTableFieldId="10" dataDxfId="9"/>
    <tableColumn id="11" uniqueName="11" name="PMC3_RTNG_CLM_WGHTED_ACC" queryTableFieldId="11" dataDxfId="8"/>
    <tableColumn id="12" uniqueName="12" name="PMC12_RTNG_CLM_WGHTED_ACC" queryTableFieldId="12" dataDxfId="7"/>
    <tableColumn id="13" uniqueName="13" name="PMC12_RTNG_CLM_MOE" queryTableFieldId="13" dataDxfId="6"/>
    <tableColumn id="14" uniqueName="14" name="PMC12_AUTH_CLM_WGHTED_ACC" queryTableFieldId="14" dataDxfId="5"/>
    <tableColumn id="15" uniqueName="15"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303</v>
      </c>
      <c r="B1" s="276"/>
      <c r="C1" s="276"/>
      <c r="D1" s="276"/>
      <c r="E1" s="276"/>
      <c r="F1" s="276"/>
      <c r="G1" s="276"/>
      <c r="H1" s="276"/>
      <c r="I1" s="276"/>
      <c r="J1" s="276"/>
      <c r="K1" s="276"/>
      <c r="L1" s="276"/>
      <c r="M1" s="276"/>
      <c r="N1" s="276"/>
      <c r="O1" s="276"/>
      <c r="P1" s="277"/>
    </row>
    <row r="2" spans="1:16" ht="29.25" customHeight="1" x14ac:dyDescent="0.2">
      <c r="A2" s="269" t="s">
        <v>305</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301</v>
      </c>
      <c r="B8" s="267"/>
      <c r="C8" s="267"/>
      <c r="D8" s="267"/>
      <c r="E8" s="267"/>
      <c r="F8" s="267"/>
      <c r="G8" s="268"/>
      <c r="H8" s="266" t="s">
        <v>302</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1" max="1" width="3.7109375" customWidth="1"/>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1047</v>
      </c>
      <c r="C2" t="s">
        <v>501</v>
      </c>
      <c r="D2" t="s">
        <v>917</v>
      </c>
      <c r="E2" t="s">
        <v>918</v>
      </c>
      <c r="F2" t="s">
        <v>919</v>
      </c>
      <c r="G2" t="s">
        <v>920</v>
      </c>
      <c r="H2" t="s">
        <v>922</v>
      </c>
      <c r="I2" t="s">
        <v>1041</v>
      </c>
      <c r="J2" t="s">
        <v>923</v>
      </c>
      <c r="K2" t="s">
        <v>924</v>
      </c>
      <c r="L2" t="s">
        <v>921</v>
      </c>
      <c r="M2" t="s">
        <v>926</v>
      </c>
      <c r="N2" t="s">
        <v>927</v>
      </c>
      <c r="O2" t="s">
        <v>928</v>
      </c>
      <c r="P2" t="s">
        <v>929</v>
      </c>
    </row>
    <row r="3" spans="2:16" x14ac:dyDescent="0.2">
      <c r="B3" t="s">
        <v>585</v>
      </c>
      <c r="C3" t="s">
        <v>403</v>
      </c>
      <c r="D3" s="18">
        <v>42556.428055555552</v>
      </c>
      <c r="E3" t="s">
        <v>163</v>
      </c>
      <c r="F3" s="19">
        <v>0.94877355688936005</v>
      </c>
      <c r="G3" s="19">
        <v>0.83915821119879697</v>
      </c>
      <c r="H3" s="19">
        <v>0.91268150094001899</v>
      </c>
      <c r="I3" s="19">
        <v>4.2854177150073801E-2</v>
      </c>
      <c r="J3" s="19">
        <v>0.89132406545680198</v>
      </c>
      <c r="K3" s="19">
        <v>5.4723329435295801E-2</v>
      </c>
      <c r="L3" s="19"/>
      <c r="M3" s="19"/>
      <c r="N3" s="19"/>
      <c r="O3" s="19"/>
      <c r="P3" s="19"/>
    </row>
    <row r="4" spans="2:16" x14ac:dyDescent="0.2">
      <c r="B4" t="s">
        <v>644</v>
      </c>
      <c r="C4" t="s">
        <v>403</v>
      </c>
      <c r="D4" s="18">
        <v>42556.428055555552</v>
      </c>
      <c r="E4" t="s">
        <v>188</v>
      </c>
      <c r="F4" s="19">
        <v>0.94023222832831099</v>
      </c>
      <c r="G4" s="19">
        <v>0.82221135029354198</v>
      </c>
      <c r="H4" s="19">
        <v>0.89928964252978905</v>
      </c>
      <c r="I4" s="19">
        <v>4.29470142023433E-2</v>
      </c>
      <c r="J4" s="19">
        <v>0.93531956884773004</v>
      </c>
      <c r="K4" s="19">
        <v>5.06648690219575E-2</v>
      </c>
      <c r="L4" s="19"/>
      <c r="M4" s="19"/>
      <c r="N4" s="19"/>
      <c r="O4" s="19"/>
      <c r="P4" s="19"/>
    </row>
    <row r="5" spans="2:16" x14ac:dyDescent="0.2">
      <c r="B5" t="s">
        <v>538</v>
      </c>
      <c r="C5" t="s">
        <v>379</v>
      </c>
      <c r="D5" s="18">
        <v>42556.428055555552</v>
      </c>
      <c r="E5" t="s">
        <v>145</v>
      </c>
      <c r="F5" s="19">
        <v>0.91098786347504801</v>
      </c>
      <c r="G5" s="19">
        <v>0.85081506829536002</v>
      </c>
      <c r="H5" s="19">
        <v>0.85434191050253006</v>
      </c>
      <c r="I5" s="19">
        <v>5.4219926755332298E-2</v>
      </c>
      <c r="J5" s="19">
        <v>0.85853863498231198</v>
      </c>
      <c r="K5" s="19">
        <v>5.22588910087411E-2</v>
      </c>
      <c r="L5" s="19"/>
      <c r="M5" s="19"/>
      <c r="N5" s="19"/>
      <c r="O5" s="19"/>
      <c r="P5" s="19"/>
    </row>
    <row r="6" spans="2:16" x14ac:dyDescent="0.2">
      <c r="B6" t="s">
        <v>532</v>
      </c>
      <c r="C6" t="s">
        <v>368</v>
      </c>
      <c r="D6" s="18">
        <v>42556.428055555552</v>
      </c>
      <c r="E6" t="s">
        <v>143</v>
      </c>
      <c r="F6" s="19">
        <v>0.90188566775685497</v>
      </c>
      <c r="G6" s="19">
        <v>0.73347025467369298</v>
      </c>
      <c r="H6" s="19">
        <v>0.81653649450434795</v>
      </c>
      <c r="I6" s="19">
        <v>4.6324894365922603E-2</v>
      </c>
      <c r="J6" s="19">
        <v>0.88521920558676104</v>
      </c>
      <c r="K6" s="19">
        <v>4.92292310977984E-2</v>
      </c>
      <c r="L6" s="19"/>
      <c r="M6" s="19"/>
      <c r="N6" s="19"/>
      <c r="O6" s="19"/>
      <c r="P6" s="19"/>
    </row>
    <row r="7" spans="2:16" x14ac:dyDescent="0.2">
      <c r="B7" t="s">
        <v>600</v>
      </c>
      <c r="C7" t="s">
        <v>403</v>
      </c>
      <c r="D7" s="18">
        <v>42556.428055555552</v>
      </c>
      <c r="E7" t="s">
        <v>169</v>
      </c>
      <c r="F7" s="19">
        <v>0.98568297205909206</v>
      </c>
      <c r="G7" s="19">
        <v>0.94174907292954302</v>
      </c>
      <c r="H7" s="19">
        <v>0.92102908634409997</v>
      </c>
      <c r="I7" s="19">
        <v>4.3882126542635701E-2</v>
      </c>
      <c r="J7" s="19">
        <v>0.98030555354427595</v>
      </c>
      <c r="K7" s="19">
        <v>1.85673623148539E-2</v>
      </c>
      <c r="L7" s="19"/>
      <c r="M7" s="19"/>
      <c r="N7" s="19"/>
      <c r="O7" s="19"/>
      <c r="P7" s="19"/>
    </row>
    <row r="8" spans="2:16" x14ac:dyDescent="0.2">
      <c r="B8" t="s">
        <v>511</v>
      </c>
      <c r="C8" t="s">
        <v>368</v>
      </c>
      <c r="D8" s="18">
        <v>42556.428055555552</v>
      </c>
      <c r="E8" t="s">
        <v>136</v>
      </c>
      <c r="F8" s="19">
        <v>0.93814228931247201</v>
      </c>
      <c r="G8" s="19">
        <v>0.80065275187492602</v>
      </c>
      <c r="H8" s="19">
        <v>0.79722077464949703</v>
      </c>
      <c r="I8" s="19">
        <v>6.1605731085896898E-2</v>
      </c>
      <c r="J8" s="19">
        <v>0.92791149212874402</v>
      </c>
      <c r="K8" s="19">
        <v>3.00411100052588E-2</v>
      </c>
      <c r="L8" s="19"/>
      <c r="M8" s="19"/>
      <c r="N8" s="19"/>
      <c r="O8" s="19"/>
      <c r="P8" s="19"/>
    </row>
    <row r="9" spans="2:16" x14ac:dyDescent="0.2">
      <c r="B9" t="s">
        <v>519</v>
      </c>
      <c r="C9" t="s">
        <v>368</v>
      </c>
      <c r="D9" s="18">
        <v>42556.428055555552</v>
      </c>
      <c r="E9" t="s">
        <v>139</v>
      </c>
      <c r="F9" s="19">
        <v>0.95926984604583498</v>
      </c>
      <c r="G9" s="19">
        <v>0.90241278623021404</v>
      </c>
      <c r="H9" s="19">
        <v>0.89693203448661996</v>
      </c>
      <c r="I9" s="19">
        <v>4.7920287070820203E-2</v>
      </c>
      <c r="J9" s="19">
        <v>0.85459267784486603</v>
      </c>
      <c r="K9" s="19">
        <v>4.93915498095788E-2</v>
      </c>
      <c r="L9" s="19"/>
      <c r="M9" s="19"/>
      <c r="N9" s="19"/>
      <c r="O9" s="19"/>
      <c r="P9" s="19"/>
    </row>
    <row r="10" spans="2:16" x14ac:dyDescent="0.2">
      <c r="B10" t="s">
        <v>636</v>
      </c>
      <c r="C10" t="s">
        <v>384</v>
      </c>
      <c r="D10" s="18">
        <v>42556.428055555552</v>
      </c>
      <c r="E10" t="s">
        <v>672</v>
      </c>
      <c r="F10" s="19">
        <v>0.93663044928791095</v>
      </c>
      <c r="G10" s="19">
        <v>0.89671667753859496</v>
      </c>
      <c r="H10" s="19">
        <v>0.89583821647470896</v>
      </c>
      <c r="I10" s="19">
        <v>4.5604423083520099E-2</v>
      </c>
      <c r="J10" s="19">
        <v>0.84362625725528995</v>
      </c>
      <c r="K10" s="19">
        <v>6.7786629976463106E-2</v>
      </c>
      <c r="L10" s="19"/>
      <c r="M10" s="19"/>
      <c r="N10" s="19"/>
      <c r="O10" s="19"/>
      <c r="P10" s="19"/>
    </row>
    <row r="11" spans="2:16" x14ac:dyDescent="0.2">
      <c r="B11" t="s">
        <v>566</v>
      </c>
      <c r="C11" t="s">
        <v>389</v>
      </c>
      <c r="D11" s="18">
        <v>42556.428055555552</v>
      </c>
      <c r="E11" t="s">
        <v>155</v>
      </c>
      <c r="F11" s="19">
        <v>0.90806660863505295</v>
      </c>
      <c r="G11" s="19">
        <v>0.80001056189269104</v>
      </c>
      <c r="H11" s="19">
        <v>0.85900752882037501</v>
      </c>
      <c r="I11" s="19">
        <v>5.1513455213775497E-2</v>
      </c>
      <c r="J11" s="19">
        <v>0.87019931420665197</v>
      </c>
      <c r="K11" s="19">
        <v>4.7641153624255902E-2</v>
      </c>
      <c r="L11" s="252"/>
      <c r="M11" s="252"/>
      <c r="N11" s="252"/>
      <c r="O11" s="252"/>
      <c r="P11" s="252"/>
    </row>
    <row r="12" spans="2:16" x14ac:dyDescent="0.2">
      <c r="B12" t="s">
        <v>558</v>
      </c>
      <c r="C12" t="s">
        <v>389</v>
      </c>
      <c r="D12" s="18">
        <v>42556.428055555552</v>
      </c>
      <c r="E12" t="s">
        <v>152</v>
      </c>
      <c r="F12" s="19">
        <v>0.99536780772031996</v>
      </c>
      <c r="G12" s="19">
        <v>1</v>
      </c>
      <c r="H12" s="19">
        <v>0.92463888547737305</v>
      </c>
      <c r="I12" s="19">
        <v>4.1311670903757897E-2</v>
      </c>
      <c r="J12" s="19">
        <v>0.88250454140038603</v>
      </c>
      <c r="K12" s="19">
        <v>5.1669422810486303E-2</v>
      </c>
      <c r="L12" s="19"/>
      <c r="M12" s="19"/>
      <c r="N12" s="19"/>
      <c r="O12" s="19"/>
      <c r="P12" s="19"/>
    </row>
    <row r="13" spans="2:16" x14ac:dyDescent="0.2">
      <c r="B13" t="s">
        <v>546</v>
      </c>
      <c r="C13" t="s">
        <v>379</v>
      </c>
      <c r="D13" s="18">
        <v>42556.428055555552</v>
      </c>
      <c r="E13" t="s">
        <v>148</v>
      </c>
      <c r="F13" s="19">
        <v>0.96120436705840095</v>
      </c>
      <c r="G13" s="19">
        <v>0.85417164634956</v>
      </c>
      <c r="H13" s="19">
        <v>0.92116835548537102</v>
      </c>
      <c r="I13" s="19">
        <v>4.3587036118812497E-2</v>
      </c>
      <c r="J13" s="19">
        <v>0.90264696698742497</v>
      </c>
      <c r="K13" s="19">
        <v>5.5087777613855103E-2</v>
      </c>
      <c r="L13" s="19"/>
      <c r="M13" s="19"/>
      <c r="N13" s="19"/>
      <c r="O13" s="19"/>
      <c r="P13" s="19"/>
    </row>
    <row r="14" spans="2:16" x14ac:dyDescent="0.2">
      <c r="B14" t="s">
        <v>384</v>
      </c>
      <c r="C14" t="s">
        <v>384</v>
      </c>
      <c r="D14" s="18">
        <v>42556.428055555552</v>
      </c>
      <c r="E14" t="s">
        <v>663</v>
      </c>
      <c r="F14" s="19">
        <v>0.95058705224716</v>
      </c>
      <c r="G14" s="19">
        <v>0.88438084446713405</v>
      </c>
      <c r="H14" s="19">
        <v>0.88652989127308701</v>
      </c>
      <c r="I14" s="19">
        <v>1.8074517090315E-2</v>
      </c>
      <c r="J14" s="19">
        <v>0.92687011784482698</v>
      </c>
      <c r="K14" s="19">
        <v>1.6133210559247199E-2</v>
      </c>
      <c r="L14" s="19"/>
      <c r="M14" s="19"/>
      <c r="N14" s="19"/>
      <c r="O14" s="19"/>
      <c r="P14" s="19"/>
    </row>
    <row r="15" spans="2:16" x14ac:dyDescent="0.2">
      <c r="B15" t="s">
        <v>583</v>
      </c>
      <c r="C15" t="s">
        <v>384</v>
      </c>
      <c r="D15" s="18">
        <v>42556.428055555552</v>
      </c>
      <c r="E15" t="s">
        <v>162</v>
      </c>
      <c r="F15" s="19">
        <v>0.97988263217748595</v>
      </c>
      <c r="G15" s="19">
        <v>0.91805179744878196</v>
      </c>
      <c r="H15" s="19">
        <v>0.92196096624019297</v>
      </c>
      <c r="I15" s="19">
        <v>4.1974923294750201E-2</v>
      </c>
      <c r="J15" s="19">
        <v>0.89320175258268897</v>
      </c>
      <c r="K15" s="19">
        <v>4.82087686731138E-2</v>
      </c>
      <c r="L15" s="19"/>
      <c r="M15" s="19"/>
      <c r="N15" s="19"/>
      <c r="O15" s="19"/>
      <c r="P15" s="19"/>
    </row>
    <row r="16" spans="2:16" x14ac:dyDescent="0.2">
      <c r="B16" t="s">
        <v>575</v>
      </c>
      <c r="C16" t="s">
        <v>389</v>
      </c>
      <c r="D16" s="18">
        <v>42556.428055555552</v>
      </c>
      <c r="E16" t="s">
        <v>159</v>
      </c>
      <c r="F16" s="19">
        <v>0.94556506189144196</v>
      </c>
      <c r="G16" s="19">
        <v>0.87468842057557195</v>
      </c>
      <c r="H16" s="19">
        <v>0.93562715045355005</v>
      </c>
      <c r="I16" s="19">
        <v>4.65982963557557E-2</v>
      </c>
      <c r="J16" s="19">
        <v>0.980792073018255</v>
      </c>
      <c r="K16" s="19">
        <v>2.05552400638058E-2</v>
      </c>
      <c r="L16" s="252"/>
      <c r="M16" s="252"/>
      <c r="N16" s="252"/>
      <c r="O16" s="252"/>
      <c r="P16" s="252"/>
    </row>
    <row r="17" spans="2:16" x14ac:dyDescent="0.2">
      <c r="B17" t="s">
        <v>568</v>
      </c>
      <c r="C17" t="s">
        <v>389</v>
      </c>
      <c r="D17" s="18">
        <v>42556.428055555552</v>
      </c>
      <c r="E17" t="s">
        <v>156</v>
      </c>
      <c r="F17" s="19">
        <v>0.91524812390130295</v>
      </c>
      <c r="G17" s="19">
        <v>0.82300059082608201</v>
      </c>
      <c r="H17" s="19">
        <v>0.89388520681584605</v>
      </c>
      <c r="I17" s="19">
        <v>4.3272837631088801E-2</v>
      </c>
      <c r="J17" s="19">
        <v>0.90944316674278503</v>
      </c>
      <c r="K17" s="19">
        <v>4.5516474179482701E-2</v>
      </c>
      <c r="L17" s="19"/>
      <c r="M17" s="19"/>
      <c r="N17" s="19"/>
      <c r="O17" s="19"/>
      <c r="P17" s="19"/>
    </row>
    <row r="18" spans="2:16" x14ac:dyDescent="0.2">
      <c r="B18" t="s">
        <v>632</v>
      </c>
      <c r="C18" t="s">
        <v>389</v>
      </c>
      <c r="D18" s="18">
        <v>42556.428055555552</v>
      </c>
      <c r="E18" t="s">
        <v>183</v>
      </c>
      <c r="F18" s="19">
        <v>0.92549500956595898</v>
      </c>
      <c r="G18" s="19">
        <v>0.86410470620996904</v>
      </c>
      <c r="H18" s="19">
        <v>0.88939750149817898</v>
      </c>
      <c r="I18" s="19">
        <v>5.1613049583126999E-2</v>
      </c>
      <c r="J18" s="19">
        <v>0.97405602240896405</v>
      </c>
      <c r="K18" s="19">
        <v>2.5138603669433199E-2</v>
      </c>
      <c r="L18" s="19"/>
      <c r="M18" s="19"/>
      <c r="N18" s="19"/>
      <c r="O18" s="19"/>
      <c r="P18" s="19"/>
    </row>
    <row r="19" spans="2:16" x14ac:dyDescent="0.2">
      <c r="B19" t="s">
        <v>630</v>
      </c>
      <c r="C19" t="s">
        <v>384</v>
      </c>
      <c r="D19" s="18">
        <v>42556.428055555552</v>
      </c>
      <c r="E19" t="s">
        <v>182</v>
      </c>
      <c r="F19" s="19">
        <v>0.96254942274236899</v>
      </c>
      <c r="G19" s="19">
        <v>0.89024002543315806</v>
      </c>
      <c r="H19" s="19">
        <v>0.93777657608940601</v>
      </c>
      <c r="I19" s="19">
        <v>4.3207866738300002E-2</v>
      </c>
      <c r="J19" s="19">
        <v>0.95068809594023396</v>
      </c>
      <c r="K19" s="19">
        <v>3.5798256647673901E-2</v>
      </c>
      <c r="L19" s="19"/>
      <c r="M19" s="19"/>
      <c r="N19" s="19"/>
      <c r="O19" s="19"/>
      <c r="P19" s="19"/>
    </row>
    <row r="20" spans="2:16" x14ac:dyDescent="0.2">
      <c r="B20" t="s">
        <v>521</v>
      </c>
      <c r="C20" t="s">
        <v>368</v>
      </c>
      <c r="D20" s="18">
        <v>42556.428055555552</v>
      </c>
      <c r="E20" t="s">
        <v>140</v>
      </c>
      <c r="F20" s="19">
        <v>0.98068869165559502</v>
      </c>
      <c r="G20" s="19">
        <v>0.93820256453708395</v>
      </c>
      <c r="H20" s="19">
        <v>0.92779320412044497</v>
      </c>
      <c r="I20" s="19">
        <v>4.4271476300910398E-2</v>
      </c>
      <c r="J20" s="19">
        <v>0.94307359307359295</v>
      </c>
      <c r="K20" s="19">
        <v>4.6997468949121803E-2</v>
      </c>
      <c r="L20" s="19"/>
      <c r="M20" s="19"/>
      <c r="N20" s="19"/>
      <c r="O20" s="19"/>
      <c r="P20" s="19"/>
    </row>
    <row r="21" spans="2:16" x14ac:dyDescent="0.2">
      <c r="B21" t="s">
        <v>640</v>
      </c>
      <c r="C21" t="s">
        <v>403</v>
      </c>
      <c r="D21" s="18">
        <v>42556.428055555552</v>
      </c>
      <c r="E21" t="s">
        <v>186</v>
      </c>
      <c r="F21" s="19">
        <v>0.97454740025133502</v>
      </c>
      <c r="G21" s="19">
        <v>0.94266330986543101</v>
      </c>
      <c r="H21" s="19">
        <v>0.90092809275608998</v>
      </c>
      <c r="I21" s="19">
        <v>4.2909310256342897E-2</v>
      </c>
      <c r="J21" s="19">
        <v>0.96599807888004396</v>
      </c>
      <c r="K21" s="19">
        <v>3.4007984995199601E-2</v>
      </c>
      <c r="L21" s="19"/>
      <c r="M21" s="19"/>
      <c r="N21" s="19"/>
      <c r="O21" s="19"/>
      <c r="P21" s="19"/>
    </row>
    <row r="22" spans="2:16" x14ac:dyDescent="0.2">
      <c r="B22" t="s">
        <v>618</v>
      </c>
      <c r="C22" t="s">
        <v>384</v>
      </c>
      <c r="D22" s="18">
        <v>42556.428055555552</v>
      </c>
      <c r="E22" t="s">
        <v>177</v>
      </c>
      <c r="F22" s="19">
        <v>0.94090513812713805</v>
      </c>
      <c r="G22" s="19">
        <v>0.87696755360952094</v>
      </c>
      <c r="H22" s="19">
        <v>0.84353317181690701</v>
      </c>
      <c r="I22" s="19">
        <v>4.9494393264196003E-2</v>
      </c>
      <c r="J22" s="19">
        <v>0.90975290498261197</v>
      </c>
      <c r="K22" s="19">
        <v>4.37356173265405E-2</v>
      </c>
      <c r="L22" s="19"/>
      <c r="M22" s="19"/>
      <c r="N22" s="19"/>
      <c r="O22" s="19"/>
      <c r="P22" s="19"/>
    </row>
    <row r="23" spans="2:16" x14ac:dyDescent="0.2">
      <c r="B23" t="s">
        <v>536</v>
      </c>
      <c r="C23" t="s">
        <v>368</v>
      </c>
      <c r="D23" s="18">
        <v>42556.428055555552</v>
      </c>
      <c r="E23" t="s">
        <v>144</v>
      </c>
      <c r="F23" s="19">
        <v>0.97442158530926104</v>
      </c>
      <c r="G23" s="19">
        <v>0.90296513107661003</v>
      </c>
      <c r="H23" s="19">
        <v>0.87672402884980405</v>
      </c>
      <c r="I23" s="19">
        <v>4.8457498326536202E-2</v>
      </c>
      <c r="J23" s="19">
        <v>0.89849844709711302</v>
      </c>
      <c r="K23" s="19">
        <v>4.7045346468051003E-2</v>
      </c>
      <c r="L23" s="19"/>
      <c r="M23" s="19"/>
      <c r="N23" s="19"/>
      <c r="O23" s="19"/>
      <c r="P23" s="19"/>
    </row>
    <row r="24" spans="2:16" x14ac:dyDescent="0.2">
      <c r="B24" t="s">
        <v>560</v>
      </c>
      <c r="C24" t="s">
        <v>389</v>
      </c>
      <c r="D24" s="18">
        <v>42556.428055555552</v>
      </c>
      <c r="E24" t="s">
        <v>153</v>
      </c>
      <c r="F24" s="19">
        <v>0.93614546042554703</v>
      </c>
      <c r="G24" s="19">
        <v>0.84238356011287796</v>
      </c>
      <c r="H24" s="19">
        <v>0.88511762589510601</v>
      </c>
      <c r="I24" s="19">
        <v>5.2036616075737903E-2</v>
      </c>
      <c r="J24" s="19">
        <v>0.96047744917379096</v>
      </c>
      <c r="K24" s="19">
        <v>2.8330670146649899E-2</v>
      </c>
      <c r="L24" s="19"/>
      <c r="M24" s="19"/>
      <c r="N24" s="19"/>
      <c r="O24" s="19"/>
      <c r="P24" s="19"/>
    </row>
    <row r="25" spans="2:16" x14ac:dyDescent="0.2">
      <c r="B25" t="s">
        <v>554</v>
      </c>
      <c r="C25" t="s">
        <v>384</v>
      </c>
      <c r="D25" s="18">
        <v>42556.428055555552</v>
      </c>
      <c r="E25" t="s">
        <v>151</v>
      </c>
      <c r="F25" s="19">
        <v>0.94265756985055205</v>
      </c>
      <c r="G25" s="19">
        <v>0.865115771079074</v>
      </c>
      <c r="H25" s="19">
        <v>0.86175871958552996</v>
      </c>
      <c r="I25" s="19">
        <v>5.0929192073556603E-2</v>
      </c>
      <c r="J25" s="19">
        <v>0.88566793876431305</v>
      </c>
      <c r="K25" s="19">
        <v>4.9113299218340498E-2</v>
      </c>
      <c r="L25" s="19"/>
      <c r="M25" s="19"/>
      <c r="N25" s="19"/>
      <c r="O25" s="19"/>
      <c r="P25" s="19"/>
    </row>
    <row r="26" spans="2:16" x14ac:dyDescent="0.2">
      <c r="B26" t="s">
        <v>577</v>
      </c>
      <c r="C26" t="s">
        <v>389</v>
      </c>
      <c r="D26" s="18">
        <v>42556.428055555552</v>
      </c>
      <c r="E26" t="s">
        <v>160</v>
      </c>
      <c r="F26" s="19">
        <v>0.98493776179668702</v>
      </c>
      <c r="G26" s="19">
        <v>0.92424543288324101</v>
      </c>
      <c r="H26" s="19">
        <v>0.93650507293304996</v>
      </c>
      <c r="I26" s="19">
        <v>3.9835521667923597E-2</v>
      </c>
      <c r="J26" s="19">
        <v>0.98766136509521396</v>
      </c>
      <c r="K26" s="19">
        <v>1.8355314738469301E-2</v>
      </c>
      <c r="L26" s="19"/>
      <c r="M26" s="19"/>
      <c r="N26" s="19"/>
      <c r="O26" s="19"/>
      <c r="P26" s="19"/>
    </row>
    <row r="27" spans="2:16" x14ac:dyDescent="0.2">
      <c r="B27" t="s">
        <v>606</v>
      </c>
      <c r="C27" t="s">
        <v>384</v>
      </c>
      <c r="D27" s="18">
        <v>42556.428055555552</v>
      </c>
      <c r="E27" t="s">
        <v>172</v>
      </c>
      <c r="F27" s="19">
        <v>0.941418344851502</v>
      </c>
      <c r="G27" s="19">
        <v>0.80515136310419799</v>
      </c>
      <c r="H27" s="19">
        <v>0.86908317860122097</v>
      </c>
      <c r="I27" s="19">
        <v>5.1089451893071403E-2</v>
      </c>
      <c r="J27" s="19">
        <v>0.94708919756181797</v>
      </c>
      <c r="K27" s="19">
        <v>3.9217194676167702E-2</v>
      </c>
      <c r="L27" s="19"/>
      <c r="M27" s="19"/>
      <c r="N27" s="19"/>
      <c r="O27" s="19"/>
      <c r="P27" s="19"/>
    </row>
    <row r="28" spans="2:16" x14ac:dyDescent="0.2">
      <c r="B28" t="s">
        <v>592</v>
      </c>
      <c r="C28" t="s">
        <v>403</v>
      </c>
      <c r="D28" s="18">
        <v>42556.428055555552</v>
      </c>
      <c r="E28" t="s">
        <v>166</v>
      </c>
      <c r="F28" s="19">
        <v>0.97084835875791897</v>
      </c>
      <c r="G28" s="19">
        <v>0.91662165325266898</v>
      </c>
      <c r="H28" s="19">
        <v>0.86873671992302204</v>
      </c>
      <c r="I28" s="19">
        <v>4.53639509828513E-2</v>
      </c>
      <c r="J28" s="19">
        <v>0.83181809060016598</v>
      </c>
      <c r="K28" s="19">
        <v>5.8914621623810198E-2</v>
      </c>
      <c r="L28" s="19"/>
      <c r="M28" s="19"/>
      <c r="N28" s="19"/>
      <c r="O28" s="19"/>
      <c r="P28" s="19"/>
    </row>
    <row r="29" spans="2:16" x14ac:dyDescent="0.2">
      <c r="B29" t="s">
        <v>562</v>
      </c>
      <c r="C29" t="s">
        <v>379</v>
      </c>
      <c r="D29" s="18">
        <v>42556.428055555552</v>
      </c>
      <c r="E29" t="s">
        <v>154</v>
      </c>
      <c r="F29" s="19">
        <v>0.94697129761142995</v>
      </c>
      <c r="G29" s="19">
        <v>0.91104508912967497</v>
      </c>
      <c r="H29" s="19">
        <v>0.90595136446740698</v>
      </c>
      <c r="I29" s="19">
        <v>4.3179762706453198E-2</v>
      </c>
      <c r="J29" s="19">
        <v>0.92353605950949602</v>
      </c>
      <c r="K29" s="19">
        <v>4.3249636732106002E-2</v>
      </c>
      <c r="L29" s="19"/>
      <c r="M29" s="19"/>
      <c r="N29" s="19"/>
      <c r="O29" s="19"/>
      <c r="P29" s="19"/>
    </row>
    <row r="30" spans="2:16" x14ac:dyDescent="0.2">
      <c r="B30" t="s">
        <v>621</v>
      </c>
      <c r="C30" t="s">
        <v>368</v>
      </c>
      <c r="D30" s="18">
        <v>42556.428055555552</v>
      </c>
      <c r="E30" t="s">
        <v>178</v>
      </c>
      <c r="F30" s="19">
        <v>0.97013701421076803</v>
      </c>
      <c r="G30" s="19">
        <v>0.90144452842865497</v>
      </c>
      <c r="H30" s="19">
        <v>0.89876098297638596</v>
      </c>
      <c r="I30" s="19">
        <v>4.4138516467842899E-2</v>
      </c>
      <c r="J30" s="19">
        <v>0.87528553489206495</v>
      </c>
      <c r="K30" s="19">
        <v>5.7207236605424303E-2</v>
      </c>
      <c r="L30" s="19"/>
      <c r="M30" s="19"/>
      <c r="N30" s="19"/>
      <c r="O30" s="19"/>
      <c r="P30" s="19"/>
    </row>
    <row r="31" spans="2:16" x14ac:dyDescent="0.2">
      <c r="B31" t="s">
        <v>614</v>
      </c>
      <c r="C31" t="s">
        <v>403</v>
      </c>
      <c r="D31" s="18">
        <v>42556.428055555552</v>
      </c>
      <c r="E31" t="s">
        <v>176</v>
      </c>
      <c r="F31" s="19">
        <v>0.97028418795186899</v>
      </c>
      <c r="G31" s="19">
        <v>0.85918621179815202</v>
      </c>
      <c r="H31" s="19">
        <v>0.89811969166364802</v>
      </c>
      <c r="I31" s="19">
        <v>5.0293224393106302E-2</v>
      </c>
      <c r="J31" s="19">
        <v>0.97581430745814302</v>
      </c>
      <c r="K31" s="19">
        <v>2.5957480175567801E-2</v>
      </c>
      <c r="L31" s="19"/>
      <c r="M31" s="19"/>
      <c r="N31" s="19"/>
      <c r="O31" s="19"/>
      <c r="P31" s="19"/>
    </row>
    <row r="32" spans="2:16" x14ac:dyDescent="0.2">
      <c r="B32" t="s">
        <v>389</v>
      </c>
      <c r="C32" t="s">
        <v>389</v>
      </c>
      <c r="D32" s="18">
        <v>42556.428055555552</v>
      </c>
      <c r="E32" t="s">
        <v>662</v>
      </c>
      <c r="F32" s="19">
        <v>0.957239994377454</v>
      </c>
      <c r="G32" s="19">
        <v>0.89498908202916505</v>
      </c>
      <c r="H32" s="19">
        <v>0.91951647151431104</v>
      </c>
      <c r="I32" s="19">
        <v>1.33574737231644E-2</v>
      </c>
      <c r="J32" s="19">
        <v>0.91234524822361096</v>
      </c>
      <c r="K32" s="19">
        <v>1.7874338600114802E-2</v>
      </c>
      <c r="L32" s="19"/>
      <c r="M32" s="19"/>
      <c r="N32" s="19"/>
      <c r="O32" s="19"/>
      <c r="P32" s="19"/>
    </row>
    <row r="33" spans="2:16" x14ac:dyDescent="0.2">
      <c r="B33" t="s">
        <v>209</v>
      </c>
      <c r="C33" t="s">
        <v>389</v>
      </c>
      <c r="D33" s="18">
        <v>42556.428055555552</v>
      </c>
      <c r="E33" t="s">
        <v>157</v>
      </c>
      <c r="F33" s="19">
        <v>0.98987526085572497</v>
      </c>
      <c r="G33" s="19">
        <v>0.95369995956328402</v>
      </c>
      <c r="H33" s="19">
        <v>0.97167525860035697</v>
      </c>
      <c r="I33" s="19">
        <v>3.1084345938768701E-2</v>
      </c>
      <c r="J33" s="19">
        <v>0.89683124692106497</v>
      </c>
      <c r="K33" s="19">
        <v>4.5811702428346701E-2</v>
      </c>
      <c r="L33" s="19">
        <v>0.96276698095054802</v>
      </c>
      <c r="M33" s="19">
        <v>0.94959324681566903</v>
      </c>
      <c r="N33" s="19">
        <v>4.1262651856044497E-2</v>
      </c>
      <c r="O33" s="19">
        <v>0.98543069541401496</v>
      </c>
      <c r="P33" s="19">
        <v>1.64370248537857E-2</v>
      </c>
    </row>
    <row r="34" spans="2:16" x14ac:dyDescent="0.2">
      <c r="B34" t="s">
        <v>570</v>
      </c>
      <c r="C34" t="s">
        <v>389</v>
      </c>
      <c r="D34" s="18">
        <v>42556.428055555552</v>
      </c>
      <c r="E34" t="s">
        <v>157</v>
      </c>
      <c r="F34" s="19">
        <v>0.98987526085572497</v>
      </c>
      <c r="G34" s="19">
        <v>0.95369995956328402</v>
      </c>
      <c r="H34" s="19">
        <v>0.97167525860035697</v>
      </c>
      <c r="I34" s="19">
        <v>3.1084345938768701E-2</v>
      </c>
      <c r="J34" s="19">
        <v>0.89683124692106497</v>
      </c>
      <c r="K34" s="19">
        <v>4.5811702428346701E-2</v>
      </c>
      <c r="L34" s="19">
        <v>0.96276698095054802</v>
      </c>
      <c r="M34" s="19">
        <v>0.94959324681566903</v>
      </c>
      <c r="N34" s="19">
        <v>4.1262651856044497E-2</v>
      </c>
      <c r="O34" s="19">
        <v>0.98543069541401496</v>
      </c>
      <c r="P34" s="19">
        <v>1.64370248537857E-2</v>
      </c>
    </row>
    <row r="35" spans="2:16" x14ac:dyDescent="0.2">
      <c r="B35" t="s">
        <v>552</v>
      </c>
      <c r="C35" t="s">
        <v>379</v>
      </c>
      <c r="D35" s="18">
        <v>42556.428055555552</v>
      </c>
      <c r="E35" t="s">
        <v>150</v>
      </c>
      <c r="F35" s="19">
        <v>0.86478189926065097</v>
      </c>
      <c r="G35" s="19">
        <v>0.73645920941968002</v>
      </c>
      <c r="H35" s="19">
        <v>0.81202735850099494</v>
      </c>
      <c r="I35" s="19">
        <v>5.7602883091519001E-2</v>
      </c>
      <c r="J35" s="19">
        <v>0.918963762382766</v>
      </c>
      <c r="K35" s="19">
        <v>4.9237264538583798E-2</v>
      </c>
      <c r="L35" s="19"/>
      <c r="M35" s="19"/>
      <c r="N35" s="19"/>
      <c r="O35" s="19"/>
      <c r="P35" s="19"/>
    </row>
    <row r="36" spans="2:16" x14ac:dyDescent="0.2">
      <c r="B36" t="s">
        <v>608</v>
      </c>
      <c r="C36" t="s">
        <v>384</v>
      </c>
      <c r="D36" s="18">
        <v>42556.428055555552</v>
      </c>
      <c r="E36" t="s">
        <v>173</v>
      </c>
      <c r="F36" s="19">
        <v>0.91852839581428403</v>
      </c>
      <c r="G36" s="19">
        <v>0.87772005423328403</v>
      </c>
      <c r="H36" s="19">
        <v>0.88916700182841402</v>
      </c>
      <c r="I36" s="19">
        <v>4.8809392299867901E-2</v>
      </c>
      <c r="J36" s="19">
        <v>0.94598376054953504</v>
      </c>
      <c r="K36" s="19">
        <v>4.2046351645843902E-2</v>
      </c>
      <c r="L36" s="19"/>
      <c r="M36" s="19"/>
      <c r="N36" s="19"/>
      <c r="O36" s="19"/>
      <c r="P36" s="19"/>
    </row>
    <row r="37" spans="2:16" x14ac:dyDescent="0.2">
      <c r="B37" t="s">
        <v>548</v>
      </c>
      <c r="C37" t="s">
        <v>379</v>
      </c>
      <c r="D37" s="18">
        <v>42556.428055555552</v>
      </c>
      <c r="E37" t="s">
        <v>91</v>
      </c>
      <c r="F37" s="19">
        <v>0.95898947362294196</v>
      </c>
      <c r="G37" s="19">
        <v>0.84315918963595105</v>
      </c>
      <c r="H37" s="19">
        <v>0.91376462998801999</v>
      </c>
      <c r="I37" s="19">
        <v>4.8932059884459297E-2</v>
      </c>
      <c r="J37" s="19">
        <v>0.90889962901356602</v>
      </c>
      <c r="K37" s="19">
        <v>4.9327781225054899E-2</v>
      </c>
      <c r="L37" s="19"/>
      <c r="M37" s="19"/>
      <c r="N37" s="19"/>
      <c r="O37" s="19"/>
      <c r="P37" s="19"/>
    </row>
    <row r="38" spans="2:16" x14ac:dyDescent="0.2">
      <c r="B38" t="s">
        <v>550</v>
      </c>
      <c r="C38" t="s">
        <v>384</v>
      </c>
      <c r="D38" s="18">
        <v>42556.428055555552</v>
      </c>
      <c r="E38" t="s">
        <v>149</v>
      </c>
      <c r="F38" s="19">
        <v>0.96066138012485203</v>
      </c>
      <c r="G38" s="19">
        <v>0.84681048173636797</v>
      </c>
      <c r="H38" s="19">
        <v>0.91256074187365699</v>
      </c>
      <c r="I38" s="19">
        <v>4.1916531756804598E-2</v>
      </c>
      <c r="J38" s="19">
        <v>0.94730878838021704</v>
      </c>
      <c r="K38" s="19">
        <v>3.7617050548482397E-2</v>
      </c>
      <c r="L38" s="19"/>
      <c r="M38" s="19"/>
      <c r="N38" s="19"/>
      <c r="O38" s="19"/>
      <c r="P38" s="19"/>
    </row>
    <row r="39" spans="2:16" x14ac:dyDescent="0.2">
      <c r="B39" t="s">
        <v>517</v>
      </c>
      <c r="C39" t="s">
        <v>368</v>
      </c>
      <c r="D39" s="18">
        <v>42556.428055555552</v>
      </c>
      <c r="E39" t="s">
        <v>138</v>
      </c>
      <c r="F39" s="19">
        <v>0.93814788167473995</v>
      </c>
      <c r="G39" s="19">
        <v>0.87274806093754798</v>
      </c>
      <c r="H39" s="19">
        <v>0.87191749462785995</v>
      </c>
      <c r="I39" s="19">
        <v>5.10509932455223E-2</v>
      </c>
      <c r="J39" s="19">
        <v>0.91433992235894301</v>
      </c>
      <c r="K39" s="19">
        <v>4.2794130526865398E-2</v>
      </c>
      <c r="L39" s="19"/>
      <c r="M39" s="19"/>
      <c r="N39" s="19"/>
      <c r="O39" s="19"/>
      <c r="P39" s="19"/>
    </row>
    <row r="40" spans="2:16" x14ac:dyDescent="0.2">
      <c r="B40" t="s">
        <v>523</v>
      </c>
      <c r="C40" t="s">
        <v>368</v>
      </c>
      <c r="D40" s="18">
        <v>42556.428055555552</v>
      </c>
      <c r="E40" t="s">
        <v>141</v>
      </c>
      <c r="F40" s="19">
        <v>0.95214199809231503</v>
      </c>
      <c r="G40" s="19">
        <v>0.89667266187050398</v>
      </c>
      <c r="H40" s="19">
        <v>0.90428581260107999</v>
      </c>
      <c r="I40" s="19">
        <v>3.9477569540227901E-2</v>
      </c>
      <c r="J40" s="19">
        <v>0.85679246064442405</v>
      </c>
      <c r="K40" s="19">
        <v>5.2328934940198801E-2</v>
      </c>
      <c r="L40" s="19"/>
      <c r="M40" s="19"/>
      <c r="N40" s="19"/>
      <c r="O40" s="19"/>
      <c r="P40" s="19"/>
    </row>
    <row r="41" spans="2:16" x14ac:dyDescent="0.2">
      <c r="B41" t="s">
        <v>368</v>
      </c>
      <c r="C41" t="s">
        <v>368</v>
      </c>
      <c r="D41" s="18">
        <v>42556.428055555552</v>
      </c>
      <c r="E41" t="s">
        <v>661</v>
      </c>
      <c r="F41" s="19">
        <v>0.95846293173471497</v>
      </c>
      <c r="G41" s="19">
        <v>0.86841381260836104</v>
      </c>
      <c r="H41" s="19">
        <v>0.87854911720371398</v>
      </c>
      <c r="I41" s="19">
        <v>1.5281988631149801E-2</v>
      </c>
      <c r="J41" s="19">
        <v>0.87548147611045801</v>
      </c>
      <c r="K41" s="19">
        <v>3.1487582547481997E-2</v>
      </c>
      <c r="L41" s="19"/>
      <c r="M41" s="19"/>
      <c r="N41" s="19"/>
      <c r="O41" s="19"/>
      <c r="P41" s="19"/>
    </row>
    <row r="42" spans="2:16" x14ac:dyDescent="0.2">
      <c r="B42" t="s">
        <v>590</v>
      </c>
      <c r="C42" t="s">
        <v>403</v>
      </c>
      <c r="D42" s="18">
        <v>42556.428055555552</v>
      </c>
      <c r="E42" t="s">
        <v>165</v>
      </c>
      <c r="F42" s="19">
        <v>0.94578142608181603</v>
      </c>
      <c r="G42" s="19">
        <v>0.80424032489249897</v>
      </c>
      <c r="H42" s="19">
        <v>0.87553958053094805</v>
      </c>
      <c r="I42" s="19">
        <v>5.0054742145219301E-2</v>
      </c>
      <c r="J42" s="19">
        <v>0.91554200558184595</v>
      </c>
      <c r="K42" s="19">
        <v>4.0484273187339603E-2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403</v>
      </c>
      <c r="C44" t="s">
        <v>403</v>
      </c>
      <c r="D44" s="18">
        <v>42556.428055555552</v>
      </c>
      <c r="E44" t="s">
        <v>664</v>
      </c>
      <c r="F44" s="19">
        <v>0.96150918889306902</v>
      </c>
      <c r="G44" s="19">
        <v>0.85992397699140799</v>
      </c>
      <c r="H44" s="19">
        <v>0.87814200969922895</v>
      </c>
      <c r="I44" s="19">
        <v>1.8008126017852E-2</v>
      </c>
      <c r="J44" s="19">
        <v>0.91064877242244402</v>
      </c>
      <c r="K44" s="19">
        <v>1.79454044209971E-2</v>
      </c>
      <c r="L44" s="19"/>
      <c r="M44" s="19"/>
      <c r="N44" s="19"/>
      <c r="O44" s="19"/>
      <c r="P44" s="19"/>
    </row>
    <row r="45" spans="2:16" x14ac:dyDescent="0.2">
      <c r="B45" t="s">
        <v>210</v>
      </c>
      <c r="C45" t="s">
        <v>368</v>
      </c>
      <c r="D45" s="18">
        <v>42556.428055555552</v>
      </c>
      <c r="E45" t="s">
        <v>99</v>
      </c>
      <c r="F45" s="19">
        <v>0.94628007849308804</v>
      </c>
      <c r="G45" s="19">
        <v>0.89027388022362897</v>
      </c>
      <c r="H45" s="19">
        <v>0.90797815441669005</v>
      </c>
      <c r="I45" s="19">
        <v>4.0546343801548902E-2</v>
      </c>
      <c r="J45" s="19">
        <v>0.86444863285205198</v>
      </c>
      <c r="K45" s="19">
        <v>5.6895880287101103E-2</v>
      </c>
      <c r="L45" s="19">
        <v>1</v>
      </c>
      <c r="M45" s="19">
        <v>0.94104774258337198</v>
      </c>
      <c r="N45" s="19">
        <v>4.0168640763625002E-2</v>
      </c>
      <c r="O45" s="19">
        <v>0.94488559649514903</v>
      </c>
      <c r="P45" s="19">
        <v>3.8677062646118102E-2</v>
      </c>
    </row>
    <row r="46" spans="2:16" x14ac:dyDescent="0.2">
      <c r="B46" t="s">
        <v>525</v>
      </c>
      <c r="C46" t="s">
        <v>368</v>
      </c>
      <c r="D46" s="18">
        <v>42556.428055555552</v>
      </c>
      <c r="E46" t="s">
        <v>99</v>
      </c>
      <c r="F46" s="19">
        <v>0.94628007849308804</v>
      </c>
      <c r="G46" s="19">
        <v>0.89027388022362897</v>
      </c>
      <c r="H46" s="19">
        <v>0.90797815441669005</v>
      </c>
      <c r="I46" s="19">
        <v>4.0546343801548902E-2</v>
      </c>
      <c r="J46" s="19">
        <v>0.86444863285205198</v>
      </c>
      <c r="K46" s="19">
        <v>5.6895880287101103E-2</v>
      </c>
      <c r="L46" s="19">
        <v>1</v>
      </c>
      <c r="M46" s="19">
        <v>0.94104774258337198</v>
      </c>
      <c r="N46" s="19">
        <v>4.0168640763625002E-2</v>
      </c>
      <c r="O46" s="19">
        <v>0.94488559649514903</v>
      </c>
      <c r="P46" s="19">
        <v>3.8677062646118102E-2</v>
      </c>
    </row>
    <row r="47" spans="2:16" x14ac:dyDescent="0.2">
      <c r="B47" t="s">
        <v>594</v>
      </c>
      <c r="C47" t="s">
        <v>403</v>
      </c>
      <c r="D47" s="18">
        <v>42556.428055555552</v>
      </c>
      <c r="E47" t="s">
        <v>167</v>
      </c>
      <c r="F47" s="19">
        <v>0.95186912939378798</v>
      </c>
      <c r="G47" s="19">
        <v>0.84533420472602405</v>
      </c>
      <c r="H47" s="19">
        <v>0.86701454288797797</v>
      </c>
      <c r="I47" s="19">
        <v>5.4772140068105303E-2</v>
      </c>
      <c r="J47" s="19">
        <v>0.93536336273841003</v>
      </c>
      <c r="K47" s="19">
        <v>4.1256894590360499E-2</v>
      </c>
      <c r="L47" s="19"/>
      <c r="M47" s="19"/>
      <c r="N47" s="19"/>
      <c r="O47" s="19"/>
      <c r="P47" s="19"/>
    </row>
    <row r="48" spans="2:16" x14ac:dyDescent="0.2">
      <c r="B48" t="s">
        <v>528</v>
      </c>
      <c r="C48" t="s">
        <v>368</v>
      </c>
      <c r="D48" s="18">
        <v>42556.428055555552</v>
      </c>
      <c r="E48" t="s">
        <v>142</v>
      </c>
      <c r="F48" s="19">
        <v>0.95793217049462098</v>
      </c>
      <c r="G48" s="19">
        <v>0.85860801647551099</v>
      </c>
      <c r="H48" s="19">
        <v>0.87937727771437402</v>
      </c>
      <c r="I48" s="19">
        <v>4.7506445381002002E-2</v>
      </c>
      <c r="J48" s="19">
        <v>0.88973110411783196</v>
      </c>
      <c r="K48" s="19">
        <v>5.6191515520256599E-2</v>
      </c>
      <c r="L48" s="19"/>
      <c r="M48" s="19"/>
      <c r="N48" s="19"/>
      <c r="O48" s="19"/>
      <c r="P48" s="19"/>
    </row>
    <row r="49" spans="2:16" x14ac:dyDescent="0.2">
      <c r="B49" t="s">
        <v>602</v>
      </c>
      <c r="C49" t="s">
        <v>403</v>
      </c>
      <c r="D49" s="18">
        <v>42556.428055555552</v>
      </c>
      <c r="E49" t="s">
        <v>170</v>
      </c>
      <c r="F49" s="19">
        <v>0.99354743120839195</v>
      </c>
      <c r="G49" s="19">
        <v>1</v>
      </c>
      <c r="H49" s="19">
        <v>0.90387287149083595</v>
      </c>
      <c r="I49" s="19">
        <v>5.1179683129794602E-2</v>
      </c>
      <c r="J49" s="19">
        <v>0.91946668284004496</v>
      </c>
      <c r="K49" s="19">
        <v>4.5588233395152097E-2</v>
      </c>
      <c r="L49" s="19"/>
      <c r="M49" s="19"/>
      <c r="N49" s="19"/>
      <c r="O49" s="19"/>
      <c r="P49" s="19"/>
    </row>
    <row r="50" spans="2:16" x14ac:dyDescent="0.2">
      <c r="B50" t="s">
        <v>513</v>
      </c>
      <c r="C50" t="s">
        <v>368</v>
      </c>
      <c r="D50" s="18">
        <v>42556.428055555552</v>
      </c>
      <c r="E50" t="s">
        <v>137</v>
      </c>
      <c r="F50" s="19">
        <v>0.94296670230941904</v>
      </c>
      <c r="G50" s="19">
        <v>0.85349718209980197</v>
      </c>
      <c r="H50" s="19">
        <v>0.88856606333828703</v>
      </c>
      <c r="I50" s="19">
        <v>5.0706483762728398E-2</v>
      </c>
      <c r="J50" s="19">
        <v>0.93977915265468903</v>
      </c>
      <c r="K50" s="19">
        <v>3.9216633604310797E-2</v>
      </c>
      <c r="L50" s="19"/>
      <c r="M50" s="19"/>
      <c r="N50" s="19"/>
      <c r="O50" s="19"/>
      <c r="P50" s="19"/>
    </row>
    <row r="51" spans="2:16" x14ac:dyDescent="0.2">
      <c r="B51" t="s">
        <v>610</v>
      </c>
      <c r="C51" t="s">
        <v>403</v>
      </c>
      <c r="D51" s="18">
        <v>42556.428055555552</v>
      </c>
      <c r="E51" t="s">
        <v>174</v>
      </c>
      <c r="F51" s="19">
        <v>0.96176565631292998</v>
      </c>
      <c r="G51" s="19">
        <v>0.90628068739770895</v>
      </c>
      <c r="H51" s="19">
        <v>0.89628375857952802</v>
      </c>
      <c r="I51" s="19">
        <v>4.6870863468279803E-2</v>
      </c>
      <c r="J51" s="19">
        <v>0.90183443168934196</v>
      </c>
      <c r="K51" s="19">
        <v>5.4740519223620603E-2</v>
      </c>
      <c r="L51" s="19"/>
      <c r="M51" s="19"/>
      <c r="N51" s="19"/>
      <c r="O51" s="19"/>
      <c r="P51" s="19"/>
    </row>
    <row r="52" spans="2:16" x14ac:dyDescent="0.2">
      <c r="B52" t="s">
        <v>534</v>
      </c>
      <c r="C52" t="s">
        <v>368</v>
      </c>
      <c r="D52" s="18">
        <v>42556.428055555552</v>
      </c>
      <c r="E52" t="s">
        <v>103</v>
      </c>
      <c r="F52" s="19">
        <v>0.94995038186049097</v>
      </c>
      <c r="G52" s="19">
        <v>0.81953368490708001</v>
      </c>
      <c r="H52" s="19">
        <v>0.89004359705665703</v>
      </c>
      <c r="I52" s="19">
        <v>4.6643099069139E-2</v>
      </c>
      <c r="J52" s="19">
        <v>0.89970755114911505</v>
      </c>
      <c r="K52" s="19">
        <v>4.5651227068979901E-2</v>
      </c>
      <c r="L52" s="19"/>
      <c r="M52" s="19"/>
      <c r="N52" s="19"/>
      <c r="O52" s="19"/>
      <c r="P52" s="19"/>
    </row>
    <row r="53" spans="2:16" x14ac:dyDescent="0.2">
      <c r="B53" t="s">
        <v>587</v>
      </c>
      <c r="C53" t="s">
        <v>384</v>
      </c>
      <c r="D53" s="18">
        <v>42556.428055555552</v>
      </c>
      <c r="E53" t="s">
        <v>164</v>
      </c>
      <c r="F53" s="19">
        <v>0.96856994295735299</v>
      </c>
      <c r="G53" s="19">
        <v>0.88907296039940997</v>
      </c>
      <c r="H53" s="19">
        <v>0.90955848358761004</v>
      </c>
      <c r="I53" s="19">
        <v>4.5921829533085698E-2</v>
      </c>
      <c r="J53" s="19">
        <v>0.96491714220444402</v>
      </c>
      <c r="K53" s="19">
        <v>3.5120368666195702E-2</v>
      </c>
      <c r="L53" s="252"/>
      <c r="M53" s="252"/>
      <c r="N53" s="252"/>
      <c r="O53" s="252"/>
      <c r="P53" s="252"/>
    </row>
    <row r="54" spans="2:16" x14ac:dyDescent="0.2">
      <c r="B54" t="s">
        <v>623</v>
      </c>
      <c r="C54" t="s">
        <v>403</v>
      </c>
      <c r="D54" s="18">
        <v>42556.428055555552</v>
      </c>
      <c r="E54" t="s">
        <v>179</v>
      </c>
      <c r="F54" s="19">
        <v>0.95038737761853098</v>
      </c>
      <c r="G54" s="19">
        <v>0.77528559684780496</v>
      </c>
      <c r="H54" s="19">
        <v>0.84395644879729703</v>
      </c>
      <c r="I54" s="19">
        <v>5.0155223110998903E-2</v>
      </c>
      <c r="J54" s="19">
        <v>0.89524205661178302</v>
      </c>
      <c r="K54" s="19">
        <v>4.8280029286120699E-2</v>
      </c>
      <c r="L54" s="19"/>
      <c r="M54" s="19"/>
      <c r="N54" s="19"/>
      <c r="O54" s="19"/>
      <c r="P54" s="19"/>
    </row>
    <row r="55" spans="2:16" x14ac:dyDescent="0.2">
      <c r="B55" t="s">
        <v>612</v>
      </c>
      <c r="C55" t="s">
        <v>379</v>
      </c>
      <c r="D55" s="18">
        <v>42556.428055555552</v>
      </c>
      <c r="E55" t="s">
        <v>175</v>
      </c>
      <c r="F55" s="19">
        <v>0.88313049546406097</v>
      </c>
      <c r="G55" s="19">
        <v>0.70910718645723103</v>
      </c>
      <c r="H55" s="19">
        <v>0.81229489100380303</v>
      </c>
      <c r="I55" s="19">
        <v>5.3933272903807901E-2</v>
      </c>
      <c r="J55" s="19">
        <v>0.82327842143192898</v>
      </c>
      <c r="K55" s="19">
        <v>5.6424903768481097E-2</v>
      </c>
      <c r="L55" s="19"/>
      <c r="M55" s="19"/>
      <c r="N55" s="19"/>
      <c r="O55" s="19"/>
      <c r="P55" s="19"/>
    </row>
    <row r="56" spans="2:16" x14ac:dyDescent="0.2">
      <c r="B56" t="s">
        <v>596</v>
      </c>
      <c r="C56" t="s">
        <v>403</v>
      </c>
      <c r="D56" s="18">
        <v>42556.428055555552</v>
      </c>
      <c r="E56" t="s">
        <v>168</v>
      </c>
      <c r="F56" s="19">
        <v>0.96779325023575602</v>
      </c>
      <c r="G56" s="19">
        <v>0.87364031907179096</v>
      </c>
      <c r="H56" s="19">
        <v>0.89016602074619799</v>
      </c>
      <c r="I56" s="19">
        <v>4.5304074210308798E-2</v>
      </c>
      <c r="J56" s="19">
        <v>0.93013291182195101</v>
      </c>
      <c r="K56" s="19">
        <v>3.7898654439485098E-2</v>
      </c>
      <c r="L56" s="19"/>
      <c r="M56" s="19"/>
      <c r="N56" s="19"/>
      <c r="O56" s="19"/>
      <c r="P56" s="19"/>
    </row>
    <row r="57" spans="2:16" x14ac:dyDescent="0.2">
      <c r="B57" t="s">
        <v>634</v>
      </c>
      <c r="C57" t="s">
        <v>389</v>
      </c>
      <c r="D57" s="18">
        <v>42556.428055555552</v>
      </c>
      <c r="E57" t="s">
        <v>184</v>
      </c>
      <c r="F57" s="19">
        <v>0.95675790567508201</v>
      </c>
      <c r="G57" s="19">
        <v>0.81039755351681897</v>
      </c>
      <c r="H57" s="19">
        <v>0.877275580665411</v>
      </c>
      <c r="I57" s="19">
        <v>5.4463166690014997E-2</v>
      </c>
      <c r="J57" s="19">
        <v>0.95956572769952997</v>
      </c>
      <c r="K57" s="19">
        <v>3.38285608115486E-2</v>
      </c>
      <c r="L57" s="19"/>
      <c r="M57" s="19"/>
      <c r="N57" s="19"/>
      <c r="O57" s="19"/>
      <c r="P57" s="19"/>
    </row>
    <row r="58" spans="2:16" x14ac:dyDescent="0.2">
      <c r="B58" t="s">
        <v>379</v>
      </c>
      <c r="C58" t="s">
        <v>379</v>
      </c>
      <c r="D58" s="18">
        <v>42556.428055555552</v>
      </c>
      <c r="E58" t="s">
        <v>660</v>
      </c>
      <c r="F58" s="19">
        <v>0.92574430410102804</v>
      </c>
      <c r="G58" s="19">
        <v>0.82153637237027899</v>
      </c>
      <c r="H58" s="19">
        <v>0.86913939850232103</v>
      </c>
      <c r="I58" s="19">
        <v>2.2204941282430501E-2</v>
      </c>
      <c r="J58" s="19">
        <v>0.87642825582651795</v>
      </c>
      <c r="K58" s="19">
        <v>2.9395311172146801E-2</v>
      </c>
      <c r="L58" s="19"/>
      <c r="M58" s="19"/>
      <c r="N58" s="19"/>
      <c r="O58" s="19"/>
      <c r="P58" s="19"/>
    </row>
    <row r="59" spans="2:16" x14ac:dyDescent="0.2">
      <c r="B59" t="s">
        <v>573</v>
      </c>
      <c r="C59" t="s">
        <v>389</v>
      </c>
      <c r="D59" s="18">
        <v>42556.428055555552</v>
      </c>
      <c r="E59" t="s">
        <v>158</v>
      </c>
      <c r="F59" s="19">
        <v>0.97733865379560803</v>
      </c>
      <c r="G59" s="19">
        <v>0.89801273227804501</v>
      </c>
      <c r="H59" s="19">
        <v>0.915362908480992</v>
      </c>
      <c r="I59" s="19">
        <v>4.0373743061803198E-2</v>
      </c>
      <c r="J59" s="19">
        <v>0.83440824879934805</v>
      </c>
      <c r="K59" s="19">
        <v>5.7303281977683897E-2</v>
      </c>
      <c r="L59" s="19"/>
      <c r="M59" s="19"/>
      <c r="N59" s="19"/>
      <c r="O59" s="19"/>
      <c r="P59" s="19"/>
    </row>
    <row r="60" spans="2:16" x14ac:dyDescent="0.2">
      <c r="B60" t="s">
        <v>212</v>
      </c>
      <c r="C60" t="s">
        <v>389</v>
      </c>
      <c r="D60" s="18">
        <v>42556.428055555552</v>
      </c>
      <c r="E60" t="s">
        <v>161</v>
      </c>
      <c r="F60" s="19">
        <v>0.95057287838573201</v>
      </c>
      <c r="G60" s="19">
        <v>0.91060008164376105</v>
      </c>
      <c r="H60" s="19">
        <v>0.95515693342946395</v>
      </c>
      <c r="I60" s="19">
        <v>3.5979609876492999E-2</v>
      </c>
      <c r="J60" s="19">
        <v>0.90472269728810695</v>
      </c>
      <c r="K60" s="19">
        <v>4.5788712491312E-2</v>
      </c>
      <c r="L60" s="19">
        <v>1</v>
      </c>
      <c r="M60" s="19">
        <v>0.99143651029663205</v>
      </c>
      <c r="N60" s="19">
        <v>1.2784329961668801E-2</v>
      </c>
      <c r="O60" s="19">
        <v>0.98094927418039501</v>
      </c>
      <c r="P60" s="19">
        <v>2.30989770379884E-2</v>
      </c>
    </row>
    <row r="61" spans="2:16" x14ac:dyDescent="0.2">
      <c r="B61" t="s">
        <v>579</v>
      </c>
      <c r="C61" t="s">
        <v>389</v>
      </c>
      <c r="D61" s="18">
        <v>42556.428055555552</v>
      </c>
      <c r="E61" t="s">
        <v>161</v>
      </c>
      <c r="F61" s="19">
        <v>0.95057287838573201</v>
      </c>
      <c r="G61" s="19">
        <v>0.91060008164376105</v>
      </c>
      <c r="H61" s="19">
        <v>0.95515693342946395</v>
      </c>
      <c r="I61" s="19">
        <v>3.5979609876492999E-2</v>
      </c>
      <c r="J61" s="19">
        <v>0.90472269728810695</v>
      </c>
      <c r="K61" s="19">
        <v>4.5788712491312E-2</v>
      </c>
      <c r="L61" s="19">
        <v>1</v>
      </c>
      <c r="M61" s="19">
        <v>0.99143651029663205</v>
      </c>
      <c r="N61" s="19">
        <v>1.2784329961668801E-2</v>
      </c>
      <c r="O61" s="19">
        <v>0.98094927418039501</v>
      </c>
      <c r="P61" s="19">
        <v>2.30989770379884E-2</v>
      </c>
    </row>
    <row r="62" spans="2:16" x14ac:dyDescent="0.2">
      <c r="B62" t="s">
        <v>540</v>
      </c>
      <c r="C62" t="s">
        <v>379</v>
      </c>
      <c r="D62" s="18">
        <v>42556.428055555552</v>
      </c>
      <c r="E62" t="s">
        <v>146</v>
      </c>
      <c r="F62" s="19">
        <v>0.92574360958842705</v>
      </c>
      <c r="G62" s="19">
        <v>0.79807178969428605</v>
      </c>
      <c r="H62" s="19">
        <v>0.84907403358581801</v>
      </c>
      <c r="I62" s="19">
        <v>5.5477817429652798E-2</v>
      </c>
      <c r="J62" s="19">
        <v>0.83262893391882598</v>
      </c>
      <c r="K62" s="19">
        <v>7.8835149283419406E-2</v>
      </c>
      <c r="L62" s="19"/>
      <c r="M62" s="19"/>
      <c r="N62" s="19"/>
      <c r="O62" s="19"/>
      <c r="P62" s="19"/>
    </row>
    <row r="63" spans="2:16" x14ac:dyDescent="0.2">
      <c r="B63" t="s">
        <v>626</v>
      </c>
      <c r="C63" t="s">
        <v>368</v>
      </c>
      <c r="D63" s="18">
        <v>42556.428055555552</v>
      </c>
      <c r="E63" t="s">
        <v>180</v>
      </c>
      <c r="F63" s="19">
        <v>0.95099421506928705</v>
      </c>
      <c r="G63" s="19">
        <v>0.86820493236588803</v>
      </c>
      <c r="H63" s="19">
        <v>0.882147152333979</v>
      </c>
      <c r="I63" s="19">
        <v>5.0737305494407997E-2</v>
      </c>
      <c r="J63" s="19">
        <v>0.94162719388572302</v>
      </c>
      <c r="K63" s="19">
        <v>3.6865638105428603E-2</v>
      </c>
      <c r="L63" s="19"/>
      <c r="M63" s="19"/>
      <c r="N63" s="19"/>
      <c r="O63" s="19"/>
      <c r="P63" s="19"/>
    </row>
    <row r="64" spans="2:16" x14ac:dyDescent="0.2">
      <c r="B64" t="s">
        <v>695</v>
      </c>
      <c r="C64" t="s">
        <v>6</v>
      </c>
      <c r="D64" s="18">
        <v>42556.428055555552</v>
      </c>
      <c r="E64" t="s">
        <v>436</v>
      </c>
      <c r="F64" s="19"/>
      <c r="G64" s="19"/>
      <c r="H64" s="19"/>
      <c r="I64" s="19"/>
      <c r="J64" s="19"/>
      <c r="K64" s="19"/>
      <c r="L64" s="19">
        <v>0.98909889862257405</v>
      </c>
      <c r="M64" s="19">
        <v>0.962461420830656</v>
      </c>
      <c r="N64" s="19">
        <v>1.89323408092755E-2</v>
      </c>
      <c r="O64" s="19">
        <v>0.96839693342882505</v>
      </c>
      <c r="P64" s="19">
        <v>1.7865746849166E-2</v>
      </c>
    </row>
    <row r="65" spans="2:16" x14ac:dyDescent="0.2">
      <c r="B65" t="s">
        <v>697</v>
      </c>
      <c r="C65" t="s">
        <v>6</v>
      </c>
      <c r="D65" s="18">
        <v>42556.428055555552</v>
      </c>
      <c r="E65" t="s">
        <v>436</v>
      </c>
      <c r="F65" s="19">
        <v>0.95168781246098</v>
      </c>
      <c r="G65" s="19">
        <v>0.86588343156635506</v>
      </c>
      <c r="H65" s="19">
        <v>0.885974049178335</v>
      </c>
      <c r="I65" s="19">
        <v>7.8611549572085004E-3</v>
      </c>
      <c r="J65" s="19">
        <v>0.89787886833437702</v>
      </c>
      <c r="K65" s="19">
        <v>1.1898620119243E-2</v>
      </c>
      <c r="L65" s="19">
        <v>0.98909889862257405</v>
      </c>
      <c r="M65" s="19">
        <v>0.962461420830656</v>
      </c>
      <c r="N65" s="19">
        <v>1.89323408092755E-2</v>
      </c>
      <c r="O65" s="19">
        <v>0.96839693342882505</v>
      </c>
      <c r="P65" s="19">
        <v>1.7865746849166E-2</v>
      </c>
    </row>
    <row r="66" spans="2:16" x14ac:dyDescent="0.2">
      <c r="B66" t="s">
        <v>604</v>
      </c>
      <c r="C66" t="s">
        <v>384</v>
      </c>
      <c r="D66" s="18">
        <v>42556.428055555552</v>
      </c>
      <c r="E66" t="s">
        <v>171</v>
      </c>
      <c r="F66" s="19">
        <v>0.94637202466813097</v>
      </c>
      <c r="G66" s="19">
        <v>0.91500744850259397</v>
      </c>
      <c r="H66" s="19">
        <v>0.88686771961349897</v>
      </c>
      <c r="I66" s="19">
        <v>4.7485470709738603E-2</v>
      </c>
      <c r="J66" s="19">
        <v>0.874680502987491</v>
      </c>
      <c r="K66" s="19">
        <v>5.0026952978333601E-2</v>
      </c>
      <c r="L66" s="19"/>
      <c r="M66" s="19"/>
      <c r="N66" s="19"/>
      <c r="O66" s="19"/>
      <c r="P66" s="19"/>
    </row>
    <row r="67" spans="2:16" x14ac:dyDescent="0.2">
      <c r="B67" t="s">
        <v>669</v>
      </c>
      <c r="C67" t="s">
        <v>368</v>
      </c>
      <c r="D67" s="18">
        <v>42556.428055555552</v>
      </c>
      <c r="E67" t="s">
        <v>668</v>
      </c>
      <c r="F67" s="152"/>
      <c r="G67" s="152"/>
      <c r="H67" s="152">
        <v>0.88995132366672203</v>
      </c>
      <c r="I67" s="152">
        <v>0.12137505344279099</v>
      </c>
      <c r="J67" s="152">
        <v>0.83391668862680102</v>
      </c>
      <c r="K67" s="152">
        <v>6.9000578092155998E-2</v>
      </c>
      <c r="L67" s="152"/>
      <c r="M67" s="152"/>
      <c r="N67" s="152"/>
      <c r="O67" s="152"/>
      <c r="P67" s="152"/>
    </row>
    <row r="68" spans="2:16" x14ac:dyDescent="0.2">
      <c r="B68" t="s">
        <v>628</v>
      </c>
      <c r="C68" t="s">
        <v>368</v>
      </c>
      <c r="D68" s="18">
        <v>42556.428055555552</v>
      </c>
      <c r="E68" t="s">
        <v>89</v>
      </c>
      <c r="F68" s="152">
        <v>0.92819112720934704</v>
      </c>
      <c r="G68" s="152">
        <v>0.85756607609642799</v>
      </c>
      <c r="H68" s="152">
        <v>0.86165169908625405</v>
      </c>
      <c r="I68" s="152">
        <v>4.51309145133931E-2</v>
      </c>
      <c r="J68" s="152">
        <v>0.89202927531595</v>
      </c>
      <c r="K68" s="152">
        <v>4.4870385383623999E-2</v>
      </c>
      <c r="L68" s="152"/>
      <c r="M68" s="152"/>
      <c r="N68" s="152"/>
      <c r="O68" s="152"/>
      <c r="P68" s="152"/>
    </row>
    <row r="69" spans="2:16" x14ac:dyDescent="0.2">
      <c r="B69" t="s">
        <v>638</v>
      </c>
      <c r="C69" t="s">
        <v>389</v>
      </c>
      <c r="D69" s="18">
        <v>42556.428055555552</v>
      </c>
      <c r="E69" t="s">
        <v>185</v>
      </c>
      <c r="F69" s="152">
        <v>0.89528176687167305</v>
      </c>
      <c r="G69" s="152">
        <v>0.81572469942251202</v>
      </c>
      <c r="H69" s="152">
        <v>0.88588254887097195</v>
      </c>
      <c r="I69" s="152">
        <v>5.14555711729629E-2</v>
      </c>
      <c r="J69" s="152">
        <v>0.90787479215807598</v>
      </c>
      <c r="K69" s="152">
        <v>5.9673802601130498E-2</v>
      </c>
      <c r="L69" s="152"/>
      <c r="M69" s="152"/>
      <c r="N69" s="152"/>
      <c r="O69" s="152"/>
      <c r="P69" s="152"/>
    </row>
    <row r="70" spans="2:16" x14ac:dyDescent="0.2">
      <c r="B70" t="s">
        <v>642</v>
      </c>
      <c r="C70" t="s">
        <v>368</v>
      </c>
      <c r="D70" s="18">
        <v>42556.428055555552</v>
      </c>
      <c r="E70" t="s">
        <v>187</v>
      </c>
      <c r="F70" s="152">
        <v>0.93471966306922905</v>
      </c>
      <c r="G70" s="152">
        <v>0.88203017832647501</v>
      </c>
      <c r="H70" s="152">
        <v>0.85926204227565595</v>
      </c>
      <c r="I70" s="152">
        <v>4.8008498261212298E-2</v>
      </c>
      <c r="J70" s="152">
        <v>0.918353174603175</v>
      </c>
      <c r="K70" s="152">
        <v>5.0309632027787897E-2</v>
      </c>
      <c r="L70" s="152"/>
      <c r="M70" s="152"/>
      <c r="N70" s="152"/>
      <c r="O70" s="152"/>
      <c r="P70" s="152"/>
    </row>
    <row r="71" spans="2:16" x14ac:dyDescent="0.2">
      <c r="B71" t="s">
        <v>542</v>
      </c>
      <c r="C71" t="s">
        <v>368</v>
      </c>
      <c r="D71" s="18">
        <v>42556.428055555552</v>
      </c>
      <c r="E71" t="s">
        <v>147</v>
      </c>
      <c r="F71" s="152">
        <v>0.97516311507695497</v>
      </c>
      <c r="G71" s="152">
        <v>0.89462189025807903</v>
      </c>
      <c r="H71" s="152">
        <v>0.86190657684410998</v>
      </c>
      <c r="I71" s="152">
        <v>4.8293107088046502E-2</v>
      </c>
      <c r="J71" s="152">
        <v>0.92634233480790296</v>
      </c>
      <c r="K71" s="152">
        <v>4.5502998631029898E-2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949</v>
      </c>
      <c r="C2" t="s">
        <v>950</v>
      </c>
      <c r="D2" t="s">
        <v>133</v>
      </c>
      <c r="F2" t="s">
        <v>944</v>
      </c>
      <c r="G2" t="s">
        <v>931</v>
      </c>
      <c r="H2" t="s">
        <v>932</v>
      </c>
      <c r="I2" t="s">
        <v>933</v>
      </c>
      <c r="J2" t="s">
        <v>934</v>
      </c>
      <c r="K2" t="s">
        <v>935</v>
      </c>
      <c r="L2" t="s">
        <v>936</v>
      </c>
      <c r="M2" t="s">
        <v>937</v>
      </c>
      <c r="N2" t="s">
        <v>938</v>
      </c>
      <c r="O2" t="s">
        <v>939</v>
      </c>
      <c r="P2" t="s">
        <v>940</v>
      </c>
      <c r="Q2" t="s">
        <v>941</v>
      </c>
      <c r="R2" t="s">
        <v>942</v>
      </c>
      <c r="S2" t="s">
        <v>943</v>
      </c>
      <c r="V2" t="s">
        <v>945</v>
      </c>
      <c r="W2" t="s">
        <v>931</v>
      </c>
      <c r="X2" t="s">
        <v>932</v>
      </c>
      <c r="Y2" t="s">
        <v>933</v>
      </c>
      <c r="Z2" t="s">
        <v>934</v>
      </c>
      <c r="AA2" t="s">
        <v>935</v>
      </c>
      <c r="AB2" t="s">
        <v>936</v>
      </c>
      <c r="AC2" t="s">
        <v>937</v>
      </c>
      <c r="AD2" t="s">
        <v>938</v>
      </c>
      <c r="AE2" t="s">
        <v>939</v>
      </c>
      <c r="AF2" t="s">
        <v>940</v>
      </c>
      <c r="AG2" t="s">
        <v>941</v>
      </c>
      <c r="AH2" t="s">
        <v>942</v>
      </c>
      <c r="AI2" t="s">
        <v>943</v>
      </c>
      <c r="AL2" t="s">
        <v>946</v>
      </c>
      <c r="AM2" t="s">
        <v>931</v>
      </c>
      <c r="AN2" t="s">
        <v>932</v>
      </c>
      <c r="AO2" t="s">
        <v>933</v>
      </c>
      <c r="AP2" t="s">
        <v>934</v>
      </c>
      <c r="AQ2" t="s">
        <v>935</v>
      </c>
      <c r="AR2" t="s">
        <v>936</v>
      </c>
      <c r="AS2" t="s">
        <v>937</v>
      </c>
      <c r="AT2" t="s">
        <v>938</v>
      </c>
      <c r="AU2" t="s">
        <v>939</v>
      </c>
      <c r="AV2" t="s">
        <v>940</v>
      </c>
      <c r="AW2" t="s">
        <v>941</v>
      </c>
      <c r="AX2" t="s">
        <v>942</v>
      </c>
      <c r="AY2" t="s">
        <v>943</v>
      </c>
    </row>
    <row r="3" spans="2:51" x14ac:dyDescent="0.2">
      <c r="B3" t="s">
        <v>952</v>
      </c>
      <c r="C3">
        <v>407622</v>
      </c>
      <c r="D3">
        <v>397.62613662860002</v>
      </c>
      <c r="F3" t="s">
        <v>8</v>
      </c>
      <c r="G3">
        <v>11262</v>
      </c>
      <c r="P3">
        <v>11262</v>
      </c>
      <c r="Q3">
        <v>177.0403161353</v>
      </c>
      <c r="V3" t="s">
        <v>309</v>
      </c>
      <c r="W3">
        <v>336</v>
      </c>
      <c r="X3">
        <v>216</v>
      </c>
      <c r="Y3">
        <v>349.587962963</v>
      </c>
      <c r="Z3">
        <v>89</v>
      </c>
      <c r="AA3">
        <v>441.13483146070001</v>
      </c>
      <c r="AB3">
        <v>84</v>
      </c>
      <c r="AC3">
        <v>420.0833333333</v>
      </c>
      <c r="AD3">
        <v>25</v>
      </c>
      <c r="AE3">
        <v>708.44</v>
      </c>
      <c r="AF3">
        <v>11</v>
      </c>
      <c r="AG3">
        <v>245.45454545449999</v>
      </c>
      <c r="AL3" t="s">
        <v>309</v>
      </c>
      <c r="AM3">
        <v>1</v>
      </c>
      <c r="AP3">
        <v>1</v>
      </c>
      <c r="AQ3">
        <v>337</v>
      </c>
      <c r="AR3">
        <v>1</v>
      </c>
      <c r="AS3">
        <v>64</v>
      </c>
    </row>
    <row r="4" spans="2:51" x14ac:dyDescent="0.2">
      <c r="B4" t="s">
        <v>951</v>
      </c>
      <c r="C4">
        <v>34321</v>
      </c>
      <c r="D4">
        <v>397.62613662860002</v>
      </c>
      <c r="F4" t="s">
        <v>8</v>
      </c>
      <c r="G4">
        <v>11262</v>
      </c>
      <c r="P4">
        <v>11262</v>
      </c>
      <c r="Q4">
        <v>177.0403161353</v>
      </c>
      <c r="V4" t="s">
        <v>8</v>
      </c>
      <c r="W4">
        <v>4301</v>
      </c>
      <c r="X4">
        <v>3182</v>
      </c>
      <c r="Y4">
        <v>483.54416850050001</v>
      </c>
      <c r="Z4">
        <v>535</v>
      </c>
      <c r="AA4">
        <v>472.09532710280001</v>
      </c>
      <c r="AB4">
        <v>469</v>
      </c>
      <c r="AC4">
        <v>416.24307036250002</v>
      </c>
      <c r="AD4">
        <v>613</v>
      </c>
      <c r="AE4">
        <v>841.76835236540001</v>
      </c>
      <c r="AF4">
        <v>34</v>
      </c>
      <c r="AG4">
        <v>406.5</v>
      </c>
      <c r="AH4">
        <v>3</v>
      </c>
      <c r="AI4">
        <v>437.3333333333</v>
      </c>
      <c r="AL4" t="s">
        <v>8</v>
      </c>
      <c r="AM4">
        <v>39</v>
      </c>
      <c r="AN4">
        <v>35</v>
      </c>
      <c r="AO4">
        <v>211.6285714286</v>
      </c>
      <c r="AP4">
        <v>10</v>
      </c>
      <c r="AQ4">
        <v>379.6</v>
      </c>
      <c r="AR4">
        <v>4</v>
      </c>
      <c r="AS4">
        <v>143</v>
      </c>
    </row>
    <row r="5" spans="2:51" x14ac:dyDescent="0.2">
      <c r="B5" t="s">
        <v>963</v>
      </c>
      <c r="C5">
        <v>29755</v>
      </c>
      <c r="D5">
        <v>558.69074105189998</v>
      </c>
      <c r="F5" t="s">
        <v>43</v>
      </c>
      <c r="G5">
        <v>579</v>
      </c>
      <c r="H5">
        <v>498</v>
      </c>
      <c r="I5">
        <v>266.75100401610001</v>
      </c>
      <c r="J5">
        <v>52</v>
      </c>
      <c r="K5">
        <v>576.46153846150003</v>
      </c>
      <c r="L5">
        <v>69</v>
      </c>
      <c r="M5">
        <v>163.17391304349999</v>
      </c>
      <c r="N5">
        <v>12</v>
      </c>
      <c r="O5">
        <v>407</v>
      </c>
      <c r="V5" t="s">
        <v>8</v>
      </c>
      <c r="W5">
        <v>4637</v>
      </c>
      <c r="X5">
        <v>3398</v>
      </c>
      <c r="Y5">
        <v>475.02649396530001</v>
      </c>
      <c r="Z5">
        <v>624</v>
      </c>
      <c r="AA5">
        <v>467.67948717949997</v>
      </c>
      <c r="AB5">
        <v>553</v>
      </c>
      <c r="AC5">
        <v>416.8264014467</v>
      </c>
      <c r="AD5">
        <v>638</v>
      </c>
      <c r="AE5">
        <v>836.54388714729998</v>
      </c>
      <c r="AF5">
        <v>45</v>
      </c>
      <c r="AG5">
        <v>367.13333333330002</v>
      </c>
      <c r="AH5">
        <v>3</v>
      </c>
      <c r="AI5">
        <v>437.3333333333</v>
      </c>
      <c r="AL5" t="s">
        <v>8</v>
      </c>
      <c r="AM5">
        <v>40</v>
      </c>
      <c r="AN5">
        <v>35</v>
      </c>
      <c r="AO5">
        <v>211.6285714286</v>
      </c>
      <c r="AP5">
        <v>11</v>
      </c>
      <c r="AQ5">
        <v>375.72727272729998</v>
      </c>
      <c r="AR5">
        <v>5</v>
      </c>
      <c r="AS5">
        <v>127.2</v>
      </c>
    </row>
    <row r="6" spans="2:51" x14ac:dyDescent="0.2">
      <c r="B6" t="s">
        <v>241</v>
      </c>
      <c r="C6">
        <v>51809</v>
      </c>
      <c r="D6">
        <v>531.71665154699997</v>
      </c>
      <c r="F6" t="s">
        <v>37</v>
      </c>
      <c r="G6">
        <v>8293</v>
      </c>
      <c r="H6">
        <v>6701</v>
      </c>
      <c r="I6">
        <v>445.27458588270002</v>
      </c>
      <c r="J6">
        <v>395</v>
      </c>
      <c r="K6">
        <v>970.68101265819996</v>
      </c>
      <c r="L6">
        <v>1072</v>
      </c>
      <c r="M6">
        <v>632.15205223880002</v>
      </c>
      <c r="N6">
        <v>499</v>
      </c>
      <c r="O6">
        <v>591.11022044089998</v>
      </c>
      <c r="R6">
        <v>21</v>
      </c>
      <c r="S6">
        <v>551.38095238100004</v>
      </c>
      <c r="V6" t="s">
        <v>398</v>
      </c>
      <c r="W6">
        <v>1503</v>
      </c>
      <c r="X6">
        <v>861</v>
      </c>
      <c r="Y6">
        <v>193.54006968639999</v>
      </c>
      <c r="Z6">
        <v>176</v>
      </c>
      <c r="AA6">
        <v>307.28409090909997</v>
      </c>
      <c r="AB6">
        <v>455</v>
      </c>
      <c r="AC6">
        <v>308.5934065934</v>
      </c>
      <c r="AD6">
        <v>121</v>
      </c>
      <c r="AE6">
        <v>310.33884297520001</v>
      </c>
      <c r="AF6">
        <v>63</v>
      </c>
      <c r="AG6">
        <v>194</v>
      </c>
      <c r="AH6">
        <v>3</v>
      </c>
      <c r="AI6">
        <v>207</v>
      </c>
      <c r="AL6" t="s">
        <v>398</v>
      </c>
      <c r="AM6">
        <v>31</v>
      </c>
      <c r="AN6">
        <v>23</v>
      </c>
      <c r="AO6">
        <v>123.86956521739999</v>
      </c>
      <c r="AP6">
        <v>18</v>
      </c>
      <c r="AQ6">
        <v>229.8333333333</v>
      </c>
      <c r="AR6">
        <v>8</v>
      </c>
      <c r="AS6">
        <v>263.625</v>
      </c>
    </row>
    <row r="7" spans="2:51" x14ac:dyDescent="0.2">
      <c r="B7" t="s">
        <v>240</v>
      </c>
      <c r="C7">
        <v>232530</v>
      </c>
      <c r="D7">
        <v>409.13774981400002</v>
      </c>
      <c r="F7" t="s">
        <v>42</v>
      </c>
      <c r="G7">
        <v>4968</v>
      </c>
      <c r="H7">
        <v>3472</v>
      </c>
      <c r="I7">
        <v>378.69585253460002</v>
      </c>
      <c r="J7">
        <v>992</v>
      </c>
      <c r="K7">
        <v>473.40322580650002</v>
      </c>
      <c r="L7">
        <v>906</v>
      </c>
      <c r="M7">
        <v>445.266004415</v>
      </c>
      <c r="N7">
        <v>545</v>
      </c>
      <c r="O7">
        <v>401.53944954129997</v>
      </c>
      <c r="R7">
        <v>45</v>
      </c>
      <c r="S7">
        <v>405.1111111111</v>
      </c>
      <c r="V7" t="s">
        <v>390</v>
      </c>
      <c r="W7">
        <v>12664</v>
      </c>
      <c r="X7">
        <v>9374</v>
      </c>
      <c r="Y7">
        <v>646.03413697459996</v>
      </c>
      <c r="Z7">
        <v>758</v>
      </c>
      <c r="AA7">
        <v>954.41688654350003</v>
      </c>
      <c r="AB7">
        <v>2304</v>
      </c>
      <c r="AC7">
        <v>1112.29296875</v>
      </c>
      <c r="AD7">
        <v>755</v>
      </c>
      <c r="AE7">
        <v>905.65165562909999</v>
      </c>
      <c r="AF7">
        <v>214</v>
      </c>
      <c r="AG7">
        <v>176.47663551400001</v>
      </c>
      <c r="AH7">
        <v>17</v>
      </c>
      <c r="AI7">
        <v>863.0588235294</v>
      </c>
      <c r="AL7" t="s">
        <v>390</v>
      </c>
      <c r="AM7">
        <v>292</v>
      </c>
      <c r="AN7">
        <v>196</v>
      </c>
      <c r="AO7">
        <v>372.23469387760002</v>
      </c>
      <c r="AP7">
        <v>34</v>
      </c>
      <c r="AQ7">
        <v>870.20588235289995</v>
      </c>
      <c r="AR7">
        <v>93</v>
      </c>
      <c r="AS7">
        <v>338.73118279570002</v>
      </c>
      <c r="AT7">
        <v>3</v>
      </c>
      <c r="AU7">
        <v>746</v>
      </c>
    </row>
    <row r="8" spans="2:51" x14ac:dyDescent="0.2">
      <c r="B8" t="s">
        <v>242</v>
      </c>
      <c r="C8">
        <v>22463</v>
      </c>
      <c r="D8">
        <v>506.71854820750002</v>
      </c>
      <c r="F8" t="s">
        <v>50</v>
      </c>
      <c r="G8">
        <v>1045</v>
      </c>
      <c r="H8">
        <v>441</v>
      </c>
      <c r="I8">
        <v>277.89342403630002</v>
      </c>
      <c r="J8">
        <v>547</v>
      </c>
      <c r="K8">
        <v>342.77330895799997</v>
      </c>
      <c r="L8">
        <v>445</v>
      </c>
      <c r="M8">
        <v>174.37977528089999</v>
      </c>
      <c r="N8">
        <v>158</v>
      </c>
      <c r="O8">
        <v>206.72151898729999</v>
      </c>
      <c r="R8">
        <v>1</v>
      </c>
      <c r="S8">
        <v>243</v>
      </c>
      <c r="V8" t="s">
        <v>421</v>
      </c>
      <c r="W8">
        <v>1359</v>
      </c>
      <c r="X8">
        <v>941</v>
      </c>
      <c r="Y8">
        <v>213.94899043570001</v>
      </c>
      <c r="Z8">
        <v>163</v>
      </c>
      <c r="AA8">
        <v>335.99386503070002</v>
      </c>
      <c r="AB8">
        <v>148</v>
      </c>
      <c r="AC8">
        <v>176.89864864859999</v>
      </c>
      <c r="AD8">
        <v>170</v>
      </c>
      <c r="AE8">
        <v>391.1176470588</v>
      </c>
      <c r="AF8">
        <v>95</v>
      </c>
      <c r="AG8">
        <v>150.62105263160001</v>
      </c>
      <c r="AH8">
        <v>5</v>
      </c>
      <c r="AI8">
        <v>371.2</v>
      </c>
      <c r="AL8" t="s">
        <v>421</v>
      </c>
      <c r="AM8">
        <v>24</v>
      </c>
      <c r="AN8">
        <v>19</v>
      </c>
      <c r="AO8">
        <v>140.26315789469999</v>
      </c>
      <c r="AP8">
        <v>9</v>
      </c>
      <c r="AQ8">
        <v>331.2222222222</v>
      </c>
      <c r="AR8">
        <v>5</v>
      </c>
      <c r="AS8">
        <v>240.6</v>
      </c>
    </row>
    <row r="9" spans="2:51" x14ac:dyDescent="0.2">
      <c r="B9" t="s">
        <v>243</v>
      </c>
      <c r="C9">
        <v>11262</v>
      </c>
      <c r="D9">
        <v>177.0403161353</v>
      </c>
      <c r="F9" t="s">
        <v>81</v>
      </c>
      <c r="G9">
        <v>1352</v>
      </c>
      <c r="H9">
        <v>1030</v>
      </c>
      <c r="I9">
        <v>245.44660194170001</v>
      </c>
      <c r="J9">
        <v>217</v>
      </c>
      <c r="K9">
        <v>384.10599078339999</v>
      </c>
      <c r="L9">
        <v>136</v>
      </c>
      <c r="M9">
        <v>129.25</v>
      </c>
      <c r="N9">
        <v>182</v>
      </c>
      <c r="O9">
        <v>376.33516483519998</v>
      </c>
      <c r="R9">
        <v>4</v>
      </c>
      <c r="S9">
        <v>201.25</v>
      </c>
      <c r="V9" t="s">
        <v>391</v>
      </c>
      <c r="W9">
        <v>8134</v>
      </c>
      <c r="X9">
        <v>6269</v>
      </c>
      <c r="Y9">
        <v>504.62721327169999</v>
      </c>
      <c r="Z9">
        <v>454</v>
      </c>
      <c r="AA9">
        <v>910.38105726870003</v>
      </c>
      <c r="AB9">
        <v>1353</v>
      </c>
      <c r="AC9">
        <v>895.91130820399997</v>
      </c>
      <c r="AD9">
        <v>388</v>
      </c>
      <c r="AE9">
        <v>694.37371134019997</v>
      </c>
      <c r="AF9">
        <v>122</v>
      </c>
      <c r="AG9">
        <v>158.84426229510001</v>
      </c>
      <c r="AH9">
        <v>2</v>
      </c>
      <c r="AI9">
        <v>297.5</v>
      </c>
      <c r="AL9" t="s">
        <v>391</v>
      </c>
      <c r="AM9">
        <v>143</v>
      </c>
      <c r="AN9">
        <v>111</v>
      </c>
      <c r="AO9">
        <v>348.15315315319998</v>
      </c>
      <c r="AP9">
        <v>19</v>
      </c>
      <c r="AQ9">
        <v>744.05263157889999</v>
      </c>
      <c r="AR9">
        <v>30</v>
      </c>
      <c r="AS9">
        <v>199.3</v>
      </c>
      <c r="AT9">
        <v>2</v>
      </c>
      <c r="AU9">
        <v>27</v>
      </c>
    </row>
    <row r="10" spans="2:51" x14ac:dyDescent="0.2">
      <c r="B10" t="s">
        <v>947</v>
      </c>
      <c r="C10">
        <v>596</v>
      </c>
      <c r="D10">
        <v>455.25503355699999</v>
      </c>
      <c r="F10" t="s">
        <v>76</v>
      </c>
      <c r="G10">
        <v>3712</v>
      </c>
      <c r="H10">
        <v>1755</v>
      </c>
      <c r="I10">
        <v>208.89914529910001</v>
      </c>
      <c r="J10">
        <v>960</v>
      </c>
      <c r="K10">
        <v>322.36562500000002</v>
      </c>
      <c r="L10">
        <v>1883</v>
      </c>
      <c r="M10">
        <v>360.19277748270002</v>
      </c>
      <c r="N10">
        <v>73</v>
      </c>
      <c r="O10">
        <v>253.46575342470001</v>
      </c>
      <c r="R10">
        <v>1</v>
      </c>
      <c r="S10">
        <v>358</v>
      </c>
      <c r="V10" t="s">
        <v>393</v>
      </c>
      <c r="W10">
        <v>8441</v>
      </c>
      <c r="X10">
        <v>6600</v>
      </c>
      <c r="Y10">
        <v>444.22833333329999</v>
      </c>
      <c r="Z10">
        <v>408</v>
      </c>
      <c r="AA10">
        <v>932.72549019610005</v>
      </c>
      <c r="AB10">
        <v>1071</v>
      </c>
      <c r="AC10">
        <v>626.00466853410001</v>
      </c>
      <c r="AD10">
        <v>497</v>
      </c>
      <c r="AE10">
        <v>571.86317907440002</v>
      </c>
      <c r="AF10">
        <v>252</v>
      </c>
      <c r="AG10">
        <v>166.30952380950001</v>
      </c>
      <c r="AH10">
        <v>21</v>
      </c>
      <c r="AI10">
        <v>551.38095238100004</v>
      </c>
      <c r="AL10" t="s">
        <v>393</v>
      </c>
      <c r="AM10">
        <v>302</v>
      </c>
      <c r="AN10">
        <v>192</v>
      </c>
      <c r="AO10">
        <v>379.1302083333</v>
      </c>
      <c r="AP10">
        <v>37</v>
      </c>
      <c r="AQ10">
        <v>571.48648648649998</v>
      </c>
      <c r="AR10">
        <v>104</v>
      </c>
      <c r="AS10">
        <v>404.30769230769999</v>
      </c>
      <c r="AT10">
        <v>6</v>
      </c>
      <c r="AU10">
        <v>281.5</v>
      </c>
    </row>
    <row r="11" spans="2:51" x14ac:dyDescent="0.2">
      <c r="F11" t="s">
        <v>38</v>
      </c>
      <c r="G11">
        <v>12584</v>
      </c>
      <c r="H11">
        <v>9447</v>
      </c>
      <c r="I11">
        <v>653.53011538049998</v>
      </c>
      <c r="J11">
        <v>650</v>
      </c>
      <c r="K11">
        <v>1004.0953846154</v>
      </c>
      <c r="L11">
        <v>2356</v>
      </c>
      <c r="M11">
        <v>1129.5653650254999</v>
      </c>
      <c r="N11">
        <v>765</v>
      </c>
      <c r="O11">
        <v>913.94248366010004</v>
      </c>
      <c r="R11">
        <v>16</v>
      </c>
      <c r="S11">
        <v>884.75</v>
      </c>
      <c r="V11" t="s">
        <v>394</v>
      </c>
      <c r="W11">
        <v>5091</v>
      </c>
      <c r="X11">
        <v>3310</v>
      </c>
      <c r="Y11">
        <v>366.8782477341</v>
      </c>
      <c r="Z11">
        <v>808</v>
      </c>
      <c r="AA11">
        <v>427.21163366339999</v>
      </c>
      <c r="AB11">
        <v>906</v>
      </c>
      <c r="AC11">
        <v>459.69205298010002</v>
      </c>
      <c r="AD11">
        <v>538</v>
      </c>
      <c r="AE11">
        <v>409.50743494419999</v>
      </c>
      <c r="AF11">
        <v>290</v>
      </c>
      <c r="AG11">
        <v>169.05862068970001</v>
      </c>
      <c r="AH11">
        <v>47</v>
      </c>
      <c r="AI11">
        <v>394.21276595739999</v>
      </c>
      <c r="AL11" t="s">
        <v>394</v>
      </c>
      <c r="AM11">
        <v>224</v>
      </c>
      <c r="AN11">
        <v>174</v>
      </c>
      <c r="AO11">
        <v>355.43103448279999</v>
      </c>
      <c r="AP11">
        <v>24</v>
      </c>
      <c r="AQ11">
        <v>498.2916666667</v>
      </c>
      <c r="AR11">
        <v>43</v>
      </c>
      <c r="AS11">
        <v>329.18604651160001</v>
      </c>
      <c r="AT11">
        <v>7</v>
      </c>
      <c r="AU11">
        <v>513.57142857140002</v>
      </c>
    </row>
    <row r="12" spans="2:51" x14ac:dyDescent="0.2">
      <c r="F12" t="s">
        <v>56</v>
      </c>
      <c r="G12">
        <v>3148</v>
      </c>
      <c r="H12">
        <v>2689</v>
      </c>
      <c r="I12">
        <v>334.32651543319997</v>
      </c>
      <c r="J12">
        <v>408</v>
      </c>
      <c r="K12">
        <v>342.4362745098</v>
      </c>
      <c r="L12">
        <v>411</v>
      </c>
      <c r="M12">
        <v>317.84671532850001</v>
      </c>
      <c r="N12">
        <v>48</v>
      </c>
      <c r="O12">
        <v>137.4166666667</v>
      </c>
      <c r="V12" t="s">
        <v>396</v>
      </c>
      <c r="W12">
        <v>6141</v>
      </c>
      <c r="X12">
        <v>5178</v>
      </c>
      <c r="Y12">
        <v>289.6332560834</v>
      </c>
      <c r="Z12">
        <v>661</v>
      </c>
      <c r="AA12">
        <v>536.43267776100004</v>
      </c>
      <c r="AB12">
        <v>336</v>
      </c>
      <c r="AC12">
        <v>205.36904761900001</v>
      </c>
      <c r="AD12">
        <v>367</v>
      </c>
      <c r="AE12">
        <v>397.70572207079999</v>
      </c>
      <c r="AF12">
        <v>251</v>
      </c>
      <c r="AG12">
        <v>187.96414342630001</v>
      </c>
      <c r="AH12">
        <v>9</v>
      </c>
      <c r="AI12">
        <v>333.44444444440001</v>
      </c>
      <c r="AL12" t="s">
        <v>396</v>
      </c>
      <c r="AM12">
        <v>219</v>
      </c>
      <c r="AN12">
        <v>177</v>
      </c>
      <c r="AO12">
        <v>336.90395480230001</v>
      </c>
      <c r="AP12">
        <v>14</v>
      </c>
      <c r="AQ12">
        <v>648.21428571429999</v>
      </c>
      <c r="AR12">
        <v>38</v>
      </c>
      <c r="AS12">
        <v>259.02631578950002</v>
      </c>
      <c r="AT12">
        <v>4</v>
      </c>
      <c r="AU12">
        <v>93.75</v>
      </c>
    </row>
    <row r="13" spans="2:51" x14ac:dyDescent="0.2">
      <c r="F13" t="s">
        <v>75</v>
      </c>
      <c r="G13">
        <v>5790</v>
      </c>
      <c r="H13">
        <v>5142</v>
      </c>
      <c r="I13">
        <v>284.02664332939997</v>
      </c>
      <c r="J13">
        <v>656</v>
      </c>
      <c r="K13">
        <v>535.10670731710002</v>
      </c>
      <c r="L13">
        <v>272</v>
      </c>
      <c r="M13">
        <v>131.0919117647</v>
      </c>
      <c r="N13">
        <v>366</v>
      </c>
      <c r="O13">
        <v>398.59562841529998</v>
      </c>
      <c r="R13">
        <v>10</v>
      </c>
      <c r="S13">
        <v>330.3</v>
      </c>
      <c r="V13" t="s">
        <v>399</v>
      </c>
      <c r="W13">
        <v>1029</v>
      </c>
      <c r="X13">
        <v>277</v>
      </c>
      <c r="Y13">
        <v>136.77256317690001</v>
      </c>
      <c r="Z13">
        <v>328</v>
      </c>
      <c r="AA13">
        <v>213.58841463409999</v>
      </c>
      <c r="AB13">
        <v>462</v>
      </c>
      <c r="AC13">
        <v>219.7012987013</v>
      </c>
      <c r="AD13">
        <v>161</v>
      </c>
      <c r="AE13">
        <v>212.96273291930001</v>
      </c>
      <c r="AF13">
        <v>128</v>
      </c>
      <c r="AG13">
        <v>169.265625</v>
      </c>
      <c r="AH13">
        <v>1</v>
      </c>
      <c r="AI13">
        <v>243</v>
      </c>
      <c r="AL13" t="s">
        <v>399</v>
      </c>
      <c r="AM13">
        <v>18</v>
      </c>
      <c r="AN13">
        <v>10</v>
      </c>
      <c r="AO13">
        <v>143</v>
      </c>
      <c r="AP13">
        <v>1</v>
      </c>
      <c r="AQ13">
        <v>274</v>
      </c>
      <c r="AR13">
        <v>5</v>
      </c>
      <c r="AS13">
        <v>81.2</v>
      </c>
      <c r="AT13">
        <v>3</v>
      </c>
      <c r="AU13">
        <v>98.333333333300004</v>
      </c>
    </row>
    <row r="14" spans="2:51" x14ac:dyDescent="0.2">
      <c r="F14" t="s">
        <v>41</v>
      </c>
      <c r="G14">
        <v>1488</v>
      </c>
      <c r="H14">
        <v>891</v>
      </c>
      <c r="I14">
        <v>196.91806958469999</v>
      </c>
      <c r="J14">
        <v>224</v>
      </c>
      <c r="K14">
        <v>367.37946428570001</v>
      </c>
      <c r="L14">
        <v>468</v>
      </c>
      <c r="M14">
        <v>299.9166666667</v>
      </c>
      <c r="N14">
        <v>126</v>
      </c>
      <c r="O14">
        <v>310.95238095240001</v>
      </c>
      <c r="R14">
        <v>3</v>
      </c>
      <c r="S14">
        <v>207</v>
      </c>
      <c r="V14" t="s">
        <v>400</v>
      </c>
      <c r="W14">
        <v>2112</v>
      </c>
      <c r="X14">
        <v>996</v>
      </c>
      <c r="Y14">
        <v>175.5853413655</v>
      </c>
      <c r="Z14">
        <v>563</v>
      </c>
      <c r="AA14">
        <v>215.2451154529</v>
      </c>
      <c r="AB14">
        <v>878</v>
      </c>
      <c r="AC14">
        <v>279.76765375849999</v>
      </c>
      <c r="AD14">
        <v>66</v>
      </c>
      <c r="AE14">
        <v>267.3333333333</v>
      </c>
      <c r="AF14">
        <v>172</v>
      </c>
      <c r="AG14">
        <v>144.62209302330001</v>
      </c>
      <c r="AL14" t="s">
        <v>400</v>
      </c>
      <c r="AM14">
        <v>31</v>
      </c>
      <c r="AN14">
        <v>23</v>
      </c>
      <c r="AO14">
        <v>100</v>
      </c>
      <c r="AP14">
        <v>17</v>
      </c>
      <c r="AQ14">
        <v>254.3529411765</v>
      </c>
      <c r="AR14">
        <v>5</v>
      </c>
      <c r="AS14">
        <v>117.2</v>
      </c>
      <c r="AT14">
        <v>3</v>
      </c>
      <c r="AU14">
        <v>176.3333333333</v>
      </c>
    </row>
    <row r="15" spans="2:51" x14ac:dyDescent="0.2">
      <c r="F15" t="s">
        <v>74</v>
      </c>
      <c r="G15">
        <v>236</v>
      </c>
      <c r="H15">
        <v>109</v>
      </c>
      <c r="I15">
        <v>290.3302752294</v>
      </c>
      <c r="J15">
        <v>130</v>
      </c>
      <c r="K15">
        <v>286.62307692309997</v>
      </c>
      <c r="L15">
        <v>81</v>
      </c>
      <c r="M15">
        <v>250.91358024690001</v>
      </c>
      <c r="N15">
        <v>42</v>
      </c>
      <c r="O15">
        <v>200.73809523809999</v>
      </c>
      <c r="R15">
        <v>4</v>
      </c>
      <c r="S15">
        <v>391</v>
      </c>
      <c r="V15" t="s">
        <v>395</v>
      </c>
      <c r="W15">
        <v>3206</v>
      </c>
      <c r="X15">
        <v>2636</v>
      </c>
      <c r="Y15">
        <v>339.01972685890001</v>
      </c>
      <c r="Z15">
        <v>400</v>
      </c>
      <c r="AA15">
        <v>347.72750000000002</v>
      </c>
      <c r="AB15">
        <v>414</v>
      </c>
      <c r="AC15">
        <v>316.6763285024</v>
      </c>
      <c r="AD15">
        <v>55</v>
      </c>
      <c r="AE15">
        <v>237.7272727273</v>
      </c>
      <c r="AF15">
        <v>100</v>
      </c>
      <c r="AG15">
        <v>149.78</v>
      </c>
      <c r="AH15">
        <v>1</v>
      </c>
      <c r="AI15">
        <v>256</v>
      </c>
      <c r="AL15" t="s">
        <v>395</v>
      </c>
      <c r="AM15">
        <v>95</v>
      </c>
      <c r="AN15">
        <v>73</v>
      </c>
      <c r="AO15">
        <v>343.78082191779998</v>
      </c>
      <c r="AP15">
        <v>9</v>
      </c>
      <c r="AQ15">
        <v>422.7777777778</v>
      </c>
      <c r="AR15">
        <v>19</v>
      </c>
      <c r="AS15">
        <v>454.15789473680002</v>
      </c>
      <c r="AT15">
        <v>3</v>
      </c>
      <c r="AU15">
        <v>361</v>
      </c>
    </row>
    <row r="16" spans="2:51" x14ac:dyDescent="0.2">
      <c r="F16" t="s">
        <v>48</v>
      </c>
      <c r="G16">
        <v>8067</v>
      </c>
      <c r="H16">
        <v>6339</v>
      </c>
      <c r="I16">
        <v>510.85281590160002</v>
      </c>
      <c r="J16">
        <v>356</v>
      </c>
      <c r="K16">
        <v>1059.3146067416001</v>
      </c>
      <c r="L16">
        <v>1340</v>
      </c>
      <c r="M16">
        <v>925.40149253729999</v>
      </c>
      <c r="N16">
        <v>387</v>
      </c>
      <c r="O16">
        <v>698.91731266149998</v>
      </c>
      <c r="R16">
        <v>1</v>
      </c>
      <c r="S16">
        <v>366</v>
      </c>
      <c r="V16" t="s">
        <v>418</v>
      </c>
      <c r="W16">
        <v>460</v>
      </c>
      <c r="X16">
        <v>379</v>
      </c>
      <c r="Y16">
        <v>275.42744063319998</v>
      </c>
      <c r="Z16">
        <v>37</v>
      </c>
      <c r="AA16">
        <v>593.64864864859999</v>
      </c>
      <c r="AB16">
        <v>58</v>
      </c>
      <c r="AC16">
        <v>310.84482758619998</v>
      </c>
      <c r="AD16">
        <v>9</v>
      </c>
      <c r="AE16">
        <v>412</v>
      </c>
      <c r="AF16">
        <v>14</v>
      </c>
      <c r="AG16">
        <v>213.6428571429</v>
      </c>
      <c r="AL16" t="s">
        <v>418</v>
      </c>
      <c r="AM16">
        <v>4</v>
      </c>
      <c r="AN16">
        <v>3</v>
      </c>
      <c r="AO16">
        <v>67.333333333300004</v>
      </c>
      <c r="AP16">
        <v>3</v>
      </c>
      <c r="AQ16">
        <v>258.6666666667</v>
      </c>
      <c r="AR16">
        <v>1</v>
      </c>
      <c r="AS16">
        <v>131</v>
      </c>
    </row>
    <row r="17" spans="6:49" x14ac:dyDescent="0.2">
      <c r="F17" t="s">
        <v>389</v>
      </c>
      <c r="G17">
        <v>51262</v>
      </c>
      <c r="H17">
        <v>38514</v>
      </c>
      <c r="I17">
        <v>445.34979487980002</v>
      </c>
      <c r="J17">
        <v>5587</v>
      </c>
      <c r="K17">
        <v>555.46912475390002</v>
      </c>
      <c r="L17">
        <v>9439</v>
      </c>
      <c r="M17">
        <v>645.62220574210005</v>
      </c>
      <c r="N17">
        <v>3203</v>
      </c>
      <c r="O17">
        <v>564.49734623790005</v>
      </c>
      <c r="R17">
        <v>106</v>
      </c>
      <c r="S17">
        <v>483.25471698109999</v>
      </c>
      <c r="V17" t="s">
        <v>419</v>
      </c>
      <c r="W17">
        <v>192</v>
      </c>
      <c r="X17">
        <v>57</v>
      </c>
      <c r="Y17">
        <v>252.2105263158</v>
      </c>
      <c r="Z17">
        <v>31</v>
      </c>
      <c r="AA17">
        <v>244.45161290319999</v>
      </c>
      <c r="AB17">
        <v>46</v>
      </c>
      <c r="AC17">
        <v>328.04347826089997</v>
      </c>
      <c r="AD17">
        <v>44</v>
      </c>
      <c r="AE17">
        <v>266.6818181818</v>
      </c>
      <c r="AF17">
        <v>41</v>
      </c>
      <c r="AG17">
        <v>269.53658536590001</v>
      </c>
      <c r="AH17">
        <v>4</v>
      </c>
      <c r="AI17">
        <v>391</v>
      </c>
      <c r="AL17" t="s">
        <v>419</v>
      </c>
      <c r="AM17">
        <v>7</v>
      </c>
      <c r="AN17">
        <v>5</v>
      </c>
      <c r="AO17">
        <v>185.6</v>
      </c>
      <c r="AP17">
        <v>5</v>
      </c>
      <c r="AQ17">
        <v>171.6</v>
      </c>
      <c r="AR17">
        <v>2</v>
      </c>
      <c r="AS17">
        <v>282</v>
      </c>
    </row>
    <row r="18" spans="6:49" x14ac:dyDescent="0.2">
      <c r="F18" t="s">
        <v>68</v>
      </c>
      <c r="G18">
        <v>2971</v>
      </c>
      <c r="H18">
        <v>2445</v>
      </c>
      <c r="I18">
        <v>313.92719836399999</v>
      </c>
      <c r="J18">
        <v>363</v>
      </c>
      <c r="K18">
        <v>468.63911845730001</v>
      </c>
      <c r="L18">
        <v>356</v>
      </c>
      <c r="M18">
        <v>277.845505618</v>
      </c>
      <c r="N18">
        <v>167</v>
      </c>
      <c r="O18">
        <v>507.31736526949999</v>
      </c>
      <c r="R18">
        <v>3</v>
      </c>
      <c r="S18">
        <v>913</v>
      </c>
      <c r="V18" t="s">
        <v>389</v>
      </c>
      <c r="W18">
        <v>50332</v>
      </c>
      <c r="X18">
        <v>36878</v>
      </c>
      <c r="Y18">
        <v>446.29803676990002</v>
      </c>
      <c r="Z18">
        <v>4787</v>
      </c>
      <c r="AA18">
        <v>561.0622519323</v>
      </c>
      <c r="AB18">
        <v>8431</v>
      </c>
      <c r="AC18">
        <v>665.25667180640005</v>
      </c>
      <c r="AD18">
        <v>3171</v>
      </c>
      <c r="AE18">
        <v>563.91106906339996</v>
      </c>
      <c r="AF18">
        <v>1742</v>
      </c>
      <c r="AG18">
        <v>170.696326062</v>
      </c>
      <c r="AH18">
        <v>110</v>
      </c>
      <c r="AI18">
        <v>481.04545454549998</v>
      </c>
      <c r="AL18" t="s">
        <v>389</v>
      </c>
      <c r="AM18">
        <v>1390</v>
      </c>
      <c r="AN18">
        <v>1006</v>
      </c>
      <c r="AO18">
        <v>339.30715705770001</v>
      </c>
      <c r="AP18">
        <v>190</v>
      </c>
      <c r="AQ18">
        <v>542.41052631579998</v>
      </c>
      <c r="AR18">
        <v>353</v>
      </c>
      <c r="AS18">
        <v>331.88385269119999</v>
      </c>
      <c r="AT18">
        <v>31</v>
      </c>
      <c r="AU18">
        <v>318</v>
      </c>
    </row>
    <row r="19" spans="6:49" x14ac:dyDescent="0.2">
      <c r="F19" t="s">
        <v>34</v>
      </c>
      <c r="G19">
        <v>800</v>
      </c>
      <c r="H19">
        <v>514</v>
      </c>
      <c r="I19">
        <v>246.76848249029999</v>
      </c>
      <c r="J19">
        <v>134</v>
      </c>
      <c r="K19">
        <v>359.33582089549998</v>
      </c>
      <c r="L19">
        <v>138</v>
      </c>
      <c r="M19">
        <v>213.23188405799999</v>
      </c>
      <c r="N19">
        <v>144</v>
      </c>
      <c r="O19">
        <v>558.5625</v>
      </c>
      <c r="R19">
        <v>4</v>
      </c>
      <c r="S19">
        <v>312.75</v>
      </c>
      <c r="V19" t="s">
        <v>407</v>
      </c>
      <c r="W19">
        <v>874</v>
      </c>
      <c r="X19">
        <v>521</v>
      </c>
      <c r="Y19">
        <v>264.54702495200002</v>
      </c>
      <c r="Z19">
        <v>136</v>
      </c>
      <c r="AA19">
        <v>371.6029411765</v>
      </c>
      <c r="AB19">
        <v>141</v>
      </c>
      <c r="AC19">
        <v>236.21276595739999</v>
      </c>
      <c r="AD19">
        <v>139</v>
      </c>
      <c r="AE19">
        <v>540.64028776980001</v>
      </c>
      <c r="AF19">
        <v>69</v>
      </c>
      <c r="AG19">
        <v>198.0434782609</v>
      </c>
      <c r="AH19">
        <v>4</v>
      </c>
      <c r="AI19">
        <v>312.75</v>
      </c>
      <c r="AL19" t="s">
        <v>407</v>
      </c>
      <c r="AM19">
        <v>5</v>
      </c>
      <c r="AN19">
        <v>3</v>
      </c>
      <c r="AO19">
        <v>61</v>
      </c>
      <c r="AP19">
        <v>5</v>
      </c>
      <c r="AQ19">
        <v>244.6</v>
      </c>
      <c r="AR19">
        <v>2</v>
      </c>
      <c r="AS19">
        <v>108</v>
      </c>
    </row>
    <row r="20" spans="6:49" x14ac:dyDescent="0.2">
      <c r="F20" t="s">
        <v>55</v>
      </c>
      <c r="G20">
        <v>854</v>
      </c>
      <c r="H20">
        <v>351</v>
      </c>
      <c r="I20">
        <v>268.1111111111</v>
      </c>
      <c r="J20">
        <v>353</v>
      </c>
      <c r="K20">
        <v>348.99150141640001</v>
      </c>
      <c r="L20">
        <v>209</v>
      </c>
      <c r="M20">
        <v>238.98086124400001</v>
      </c>
      <c r="N20">
        <v>292</v>
      </c>
      <c r="O20">
        <v>608.31506849319999</v>
      </c>
      <c r="R20">
        <v>2</v>
      </c>
      <c r="S20">
        <v>570.5</v>
      </c>
      <c r="V20" t="s">
        <v>423</v>
      </c>
      <c r="W20">
        <v>261</v>
      </c>
      <c r="X20">
        <v>117</v>
      </c>
      <c r="Y20">
        <v>194.358974359</v>
      </c>
      <c r="Z20">
        <v>103</v>
      </c>
      <c r="AA20">
        <v>251.13592233009999</v>
      </c>
      <c r="AB20">
        <v>61</v>
      </c>
      <c r="AC20">
        <v>279.93442622949999</v>
      </c>
      <c r="AD20">
        <v>47</v>
      </c>
      <c r="AE20">
        <v>491.14893617019999</v>
      </c>
      <c r="AF20">
        <v>34</v>
      </c>
      <c r="AG20">
        <v>171.1176470588</v>
      </c>
      <c r="AH20">
        <v>2</v>
      </c>
      <c r="AI20">
        <v>535</v>
      </c>
      <c r="AL20" t="s">
        <v>423</v>
      </c>
      <c r="AM20">
        <v>3</v>
      </c>
      <c r="AN20">
        <v>2</v>
      </c>
      <c r="AO20">
        <v>213</v>
      </c>
      <c r="AP20">
        <v>1</v>
      </c>
      <c r="AQ20">
        <v>261</v>
      </c>
      <c r="AR20">
        <v>1</v>
      </c>
      <c r="AS20">
        <v>130</v>
      </c>
    </row>
    <row r="21" spans="6:49" x14ac:dyDescent="0.2">
      <c r="F21" t="s">
        <v>62</v>
      </c>
      <c r="G21">
        <v>8298</v>
      </c>
      <c r="H21">
        <v>7097</v>
      </c>
      <c r="I21">
        <v>390.11540087359998</v>
      </c>
      <c r="J21">
        <v>643</v>
      </c>
      <c r="K21">
        <v>680.84603421459997</v>
      </c>
      <c r="L21">
        <v>886</v>
      </c>
      <c r="M21">
        <v>501.61738148979998</v>
      </c>
      <c r="N21">
        <v>308</v>
      </c>
      <c r="O21">
        <v>488.77922077919999</v>
      </c>
      <c r="R21">
        <v>7</v>
      </c>
      <c r="S21">
        <v>295.85714285709997</v>
      </c>
      <c r="V21" t="s">
        <v>427</v>
      </c>
      <c r="W21">
        <v>1118</v>
      </c>
      <c r="X21">
        <v>793</v>
      </c>
      <c r="Y21">
        <v>312.86506935689999</v>
      </c>
      <c r="Z21">
        <v>225</v>
      </c>
      <c r="AA21">
        <v>398.6666666667</v>
      </c>
      <c r="AB21">
        <v>240</v>
      </c>
      <c r="AC21">
        <v>282.14166666670002</v>
      </c>
      <c r="AD21">
        <v>49</v>
      </c>
      <c r="AE21">
        <v>485.28571428570001</v>
      </c>
      <c r="AF21">
        <v>33</v>
      </c>
      <c r="AG21">
        <v>191.15151515150001</v>
      </c>
      <c r="AH21">
        <v>3</v>
      </c>
      <c r="AI21">
        <v>349</v>
      </c>
      <c r="AL21" t="s">
        <v>427</v>
      </c>
      <c r="AM21">
        <v>12</v>
      </c>
      <c r="AN21">
        <v>9</v>
      </c>
      <c r="AO21">
        <v>263.44444444440001</v>
      </c>
      <c r="AP21">
        <v>5</v>
      </c>
      <c r="AQ21">
        <v>232.6</v>
      </c>
      <c r="AR21">
        <v>3</v>
      </c>
      <c r="AS21">
        <v>142</v>
      </c>
    </row>
    <row r="22" spans="6:49" x14ac:dyDescent="0.2">
      <c r="F22" t="s">
        <v>64</v>
      </c>
      <c r="G22">
        <v>6798</v>
      </c>
      <c r="H22">
        <v>5167</v>
      </c>
      <c r="I22">
        <v>422.9641958583</v>
      </c>
      <c r="J22">
        <v>651</v>
      </c>
      <c r="K22">
        <v>629.35944700460004</v>
      </c>
      <c r="L22">
        <v>1252</v>
      </c>
      <c r="M22">
        <v>689.62140575080002</v>
      </c>
      <c r="N22">
        <v>360</v>
      </c>
      <c r="O22">
        <v>490.0972222222</v>
      </c>
      <c r="R22">
        <v>19</v>
      </c>
      <c r="S22">
        <v>591.47368421049998</v>
      </c>
      <c r="V22" t="s">
        <v>412</v>
      </c>
      <c r="W22">
        <v>2997</v>
      </c>
      <c r="X22">
        <v>2392</v>
      </c>
      <c r="Y22">
        <v>320.80100334449997</v>
      </c>
      <c r="Z22">
        <v>361</v>
      </c>
      <c r="AA22">
        <v>480.93628808860001</v>
      </c>
      <c r="AB22">
        <v>369</v>
      </c>
      <c r="AC22">
        <v>319.07046070460001</v>
      </c>
      <c r="AD22">
        <v>167</v>
      </c>
      <c r="AE22">
        <v>491.97604790420002</v>
      </c>
      <c r="AF22">
        <v>67</v>
      </c>
      <c r="AG22">
        <v>249</v>
      </c>
      <c r="AH22">
        <v>2</v>
      </c>
      <c r="AI22">
        <v>1281</v>
      </c>
      <c r="AL22" t="s">
        <v>412</v>
      </c>
      <c r="AM22">
        <v>31</v>
      </c>
      <c r="AN22">
        <v>22</v>
      </c>
      <c r="AO22">
        <v>140.95454545449999</v>
      </c>
      <c r="AP22">
        <v>15</v>
      </c>
      <c r="AQ22">
        <v>320.13333333330002</v>
      </c>
      <c r="AR22">
        <v>5</v>
      </c>
      <c r="AS22">
        <v>102</v>
      </c>
      <c r="AT22">
        <v>4</v>
      </c>
      <c r="AU22">
        <v>338</v>
      </c>
    </row>
    <row r="23" spans="6:49" x14ac:dyDescent="0.2">
      <c r="F23" t="s">
        <v>73</v>
      </c>
      <c r="G23">
        <v>4671</v>
      </c>
      <c r="H23">
        <v>3464</v>
      </c>
      <c r="I23">
        <v>285.89549653580002</v>
      </c>
      <c r="J23">
        <v>855</v>
      </c>
      <c r="K23">
        <v>375.2105263158</v>
      </c>
      <c r="L23">
        <v>946</v>
      </c>
      <c r="M23">
        <v>267.00317124740002</v>
      </c>
      <c r="N23">
        <v>244</v>
      </c>
      <c r="O23">
        <v>474.31147540979998</v>
      </c>
      <c r="R23">
        <v>17</v>
      </c>
      <c r="S23">
        <v>347.70588235290001</v>
      </c>
      <c r="V23" t="s">
        <v>408</v>
      </c>
      <c r="W23">
        <v>4783</v>
      </c>
      <c r="X23">
        <v>3399</v>
      </c>
      <c r="Y23">
        <v>395.77287437479998</v>
      </c>
      <c r="Z23">
        <v>445</v>
      </c>
      <c r="AA23">
        <v>516.1550561798</v>
      </c>
      <c r="AB23">
        <v>978</v>
      </c>
      <c r="AC23">
        <v>571.22699386500005</v>
      </c>
      <c r="AD23">
        <v>253</v>
      </c>
      <c r="AE23">
        <v>470.32806324109998</v>
      </c>
      <c r="AF23">
        <v>144</v>
      </c>
      <c r="AG23">
        <v>152.9652777778</v>
      </c>
      <c r="AH23">
        <v>9</v>
      </c>
      <c r="AI23">
        <v>335.7777777778</v>
      </c>
      <c r="AL23" t="s">
        <v>408</v>
      </c>
      <c r="AM23">
        <v>39</v>
      </c>
      <c r="AN23">
        <v>31</v>
      </c>
      <c r="AO23">
        <v>165.064516129</v>
      </c>
      <c r="AP23">
        <v>11</v>
      </c>
      <c r="AQ23">
        <v>327.63636363640001</v>
      </c>
      <c r="AR23">
        <v>8</v>
      </c>
      <c r="AS23">
        <v>98.875</v>
      </c>
    </row>
    <row r="24" spans="6:49" x14ac:dyDescent="0.2">
      <c r="F24" t="s">
        <v>45</v>
      </c>
      <c r="G24">
        <v>1304</v>
      </c>
      <c r="H24">
        <v>946</v>
      </c>
      <c r="I24">
        <v>307.46828752639999</v>
      </c>
      <c r="J24">
        <v>306</v>
      </c>
      <c r="K24">
        <v>393.5816993464</v>
      </c>
      <c r="L24">
        <v>303</v>
      </c>
      <c r="M24">
        <v>295.89768976900001</v>
      </c>
      <c r="N24">
        <v>52</v>
      </c>
      <c r="O24">
        <v>533.65384615380003</v>
      </c>
      <c r="R24">
        <v>3</v>
      </c>
      <c r="S24">
        <v>349</v>
      </c>
      <c r="V24" t="s">
        <v>425</v>
      </c>
      <c r="W24">
        <v>7000</v>
      </c>
      <c r="X24">
        <v>5168</v>
      </c>
      <c r="Y24">
        <v>423.21787925699999</v>
      </c>
      <c r="Z24">
        <v>654</v>
      </c>
      <c r="AA24">
        <v>619.83027522939994</v>
      </c>
      <c r="AB24">
        <v>1257</v>
      </c>
      <c r="AC24">
        <v>661.79156722350001</v>
      </c>
      <c r="AD24">
        <v>366</v>
      </c>
      <c r="AE24">
        <v>502.89890710380001</v>
      </c>
      <c r="AF24">
        <v>190</v>
      </c>
      <c r="AG24">
        <v>180.6157894737</v>
      </c>
      <c r="AH24">
        <v>19</v>
      </c>
      <c r="AI24">
        <v>636.10526315790003</v>
      </c>
      <c r="AL24" t="s">
        <v>425</v>
      </c>
      <c r="AM24">
        <v>53</v>
      </c>
      <c r="AN24">
        <v>38</v>
      </c>
      <c r="AO24">
        <v>186.65789473679999</v>
      </c>
      <c r="AP24">
        <v>35</v>
      </c>
      <c r="AQ24">
        <v>252.91428571430001</v>
      </c>
      <c r="AR24">
        <v>13</v>
      </c>
      <c r="AS24">
        <v>66</v>
      </c>
      <c r="AT24">
        <v>2</v>
      </c>
      <c r="AU24">
        <v>252</v>
      </c>
    </row>
    <row r="25" spans="6:49" x14ac:dyDescent="0.2">
      <c r="F25" t="s">
        <v>66</v>
      </c>
      <c r="G25">
        <v>4701</v>
      </c>
      <c r="H25">
        <v>3449</v>
      </c>
      <c r="I25">
        <v>401.789214265</v>
      </c>
      <c r="J25">
        <v>444</v>
      </c>
      <c r="K25">
        <v>518.81756756760001</v>
      </c>
      <c r="L25">
        <v>987</v>
      </c>
      <c r="M25">
        <v>581.48632218839998</v>
      </c>
      <c r="N25">
        <v>254</v>
      </c>
      <c r="O25">
        <v>512.14566929130001</v>
      </c>
      <c r="R25">
        <v>11</v>
      </c>
      <c r="S25">
        <v>340.1818181818</v>
      </c>
      <c r="V25" t="s">
        <v>406</v>
      </c>
      <c r="W25">
        <v>18080</v>
      </c>
      <c r="X25">
        <v>14562</v>
      </c>
      <c r="Y25">
        <v>332.43455569290001</v>
      </c>
      <c r="Z25">
        <v>2294</v>
      </c>
      <c r="AA25">
        <v>485.10200523100002</v>
      </c>
      <c r="AB25">
        <v>1995</v>
      </c>
      <c r="AC25">
        <v>353.9032581454</v>
      </c>
      <c r="AD25">
        <v>767</v>
      </c>
      <c r="AE25">
        <v>412.0664928292</v>
      </c>
      <c r="AF25">
        <v>743</v>
      </c>
      <c r="AG25">
        <v>177.37012113060001</v>
      </c>
      <c r="AH25">
        <v>13</v>
      </c>
      <c r="AI25">
        <v>278.46153846150003</v>
      </c>
      <c r="AL25" t="s">
        <v>406</v>
      </c>
      <c r="AM25">
        <v>278</v>
      </c>
      <c r="AN25">
        <v>207</v>
      </c>
      <c r="AO25">
        <v>145.72463768119999</v>
      </c>
      <c r="AP25">
        <v>140</v>
      </c>
      <c r="AQ25">
        <v>281.3</v>
      </c>
      <c r="AR25">
        <v>59</v>
      </c>
      <c r="AS25">
        <v>136.7118644068</v>
      </c>
      <c r="AT25">
        <v>11</v>
      </c>
      <c r="AU25">
        <v>195.36363636359999</v>
      </c>
      <c r="AV25">
        <v>1</v>
      </c>
      <c r="AW25">
        <v>1</v>
      </c>
    </row>
    <row r="26" spans="6:49" x14ac:dyDescent="0.2">
      <c r="F26" t="s">
        <v>32</v>
      </c>
      <c r="G26">
        <v>190</v>
      </c>
      <c r="H26">
        <v>96</v>
      </c>
      <c r="I26">
        <v>183.5208333333</v>
      </c>
      <c r="J26">
        <v>123</v>
      </c>
      <c r="K26">
        <v>303.68292682930002</v>
      </c>
      <c r="L26">
        <v>45</v>
      </c>
      <c r="M26">
        <v>156.02222222220001</v>
      </c>
      <c r="N26">
        <v>47</v>
      </c>
      <c r="O26">
        <v>511.5319148936</v>
      </c>
      <c r="R26">
        <v>2</v>
      </c>
      <c r="S26">
        <v>535</v>
      </c>
      <c r="V26" t="s">
        <v>404</v>
      </c>
      <c r="W26">
        <v>1670</v>
      </c>
      <c r="X26">
        <v>1226</v>
      </c>
      <c r="Y26">
        <v>300.32871125610001</v>
      </c>
      <c r="Z26">
        <v>313</v>
      </c>
      <c r="AA26">
        <v>354.86581469650002</v>
      </c>
      <c r="AB26">
        <v>317</v>
      </c>
      <c r="AC26">
        <v>271.0378548896</v>
      </c>
      <c r="AD26">
        <v>59</v>
      </c>
      <c r="AE26">
        <v>302.01694915249999</v>
      </c>
      <c r="AF26">
        <v>64</v>
      </c>
      <c r="AG26">
        <v>178.359375</v>
      </c>
      <c r="AH26">
        <v>4</v>
      </c>
      <c r="AI26">
        <v>259</v>
      </c>
      <c r="AL26" t="s">
        <v>404</v>
      </c>
      <c r="AM26">
        <v>17</v>
      </c>
      <c r="AN26">
        <v>13</v>
      </c>
      <c r="AO26">
        <v>90.692307692300005</v>
      </c>
      <c r="AP26">
        <v>8</v>
      </c>
      <c r="AQ26">
        <v>235.125</v>
      </c>
      <c r="AR26">
        <v>4</v>
      </c>
      <c r="AS26">
        <v>62.25</v>
      </c>
    </row>
    <row r="27" spans="6:49" x14ac:dyDescent="0.2">
      <c r="F27" t="s">
        <v>71</v>
      </c>
      <c r="G27">
        <v>3843</v>
      </c>
      <c r="H27">
        <v>3522</v>
      </c>
      <c r="I27">
        <v>236.4701873935</v>
      </c>
      <c r="J27">
        <v>875</v>
      </c>
      <c r="K27">
        <v>384.00571428569998</v>
      </c>
      <c r="L27">
        <v>173</v>
      </c>
      <c r="M27">
        <v>80.456647398800001</v>
      </c>
      <c r="N27">
        <v>144</v>
      </c>
      <c r="O27">
        <v>240.44444444440001</v>
      </c>
      <c r="R27">
        <v>4</v>
      </c>
      <c r="S27">
        <v>165.5</v>
      </c>
      <c r="V27" t="s">
        <v>80</v>
      </c>
      <c r="W27">
        <v>4930</v>
      </c>
      <c r="X27">
        <v>3534</v>
      </c>
      <c r="Y27">
        <v>293.15393322009999</v>
      </c>
      <c r="Z27">
        <v>860</v>
      </c>
      <c r="AA27">
        <v>383.68023255809999</v>
      </c>
      <c r="AB27">
        <v>969</v>
      </c>
      <c r="AC27">
        <v>282.18782249740002</v>
      </c>
      <c r="AD27">
        <v>249</v>
      </c>
      <c r="AE27">
        <v>508.19678714859998</v>
      </c>
      <c r="AF27">
        <v>162</v>
      </c>
      <c r="AG27">
        <v>157.91975308639999</v>
      </c>
      <c r="AH27">
        <v>16</v>
      </c>
      <c r="AI27">
        <v>310.25</v>
      </c>
      <c r="AL27" t="s">
        <v>80</v>
      </c>
      <c r="AM27">
        <v>54</v>
      </c>
      <c r="AN27">
        <v>38</v>
      </c>
      <c r="AO27">
        <v>135.47368421050001</v>
      </c>
      <c r="AP27">
        <v>34</v>
      </c>
      <c r="AQ27">
        <v>287.0294117647</v>
      </c>
      <c r="AR27">
        <v>13</v>
      </c>
      <c r="AS27">
        <v>82.769230769200007</v>
      </c>
      <c r="AT27">
        <v>3</v>
      </c>
      <c r="AU27">
        <v>169</v>
      </c>
    </row>
    <row r="28" spans="6:49" x14ac:dyDescent="0.2">
      <c r="F28" t="s">
        <v>31</v>
      </c>
      <c r="G28">
        <v>1510</v>
      </c>
      <c r="H28">
        <v>1172</v>
      </c>
      <c r="I28">
        <v>292.27474402730002</v>
      </c>
      <c r="J28">
        <v>374</v>
      </c>
      <c r="K28">
        <v>376.68449197860002</v>
      </c>
      <c r="L28">
        <v>288</v>
      </c>
      <c r="M28">
        <v>228.0659722222</v>
      </c>
      <c r="N28">
        <v>46</v>
      </c>
      <c r="O28">
        <v>233.17391304349999</v>
      </c>
      <c r="R28">
        <v>4</v>
      </c>
      <c r="S28">
        <v>259</v>
      </c>
      <c r="V28" t="s">
        <v>403</v>
      </c>
      <c r="W28">
        <v>41713</v>
      </c>
      <c r="X28">
        <v>31712</v>
      </c>
      <c r="Y28">
        <v>345.4077320888</v>
      </c>
      <c r="Z28">
        <v>5391</v>
      </c>
      <c r="AA28">
        <v>469.0489705064</v>
      </c>
      <c r="AB28">
        <v>6327</v>
      </c>
      <c r="AC28">
        <v>425.44033507189999</v>
      </c>
      <c r="AD28">
        <v>2096</v>
      </c>
      <c r="AE28">
        <v>461.6607824427</v>
      </c>
      <c r="AF28">
        <v>1506</v>
      </c>
      <c r="AG28">
        <v>177.69057104909999</v>
      </c>
      <c r="AH28">
        <v>72</v>
      </c>
      <c r="AI28">
        <v>425.80555555559999</v>
      </c>
      <c r="AL28" t="s">
        <v>403</v>
      </c>
      <c r="AM28">
        <v>492</v>
      </c>
      <c r="AN28">
        <v>363</v>
      </c>
      <c r="AO28">
        <v>150.91735537189999</v>
      </c>
      <c r="AP28">
        <v>254</v>
      </c>
      <c r="AQ28">
        <v>279.24015748030001</v>
      </c>
      <c r="AR28">
        <v>108</v>
      </c>
      <c r="AS28">
        <v>114.0925925926</v>
      </c>
      <c r="AT28">
        <v>20</v>
      </c>
      <c r="AU28">
        <v>225.6</v>
      </c>
      <c r="AV28">
        <v>1</v>
      </c>
      <c r="AW28">
        <v>1</v>
      </c>
    </row>
    <row r="29" spans="6:49" x14ac:dyDescent="0.2">
      <c r="F29" t="s">
        <v>52</v>
      </c>
      <c r="G29">
        <v>4916</v>
      </c>
      <c r="H29">
        <v>3790</v>
      </c>
      <c r="I29">
        <v>308.46939313979999</v>
      </c>
      <c r="J29">
        <v>754</v>
      </c>
      <c r="K29">
        <v>437.55039787800001</v>
      </c>
      <c r="L29">
        <v>855</v>
      </c>
      <c r="M29">
        <v>235.20701754390001</v>
      </c>
      <c r="N29">
        <v>270</v>
      </c>
      <c r="O29">
        <v>393.06666666669997</v>
      </c>
      <c r="R29">
        <v>1</v>
      </c>
      <c r="S29">
        <v>190</v>
      </c>
      <c r="V29" t="s">
        <v>387</v>
      </c>
      <c r="W29">
        <v>9932</v>
      </c>
      <c r="X29">
        <v>4651</v>
      </c>
      <c r="Y29">
        <v>262.95032258060002</v>
      </c>
      <c r="Z29">
        <v>726</v>
      </c>
      <c r="AA29">
        <v>559.02892561980002</v>
      </c>
      <c r="AB29">
        <v>3615</v>
      </c>
      <c r="AC29">
        <v>581.52558782849997</v>
      </c>
      <c r="AD29">
        <v>1119</v>
      </c>
      <c r="AE29">
        <v>456.96958855100002</v>
      </c>
      <c r="AF29">
        <v>536</v>
      </c>
      <c r="AG29">
        <v>176.8880597015</v>
      </c>
      <c r="AH29">
        <v>11</v>
      </c>
      <c r="AI29">
        <v>553.54545454549998</v>
      </c>
      <c r="AL29" t="s">
        <v>387</v>
      </c>
      <c r="AM29">
        <v>247</v>
      </c>
      <c r="AN29">
        <v>176</v>
      </c>
      <c r="AO29">
        <v>370.82954545450002</v>
      </c>
      <c r="AP29">
        <v>23</v>
      </c>
      <c r="AQ29">
        <v>532.13043478259999</v>
      </c>
      <c r="AR29">
        <v>60</v>
      </c>
      <c r="AS29">
        <v>339.38333333330002</v>
      </c>
      <c r="AT29">
        <v>11</v>
      </c>
      <c r="AU29">
        <v>319.90909090909997</v>
      </c>
    </row>
    <row r="30" spans="6:49" x14ac:dyDescent="0.2">
      <c r="F30" t="s">
        <v>403</v>
      </c>
      <c r="G30">
        <v>40856</v>
      </c>
      <c r="H30">
        <v>32013</v>
      </c>
      <c r="I30">
        <v>342.72614250459998</v>
      </c>
      <c r="J30">
        <v>5875</v>
      </c>
      <c r="K30">
        <v>460.37531914890002</v>
      </c>
      <c r="L30">
        <v>6438</v>
      </c>
      <c r="M30">
        <v>417.83457595530001</v>
      </c>
      <c r="N30">
        <v>2328</v>
      </c>
      <c r="O30">
        <v>480.60524054979999</v>
      </c>
      <c r="R30">
        <v>77</v>
      </c>
      <c r="S30">
        <v>416.85714285709997</v>
      </c>
      <c r="V30" t="s">
        <v>424</v>
      </c>
      <c r="W30">
        <v>31345</v>
      </c>
      <c r="X30">
        <v>26673</v>
      </c>
      <c r="Y30">
        <v>465.69813655280001</v>
      </c>
      <c r="Z30">
        <v>2563</v>
      </c>
      <c r="AA30">
        <v>704.54077253219998</v>
      </c>
      <c r="AB30">
        <v>1206</v>
      </c>
      <c r="AC30">
        <v>265.98507462689997</v>
      </c>
      <c r="AD30">
        <v>2330</v>
      </c>
      <c r="AE30">
        <v>347.35879828330002</v>
      </c>
      <c r="AF30">
        <v>1088</v>
      </c>
      <c r="AG30">
        <v>164.3161764706</v>
      </c>
      <c r="AH30">
        <v>48</v>
      </c>
      <c r="AI30">
        <v>292.4375</v>
      </c>
      <c r="AL30" t="s">
        <v>424</v>
      </c>
      <c r="AM30">
        <v>375</v>
      </c>
      <c r="AN30">
        <v>264</v>
      </c>
      <c r="AO30">
        <v>232.8181818182</v>
      </c>
      <c r="AP30">
        <v>121</v>
      </c>
      <c r="AQ30">
        <v>432.36363636359999</v>
      </c>
      <c r="AR30">
        <v>101</v>
      </c>
      <c r="AS30">
        <v>129.8415841584</v>
      </c>
      <c r="AT30">
        <v>10</v>
      </c>
      <c r="AU30">
        <v>286.8</v>
      </c>
    </row>
    <row r="31" spans="6:49" x14ac:dyDescent="0.2">
      <c r="F31" t="s">
        <v>25</v>
      </c>
      <c r="G31">
        <v>18072</v>
      </c>
      <c r="H31">
        <v>16052</v>
      </c>
      <c r="I31">
        <v>530.93838773979996</v>
      </c>
      <c r="J31">
        <v>1109</v>
      </c>
      <c r="K31">
        <v>811.42560865639996</v>
      </c>
      <c r="L31">
        <v>1073</v>
      </c>
      <c r="M31">
        <v>313.7865796831</v>
      </c>
      <c r="N31">
        <v>911</v>
      </c>
      <c r="O31">
        <v>360.22026431720002</v>
      </c>
      <c r="R31">
        <v>36</v>
      </c>
      <c r="S31">
        <v>387.2777777778</v>
      </c>
      <c r="V31" t="s">
        <v>380</v>
      </c>
      <c r="W31">
        <v>18969</v>
      </c>
      <c r="X31">
        <v>16229</v>
      </c>
      <c r="Y31">
        <v>528.96253620059997</v>
      </c>
      <c r="Z31">
        <v>1374</v>
      </c>
      <c r="AA31">
        <v>775.92503639009999</v>
      </c>
      <c r="AB31">
        <v>1226</v>
      </c>
      <c r="AC31">
        <v>333.32055464929999</v>
      </c>
      <c r="AD31">
        <v>959</v>
      </c>
      <c r="AE31">
        <v>358.70815899579998</v>
      </c>
      <c r="AF31">
        <v>520</v>
      </c>
      <c r="AG31">
        <v>166.40462427750001</v>
      </c>
      <c r="AH31">
        <v>35</v>
      </c>
      <c r="AI31">
        <v>374.6</v>
      </c>
      <c r="AL31" t="s">
        <v>380</v>
      </c>
      <c r="AM31">
        <v>216</v>
      </c>
      <c r="AN31">
        <v>141</v>
      </c>
      <c r="AO31">
        <v>231.61702127660001</v>
      </c>
      <c r="AP31">
        <v>78</v>
      </c>
      <c r="AQ31">
        <v>432.58974358969999</v>
      </c>
      <c r="AR31">
        <v>56</v>
      </c>
      <c r="AS31">
        <v>177.6071428571</v>
      </c>
      <c r="AT31">
        <v>19</v>
      </c>
      <c r="AU31">
        <v>347.57894736840001</v>
      </c>
    </row>
    <row r="32" spans="6:49" x14ac:dyDescent="0.2">
      <c r="F32" t="s">
        <v>39</v>
      </c>
      <c r="G32">
        <v>13068</v>
      </c>
      <c r="H32">
        <v>10533</v>
      </c>
      <c r="I32">
        <v>414.70100645650001</v>
      </c>
      <c r="J32">
        <v>568</v>
      </c>
      <c r="K32">
        <v>722.09330985919996</v>
      </c>
      <c r="L32">
        <v>1641</v>
      </c>
      <c r="M32">
        <v>471.03717245579998</v>
      </c>
      <c r="N32">
        <v>859</v>
      </c>
      <c r="O32">
        <v>551.97555296860003</v>
      </c>
      <c r="R32">
        <v>35</v>
      </c>
      <c r="S32">
        <v>388.68571428569999</v>
      </c>
      <c r="V32" t="s">
        <v>392</v>
      </c>
      <c r="W32">
        <v>3232</v>
      </c>
      <c r="X32">
        <v>2022</v>
      </c>
      <c r="Y32">
        <v>387.45450049459998</v>
      </c>
      <c r="Z32">
        <v>475</v>
      </c>
      <c r="AA32">
        <v>532.12</v>
      </c>
      <c r="AB32">
        <v>594</v>
      </c>
      <c r="AC32">
        <v>484.40909090909997</v>
      </c>
      <c r="AD32">
        <v>480</v>
      </c>
      <c r="AE32">
        <v>655.13541666670005</v>
      </c>
      <c r="AF32">
        <v>121</v>
      </c>
      <c r="AG32">
        <v>188.44628099170001</v>
      </c>
      <c r="AH32">
        <v>15</v>
      </c>
      <c r="AI32">
        <v>563.6</v>
      </c>
      <c r="AL32" t="s">
        <v>392</v>
      </c>
      <c r="AM32">
        <v>103</v>
      </c>
      <c r="AN32">
        <v>70</v>
      </c>
      <c r="AO32">
        <v>366.07142857140002</v>
      </c>
      <c r="AP32">
        <v>17</v>
      </c>
      <c r="AQ32">
        <v>668.47058823530006</v>
      </c>
      <c r="AR32">
        <v>32</v>
      </c>
      <c r="AS32">
        <v>276.75</v>
      </c>
      <c r="AT32">
        <v>1</v>
      </c>
      <c r="AU32">
        <v>274</v>
      </c>
    </row>
    <row r="33" spans="6:47" x14ac:dyDescent="0.2">
      <c r="F33" t="s">
        <v>72</v>
      </c>
      <c r="G33">
        <v>4962</v>
      </c>
      <c r="H33">
        <v>2368</v>
      </c>
      <c r="I33">
        <v>348.02957329949999</v>
      </c>
      <c r="J33">
        <v>600</v>
      </c>
      <c r="K33">
        <v>531.30333333329997</v>
      </c>
      <c r="L33">
        <v>1752</v>
      </c>
      <c r="M33">
        <v>651.60502283109997</v>
      </c>
      <c r="N33">
        <v>834</v>
      </c>
      <c r="O33">
        <v>746.03117506000001</v>
      </c>
      <c r="R33">
        <v>8</v>
      </c>
      <c r="S33">
        <v>586.125</v>
      </c>
      <c r="V33" t="s">
        <v>383</v>
      </c>
      <c r="W33">
        <v>7335</v>
      </c>
      <c r="X33">
        <v>4750</v>
      </c>
      <c r="Y33">
        <v>282.40021052629999</v>
      </c>
      <c r="Z33">
        <v>574</v>
      </c>
      <c r="AA33">
        <v>503.04006968639999</v>
      </c>
      <c r="AB33">
        <v>1539</v>
      </c>
      <c r="AC33">
        <v>328.54840805719999</v>
      </c>
      <c r="AD33">
        <v>684</v>
      </c>
      <c r="AE33">
        <v>431.01169590640001</v>
      </c>
      <c r="AF33">
        <v>355</v>
      </c>
      <c r="AG33">
        <v>199.63380281689999</v>
      </c>
      <c r="AH33">
        <v>7</v>
      </c>
      <c r="AI33">
        <v>412.71428571429999</v>
      </c>
      <c r="AL33" t="s">
        <v>383</v>
      </c>
      <c r="AM33">
        <v>233</v>
      </c>
      <c r="AN33">
        <v>172</v>
      </c>
      <c r="AO33">
        <v>335.22093023259998</v>
      </c>
      <c r="AP33">
        <v>24</v>
      </c>
      <c r="AQ33">
        <v>533.45833333329995</v>
      </c>
      <c r="AR33">
        <v>57</v>
      </c>
      <c r="AS33">
        <v>305.14035087719998</v>
      </c>
      <c r="AT33">
        <v>4</v>
      </c>
      <c r="AU33">
        <v>442.5</v>
      </c>
    </row>
    <row r="34" spans="6:47" x14ac:dyDescent="0.2">
      <c r="F34" t="s">
        <v>58</v>
      </c>
      <c r="G34">
        <v>6816</v>
      </c>
      <c r="H34">
        <v>4638</v>
      </c>
      <c r="I34">
        <v>270.7365243639</v>
      </c>
      <c r="J34">
        <v>553</v>
      </c>
      <c r="K34">
        <v>493.53526220610001</v>
      </c>
      <c r="L34">
        <v>1487</v>
      </c>
      <c r="M34">
        <v>305.36785474110002</v>
      </c>
      <c r="N34">
        <v>683</v>
      </c>
      <c r="O34">
        <v>429.57833089309997</v>
      </c>
      <c r="R34">
        <v>8</v>
      </c>
      <c r="S34">
        <v>363.125</v>
      </c>
      <c r="V34" t="s">
        <v>426</v>
      </c>
      <c r="W34">
        <v>5220</v>
      </c>
      <c r="X34">
        <v>2408</v>
      </c>
      <c r="Y34">
        <v>340.74491067719998</v>
      </c>
      <c r="Z34">
        <v>574</v>
      </c>
      <c r="AA34">
        <v>516.39024390240002</v>
      </c>
      <c r="AB34">
        <v>1719</v>
      </c>
      <c r="AC34">
        <v>648.05700988950002</v>
      </c>
      <c r="AD34">
        <v>808</v>
      </c>
      <c r="AE34">
        <v>738.79455445539998</v>
      </c>
      <c r="AF34">
        <v>277</v>
      </c>
      <c r="AG34">
        <v>185.797833935</v>
      </c>
      <c r="AH34">
        <v>8</v>
      </c>
      <c r="AI34">
        <v>586.125</v>
      </c>
      <c r="AL34" t="s">
        <v>426</v>
      </c>
      <c r="AM34">
        <v>82</v>
      </c>
      <c r="AN34">
        <v>45</v>
      </c>
      <c r="AO34">
        <v>199.68888888890001</v>
      </c>
      <c r="AP34">
        <v>18</v>
      </c>
      <c r="AQ34">
        <v>343.05555555559999</v>
      </c>
      <c r="AR34">
        <v>29</v>
      </c>
      <c r="AS34">
        <v>142.7586206897</v>
      </c>
      <c r="AT34">
        <v>8</v>
      </c>
      <c r="AU34">
        <v>169.75</v>
      </c>
    </row>
    <row r="35" spans="6:47" x14ac:dyDescent="0.2">
      <c r="F35" t="s">
        <v>53</v>
      </c>
      <c r="G35">
        <v>2982</v>
      </c>
      <c r="H35">
        <v>1917</v>
      </c>
      <c r="I35">
        <v>380.46583202919999</v>
      </c>
      <c r="J35">
        <v>468</v>
      </c>
      <c r="K35">
        <v>527.92521367519998</v>
      </c>
      <c r="L35">
        <v>573</v>
      </c>
      <c r="M35">
        <v>467.03664921469999</v>
      </c>
      <c r="N35">
        <v>477</v>
      </c>
      <c r="O35">
        <v>639.79245283019998</v>
      </c>
      <c r="R35">
        <v>15</v>
      </c>
      <c r="S35">
        <v>564.06666666670003</v>
      </c>
      <c r="V35" t="s">
        <v>382</v>
      </c>
      <c r="W35">
        <v>13388</v>
      </c>
      <c r="X35">
        <v>10417</v>
      </c>
      <c r="Y35">
        <v>416.01699308759999</v>
      </c>
      <c r="Z35">
        <v>573</v>
      </c>
      <c r="AA35">
        <v>718.31239092500005</v>
      </c>
      <c r="AB35">
        <v>1693</v>
      </c>
      <c r="AC35">
        <v>470.20614294149999</v>
      </c>
      <c r="AD35">
        <v>848</v>
      </c>
      <c r="AE35">
        <v>544.69339622639995</v>
      </c>
      <c r="AF35">
        <v>396</v>
      </c>
      <c r="AG35">
        <v>161.94696969699999</v>
      </c>
      <c r="AH35">
        <v>34</v>
      </c>
      <c r="AI35">
        <v>393.5882352941</v>
      </c>
      <c r="AL35" t="s">
        <v>382</v>
      </c>
      <c r="AM35">
        <v>141</v>
      </c>
      <c r="AN35">
        <v>98</v>
      </c>
      <c r="AO35">
        <v>220.36734693880001</v>
      </c>
      <c r="AP35">
        <v>38</v>
      </c>
      <c r="AQ35">
        <v>352.05263157889999</v>
      </c>
      <c r="AR35">
        <v>35</v>
      </c>
      <c r="AS35">
        <v>211.65714285710001</v>
      </c>
      <c r="AT35">
        <v>8</v>
      </c>
      <c r="AU35">
        <v>257.625</v>
      </c>
    </row>
    <row r="36" spans="6:47" x14ac:dyDescent="0.2">
      <c r="F36" t="s">
        <v>57</v>
      </c>
      <c r="G36">
        <v>9383</v>
      </c>
      <c r="H36">
        <v>4561</v>
      </c>
      <c r="I36">
        <v>248.39385964909999</v>
      </c>
      <c r="J36">
        <v>723</v>
      </c>
      <c r="K36">
        <v>560.40387275240005</v>
      </c>
      <c r="L36">
        <v>3676</v>
      </c>
      <c r="M36">
        <v>580.37840043530002</v>
      </c>
      <c r="N36">
        <v>1136</v>
      </c>
      <c r="O36">
        <v>450.30132158589998</v>
      </c>
      <c r="R36">
        <v>10</v>
      </c>
      <c r="S36">
        <v>607.29999999999995</v>
      </c>
      <c r="V36" t="s">
        <v>379</v>
      </c>
      <c r="W36">
        <v>89421</v>
      </c>
      <c r="X36">
        <v>67150</v>
      </c>
      <c r="Y36">
        <v>439.43893067239998</v>
      </c>
      <c r="Z36">
        <v>6859</v>
      </c>
      <c r="AA36">
        <v>660.0403848958</v>
      </c>
      <c r="AB36">
        <v>11592</v>
      </c>
      <c r="AC36">
        <v>477.49206349209999</v>
      </c>
      <c r="AD36">
        <v>7228</v>
      </c>
      <c r="AE36">
        <v>461.14147286820003</v>
      </c>
      <c r="AF36">
        <v>3293</v>
      </c>
      <c r="AG36">
        <v>172.91038882140001</v>
      </c>
      <c r="AH36">
        <v>158</v>
      </c>
      <c r="AI36">
        <v>396.52531645570002</v>
      </c>
      <c r="AL36" t="s">
        <v>379</v>
      </c>
      <c r="AM36">
        <v>1397</v>
      </c>
      <c r="AN36">
        <v>966</v>
      </c>
      <c r="AO36">
        <v>282.87060041410001</v>
      </c>
      <c r="AP36">
        <v>319</v>
      </c>
      <c r="AQ36">
        <v>445.19435736679998</v>
      </c>
      <c r="AR36">
        <v>370</v>
      </c>
      <c r="AS36">
        <v>219.51351351349999</v>
      </c>
      <c r="AT36">
        <v>61</v>
      </c>
      <c r="AU36">
        <v>302.52459016389997</v>
      </c>
    </row>
    <row r="37" spans="6:47" x14ac:dyDescent="0.2">
      <c r="F37" t="s">
        <v>77</v>
      </c>
      <c r="G37">
        <v>29740</v>
      </c>
      <c r="H37">
        <v>26523</v>
      </c>
      <c r="I37">
        <v>465.13476113270002</v>
      </c>
      <c r="J37">
        <v>2023</v>
      </c>
      <c r="K37">
        <v>747.62086010869996</v>
      </c>
      <c r="L37">
        <v>898</v>
      </c>
      <c r="M37">
        <v>165.14922049</v>
      </c>
      <c r="N37">
        <v>2274</v>
      </c>
      <c r="O37">
        <v>329.8377308707</v>
      </c>
      <c r="R37">
        <v>45</v>
      </c>
      <c r="S37">
        <v>274.26666666670002</v>
      </c>
      <c r="V37" t="s">
        <v>405</v>
      </c>
      <c r="W37">
        <v>552</v>
      </c>
      <c r="X37">
        <v>260</v>
      </c>
      <c r="Y37">
        <v>144.1384615385</v>
      </c>
      <c r="Z37">
        <v>264</v>
      </c>
      <c r="AA37">
        <v>227.02651515150001</v>
      </c>
      <c r="AB37">
        <v>134</v>
      </c>
      <c r="AC37">
        <v>181.723880597</v>
      </c>
      <c r="AD37">
        <v>91</v>
      </c>
      <c r="AE37">
        <v>235.3956043956</v>
      </c>
      <c r="AF37">
        <v>56</v>
      </c>
      <c r="AG37">
        <v>191.2321428571</v>
      </c>
      <c r="AH37">
        <v>11</v>
      </c>
      <c r="AI37">
        <v>295.27272727270002</v>
      </c>
      <c r="AL37" t="s">
        <v>405</v>
      </c>
      <c r="AM37">
        <v>16</v>
      </c>
      <c r="AN37">
        <v>14</v>
      </c>
      <c r="AO37">
        <v>100.42857142859999</v>
      </c>
      <c r="AP37">
        <v>7</v>
      </c>
      <c r="AQ37">
        <v>222</v>
      </c>
      <c r="AR37">
        <v>1</v>
      </c>
      <c r="AS37">
        <v>100</v>
      </c>
      <c r="AT37">
        <v>1</v>
      </c>
      <c r="AU37">
        <v>222</v>
      </c>
    </row>
    <row r="38" spans="6:47" x14ac:dyDescent="0.2">
      <c r="F38" t="s">
        <v>379</v>
      </c>
      <c r="G38">
        <v>85023</v>
      </c>
      <c r="H38">
        <v>66592</v>
      </c>
      <c r="I38">
        <v>438.03721447129999</v>
      </c>
      <c r="J38">
        <v>6044</v>
      </c>
      <c r="K38">
        <v>672.80029781600001</v>
      </c>
      <c r="L38">
        <v>11100</v>
      </c>
      <c r="M38">
        <v>473.4005405405</v>
      </c>
      <c r="N38">
        <v>7174</v>
      </c>
      <c r="O38">
        <v>457.9</v>
      </c>
      <c r="R38">
        <v>157</v>
      </c>
      <c r="S38">
        <v>395.00636942680001</v>
      </c>
      <c r="V38" t="s">
        <v>409</v>
      </c>
      <c r="W38">
        <v>41969</v>
      </c>
      <c r="X38">
        <v>29907</v>
      </c>
      <c r="Y38">
        <v>465.11097736319999</v>
      </c>
      <c r="Z38">
        <v>3065</v>
      </c>
      <c r="AA38">
        <v>674.78075040780004</v>
      </c>
      <c r="AB38">
        <v>8701</v>
      </c>
      <c r="AC38">
        <v>683.54396046429997</v>
      </c>
      <c r="AD38">
        <v>2033</v>
      </c>
      <c r="AE38">
        <v>532.30757874020003</v>
      </c>
      <c r="AF38">
        <v>1278</v>
      </c>
      <c r="AG38">
        <v>186.10093896710001</v>
      </c>
      <c r="AH38">
        <v>50</v>
      </c>
      <c r="AI38">
        <v>567.05999999999995</v>
      </c>
      <c r="AL38" t="s">
        <v>409</v>
      </c>
      <c r="AM38">
        <v>291</v>
      </c>
      <c r="AN38">
        <v>205</v>
      </c>
      <c r="AO38">
        <v>225.8585365854</v>
      </c>
      <c r="AP38">
        <v>144</v>
      </c>
      <c r="AQ38">
        <v>318.36805555559999</v>
      </c>
      <c r="AR38">
        <v>78</v>
      </c>
      <c r="AS38">
        <v>229.74358974360001</v>
      </c>
      <c r="AT38">
        <v>8</v>
      </c>
      <c r="AU38">
        <v>207.75</v>
      </c>
    </row>
    <row r="39" spans="6:47" x14ac:dyDescent="0.2">
      <c r="F39" t="s">
        <v>79</v>
      </c>
      <c r="G39">
        <v>20255</v>
      </c>
      <c r="H39">
        <v>15718</v>
      </c>
      <c r="I39">
        <v>410.44693981419999</v>
      </c>
      <c r="J39">
        <v>1219</v>
      </c>
      <c r="K39">
        <v>768.49220672679996</v>
      </c>
      <c r="L39">
        <v>3709</v>
      </c>
      <c r="M39">
        <v>665.54219466159998</v>
      </c>
      <c r="N39">
        <v>803</v>
      </c>
      <c r="O39">
        <v>400.52801992529999</v>
      </c>
      <c r="R39">
        <v>25</v>
      </c>
      <c r="S39">
        <v>470.32</v>
      </c>
      <c r="V39" t="s">
        <v>417</v>
      </c>
      <c r="W39">
        <v>336</v>
      </c>
      <c r="X39">
        <v>170</v>
      </c>
      <c r="Y39">
        <v>196.00588235289999</v>
      </c>
      <c r="Z39">
        <v>155</v>
      </c>
      <c r="AA39">
        <v>208.94193548390001</v>
      </c>
      <c r="AB39">
        <v>95</v>
      </c>
      <c r="AC39">
        <v>243.44210526320001</v>
      </c>
      <c r="AD39">
        <v>48</v>
      </c>
      <c r="AE39">
        <v>376.0625</v>
      </c>
      <c r="AF39">
        <v>21</v>
      </c>
      <c r="AG39">
        <v>338.14285714290003</v>
      </c>
      <c r="AH39">
        <v>2</v>
      </c>
      <c r="AI39">
        <v>473</v>
      </c>
      <c r="AL39" t="s">
        <v>417</v>
      </c>
      <c r="AM39">
        <v>4</v>
      </c>
      <c r="AN39">
        <v>3</v>
      </c>
      <c r="AO39">
        <v>83.666666666699996</v>
      </c>
      <c r="AP39">
        <v>1</v>
      </c>
      <c r="AQ39">
        <v>312</v>
      </c>
      <c r="AR39">
        <v>1</v>
      </c>
      <c r="AS39">
        <v>95</v>
      </c>
    </row>
    <row r="40" spans="6:47" x14ac:dyDescent="0.2">
      <c r="F40" t="s">
        <v>40</v>
      </c>
      <c r="G40">
        <v>6475</v>
      </c>
      <c r="H40">
        <v>3909</v>
      </c>
      <c r="I40">
        <v>285.18956254800003</v>
      </c>
      <c r="J40">
        <v>287</v>
      </c>
      <c r="K40">
        <v>522.93379790940003</v>
      </c>
      <c r="L40">
        <v>2173</v>
      </c>
      <c r="M40">
        <v>797.00874367230006</v>
      </c>
      <c r="N40">
        <v>379</v>
      </c>
      <c r="O40">
        <v>372.30343007919998</v>
      </c>
      <c r="R40">
        <v>14</v>
      </c>
      <c r="S40">
        <v>432.07142857140002</v>
      </c>
      <c r="V40" t="s">
        <v>420</v>
      </c>
      <c r="W40">
        <v>205</v>
      </c>
      <c r="X40">
        <v>91</v>
      </c>
      <c r="Y40">
        <v>278.30769230769999</v>
      </c>
      <c r="Z40">
        <v>63</v>
      </c>
      <c r="AA40">
        <v>273.90476190480001</v>
      </c>
      <c r="AB40">
        <v>69</v>
      </c>
      <c r="AC40">
        <v>327.5507246377</v>
      </c>
      <c r="AD40">
        <v>20</v>
      </c>
      <c r="AE40">
        <v>310.7</v>
      </c>
      <c r="AF40">
        <v>23</v>
      </c>
      <c r="AG40">
        <v>174.52173913039999</v>
      </c>
      <c r="AH40">
        <v>2</v>
      </c>
      <c r="AI40">
        <v>482.5</v>
      </c>
      <c r="AL40" t="s">
        <v>420</v>
      </c>
      <c r="AM40">
        <v>2</v>
      </c>
      <c r="AP40">
        <v>2</v>
      </c>
      <c r="AQ40">
        <v>439</v>
      </c>
      <c r="AR40">
        <v>2</v>
      </c>
      <c r="AS40">
        <v>348</v>
      </c>
    </row>
    <row r="41" spans="6:47" x14ac:dyDescent="0.2">
      <c r="F41" t="s">
        <v>46</v>
      </c>
      <c r="G41">
        <v>19523</v>
      </c>
      <c r="H41">
        <v>13339</v>
      </c>
      <c r="I41">
        <v>533.47795771480003</v>
      </c>
      <c r="J41">
        <v>1246</v>
      </c>
      <c r="K41">
        <v>662.31540930979997</v>
      </c>
      <c r="L41">
        <v>4951</v>
      </c>
      <c r="M41">
        <v>706.88103413450006</v>
      </c>
      <c r="N41">
        <v>1211</v>
      </c>
      <c r="O41">
        <v>639.11404958679998</v>
      </c>
      <c r="R41">
        <v>22</v>
      </c>
      <c r="S41">
        <v>719.63636363640001</v>
      </c>
      <c r="V41" t="s">
        <v>410</v>
      </c>
      <c r="W41">
        <v>5360</v>
      </c>
      <c r="X41">
        <v>4139</v>
      </c>
      <c r="Y41">
        <v>452.96013529840002</v>
      </c>
      <c r="Z41">
        <v>292</v>
      </c>
      <c r="AA41">
        <v>901.16780821919997</v>
      </c>
      <c r="AB41">
        <v>560</v>
      </c>
      <c r="AC41">
        <v>263.81428571430001</v>
      </c>
      <c r="AD41">
        <v>459</v>
      </c>
      <c r="AE41">
        <v>582.8605664488</v>
      </c>
      <c r="AF41">
        <v>199</v>
      </c>
      <c r="AG41">
        <v>171.8894472362</v>
      </c>
      <c r="AH41">
        <v>3</v>
      </c>
      <c r="AI41">
        <v>243</v>
      </c>
      <c r="AL41" t="s">
        <v>410</v>
      </c>
      <c r="AM41">
        <v>141</v>
      </c>
      <c r="AN41">
        <v>97</v>
      </c>
      <c r="AO41">
        <v>345.28865979379998</v>
      </c>
      <c r="AP41">
        <v>20</v>
      </c>
      <c r="AQ41">
        <v>672.1</v>
      </c>
      <c r="AR41">
        <v>42</v>
      </c>
      <c r="AS41">
        <v>263.45238095240001</v>
      </c>
      <c r="AT41">
        <v>2</v>
      </c>
      <c r="AU41">
        <v>41.5</v>
      </c>
    </row>
    <row r="42" spans="6:47" x14ac:dyDescent="0.2">
      <c r="F42" t="s">
        <v>49</v>
      </c>
      <c r="G42">
        <v>4669</v>
      </c>
      <c r="H42">
        <v>3062</v>
      </c>
      <c r="I42">
        <v>327.74787720440003</v>
      </c>
      <c r="J42">
        <v>381</v>
      </c>
      <c r="K42">
        <v>511.87926509189998</v>
      </c>
      <c r="L42">
        <v>1146</v>
      </c>
      <c r="M42">
        <v>354.69371727750001</v>
      </c>
      <c r="N42">
        <v>457</v>
      </c>
      <c r="O42">
        <v>529.50109409189997</v>
      </c>
      <c r="R42">
        <v>4</v>
      </c>
      <c r="S42">
        <v>897.5</v>
      </c>
      <c r="V42" t="s">
        <v>402</v>
      </c>
      <c r="W42">
        <v>6755</v>
      </c>
      <c r="X42">
        <v>4074</v>
      </c>
      <c r="Y42">
        <v>300.9975454099</v>
      </c>
      <c r="Z42">
        <v>322</v>
      </c>
      <c r="AA42">
        <v>513.28571428570001</v>
      </c>
      <c r="AB42">
        <v>2069</v>
      </c>
      <c r="AC42">
        <v>780.55147414210001</v>
      </c>
      <c r="AD42">
        <v>369</v>
      </c>
      <c r="AE42">
        <v>392.73983739840003</v>
      </c>
      <c r="AF42">
        <v>230</v>
      </c>
      <c r="AG42">
        <v>186.952173913</v>
      </c>
      <c r="AH42">
        <v>13</v>
      </c>
      <c r="AI42">
        <v>426.15384615379998</v>
      </c>
      <c r="AL42" t="s">
        <v>402</v>
      </c>
      <c r="AM42">
        <v>66</v>
      </c>
      <c r="AN42">
        <v>46</v>
      </c>
      <c r="AO42">
        <v>169.21739130430001</v>
      </c>
      <c r="AP42">
        <v>28</v>
      </c>
      <c r="AQ42">
        <v>280.85714285709997</v>
      </c>
      <c r="AR42">
        <v>18</v>
      </c>
      <c r="AS42">
        <v>102.7777777778</v>
      </c>
      <c r="AT42">
        <v>2</v>
      </c>
      <c r="AU42">
        <v>488.5</v>
      </c>
    </row>
    <row r="43" spans="6:47" x14ac:dyDescent="0.2">
      <c r="F43" t="s">
        <v>36</v>
      </c>
      <c r="G43">
        <v>330</v>
      </c>
      <c r="H43">
        <v>251</v>
      </c>
      <c r="I43">
        <v>462.49003984059999</v>
      </c>
      <c r="J43">
        <v>117</v>
      </c>
      <c r="K43">
        <v>391.70085470089998</v>
      </c>
      <c r="L43">
        <v>56</v>
      </c>
      <c r="M43">
        <v>207.5</v>
      </c>
      <c r="N43">
        <v>22</v>
      </c>
      <c r="O43">
        <v>303.22727272729998</v>
      </c>
      <c r="R43">
        <v>1</v>
      </c>
      <c r="S43">
        <v>456</v>
      </c>
      <c r="V43" t="s">
        <v>411</v>
      </c>
      <c r="W43">
        <v>4439</v>
      </c>
      <c r="X43">
        <v>2911</v>
      </c>
      <c r="Y43">
        <v>207.9549982824</v>
      </c>
      <c r="Z43">
        <v>803</v>
      </c>
      <c r="AA43">
        <v>322.08841843089999</v>
      </c>
      <c r="AB43">
        <v>892</v>
      </c>
      <c r="AC43">
        <v>224.01345291480001</v>
      </c>
      <c r="AD43">
        <v>376</v>
      </c>
      <c r="AE43">
        <v>290</v>
      </c>
      <c r="AF43">
        <v>256</v>
      </c>
      <c r="AG43">
        <v>169.4453125</v>
      </c>
      <c r="AH43">
        <v>4</v>
      </c>
      <c r="AI43">
        <v>68.25</v>
      </c>
      <c r="AL43" t="s">
        <v>411</v>
      </c>
      <c r="AM43">
        <v>87</v>
      </c>
      <c r="AN43">
        <v>61</v>
      </c>
      <c r="AO43">
        <v>144.21311475409999</v>
      </c>
      <c r="AP43">
        <v>36</v>
      </c>
      <c r="AQ43">
        <v>239.4166666667</v>
      </c>
      <c r="AR43">
        <v>22</v>
      </c>
      <c r="AS43">
        <v>88.681818181799997</v>
      </c>
      <c r="AT43">
        <v>4</v>
      </c>
      <c r="AU43">
        <v>307.25</v>
      </c>
    </row>
    <row r="44" spans="6:47" x14ac:dyDescent="0.2">
      <c r="F44" t="s">
        <v>27</v>
      </c>
      <c r="G44">
        <v>4073</v>
      </c>
      <c r="H44">
        <v>2829</v>
      </c>
      <c r="I44">
        <v>197.3573700954</v>
      </c>
      <c r="J44">
        <v>809</v>
      </c>
      <c r="K44">
        <v>318.7972805933</v>
      </c>
      <c r="L44">
        <v>850</v>
      </c>
      <c r="M44">
        <v>202.4141176471</v>
      </c>
      <c r="N44">
        <v>390</v>
      </c>
      <c r="O44">
        <v>288.08226221080002</v>
      </c>
      <c r="R44">
        <v>4</v>
      </c>
      <c r="S44">
        <v>68.25</v>
      </c>
      <c r="V44" t="s">
        <v>386</v>
      </c>
      <c r="W44">
        <v>6039</v>
      </c>
      <c r="X44">
        <v>4959</v>
      </c>
      <c r="Y44">
        <v>457.3633797137</v>
      </c>
      <c r="Z44">
        <v>473</v>
      </c>
      <c r="AA44">
        <v>702.97885835099999</v>
      </c>
      <c r="AB44">
        <v>563</v>
      </c>
      <c r="AC44">
        <v>380.30373001779998</v>
      </c>
      <c r="AD44">
        <v>303</v>
      </c>
      <c r="AE44">
        <v>450.05610561060001</v>
      </c>
      <c r="AF44">
        <v>191</v>
      </c>
      <c r="AG44">
        <v>176.06282722509999</v>
      </c>
      <c r="AH44">
        <v>23</v>
      </c>
      <c r="AI44">
        <v>477.86956521740001</v>
      </c>
      <c r="AL44" t="s">
        <v>386</v>
      </c>
      <c r="AM44">
        <v>164</v>
      </c>
      <c r="AN44">
        <v>119</v>
      </c>
      <c r="AO44">
        <v>346.63025210080002</v>
      </c>
      <c r="AP44">
        <v>22</v>
      </c>
      <c r="AQ44">
        <v>739.63636363640001</v>
      </c>
      <c r="AR44">
        <v>42</v>
      </c>
      <c r="AS44">
        <v>357.30952380949998</v>
      </c>
      <c r="AT44">
        <v>3</v>
      </c>
      <c r="AU44">
        <v>521</v>
      </c>
    </row>
    <row r="45" spans="6:47" x14ac:dyDescent="0.2">
      <c r="F45" t="s">
        <v>51</v>
      </c>
      <c r="G45">
        <v>5295</v>
      </c>
      <c r="H45">
        <v>4268</v>
      </c>
      <c r="I45">
        <v>455.6956419869</v>
      </c>
      <c r="J45">
        <v>301</v>
      </c>
      <c r="K45">
        <v>921.83388704319998</v>
      </c>
      <c r="L45">
        <v>556</v>
      </c>
      <c r="M45">
        <v>239.3525179856</v>
      </c>
      <c r="N45">
        <v>468</v>
      </c>
      <c r="O45">
        <v>591.01282051279998</v>
      </c>
      <c r="R45">
        <v>3</v>
      </c>
      <c r="S45">
        <v>425</v>
      </c>
      <c r="V45" t="s">
        <v>388</v>
      </c>
      <c r="W45">
        <v>4936</v>
      </c>
      <c r="X45">
        <v>3110</v>
      </c>
      <c r="Y45">
        <v>334.46141479099998</v>
      </c>
      <c r="Z45">
        <v>385</v>
      </c>
      <c r="AA45">
        <v>526.40519480520004</v>
      </c>
      <c r="AB45">
        <v>1168</v>
      </c>
      <c r="AC45">
        <v>363.99143835619998</v>
      </c>
      <c r="AD45">
        <v>461</v>
      </c>
      <c r="AE45">
        <v>528.4251626898</v>
      </c>
      <c r="AF45">
        <v>193</v>
      </c>
      <c r="AG45">
        <v>212.99481865280001</v>
      </c>
      <c r="AH45">
        <v>4</v>
      </c>
      <c r="AI45">
        <v>897.5</v>
      </c>
      <c r="AL45" t="s">
        <v>388</v>
      </c>
      <c r="AM45">
        <v>142</v>
      </c>
      <c r="AN45">
        <v>97</v>
      </c>
      <c r="AO45">
        <v>357.51546391750003</v>
      </c>
      <c r="AP45">
        <v>10</v>
      </c>
      <c r="AQ45">
        <v>393</v>
      </c>
      <c r="AR45">
        <v>44</v>
      </c>
      <c r="AS45">
        <v>353.5</v>
      </c>
      <c r="AT45">
        <v>1</v>
      </c>
      <c r="AU45">
        <v>464</v>
      </c>
    </row>
    <row r="46" spans="6:47" x14ac:dyDescent="0.2">
      <c r="F46" t="s">
        <v>59</v>
      </c>
      <c r="G46">
        <v>5864</v>
      </c>
      <c r="H46">
        <v>4972</v>
      </c>
      <c r="I46">
        <v>460.99014481090001</v>
      </c>
      <c r="J46">
        <v>467</v>
      </c>
      <c r="K46">
        <v>713.17344753750001</v>
      </c>
      <c r="L46">
        <v>565</v>
      </c>
      <c r="M46">
        <v>380.79646017699997</v>
      </c>
      <c r="N46">
        <v>303</v>
      </c>
      <c r="O46">
        <v>453.76567656769998</v>
      </c>
      <c r="R46">
        <v>24</v>
      </c>
      <c r="S46">
        <v>463.5416666667</v>
      </c>
      <c r="V46" t="s">
        <v>384</v>
      </c>
      <c r="W46">
        <v>70591</v>
      </c>
      <c r="X46">
        <v>49621</v>
      </c>
      <c r="Y46">
        <v>423.62830253319999</v>
      </c>
      <c r="Z46">
        <v>5822</v>
      </c>
      <c r="AA46">
        <v>583.99364479559995</v>
      </c>
      <c r="AB46">
        <v>14251</v>
      </c>
      <c r="AC46">
        <v>604.82527541930006</v>
      </c>
      <c r="AD46">
        <v>4160</v>
      </c>
      <c r="AE46">
        <v>487.85714285709997</v>
      </c>
      <c r="AF46">
        <v>2447</v>
      </c>
      <c r="AG46">
        <v>185.93379648550001</v>
      </c>
      <c r="AH46">
        <v>112</v>
      </c>
      <c r="AI46">
        <v>487.8125</v>
      </c>
      <c r="AL46" t="s">
        <v>384</v>
      </c>
      <c r="AM46">
        <v>913</v>
      </c>
      <c r="AN46">
        <v>642</v>
      </c>
      <c r="AO46">
        <v>270.96573208720002</v>
      </c>
      <c r="AP46">
        <v>270</v>
      </c>
      <c r="AQ46">
        <v>365.61481481480001</v>
      </c>
      <c r="AR46">
        <v>250</v>
      </c>
      <c r="AS46">
        <v>256.952</v>
      </c>
      <c r="AT46">
        <v>21</v>
      </c>
      <c r="AU46">
        <v>295.23809523810002</v>
      </c>
    </row>
    <row r="47" spans="6:47" x14ac:dyDescent="0.2">
      <c r="F47" t="s">
        <v>181</v>
      </c>
      <c r="G47">
        <v>352</v>
      </c>
      <c r="H47">
        <v>220</v>
      </c>
      <c r="I47">
        <v>275.94545454550001</v>
      </c>
      <c r="J47">
        <v>207</v>
      </c>
      <c r="K47">
        <v>317.87922705310001</v>
      </c>
      <c r="L47">
        <v>83</v>
      </c>
      <c r="M47">
        <v>181.4096385542</v>
      </c>
      <c r="N47">
        <v>47</v>
      </c>
      <c r="O47">
        <v>387.70212765960002</v>
      </c>
      <c r="R47">
        <v>2</v>
      </c>
      <c r="S47">
        <v>473</v>
      </c>
      <c r="V47" t="s">
        <v>415</v>
      </c>
      <c r="W47">
        <v>498</v>
      </c>
      <c r="X47">
        <v>380</v>
      </c>
      <c r="Y47">
        <v>250.4</v>
      </c>
      <c r="Z47">
        <v>26</v>
      </c>
      <c r="AA47">
        <v>665</v>
      </c>
      <c r="AB47">
        <v>33</v>
      </c>
      <c r="AC47">
        <v>488.6666666667</v>
      </c>
      <c r="AD47">
        <v>66</v>
      </c>
      <c r="AE47">
        <v>290.19696969699999</v>
      </c>
      <c r="AF47">
        <v>12</v>
      </c>
      <c r="AG47">
        <v>296.1666666667</v>
      </c>
      <c r="AH47">
        <v>7</v>
      </c>
      <c r="AI47">
        <v>291.71428571429999</v>
      </c>
      <c r="AL47" t="s">
        <v>415</v>
      </c>
      <c r="AM47">
        <v>25</v>
      </c>
      <c r="AN47">
        <v>18</v>
      </c>
      <c r="AO47">
        <v>167.5</v>
      </c>
      <c r="AP47">
        <v>3</v>
      </c>
      <c r="AQ47">
        <v>290.3333333333</v>
      </c>
      <c r="AR47">
        <v>7</v>
      </c>
      <c r="AS47">
        <v>54.857142857100001</v>
      </c>
    </row>
    <row r="48" spans="6:47" x14ac:dyDescent="0.2">
      <c r="F48" t="s">
        <v>70</v>
      </c>
      <c r="G48">
        <v>1131</v>
      </c>
      <c r="H48">
        <v>932</v>
      </c>
      <c r="I48">
        <v>372.05257510730002</v>
      </c>
      <c r="J48">
        <v>585</v>
      </c>
      <c r="K48">
        <v>361.73162393159998</v>
      </c>
      <c r="L48">
        <v>104</v>
      </c>
      <c r="M48">
        <v>131.98076923080001</v>
      </c>
      <c r="N48">
        <v>85</v>
      </c>
      <c r="O48">
        <v>206.25882352939999</v>
      </c>
      <c r="R48">
        <v>10</v>
      </c>
      <c r="S48">
        <v>229.8</v>
      </c>
      <c r="V48" t="s">
        <v>416</v>
      </c>
      <c r="W48">
        <v>113</v>
      </c>
      <c r="X48">
        <v>77</v>
      </c>
      <c r="Y48">
        <v>176.96103896100001</v>
      </c>
      <c r="Z48">
        <v>38</v>
      </c>
      <c r="AA48">
        <v>189.7105263158</v>
      </c>
      <c r="AB48">
        <v>6</v>
      </c>
      <c r="AC48">
        <v>459.5</v>
      </c>
      <c r="AD48">
        <v>24</v>
      </c>
      <c r="AE48">
        <v>401.875</v>
      </c>
      <c r="AF48">
        <v>5</v>
      </c>
      <c r="AG48">
        <v>86.4</v>
      </c>
      <c r="AH48">
        <v>1</v>
      </c>
      <c r="AI48">
        <v>339</v>
      </c>
      <c r="AL48" t="s">
        <v>416</v>
      </c>
      <c r="AM48">
        <v>8</v>
      </c>
      <c r="AN48">
        <v>6</v>
      </c>
      <c r="AO48">
        <v>199.6666666667</v>
      </c>
      <c r="AP48">
        <v>2</v>
      </c>
      <c r="AQ48">
        <v>301</v>
      </c>
      <c r="AR48">
        <v>1</v>
      </c>
      <c r="AS48">
        <v>109</v>
      </c>
      <c r="AT48">
        <v>1</v>
      </c>
      <c r="AU48">
        <v>779</v>
      </c>
    </row>
    <row r="49" spans="6:49" x14ac:dyDescent="0.2">
      <c r="F49" t="s">
        <v>384</v>
      </c>
      <c r="G49">
        <v>67967</v>
      </c>
      <c r="H49">
        <v>49500</v>
      </c>
      <c r="I49">
        <v>424.33435018889998</v>
      </c>
      <c r="J49">
        <v>5619</v>
      </c>
      <c r="K49">
        <v>587.08293290619997</v>
      </c>
      <c r="L49">
        <v>14193</v>
      </c>
      <c r="M49">
        <v>610.67624885509997</v>
      </c>
      <c r="N49">
        <v>4165</v>
      </c>
      <c r="O49">
        <v>491.6192649532</v>
      </c>
      <c r="R49">
        <v>109</v>
      </c>
      <c r="S49">
        <v>491.76146788990002</v>
      </c>
      <c r="V49" t="s">
        <v>422</v>
      </c>
      <c r="W49">
        <v>631</v>
      </c>
      <c r="X49">
        <v>377</v>
      </c>
      <c r="Y49">
        <v>358.80106100799998</v>
      </c>
      <c r="Z49">
        <v>54</v>
      </c>
      <c r="AA49">
        <v>550.16666666670005</v>
      </c>
      <c r="AB49">
        <v>148</v>
      </c>
      <c r="AC49">
        <v>433.75675675679997</v>
      </c>
      <c r="AD49">
        <v>78</v>
      </c>
      <c r="AE49">
        <v>643.55128205129995</v>
      </c>
      <c r="AF49">
        <v>23</v>
      </c>
      <c r="AG49">
        <v>220.52173913039999</v>
      </c>
      <c r="AH49">
        <v>5</v>
      </c>
      <c r="AI49">
        <v>495.4</v>
      </c>
      <c r="AL49" t="s">
        <v>422</v>
      </c>
      <c r="AM49">
        <v>9</v>
      </c>
      <c r="AN49">
        <v>9</v>
      </c>
      <c r="AO49">
        <v>254.8888888889</v>
      </c>
      <c r="AP49">
        <v>5</v>
      </c>
      <c r="AQ49">
        <v>407.8</v>
      </c>
    </row>
    <row r="50" spans="6:49" x14ac:dyDescent="0.2">
      <c r="F50" t="s">
        <v>212</v>
      </c>
      <c r="G50">
        <v>1070</v>
      </c>
      <c r="H50">
        <v>775</v>
      </c>
      <c r="I50">
        <v>168.064516129</v>
      </c>
      <c r="J50">
        <v>526</v>
      </c>
      <c r="K50">
        <v>281.22243346009998</v>
      </c>
      <c r="L50">
        <v>254</v>
      </c>
      <c r="M50">
        <v>151.6968503937</v>
      </c>
      <c r="N50">
        <v>41</v>
      </c>
      <c r="O50">
        <v>225.9756097561</v>
      </c>
      <c r="V50" t="s">
        <v>375</v>
      </c>
      <c r="W50">
        <v>5759</v>
      </c>
      <c r="X50">
        <v>4658</v>
      </c>
      <c r="Y50">
        <v>551.01889222839998</v>
      </c>
      <c r="Z50">
        <v>491</v>
      </c>
      <c r="AA50">
        <v>924.57433808550002</v>
      </c>
      <c r="AB50">
        <v>642</v>
      </c>
      <c r="AC50">
        <v>689.86604361369996</v>
      </c>
      <c r="AD50">
        <v>314</v>
      </c>
      <c r="AE50">
        <v>636.17515923569999</v>
      </c>
      <c r="AF50">
        <v>133</v>
      </c>
      <c r="AG50">
        <v>135.90977443610001</v>
      </c>
      <c r="AH50">
        <v>12</v>
      </c>
      <c r="AI50">
        <v>602.75</v>
      </c>
      <c r="AL50" t="s">
        <v>375</v>
      </c>
      <c r="AM50">
        <v>57</v>
      </c>
      <c r="AN50">
        <v>44</v>
      </c>
      <c r="AO50">
        <v>170.79545454550001</v>
      </c>
      <c r="AP50">
        <v>22</v>
      </c>
      <c r="AQ50">
        <v>397.1818181818</v>
      </c>
      <c r="AR50">
        <v>9</v>
      </c>
      <c r="AS50">
        <v>139</v>
      </c>
      <c r="AT50">
        <v>4</v>
      </c>
      <c r="AU50">
        <v>404.5</v>
      </c>
    </row>
    <row r="51" spans="6:49" x14ac:dyDescent="0.2">
      <c r="F51" t="s">
        <v>209</v>
      </c>
      <c r="G51">
        <v>2314</v>
      </c>
      <c r="H51">
        <v>1656</v>
      </c>
      <c r="I51">
        <v>355.22161835750001</v>
      </c>
      <c r="J51">
        <v>252</v>
      </c>
      <c r="K51">
        <v>638.54761904760005</v>
      </c>
      <c r="L51">
        <v>611</v>
      </c>
      <c r="M51">
        <v>331.88052373160002</v>
      </c>
      <c r="N51">
        <v>47</v>
      </c>
      <c r="O51">
        <v>355.4680851064</v>
      </c>
      <c r="V51" t="s">
        <v>60</v>
      </c>
      <c r="W51">
        <v>5377</v>
      </c>
      <c r="X51">
        <v>3706</v>
      </c>
      <c r="Y51">
        <v>259.29546681059998</v>
      </c>
      <c r="Z51">
        <v>499</v>
      </c>
      <c r="AA51">
        <v>358.53907815629998</v>
      </c>
      <c r="AB51">
        <v>877</v>
      </c>
      <c r="AC51">
        <v>305.55986316989998</v>
      </c>
      <c r="AD51">
        <v>523</v>
      </c>
      <c r="AE51">
        <v>604.33141762449998</v>
      </c>
      <c r="AF51">
        <v>259</v>
      </c>
      <c r="AG51">
        <v>180.305019305</v>
      </c>
      <c r="AH51">
        <v>12</v>
      </c>
      <c r="AI51">
        <v>712.75</v>
      </c>
      <c r="AL51" t="s">
        <v>60</v>
      </c>
      <c r="AM51">
        <v>152</v>
      </c>
      <c r="AN51">
        <v>112</v>
      </c>
      <c r="AO51">
        <v>200.24107142860001</v>
      </c>
      <c r="AP51">
        <v>52</v>
      </c>
      <c r="AQ51">
        <v>392.28846153849997</v>
      </c>
      <c r="AR51">
        <v>32</v>
      </c>
      <c r="AS51">
        <v>152.9375</v>
      </c>
      <c r="AT51">
        <v>8</v>
      </c>
      <c r="AU51">
        <v>288.875</v>
      </c>
    </row>
    <row r="52" spans="6:49" x14ac:dyDescent="0.2">
      <c r="F52" t="s">
        <v>210</v>
      </c>
      <c r="G52">
        <v>1834</v>
      </c>
      <c r="H52">
        <v>1308</v>
      </c>
      <c r="I52">
        <v>212.2117737003</v>
      </c>
      <c r="J52">
        <v>608</v>
      </c>
      <c r="K52">
        <v>390.01973684209997</v>
      </c>
      <c r="L52">
        <v>427</v>
      </c>
      <c r="M52">
        <v>151.85011709599999</v>
      </c>
      <c r="N52">
        <v>99</v>
      </c>
      <c r="O52">
        <v>312.0707070707</v>
      </c>
      <c r="V52" t="s">
        <v>377</v>
      </c>
      <c r="W52">
        <v>15198</v>
      </c>
      <c r="X52">
        <v>10857</v>
      </c>
      <c r="Y52">
        <v>389.75158883670002</v>
      </c>
      <c r="Z52">
        <v>717</v>
      </c>
      <c r="AA52">
        <v>778.45746164570005</v>
      </c>
      <c r="AB52">
        <v>3326</v>
      </c>
      <c r="AC52">
        <v>709.37552615749996</v>
      </c>
      <c r="AD52">
        <v>620</v>
      </c>
      <c r="AE52">
        <v>480.50967741940002</v>
      </c>
      <c r="AF52">
        <v>394</v>
      </c>
      <c r="AG52">
        <v>147.24111675130001</v>
      </c>
      <c r="AH52">
        <v>1</v>
      </c>
      <c r="AI52">
        <v>477</v>
      </c>
      <c r="AL52" t="s">
        <v>377</v>
      </c>
      <c r="AM52">
        <v>105</v>
      </c>
      <c r="AN52">
        <v>82</v>
      </c>
      <c r="AO52">
        <v>200.73170731709999</v>
      </c>
      <c r="AP52">
        <v>44</v>
      </c>
      <c r="AQ52">
        <v>374.79545454549998</v>
      </c>
      <c r="AR52">
        <v>16</v>
      </c>
      <c r="AS52">
        <v>118.875</v>
      </c>
      <c r="AT52">
        <v>7</v>
      </c>
      <c r="AU52">
        <v>273.14285714290003</v>
      </c>
    </row>
    <row r="53" spans="6:49" x14ac:dyDescent="0.2">
      <c r="F53" t="s">
        <v>461</v>
      </c>
      <c r="G53">
        <v>5218</v>
      </c>
      <c r="H53">
        <v>3739</v>
      </c>
      <c r="I53">
        <v>266.40010698050003</v>
      </c>
      <c r="J53">
        <v>1386</v>
      </c>
      <c r="K53">
        <v>393.91702741699999</v>
      </c>
      <c r="L53">
        <v>1292</v>
      </c>
      <c r="M53">
        <v>236.95820433439999</v>
      </c>
      <c r="N53">
        <v>187</v>
      </c>
      <c r="O53">
        <v>304.10160427810001</v>
      </c>
      <c r="V53" t="s">
        <v>373</v>
      </c>
      <c r="W53">
        <v>3838</v>
      </c>
      <c r="X53">
        <v>2499</v>
      </c>
      <c r="Y53">
        <v>338.95758303320002</v>
      </c>
      <c r="Z53">
        <v>455</v>
      </c>
      <c r="AA53">
        <v>430.55164835160002</v>
      </c>
      <c r="AB53">
        <v>609</v>
      </c>
      <c r="AC53">
        <v>237.83251231529999</v>
      </c>
      <c r="AD53">
        <v>568</v>
      </c>
      <c r="AE53">
        <v>566.20598591550004</v>
      </c>
      <c r="AF53">
        <v>140</v>
      </c>
      <c r="AG53">
        <v>203.66428571430001</v>
      </c>
      <c r="AH53">
        <v>22</v>
      </c>
      <c r="AI53">
        <v>557.31818181819995</v>
      </c>
      <c r="AL53" t="s">
        <v>373</v>
      </c>
      <c r="AM53">
        <v>122</v>
      </c>
      <c r="AN53">
        <v>85</v>
      </c>
      <c r="AO53">
        <v>203.4</v>
      </c>
      <c r="AP53">
        <v>42</v>
      </c>
      <c r="AQ53">
        <v>333.1666666667</v>
      </c>
      <c r="AR53">
        <v>29</v>
      </c>
      <c r="AS53">
        <v>185.82758620690001</v>
      </c>
      <c r="AT53">
        <v>8</v>
      </c>
      <c r="AU53">
        <v>248</v>
      </c>
    </row>
    <row r="54" spans="6:49" x14ac:dyDescent="0.2">
      <c r="F54" t="s">
        <v>78</v>
      </c>
      <c r="G54">
        <v>1011</v>
      </c>
      <c r="H54">
        <v>830</v>
      </c>
      <c r="I54">
        <v>457.40602409640002</v>
      </c>
      <c r="J54">
        <v>74</v>
      </c>
      <c r="K54">
        <v>772.32432432430005</v>
      </c>
      <c r="L54">
        <v>24</v>
      </c>
      <c r="M54">
        <v>327.2916666667</v>
      </c>
      <c r="N54">
        <v>150</v>
      </c>
      <c r="O54">
        <v>438.52666666670001</v>
      </c>
      <c r="R54">
        <v>7</v>
      </c>
      <c r="S54">
        <v>291.71428571429999</v>
      </c>
      <c r="V54" t="s">
        <v>372</v>
      </c>
      <c r="W54">
        <v>1391</v>
      </c>
      <c r="X54">
        <v>915</v>
      </c>
      <c r="Y54">
        <v>216.99672131150001</v>
      </c>
      <c r="Z54">
        <v>130</v>
      </c>
      <c r="AA54">
        <v>314.11538461539999</v>
      </c>
      <c r="AB54">
        <v>254</v>
      </c>
      <c r="AC54">
        <v>222.31102362199999</v>
      </c>
      <c r="AD54">
        <v>146</v>
      </c>
      <c r="AE54">
        <v>296.76712328769997</v>
      </c>
      <c r="AF54">
        <v>73</v>
      </c>
      <c r="AG54">
        <v>155.02739726030001</v>
      </c>
      <c r="AH54">
        <v>3</v>
      </c>
      <c r="AI54">
        <v>224.6666666667</v>
      </c>
      <c r="AL54" t="s">
        <v>372</v>
      </c>
      <c r="AM54">
        <v>32</v>
      </c>
      <c r="AN54">
        <v>22</v>
      </c>
      <c r="AO54">
        <v>203.36363636359999</v>
      </c>
      <c r="AP54">
        <v>17</v>
      </c>
      <c r="AQ54">
        <v>363.8823529412</v>
      </c>
      <c r="AR54">
        <v>9</v>
      </c>
      <c r="AS54">
        <v>156.7777777778</v>
      </c>
      <c r="AT54">
        <v>1</v>
      </c>
      <c r="AU54">
        <v>242</v>
      </c>
    </row>
    <row r="55" spans="6:49" x14ac:dyDescent="0.2">
      <c r="F55" t="s">
        <v>35</v>
      </c>
      <c r="G55">
        <v>3211</v>
      </c>
      <c r="H55">
        <v>1973</v>
      </c>
      <c r="I55">
        <v>459.2870182556</v>
      </c>
      <c r="J55">
        <v>243</v>
      </c>
      <c r="K55">
        <v>512.88477366259997</v>
      </c>
      <c r="L55">
        <v>916</v>
      </c>
      <c r="M55">
        <v>475.24563318780002</v>
      </c>
      <c r="N55">
        <v>303</v>
      </c>
      <c r="O55">
        <v>611.56105610559996</v>
      </c>
      <c r="R55">
        <v>19</v>
      </c>
      <c r="S55">
        <v>509.84210526319998</v>
      </c>
      <c r="V55" t="s">
        <v>374</v>
      </c>
      <c r="W55">
        <v>7235</v>
      </c>
      <c r="X55">
        <v>5083</v>
      </c>
      <c r="Y55">
        <v>398.75408223490001</v>
      </c>
      <c r="Z55">
        <v>650</v>
      </c>
      <c r="AA55">
        <v>546.39384615380004</v>
      </c>
      <c r="AB55">
        <v>922</v>
      </c>
      <c r="AC55">
        <v>405.3470715835</v>
      </c>
      <c r="AD55">
        <v>913</v>
      </c>
      <c r="AE55">
        <v>698.8510405257</v>
      </c>
      <c r="AF55">
        <v>287</v>
      </c>
      <c r="AG55">
        <v>177.21254355400001</v>
      </c>
      <c r="AH55">
        <v>30</v>
      </c>
      <c r="AI55">
        <v>509</v>
      </c>
      <c r="AL55" t="s">
        <v>374</v>
      </c>
      <c r="AM55">
        <v>176</v>
      </c>
      <c r="AN55">
        <v>125</v>
      </c>
      <c r="AO55">
        <v>193.65600000000001</v>
      </c>
      <c r="AP55">
        <v>49</v>
      </c>
      <c r="AQ55">
        <v>399.10204081630002</v>
      </c>
      <c r="AR55">
        <v>37</v>
      </c>
      <c r="AS55">
        <v>142.05405405409999</v>
      </c>
      <c r="AT55">
        <v>13</v>
      </c>
      <c r="AU55">
        <v>418.53846153849997</v>
      </c>
      <c r="AV55">
        <v>1</v>
      </c>
      <c r="AW55">
        <v>5420</v>
      </c>
    </row>
    <row r="56" spans="6:49" x14ac:dyDescent="0.2">
      <c r="F56" t="s">
        <v>61</v>
      </c>
      <c r="G56">
        <v>2488</v>
      </c>
      <c r="H56">
        <v>1792</v>
      </c>
      <c r="I56">
        <v>369.83091517859998</v>
      </c>
      <c r="J56">
        <v>360</v>
      </c>
      <c r="K56">
        <v>448.92777777779997</v>
      </c>
      <c r="L56">
        <v>284</v>
      </c>
      <c r="M56">
        <v>76.200704225400003</v>
      </c>
      <c r="N56">
        <v>399</v>
      </c>
      <c r="O56">
        <v>508.90977443610001</v>
      </c>
      <c r="R56">
        <v>13</v>
      </c>
      <c r="S56">
        <v>516.69230769230001</v>
      </c>
      <c r="V56" t="s">
        <v>371</v>
      </c>
      <c r="W56">
        <v>285</v>
      </c>
      <c r="X56">
        <v>151</v>
      </c>
      <c r="Y56">
        <v>164.80794701990001</v>
      </c>
      <c r="Z56">
        <v>84</v>
      </c>
      <c r="AA56">
        <v>197.73809523809999</v>
      </c>
      <c r="AB56">
        <v>67</v>
      </c>
      <c r="AC56">
        <v>148.47761194029999</v>
      </c>
      <c r="AD56">
        <v>32</v>
      </c>
      <c r="AE56">
        <v>181.46875</v>
      </c>
      <c r="AF56">
        <v>34</v>
      </c>
      <c r="AG56">
        <v>187.8529411765</v>
      </c>
      <c r="AH56">
        <v>1</v>
      </c>
      <c r="AI56">
        <v>264</v>
      </c>
      <c r="AL56" t="s">
        <v>371</v>
      </c>
      <c r="AM56">
        <v>19</v>
      </c>
      <c r="AN56">
        <v>12</v>
      </c>
      <c r="AO56">
        <v>135.75</v>
      </c>
      <c r="AP56">
        <v>2</v>
      </c>
      <c r="AQ56">
        <v>476.5</v>
      </c>
      <c r="AR56">
        <v>6</v>
      </c>
      <c r="AS56">
        <v>147.3333333333</v>
      </c>
      <c r="AT56">
        <v>1</v>
      </c>
      <c r="AU56">
        <v>228</v>
      </c>
    </row>
    <row r="57" spans="6:49" x14ac:dyDescent="0.2">
      <c r="F57" t="s">
        <v>24</v>
      </c>
      <c r="G57">
        <v>2033</v>
      </c>
      <c r="H57">
        <v>1235</v>
      </c>
      <c r="I57">
        <v>272.3417004049</v>
      </c>
      <c r="J57">
        <v>416</v>
      </c>
      <c r="K57">
        <v>326.04567307690002</v>
      </c>
      <c r="L57">
        <v>564</v>
      </c>
      <c r="M57">
        <v>339.6028368794</v>
      </c>
      <c r="N57">
        <v>222</v>
      </c>
      <c r="O57">
        <v>561.2162162162</v>
      </c>
      <c r="R57">
        <v>12</v>
      </c>
      <c r="S57">
        <v>789.66666666670005</v>
      </c>
      <c r="V57" t="s">
        <v>370</v>
      </c>
      <c r="W57">
        <v>3349</v>
      </c>
      <c r="X57">
        <v>1947</v>
      </c>
      <c r="Y57">
        <v>431.51181911610001</v>
      </c>
      <c r="Z57">
        <v>325</v>
      </c>
      <c r="AA57">
        <v>464.57538461540003</v>
      </c>
      <c r="AB57">
        <v>924</v>
      </c>
      <c r="AC57">
        <v>453.34415584419997</v>
      </c>
      <c r="AD57">
        <v>309</v>
      </c>
      <c r="AE57">
        <v>580.70226537220003</v>
      </c>
      <c r="AF57">
        <v>152</v>
      </c>
      <c r="AG57">
        <v>170.18421052630001</v>
      </c>
      <c r="AH57">
        <v>17</v>
      </c>
      <c r="AI57">
        <v>463.3529411765</v>
      </c>
      <c r="AL57" t="s">
        <v>370</v>
      </c>
      <c r="AM57">
        <v>79</v>
      </c>
      <c r="AN57">
        <v>61</v>
      </c>
      <c r="AO57">
        <v>188.1639344262</v>
      </c>
      <c r="AP57">
        <v>25</v>
      </c>
      <c r="AQ57">
        <v>313.44</v>
      </c>
      <c r="AR57">
        <v>17</v>
      </c>
      <c r="AS57">
        <v>179.5294117647</v>
      </c>
      <c r="AT57">
        <v>1</v>
      </c>
      <c r="AU57">
        <v>556</v>
      </c>
    </row>
    <row r="58" spans="6:49" x14ac:dyDescent="0.2">
      <c r="F58" t="s">
        <v>69</v>
      </c>
      <c r="G58">
        <v>14723</v>
      </c>
      <c r="H58">
        <v>10920</v>
      </c>
      <c r="I58">
        <v>374.46831501830002</v>
      </c>
      <c r="J58">
        <v>682</v>
      </c>
      <c r="K58">
        <v>769.99266862169998</v>
      </c>
      <c r="L58">
        <v>3276</v>
      </c>
      <c r="M58">
        <v>663.20207570210005</v>
      </c>
      <c r="N58">
        <v>526</v>
      </c>
      <c r="O58">
        <v>409.8460076046</v>
      </c>
      <c r="R58">
        <v>1</v>
      </c>
      <c r="S58">
        <v>477</v>
      </c>
      <c r="V58" t="s">
        <v>414</v>
      </c>
      <c r="W58">
        <v>611</v>
      </c>
      <c r="X58">
        <v>492</v>
      </c>
      <c r="Y58">
        <v>235.55487804879999</v>
      </c>
      <c r="Z58">
        <v>56</v>
      </c>
      <c r="AA58">
        <v>453.33928571429999</v>
      </c>
      <c r="AB58">
        <v>52</v>
      </c>
      <c r="AC58">
        <v>209.26923076919999</v>
      </c>
      <c r="AD58">
        <v>35</v>
      </c>
      <c r="AE58">
        <v>242.77142857140001</v>
      </c>
      <c r="AF58">
        <v>30</v>
      </c>
      <c r="AG58">
        <v>180.86666666670001</v>
      </c>
      <c r="AH58">
        <v>2</v>
      </c>
      <c r="AI58">
        <v>1018</v>
      </c>
      <c r="AL58" t="s">
        <v>414</v>
      </c>
      <c r="AM58">
        <v>7</v>
      </c>
      <c r="AN58">
        <v>6</v>
      </c>
      <c r="AO58">
        <v>144.6666666667</v>
      </c>
      <c r="AR58">
        <v>1</v>
      </c>
      <c r="AS58">
        <v>82</v>
      </c>
    </row>
    <row r="59" spans="6:49" x14ac:dyDescent="0.2">
      <c r="F59" t="s">
        <v>44</v>
      </c>
      <c r="G59">
        <v>1415</v>
      </c>
      <c r="H59">
        <v>980</v>
      </c>
      <c r="I59">
        <v>267.74591836730002</v>
      </c>
      <c r="J59">
        <v>151</v>
      </c>
      <c r="K59">
        <v>426.821192053</v>
      </c>
      <c r="L59">
        <v>294</v>
      </c>
      <c r="M59">
        <v>240.82312925170001</v>
      </c>
      <c r="N59">
        <v>138</v>
      </c>
      <c r="O59">
        <v>291.59420289859997</v>
      </c>
      <c r="R59">
        <v>3</v>
      </c>
      <c r="S59">
        <v>224.6666666667</v>
      </c>
      <c r="V59" t="s">
        <v>378</v>
      </c>
      <c r="W59">
        <v>2443</v>
      </c>
      <c r="X59">
        <v>1675</v>
      </c>
      <c r="Y59">
        <v>349.69552238810002</v>
      </c>
      <c r="Z59">
        <v>260</v>
      </c>
      <c r="AA59">
        <v>460.09615384620002</v>
      </c>
      <c r="AB59">
        <v>135</v>
      </c>
      <c r="AC59">
        <v>290.25185185190003</v>
      </c>
      <c r="AD59">
        <v>510</v>
      </c>
      <c r="AE59">
        <v>551.4341846758</v>
      </c>
      <c r="AF59">
        <v>116</v>
      </c>
      <c r="AG59">
        <v>199.0172413793</v>
      </c>
      <c r="AH59">
        <v>7</v>
      </c>
      <c r="AI59">
        <v>602</v>
      </c>
      <c r="AL59" t="s">
        <v>378</v>
      </c>
      <c r="AM59">
        <v>39</v>
      </c>
      <c r="AN59">
        <v>32</v>
      </c>
      <c r="AO59">
        <v>275.46875</v>
      </c>
      <c r="AP59">
        <v>13</v>
      </c>
      <c r="AQ59">
        <v>295.53846153849997</v>
      </c>
      <c r="AR59">
        <v>6</v>
      </c>
      <c r="AS59">
        <v>150.1666666667</v>
      </c>
      <c r="AV59">
        <v>1</v>
      </c>
      <c r="AW59">
        <v>313</v>
      </c>
    </row>
    <row r="60" spans="6:49" x14ac:dyDescent="0.2">
      <c r="F60" t="s">
        <v>60</v>
      </c>
      <c r="G60">
        <v>3338</v>
      </c>
      <c r="H60">
        <v>2681</v>
      </c>
      <c r="I60">
        <v>272.32487877659997</v>
      </c>
      <c r="J60">
        <v>304</v>
      </c>
      <c r="K60">
        <v>608.41447368419995</v>
      </c>
      <c r="L60">
        <v>340</v>
      </c>
      <c r="M60">
        <v>189.7794117647</v>
      </c>
      <c r="N60">
        <v>316</v>
      </c>
      <c r="O60">
        <v>642.56645569620002</v>
      </c>
      <c r="R60">
        <v>1</v>
      </c>
      <c r="S60">
        <v>96</v>
      </c>
      <c r="V60" t="s">
        <v>381</v>
      </c>
      <c r="W60">
        <v>9420</v>
      </c>
      <c r="X60">
        <v>6815</v>
      </c>
      <c r="Y60">
        <v>259.85722670579997</v>
      </c>
      <c r="Z60">
        <v>1069</v>
      </c>
      <c r="AA60">
        <v>440.17680074840001</v>
      </c>
      <c r="AB60">
        <v>1233</v>
      </c>
      <c r="AC60">
        <v>204.77372262770001</v>
      </c>
      <c r="AD60">
        <v>810</v>
      </c>
      <c r="AE60">
        <v>350.70246913580002</v>
      </c>
      <c r="AF60">
        <v>541</v>
      </c>
      <c r="AG60">
        <v>176.9722735675</v>
      </c>
      <c r="AH60">
        <v>21</v>
      </c>
      <c r="AI60">
        <v>259.23809523810002</v>
      </c>
      <c r="AL60" t="s">
        <v>381</v>
      </c>
      <c r="AM60">
        <v>152</v>
      </c>
      <c r="AN60">
        <v>109</v>
      </c>
      <c r="AO60">
        <v>208.49541284399999</v>
      </c>
      <c r="AP60">
        <v>60</v>
      </c>
      <c r="AQ60">
        <v>385.1</v>
      </c>
      <c r="AR60">
        <v>34</v>
      </c>
      <c r="AS60">
        <v>138.20588235290001</v>
      </c>
      <c r="AT60">
        <v>9</v>
      </c>
      <c r="AU60">
        <v>283.44444444440001</v>
      </c>
    </row>
    <row r="61" spans="6:49" x14ac:dyDescent="0.2">
      <c r="F61" t="s">
        <v>33</v>
      </c>
      <c r="G61">
        <v>4781</v>
      </c>
      <c r="H61">
        <v>4035</v>
      </c>
      <c r="I61">
        <v>562.48921933090003</v>
      </c>
      <c r="J61">
        <v>394</v>
      </c>
      <c r="K61">
        <v>966.46954314720006</v>
      </c>
      <c r="L61">
        <v>401</v>
      </c>
      <c r="M61">
        <v>720.71321695760003</v>
      </c>
      <c r="N61">
        <v>332</v>
      </c>
      <c r="O61">
        <v>652.53172205440001</v>
      </c>
      <c r="R61">
        <v>13</v>
      </c>
      <c r="S61">
        <v>611.92307692309998</v>
      </c>
      <c r="V61" t="s">
        <v>413</v>
      </c>
      <c r="W61">
        <v>597</v>
      </c>
      <c r="X61">
        <v>400</v>
      </c>
      <c r="Y61">
        <v>430.625</v>
      </c>
      <c r="Z61">
        <v>32</v>
      </c>
      <c r="AA61">
        <v>752.40625</v>
      </c>
      <c r="AB61">
        <v>135</v>
      </c>
      <c r="AC61">
        <v>713.34074074069997</v>
      </c>
      <c r="AD61">
        <v>35</v>
      </c>
      <c r="AE61">
        <v>530.82857142859996</v>
      </c>
      <c r="AF61">
        <v>27</v>
      </c>
      <c r="AG61">
        <v>118.3333333333</v>
      </c>
      <c r="AL61" t="s">
        <v>413</v>
      </c>
      <c r="AM61">
        <v>7</v>
      </c>
      <c r="AN61">
        <v>4</v>
      </c>
      <c r="AO61">
        <v>232.25</v>
      </c>
      <c r="AP61">
        <v>6</v>
      </c>
      <c r="AQ61">
        <v>417.6666666667</v>
      </c>
      <c r="AR61">
        <v>2</v>
      </c>
      <c r="AS61">
        <v>182.5</v>
      </c>
      <c r="AT61">
        <v>1</v>
      </c>
      <c r="AU61">
        <v>221</v>
      </c>
    </row>
    <row r="62" spans="6:49" x14ac:dyDescent="0.2">
      <c r="F62" t="s">
        <v>47</v>
      </c>
      <c r="G62">
        <v>2599</v>
      </c>
      <c r="H62">
        <v>1799</v>
      </c>
      <c r="I62">
        <v>362.51862145640001</v>
      </c>
      <c r="J62">
        <v>293</v>
      </c>
      <c r="K62">
        <v>454.26962457339999</v>
      </c>
      <c r="L62">
        <v>291</v>
      </c>
      <c r="M62">
        <v>567.87628865980003</v>
      </c>
      <c r="N62">
        <v>501</v>
      </c>
      <c r="O62">
        <v>540.548</v>
      </c>
      <c r="R62">
        <v>8</v>
      </c>
      <c r="S62">
        <v>541.375</v>
      </c>
      <c r="V62" t="s">
        <v>368</v>
      </c>
      <c r="W62">
        <v>56745</v>
      </c>
      <c r="X62">
        <v>40032</v>
      </c>
      <c r="Y62">
        <v>364.34428318049999</v>
      </c>
      <c r="Z62">
        <v>4886</v>
      </c>
      <c r="AA62">
        <v>541.21285304950004</v>
      </c>
      <c r="AB62">
        <v>9363</v>
      </c>
      <c r="AC62">
        <v>486.60258464169999</v>
      </c>
      <c r="AD62">
        <v>4983</v>
      </c>
      <c r="AE62">
        <v>536.47540654490001</v>
      </c>
      <c r="AF62">
        <v>2226</v>
      </c>
      <c r="AG62">
        <v>171.71608265949999</v>
      </c>
      <c r="AH62">
        <v>141</v>
      </c>
      <c r="AI62">
        <v>490.50354609930002</v>
      </c>
      <c r="AL62" t="s">
        <v>368</v>
      </c>
      <c r="AM62">
        <v>989</v>
      </c>
      <c r="AN62">
        <v>727</v>
      </c>
      <c r="AO62">
        <v>199.89546079780001</v>
      </c>
      <c r="AP62">
        <v>342</v>
      </c>
      <c r="AQ62">
        <v>371.69005847950001</v>
      </c>
      <c r="AR62">
        <v>206</v>
      </c>
      <c r="AS62">
        <v>148.44174757280001</v>
      </c>
      <c r="AT62">
        <v>54</v>
      </c>
      <c r="AU62">
        <v>330.4259259259</v>
      </c>
      <c r="AV62">
        <v>2</v>
      </c>
      <c r="AW62">
        <v>2866.5</v>
      </c>
    </row>
    <row r="63" spans="6:49" x14ac:dyDescent="0.2">
      <c r="F63" t="s">
        <v>54</v>
      </c>
      <c r="G63">
        <v>595</v>
      </c>
      <c r="H63">
        <v>506</v>
      </c>
      <c r="I63">
        <v>237.24703557309999</v>
      </c>
      <c r="J63">
        <v>76</v>
      </c>
      <c r="K63">
        <v>483.65789473680002</v>
      </c>
      <c r="L63">
        <v>48</v>
      </c>
      <c r="M63">
        <v>98.208333333300004</v>
      </c>
      <c r="N63">
        <v>40</v>
      </c>
      <c r="O63">
        <v>203.17500000000001</v>
      </c>
      <c r="R63">
        <v>1</v>
      </c>
      <c r="S63">
        <v>544</v>
      </c>
      <c r="V63" t="s">
        <v>697</v>
      </c>
      <c r="W63">
        <v>313439</v>
      </c>
      <c r="X63">
        <v>228791</v>
      </c>
      <c r="Y63">
        <v>411.47050055950001</v>
      </c>
      <c r="Z63">
        <v>28369</v>
      </c>
      <c r="AA63">
        <v>566.7409496281</v>
      </c>
      <c r="AB63">
        <v>50517</v>
      </c>
      <c r="AC63">
        <v>539.25526060530001</v>
      </c>
      <c r="AD63">
        <v>22276</v>
      </c>
      <c r="AE63">
        <v>508.42006466679999</v>
      </c>
      <c r="AF63">
        <v>11259</v>
      </c>
      <c r="AG63">
        <v>176.5781666371</v>
      </c>
      <c r="AH63">
        <v>596</v>
      </c>
      <c r="AI63">
        <v>455.25503355699999</v>
      </c>
      <c r="AL63" t="s">
        <v>697</v>
      </c>
      <c r="AM63">
        <v>5221</v>
      </c>
      <c r="AN63">
        <v>3739</v>
      </c>
      <c r="AO63">
        <v>266.40010698050003</v>
      </c>
      <c r="AP63">
        <v>1386</v>
      </c>
      <c r="AQ63">
        <v>393.91702741699999</v>
      </c>
      <c r="AR63">
        <v>1292</v>
      </c>
      <c r="AS63">
        <v>236.95820433439999</v>
      </c>
      <c r="AT63">
        <v>187</v>
      </c>
      <c r="AU63">
        <v>304.10160427810001</v>
      </c>
      <c r="AV63">
        <v>3</v>
      </c>
      <c r="AW63">
        <v>1911.3333333333001</v>
      </c>
    </row>
    <row r="64" spans="6:49" x14ac:dyDescent="0.2">
      <c r="F64" t="s">
        <v>65</v>
      </c>
      <c r="G64">
        <v>4956</v>
      </c>
      <c r="H64">
        <v>4053</v>
      </c>
      <c r="I64">
        <v>549.37577103379999</v>
      </c>
      <c r="J64">
        <v>181</v>
      </c>
      <c r="K64">
        <v>1166.5303867402999</v>
      </c>
      <c r="L64">
        <v>120</v>
      </c>
      <c r="M64">
        <v>706.9</v>
      </c>
      <c r="N64">
        <v>773</v>
      </c>
      <c r="O64">
        <v>905.26261319529999</v>
      </c>
      <c r="R64">
        <v>10</v>
      </c>
      <c r="S64">
        <v>646.6</v>
      </c>
    </row>
    <row r="65" spans="6:19" x14ac:dyDescent="0.2">
      <c r="F65" t="s">
        <v>67</v>
      </c>
      <c r="G65">
        <v>1182</v>
      </c>
      <c r="H65">
        <v>695</v>
      </c>
      <c r="I65">
        <v>503.9338129496</v>
      </c>
      <c r="J65">
        <v>266</v>
      </c>
      <c r="K65">
        <v>483.46616541349999</v>
      </c>
      <c r="L65">
        <v>343</v>
      </c>
      <c r="M65">
        <v>1046.4723032070001</v>
      </c>
      <c r="N65">
        <v>143</v>
      </c>
      <c r="O65">
        <v>670.65034965029997</v>
      </c>
      <c r="R65">
        <v>1</v>
      </c>
      <c r="S65">
        <v>264</v>
      </c>
    </row>
    <row r="66" spans="6:19" x14ac:dyDescent="0.2">
      <c r="F66" t="s">
        <v>82</v>
      </c>
      <c r="G66">
        <v>155</v>
      </c>
      <c r="H66">
        <v>32</v>
      </c>
      <c r="I66">
        <v>1049.5</v>
      </c>
      <c r="J66">
        <v>8</v>
      </c>
      <c r="K66">
        <v>1449.75</v>
      </c>
      <c r="L66">
        <v>54</v>
      </c>
      <c r="M66">
        <v>772.98148148150005</v>
      </c>
      <c r="N66">
        <v>65</v>
      </c>
      <c r="O66">
        <v>624.52307692310001</v>
      </c>
      <c r="R66">
        <v>4</v>
      </c>
      <c r="S66">
        <v>478.5</v>
      </c>
    </row>
    <row r="67" spans="6:19" x14ac:dyDescent="0.2">
      <c r="F67" t="s">
        <v>63</v>
      </c>
      <c r="G67">
        <v>5810</v>
      </c>
      <c r="H67">
        <v>3866</v>
      </c>
      <c r="I67">
        <v>295.68132436629998</v>
      </c>
      <c r="J67">
        <v>683</v>
      </c>
      <c r="K67">
        <v>380.6778916545</v>
      </c>
      <c r="L67">
        <v>1252</v>
      </c>
      <c r="M67">
        <v>360.46805111819998</v>
      </c>
      <c r="N67">
        <v>661</v>
      </c>
      <c r="O67">
        <v>619.75189107409994</v>
      </c>
      <c r="R67">
        <v>31</v>
      </c>
      <c r="S67">
        <v>489.25806451609998</v>
      </c>
    </row>
    <row r="68" spans="6:19" x14ac:dyDescent="0.2">
      <c r="F68" t="s">
        <v>429</v>
      </c>
      <c r="G68">
        <v>33</v>
      </c>
      <c r="H68">
        <v>12</v>
      </c>
      <c r="I68">
        <v>520.58333333329995</v>
      </c>
      <c r="J68">
        <v>2</v>
      </c>
      <c r="K68">
        <v>639.5</v>
      </c>
      <c r="L68">
        <v>6</v>
      </c>
      <c r="M68">
        <v>973.66666666670005</v>
      </c>
      <c r="N68">
        <v>13</v>
      </c>
      <c r="O68">
        <v>371.07692307690002</v>
      </c>
      <c r="R68">
        <v>2</v>
      </c>
      <c r="S68">
        <v>457.5</v>
      </c>
    </row>
    <row r="69" spans="6:19" x14ac:dyDescent="0.2">
      <c r="F69" t="s">
        <v>83</v>
      </c>
      <c r="G69">
        <v>8563</v>
      </c>
      <c r="H69">
        <v>6617</v>
      </c>
      <c r="I69">
        <v>243.2851745504</v>
      </c>
      <c r="J69">
        <v>1034</v>
      </c>
      <c r="K69">
        <v>428.50967117990001</v>
      </c>
      <c r="L69">
        <v>1130</v>
      </c>
      <c r="M69">
        <v>147.8530973451</v>
      </c>
      <c r="N69">
        <v>796</v>
      </c>
      <c r="O69">
        <v>339.17713567840002</v>
      </c>
      <c r="R69">
        <v>20</v>
      </c>
      <c r="S69">
        <v>266.35000000000002</v>
      </c>
    </row>
    <row r="70" spans="6:19" x14ac:dyDescent="0.2">
      <c r="F70" t="s">
        <v>135</v>
      </c>
      <c r="G70">
        <v>179</v>
      </c>
      <c r="H70">
        <v>146</v>
      </c>
      <c r="I70">
        <v>442.91780821920003</v>
      </c>
      <c r="J70">
        <v>77</v>
      </c>
      <c r="K70">
        <v>579.38961038959997</v>
      </c>
      <c r="L70">
        <v>4</v>
      </c>
      <c r="M70">
        <v>600</v>
      </c>
      <c r="N70">
        <v>28</v>
      </c>
      <c r="O70">
        <v>431.92857142859998</v>
      </c>
      <c r="R70">
        <v>1</v>
      </c>
      <c r="S70">
        <v>339</v>
      </c>
    </row>
    <row r="71" spans="6:19" x14ac:dyDescent="0.2">
      <c r="F71" t="s">
        <v>368</v>
      </c>
      <c r="G71">
        <v>57072</v>
      </c>
      <c r="H71">
        <v>42172</v>
      </c>
      <c r="I71">
        <v>375.66723577810001</v>
      </c>
      <c r="J71">
        <v>5244</v>
      </c>
      <c r="K71">
        <v>553.87852784129996</v>
      </c>
      <c r="L71">
        <v>9347</v>
      </c>
      <c r="M71">
        <v>485.22916443780002</v>
      </c>
      <c r="N71">
        <v>5406</v>
      </c>
      <c r="O71">
        <v>567.13730569949996</v>
      </c>
      <c r="R71">
        <v>147</v>
      </c>
      <c r="S71">
        <v>492.4557823129</v>
      </c>
    </row>
    <row r="72" spans="6:19" x14ac:dyDescent="0.2">
      <c r="F72" t="s">
        <v>697</v>
      </c>
      <c r="G72">
        <v>318660</v>
      </c>
      <c r="H72">
        <v>232530</v>
      </c>
      <c r="I72">
        <v>409.13774981400002</v>
      </c>
      <c r="J72">
        <v>29755</v>
      </c>
      <c r="K72">
        <v>558.69074105189998</v>
      </c>
      <c r="L72">
        <v>51809</v>
      </c>
      <c r="M72">
        <v>531.71665154699997</v>
      </c>
      <c r="N72">
        <v>22463</v>
      </c>
      <c r="O72">
        <v>506.71854820750002</v>
      </c>
      <c r="P72">
        <v>11262</v>
      </c>
      <c r="Q72">
        <v>177.0403161353</v>
      </c>
      <c r="R72">
        <v>596</v>
      </c>
      <c r="S72">
        <v>455.25503355699999</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493</v>
      </c>
      <c r="B1" t="s">
        <v>365</v>
      </c>
      <c r="C1" t="s">
        <v>492</v>
      </c>
      <c r="D1" t="s">
        <v>494</v>
      </c>
      <c r="E1" t="s">
        <v>495</v>
      </c>
      <c r="F1" t="s">
        <v>496</v>
      </c>
      <c r="G1" t="s">
        <v>497</v>
      </c>
      <c r="H1" t="s">
        <v>498</v>
      </c>
      <c r="I1" t="s">
        <v>499</v>
      </c>
      <c r="J1" t="s">
        <v>500</v>
      </c>
      <c r="K1" t="s">
        <v>501</v>
      </c>
      <c r="L1" t="s">
        <v>366</v>
      </c>
      <c r="M1" t="s">
        <v>502</v>
      </c>
      <c r="N1" t="s">
        <v>503</v>
      </c>
      <c r="O1" t="s">
        <v>504</v>
      </c>
      <c r="P1" t="s">
        <v>505</v>
      </c>
      <c r="Q1" t="s">
        <v>506</v>
      </c>
      <c r="R1" t="s">
        <v>677</v>
      </c>
    </row>
    <row r="2" spans="1:18" x14ac:dyDescent="0.2">
      <c r="A2">
        <v>1</v>
      </c>
      <c r="B2">
        <v>-99</v>
      </c>
      <c r="C2" t="s">
        <v>436</v>
      </c>
      <c r="D2" t="s">
        <v>697</v>
      </c>
      <c r="E2" t="s">
        <v>436</v>
      </c>
      <c r="F2" t="s">
        <v>697</v>
      </c>
      <c r="G2" t="s">
        <v>436</v>
      </c>
      <c r="H2" t="s">
        <v>6</v>
      </c>
      <c r="I2">
        <v>-99</v>
      </c>
      <c r="J2">
        <v>1</v>
      </c>
      <c r="K2" t="s">
        <v>6</v>
      </c>
      <c r="L2">
        <v>-99</v>
      </c>
      <c r="M2" t="s">
        <v>653</v>
      </c>
      <c r="N2" t="s">
        <v>653</v>
      </c>
      <c r="O2">
        <v>-99</v>
      </c>
      <c r="P2">
        <v>-99</v>
      </c>
      <c r="Q2">
        <v>1</v>
      </c>
      <c r="R2" t="s">
        <v>653</v>
      </c>
    </row>
    <row r="3" spans="1:18" x14ac:dyDescent="0.2">
      <c r="A3">
        <v>2</v>
      </c>
      <c r="B3">
        <v>-99</v>
      </c>
      <c r="C3" t="s">
        <v>437</v>
      </c>
      <c r="D3" t="s">
        <v>6</v>
      </c>
      <c r="E3" t="s">
        <v>437</v>
      </c>
      <c r="F3" t="s">
        <v>1034</v>
      </c>
      <c r="G3" t="s">
        <v>436</v>
      </c>
      <c r="H3" t="s">
        <v>6</v>
      </c>
      <c r="I3">
        <v>-99</v>
      </c>
      <c r="J3">
        <v>1</v>
      </c>
      <c r="K3" t="s">
        <v>6</v>
      </c>
      <c r="L3">
        <v>-99</v>
      </c>
      <c r="M3" t="s">
        <v>653</v>
      </c>
      <c r="N3" t="s">
        <v>653</v>
      </c>
      <c r="O3">
        <v>-99</v>
      </c>
      <c r="P3">
        <v>-99</v>
      </c>
      <c r="Q3">
        <v>1</v>
      </c>
      <c r="R3" t="s">
        <v>653</v>
      </c>
    </row>
    <row r="4" spans="1:18" x14ac:dyDescent="0.2">
      <c r="A4">
        <v>3</v>
      </c>
      <c r="B4">
        <v>-99</v>
      </c>
      <c r="C4" t="s">
        <v>654</v>
      </c>
      <c r="D4" t="s">
        <v>6</v>
      </c>
      <c r="E4" t="s">
        <v>654</v>
      </c>
      <c r="F4" t="s">
        <v>1036</v>
      </c>
      <c r="G4" t="s">
        <v>436</v>
      </c>
      <c r="H4" t="s">
        <v>6</v>
      </c>
      <c r="I4">
        <v>-99</v>
      </c>
      <c r="J4">
        <v>1</v>
      </c>
      <c r="K4" t="s">
        <v>6</v>
      </c>
      <c r="L4">
        <v>-99</v>
      </c>
      <c r="M4" t="s">
        <v>653</v>
      </c>
      <c r="N4" t="s">
        <v>653</v>
      </c>
      <c r="O4">
        <v>-99</v>
      </c>
      <c r="P4">
        <v>-99</v>
      </c>
      <c r="Q4">
        <v>1</v>
      </c>
      <c r="R4" t="s">
        <v>208</v>
      </c>
    </row>
    <row r="5" spans="1:18" x14ac:dyDescent="0.2">
      <c r="A5">
        <v>4</v>
      </c>
      <c r="B5">
        <v>-99</v>
      </c>
      <c r="C5" t="s">
        <v>438</v>
      </c>
      <c r="D5" t="s">
        <v>6</v>
      </c>
      <c r="E5" t="s">
        <v>438</v>
      </c>
      <c r="F5" t="s">
        <v>1042</v>
      </c>
      <c r="G5" t="s">
        <v>436</v>
      </c>
      <c r="H5" t="s">
        <v>6</v>
      </c>
      <c r="I5">
        <v>-99</v>
      </c>
      <c r="J5">
        <v>1</v>
      </c>
      <c r="K5" t="s">
        <v>6</v>
      </c>
      <c r="L5">
        <v>-99</v>
      </c>
      <c r="M5" t="s">
        <v>653</v>
      </c>
      <c r="N5" t="s">
        <v>653</v>
      </c>
      <c r="O5">
        <v>-99</v>
      </c>
      <c r="P5">
        <v>-99</v>
      </c>
      <c r="Q5">
        <v>1</v>
      </c>
      <c r="R5" t="s">
        <v>682</v>
      </c>
    </row>
    <row r="6" spans="1:18" x14ac:dyDescent="0.2">
      <c r="A6">
        <v>5</v>
      </c>
      <c r="B6">
        <v>-99</v>
      </c>
      <c r="C6" t="s">
        <v>439</v>
      </c>
      <c r="D6" t="s">
        <v>6</v>
      </c>
      <c r="E6" t="s">
        <v>439</v>
      </c>
      <c r="F6" t="s">
        <v>694</v>
      </c>
      <c r="G6" t="s">
        <v>436</v>
      </c>
      <c r="H6" t="s">
        <v>6</v>
      </c>
      <c r="I6">
        <v>-99</v>
      </c>
      <c r="J6">
        <v>1</v>
      </c>
      <c r="K6" t="s">
        <v>6</v>
      </c>
      <c r="L6">
        <v>-99</v>
      </c>
      <c r="M6" t="s">
        <v>653</v>
      </c>
      <c r="N6" t="s">
        <v>653</v>
      </c>
      <c r="O6">
        <v>-99</v>
      </c>
      <c r="P6">
        <v>-99</v>
      </c>
      <c r="Q6">
        <v>1</v>
      </c>
      <c r="R6" t="s">
        <v>678</v>
      </c>
    </row>
    <row r="7" spans="1:18" x14ac:dyDescent="0.2">
      <c r="A7">
        <v>6</v>
      </c>
      <c r="B7">
        <v>-99</v>
      </c>
      <c r="C7" t="s">
        <v>440</v>
      </c>
      <c r="D7" t="s">
        <v>6</v>
      </c>
      <c r="E7" t="s">
        <v>440</v>
      </c>
      <c r="F7" t="s">
        <v>1037</v>
      </c>
      <c r="G7" t="s">
        <v>436</v>
      </c>
      <c r="H7" t="s">
        <v>6</v>
      </c>
      <c r="I7">
        <v>-99</v>
      </c>
      <c r="J7">
        <v>1</v>
      </c>
      <c r="K7" t="s">
        <v>6</v>
      </c>
      <c r="L7">
        <v>-99</v>
      </c>
      <c r="M7" t="s">
        <v>653</v>
      </c>
      <c r="N7" t="s">
        <v>653</v>
      </c>
      <c r="O7">
        <v>-99</v>
      </c>
      <c r="P7">
        <v>-99</v>
      </c>
      <c r="Q7">
        <v>1</v>
      </c>
      <c r="R7" t="s">
        <v>679</v>
      </c>
    </row>
    <row r="8" spans="1:18" x14ac:dyDescent="0.2">
      <c r="A8">
        <v>7</v>
      </c>
      <c r="B8">
        <v>-99</v>
      </c>
      <c r="C8" t="s">
        <v>441</v>
      </c>
      <c r="D8" t="s">
        <v>6</v>
      </c>
      <c r="E8" t="s">
        <v>441</v>
      </c>
      <c r="F8" t="s">
        <v>1043</v>
      </c>
      <c r="G8" t="s">
        <v>436</v>
      </c>
      <c r="H8" t="s">
        <v>6</v>
      </c>
      <c r="I8">
        <v>-99</v>
      </c>
      <c r="J8">
        <v>1</v>
      </c>
      <c r="K8" t="s">
        <v>6</v>
      </c>
      <c r="L8">
        <v>-99</v>
      </c>
      <c r="M8" t="s">
        <v>653</v>
      </c>
      <c r="N8" t="s">
        <v>653</v>
      </c>
      <c r="O8">
        <v>-99</v>
      </c>
      <c r="P8">
        <v>-99</v>
      </c>
      <c r="Q8">
        <v>1</v>
      </c>
      <c r="R8" t="s">
        <v>680</v>
      </c>
    </row>
    <row r="9" spans="1:18" x14ac:dyDescent="0.2">
      <c r="A9">
        <v>8</v>
      </c>
      <c r="B9">
        <v>-99</v>
      </c>
      <c r="C9" t="s">
        <v>442</v>
      </c>
      <c r="D9" t="s">
        <v>6</v>
      </c>
      <c r="E9" t="s">
        <v>442</v>
      </c>
      <c r="F9" t="s">
        <v>1044</v>
      </c>
      <c r="G9" t="s">
        <v>436</v>
      </c>
      <c r="H9" t="s">
        <v>6</v>
      </c>
      <c r="I9">
        <v>-99</v>
      </c>
      <c r="J9">
        <v>1</v>
      </c>
      <c r="K9" t="s">
        <v>6</v>
      </c>
      <c r="L9">
        <v>-99</v>
      </c>
      <c r="M9" t="s">
        <v>653</v>
      </c>
      <c r="N9" t="s">
        <v>653</v>
      </c>
      <c r="O9">
        <v>-99</v>
      </c>
      <c r="P9">
        <v>-99</v>
      </c>
      <c r="Q9">
        <v>1</v>
      </c>
      <c r="R9" t="s">
        <v>397</v>
      </c>
    </row>
    <row r="10" spans="1:18" x14ac:dyDescent="0.2">
      <c r="A10">
        <v>9</v>
      </c>
      <c r="B10">
        <v>-99</v>
      </c>
      <c r="C10" t="s">
        <v>443</v>
      </c>
      <c r="D10" t="s">
        <v>6</v>
      </c>
      <c r="E10" t="s">
        <v>443</v>
      </c>
      <c r="F10" t="s">
        <v>1045</v>
      </c>
      <c r="G10" t="s">
        <v>436</v>
      </c>
      <c r="H10" t="s">
        <v>6</v>
      </c>
      <c r="I10">
        <v>-99</v>
      </c>
      <c r="J10">
        <v>1</v>
      </c>
      <c r="K10" t="s">
        <v>6</v>
      </c>
      <c r="L10">
        <v>-99</v>
      </c>
      <c r="M10" t="s">
        <v>653</v>
      </c>
      <c r="N10" t="s">
        <v>653</v>
      </c>
      <c r="O10">
        <v>-99</v>
      </c>
      <c r="P10">
        <v>-99</v>
      </c>
      <c r="Q10">
        <v>1</v>
      </c>
      <c r="R10" t="s">
        <v>683</v>
      </c>
    </row>
    <row r="11" spans="1:18" x14ac:dyDescent="0.2">
      <c r="A11">
        <v>10</v>
      </c>
      <c r="B11">
        <v>-99</v>
      </c>
      <c r="C11" t="s">
        <v>444</v>
      </c>
      <c r="D11" t="s">
        <v>6</v>
      </c>
      <c r="E11" t="s">
        <v>444</v>
      </c>
      <c r="F11" t="s">
        <v>1046</v>
      </c>
      <c r="G11" t="s">
        <v>436</v>
      </c>
      <c r="H11" t="s">
        <v>6</v>
      </c>
      <c r="I11">
        <v>-99</v>
      </c>
      <c r="J11">
        <v>1</v>
      </c>
      <c r="K11" t="s">
        <v>6</v>
      </c>
      <c r="L11">
        <v>-99</v>
      </c>
      <c r="M11" t="s">
        <v>653</v>
      </c>
      <c r="N11" t="s">
        <v>653</v>
      </c>
      <c r="O11">
        <v>-99</v>
      </c>
      <c r="P11">
        <v>-99</v>
      </c>
      <c r="Q11">
        <v>1</v>
      </c>
      <c r="R11" t="s">
        <v>653</v>
      </c>
    </row>
    <row r="12" spans="1:18" x14ac:dyDescent="0.2">
      <c r="A12">
        <v>11</v>
      </c>
      <c r="B12">
        <v>-99</v>
      </c>
      <c r="C12" t="s">
        <v>446</v>
      </c>
      <c r="D12" t="s">
        <v>507</v>
      </c>
      <c r="E12" t="s">
        <v>655</v>
      </c>
      <c r="F12" t="s">
        <v>129</v>
      </c>
      <c r="G12" t="s">
        <v>655</v>
      </c>
      <c r="H12" t="s">
        <v>369</v>
      </c>
      <c r="I12">
        <v>-99</v>
      </c>
      <c r="J12">
        <v>-99</v>
      </c>
      <c r="K12" t="s">
        <v>653</v>
      </c>
      <c r="L12">
        <v>-99</v>
      </c>
      <c r="M12" t="s">
        <v>653</v>
      </c>
      <c r="N12" t="s">
        <v>653</v>
      </c>
      <c r="O12">
        <v>-99</v>
      </c>
      <c r="P12">
        <v>-99</v>
      </c>
      <c r="Q12">
        <v>2</v>
      </c>
      <c r="R12" t="s">
        <v>653</v>
      </c>
    </row>
    <row r="13" spans="1:18" x14ac:dyDescent="0.2">
      <c r="A13">
        <v>12</v>
      </c>
      <c r="B13">
        <v>-99</v>
      </c>
      <c r="C13" t="s">
        <v>448</v>
      </c>
      <c r="D13" t="s">
        <v>507</v>
      </c>
      <c r="E13" t="s">
        <v>656</v>
      </c>
      <c r="F13" t="s">
        <v>130</v>
      </c>
      <c r="G13" t="s">
        <v>656</v>
      </c>
      <c r="H13" t="s">
        <v>376</v>
      </c>
      <c r="I13">
        <v>-99</v>
      </c>
      <c r="J13">
        <v>-99</v>
      </c>
      <c r="K13" t="s">
        <v>653</v>
      </c>
      <c r="L13">
        <v>-99</v>
      </c>
      <c r="M13" t="s">
        <v>653</v>
      </c>
      <c r="N13" t="s">
        <v>653</v>
      </c>
      <c r="O13">
        <v>-99</v>
      </c>
      <c r="P13">
        <v>-99</v>
      </c>
      <c r="Q13">
        <v>2</v>
      </c>
      <c r="R13" t="s">
        <v>653</v>
      </c>
    </row>
    <row r="14" spans="1:18" x14ac:dyDescent="0.2">
      <c r="A14">
        <v>13</v>
      </c>
      <c r="B14">
        <v>-99</v>
      </c>
      <c r="C14" t="s">
        <v>451</v>
      </c>
      <c r="D14" t="s">
        <v>507</v>
      </c>
      <c r="E14" t="s">
        <v>657</v>
      </c>
      <c r="F14" t="s">
        <v>131</v>
      </c>
      <c r="G14" t="s">
        <v>657</v>
      </c>
      <c r="H14" t="s">
        <v>385</v>
      </c>
      <c r="I14">
        <v>-99</v>
      </c>
      <c r="J14">
        <v>-99</v>
      </c>
      <c r="K14" t="s">
        <v>653</v>
      </c>
      <c r="L14">
        <v>-99</v>
      </c>
      <c r="M14" t="s">
        <v>653</v>
      </c>
      <c r="N14" t="s">
        <v>653</v>
      </c>
      <c r="O14">
        <v>-99</v>
      </c>
      <c r="P14">
        <v>-99</v>
      </c>
      <c r="Q14">
        <v>2</v>
      </c>
      <c r="R14" t="s">
        <v>653</v>
      </c>
    </row>
    <row r="15" spans="1:18" x14ac:dyDescent="0.2">
      <c r="A15">
        <v>14</v>
      </c>
      <c r="B15">
        <v>-99</v>
      </c>
      <c r="C15" t="s">
        <v>658</v>
      </c>
      <c r="D15" t="s">
        <v>507</v>
      </c>
      <c r="E15" t="s">
        <v>659</v>
      </c>
      <c r="F15" t="s">
        <v>132</v>
      </c>
      <c r="G15" t="s">
        <v>659</v>
      </c>
      <c r="H15" t="s">
        <v>401</v>
      </c>
      <c r="I15">
        <v>-99</v>
      </c>
      <c r="J15">
        <v>-99</v>
      </c>
      <c r="K15" t="s">
        <v>653</v>
      </c>
      <c r="L15">
        <v>-99</v>
      </c>
      <c r="M15" t="s">
        <v>653</v>
      </c>
      <c r="N15" t="s">
        <v>653</v>
      </c>
      <c r="O15">
        <v>-99</v>
      </c>
      <c r="P15">
        <v>-99</v>
      </c>
      <c r="Q15">
        <v>2</v>
      </c>
      <c r="R15" t="s">
        <v>653</v>
      </c>
    </row>
    <row r="16" spans="1:18" x14ac:dyDescent="0.2">
      <c r="A16">
        <v>15</v>
      </c>
      <c r="B16">
        <v>-99</v>
      </c>
      <c r="C16" t="s">
        <v>661</v>
      </c>
      <c r="D16" t="s">
        <v>428</v>
      </c>
      <c r="E16" t="s">
        <v>661</v>
      </c>
      <c r="F16" t="s">
        <v>428</v>
      </c>
      <c r="G16" t="s">
        <v>653</v>
      </c>
      <c r="H16" t="s">
        <v>653</v>
      </c>
      <c r="I16">
        <v>-99</v>
      </c>
      <c r="J16">
        <v>30</v>
      </c>
      <c r="K16" t="s">
        <v>368</v>
      </c>
      <c r="L16">
        <v>-99</v>
      </c>
      <c r="M16" t="s">
        <v>653</v>
      </c>
      <c r="N16" t="s">
        <v>653</v>
      </c>
      <c r="O16">
        <v>-99</v>
      </c>
      <c r="P16">
        <v>-99</v>
      </c>
      <c r="Q16">
        <v>3</v>
      </c>
      <c r="R16" t="s">
        <v>653</v>
      </c>
    </row>
    <row r="17" spans="1:18" x14ac:dyDescent="0.2">
      <c r="A17">
        <v>16</v>
      </c>
      <c r="B17">
        <v>-99</v>
      </c>
      <c r="C17" t="s">
        <v>660</v>
      </c>
      <c r="D17" t="s">
        <v>434</v>
      </c>
      <c r="E17" t="s">
        <v>660</v>
      </c>
      <c r="F17" t="s">
        <v>434</v>
      </c>
      <c r="G17" t="s">
        <v>653</v>
      </c>
      <c r="H17" t="s">
        <v>653</v>
      </c>
      <c r="I17">
        <v>-99</v>
      </c>
      <c r="J17">
        <v>31</v>
      </c>
      <c r="K17" t="s">
        <v>379</v>
      </c>
      <c r="L17">
        <v>-99</v>
      </c>
      <c r="M17" t="s">
        <v>653</v>
      </c>
      <c r="N17" t="s">
        <v>653</v>
      </c>
      <c r="O17">
        <v>-99</v>
      </c>
      <c r="P17">
        <v>-99</v>
      </c>
      <c r="Q17">
        <v>3</v>
      </c>
      <c r="R17" t="s">
        <v>653</v>
      </c>
    </row>
    <row r="18" spans="1:18" x14ac:dyDescent="0.2">
      <c r="A18">
        <v>17</v>
      </c>
      <c r="B18">
        <v>-99</v>
      </c>
      <c r="C18" t="s">
        <v>662</v>
      </c>
      <c r="D18" t="s">
        <v>432</v>
      </c>
      <c r="E18" t="s">
        <v>662</v>
      </c>
      <c r="F18" t="s">
        <v>432</v>
      </c>
      <c r="G18" t="s">
        <v>653</v>
      </c>
      <c r="H18" t="s">
        <v>653</v>
      </c>
      <c r="I18">
        <v>-99</v>
      </c>
      <c r="J18">
        <v>32</v>
      </c>
      <c r="K18" t="s">
        <v>389</v>
      </c>
      <c r="L18">
        <v>-99</v>
      </c>
      <c r="M18" t="s">
        <v>653</v>
      </c>
      <c r="N18" t="s">
        <v>653</v>
      </c>
      <c r="O18">
        <v>-99</v>
      </c>
      <c r="P18">
        <v>-99</v>
      </c>
      <c r="Q18">
        <v>3</v>
      </c>
      <c r="R18" t="s">
        <v>653</v>
      </c>
    </row>
    <row r="19" spans="1:18" x14ac:dyDescent="0.2">
      <c r="A19">
        <v>18</v>
      </c>
      <c r="B19">
        <v>-99</v>
      </c>
      <c r="C19" t="s">
        <v>663</v>
      </c>
      <c r="D19" t="s">
        <v>431</v>
      </c>
      <c r="E19" t="s">
        <v>663</v>
      </c>
      <c r="F19" t="s">
        <v>431</v>
      </c>
      <c r="G19" t="s">
        <v>653</v>
      </c>
      <c r="H19" t="s">
        <v>653</v>
      </c>
      <c r="I19">
        <v>-99</v>
      </c>
      <c r="J19">
        <v>33</v>
      </c>
      <c r="K19" t="s">
        <v>384</v>
      </c>
      <c r="L19">
        <v>-99</v>
      </c>
      <c r="M19" t="s">
        <v>653</v>
      </c>
      <c r="N19" t="s">
        <v>653</v>
      </c>
      <c r="O19">
        <v>-99</v>
      </c>
      <c r="P19">
        <v>-99</v>
      </c>
      <c r="Q19">
        <v>3</v>
      </c>
      <c r="R19" t="s">
        <v>653</v>
      </c>
    </row>
    <row r="20" spans="1:18" x14ac:dyDescent="0.2">
      <c r="A20">
        <v>19</v>
      </c>
      <c r="B20">
        <v>-99</v>
      </c>
      <c r="C20" t="s">
        <v>664</v>
      </c>
      <c r="D20" t="s">
        <v>433</v>
      </c>
      <c r="E20" t="s">
        <v>664</v>
      </c>
      <c r="F20" t="s">
        <v>433</v>
      </c>
      <c r="G20" t="s">
        <v>653</v>
      </c>
      <c r="H20" t="s">
        <v>653</v>
      </c>
      <c r="I20">
        <v>-99</v>
      </c>
      <c r="J20">
        <v>34</v>
      </c>
      <c r="K20" t="s">
        <v>403</v>
      </c>
      <c r="L20">
        <v>-99</v>
      </c>
      <c r="M20" t="s">
        <v>653</v>
      </c>
      <c r="N20" t="s">
        <v>653</v>
      </c>
      <c r="O20">
        <v>-99</v>
      </c>
      <c r="P20">
        <v>-99</v>
      </c>
      <c r="Q20">
        <v>3</v>
      </c>
      <c r="R20" t="s">
        <v>653</v>
      </c>
    </row>
    <row r="21" spans="1:18" x14ac:dyDescent="0.2">
      <c r="A21">
        <v>20</v>
      </c>
      <c r="B21">
        <v>1</v>
      </c>
      <c r="C21" t="s">
        <v>666</v>
      </c>
      <c r="D21" t="s">
        <v>367</v>
      </c>
      <c r="E21" t="s">
        <v>666</v>
      </c>
      <c r="F21" t="s">
        <v>508</v>
      </c>
      <c r="G21" t="s">
        <v>667</v>
      </c>
      <c r="H21" t="s">
        <v>8</v>
      </c>
      <c r="I21">
        <v>-99</v>
      </c>
      <c r="J21">
        <v>35</v>
      </c>
      <c r="K21" t="s">
        <v>8</v>
      </c>
      <c r="L21">
        <v>8240</v>
      </c>
      <c r="M21" t="s">
        <v>509</v>
      </c>
      <c r="N21" t="s">
        <v>653</v>
      </c>
      <c r="O21">
        <v>1</v>
      </c>
      <c r="P21">
        <v>2</v>
      </c>
      <c r="Q21">
        <v>-99</v>
      </c>
      <c r="R21" t="s">
        <v>653</v>
      </c>
    </row>
    <row r="22" spans="1:18" x14ac:dyDescent="0.2">
      <c r="A22">
        <v>21</v>
      </c>
      <c r="B22">
        <v>8</v>
      </c>
      <c r="C22" t="s">
        <v>136</v>
      </c>
      <c r="D22" t="s">
        <v>35</v>
      </c>
      <c r="E22" t="s">
        <v>510</v>
      </c>
      <c r="F22" t="s">
        <v>511</v>
      </c>
      <c r="G22" t="s">
        <v>655</v>
      </c>
      <c r="H22" t="s">
        <v>369</v>
      </c>
      <c r="I22">
        <v>380</v>
      </c>
      <c r="J22">
        <v>30</v>
      </c>
      <c r="K22" t="s">
        <v>368</v>
      </c>
      <c r="L22">
        <v>8233</v>
      </c>
      <c r="M22" t="s">
        <v>324</v>
      </c>
      <c r="N22" t="s">
        <v>370</v>
      </c>
      <c r="O22">
        <v>1</v>
      </c>
      <c r="P22">
        <v>2</v>
      </c>
      <c r="Q22">
        <v>-99</v>
      </c>
      <c r="R22" t="s">
        <v>681</v>
      </c>
    </row>
    <row r="23" spans="1:18" x14ac:dyDescent="0.2">
      <c r="A23">
        <v>22</v>
      </c>
      <c r="B23">
        <v>9</v>
      </c>
      <c r="C23" t="s">
        <v>137</v>
      </c>
      <c r="D23" t="s">
        <v>67</v>
      </c>
      <c r="E23" t="s">
        <v>512</v>
      </c>
      <c r="F23" t="s">
        <v>513</v>
      </c>
      <c r="G23" t="s">
        <v>655</v>
      </c>
      <c r="H23" t="s">
        <v>369</v>
      </c>
      <c r="I23">
        <v>380</v>
      </c>
      <c r="J23">
        <v>30</v>
      </c>
      <c r="K23" t="s">
        <v>368</v>
      </c>
      <c r="L23">
        <v>8235</v>
      </c>
      <c r="M23" t="s">
        <v>359</v>
      </c>
      <c r="N23" t="s">
        <v>371</v>
      </c>
      <c r="O23">
        <v>1</v>
      </c>
      <c r="P23">
        <v>1</v>
      </c>
      <c r="Q23">
        <v>-99</v>
      </c>
      <c r="R23" t="s">
        <v>681</v>
      </c>
    </row>
    <row r="24" spans="1:18" x14ac:dyDescent="0.2">
      <c r="A24">
        <v>23</v>
      </c>
      <c r="B24">
        <v>-99</v>
      </c>
      <c r="C24" t="s">
        <v>137</v>
      </c>
      <c r="D24" t="s">
        <v>67</v>
      </c>
      <c r="E24" t="s">
        <v>514</v>
      </c>
      <c r="F24" t="s">
        <v>515</v>
      </c>
      <c r="G24" t="s">
        <v>655</v>
      </c>
      <c r="H24" t="s">
        <v>369</v>
      </c>
      <c r="I24">
        <v>380</v>
      </c>
      <c r="J24">
        <v>30</v>
      </c>
      <c r="K24" t="s">
        <v>368</v>
      </c>
      <c r="L24">
        <v>8235</v>
      </c>
      <c r="M24" t="s">
        <v>359</v>
      </c>
      <c r="N24" t="s">
        <v>371</v>
      </c>
      <c r="O24">
        <v>-99</v>
      </c>
      <c r="P24">
        <v>1</v>
      </c>
      <c r="Q24">
        <v>-99</v>
      </c>
      <c r="R24" t="s">
        <v>397</v>
      </c>
    </row>
    <row r="25" spans="1:18" x14ac:dyDescent="0.2">
      <c r="A25">
        <v>24</v>
      </c>
      <c r="B25">
        <v>10</v>
      </c>
      <c r="C25" t="s">
        <v>138</v>
      </c>
      <c r="D25" t="s">
        <v>60</v>
      </c>
      <c r="E25" t="s">
        <v>516</v>
      </c>
      <c r="F25" t="s">
        <v>517</v>
      </c>
      <c r="G25" t="s">
        <v>655</v>
      </c>
      <c r="H25" t="s">
        <v>369</v>
      </c>
      <c r="I25">
        <v>380</v>
      </c>
      <c r="J25">
        <v>30</v>
      </c>
      <c r="K25" t="s">
        <v>368</v>
      </c>
      <c r="L25">
        <v>8237</v>
      </c>
      <c r="M25" t="s">
        <v>334</v>
      </c>
      <c r="N25" t="s">
        <v>60</v>
      </c>
      <c r="O25">
        <v>1</v>
      </c>
      <c r="P25">
        <v>2</v>
      </c>
      <c r="Q25">
        <v>-99</v>
      </c>
      <c r="R25" t="s">
        <v>681</v>
      </c>
    </row>
    <row r="26" spans="1:18" x14ac:dyDescent="0.2">
      <c r="A26">
        <v>25</v>
      </c>
      <c r="B26">
        <v>11</v>
      </c>
      <c r="C26" t="s">
        <v>139</v>
      </c>
      <c r="D26" t="s">
        <v>24</v>
      </c>
      <c r="E26" t="s">
        <v>518</v>
      </c>
      <c r="F26" t="s">
        <v>519</v>
      </c>
      <c r="G26" t="s">
        <v>655</v>
      </c>
      <c r="H26" t="s">
        <v>369</v>
      </c>
      <c r="I26">
        <v>380</v>
      </c>
      <c r="J26">
        <v>30</v>
      </c>
      <c r="K26" t="s">
        <v>368</v>
      </c>
      <c r="L26">
        <v>8238</v>
      </c>
      <c r="M26" t="s">
        <v>334</v>
      </c>
      <c r="N26" t="s">
        <v>60</v>
      </c>
      <c r="O26">
        <v>1</v>
      </c>
      <c r="P26">
        <v>2</v>
      </c>
      <c r="Q26">
        <v>-99</v>
      </c>
      <c r="R26" t="s">
        <v>681</v>
      </c>
    </row>
    <row r="27" spans="1:18" x14ac:dyDescent="0.2">
      <c r="A27">
        <v>26</v>
      </c>
      <c r="B27">
        <v>12</v>
      </c>
      <c r="C27" t="s">
        <v>140</v>
      </c>
      <c r="D27" t="s">
        <v>44</v>
      </c>
      <c r="E27" t="s">
        <v>520</v>
      </c>
      <c r="F27" t="s">
        <v>521</v>
      </c>
      <c r="G27" t="s">
        <v>655</v>
      </c>
      <c r="H27" t="s">
        <v>369</v>
      </c>
      <c r="I27">
        <v>380</v>
      </c>
      <c r="J27">
        <v>30</v>
      </c>
      <c r="K27" t="s">
        <v>368</v>
      </c>
      <c r="L27">
        <v>8239</v>
      </c>
      <c r="M27" t="s">
        <v>352</v>
      </c>
      <c r="N27" t="s">
        <v>372</v>
      </c>
      <c r="O27">
        <v>1</v>
      </c>
      <c r="P27">
        <v>2</v>
      </c>
      <c r="Q27">
        <v>-99</v>
      </c>
      <c r="R27" t="s">
        <v>681</v>
      </c>
    </row>
    <row r="28" spans="1:18" x14ac:dyDescent="0.2">
      <c r="A28">
        <v>27</v>
      </c>
      <c r="B28">
        <v>13</v>
      </c>
      <c r="C28" t="s">
        <v>141</v>
      </c>
      <c r="D28" t="s">
        <v>61</v>
      </c>
      <c r="E28" t="s">
        <v>522</v>
      </c>
      <c r="F28" t="s">
        <v>523</v>
      </c>
      <c r="G28" t="s">
        <v>655</v>
      </c>
      <c r="H28" t="s">
        <v>369</v>
      </c>
      <c r="I28">
        <v>380</v>
      </c>
      <c r="J28">
        <v>30</v>
      </c>
      <c r="K28" t="s">
        <v>368</v>
      </c>
      <c r="L28">
        <v>8241</v>
      </c>
      <c r="M28" t="s">
        <v>356</v>
      </c>
      <c r="N28" t="s">
        <v>373</v>
      </c>
      <c r="O28">
        <v>1</v>
      </c>
      <c r="P28">
        <v>2</v>
      </c>
      <c r="Q28">
        <v>-99</v>
      </c>
      <c r="R28" t="s">
        <v>681</v>
      </c>
    </row>
    <row r="29" spans="1:18" x14ac:dyDescent="0.2">
      <c r="A29">
        <v>28</v>
      </c>
      <c r="B29">
        <v>14</v>
      </c>
      <c r="C29" t="s">
        <v>99</v>
      </c>
      <c r="D29" t="s">
        <v>63</v>
      </c>
      <c r="E29" t="s">
        <v>524</v>
      </c>
      <c r="F29" t="s">
        <v>525</v>
      </c>
      <c r="G29" t="s">
        <v>655</v>
      </c>
      <c r="H29" t="s">
        <v>369</v>
      </c>
      <c r="I29">
        <v>380</v>
      </c>
      <c r="J29">
        <v>30</v>
      </c>
      <c r="K29" t="s">
        <v>368</v>
      </c>
      <c r="L29">
        <v>8242</v>
      </c>
      <c r="M29" t="s">
        <v>346</v>
      </c>
      <c r="N29" t="s">
        <v>374</v>
      </c>
      <c r="O29">
        <v>1</v>
      </c>
      <c r="P29">
        <v>1</v>
      </c>
      <c r="Q29">
        <v>-99</v>
      </c>
      <c r="R29" t="s">
        <v>681</v>
      </c>
    </row>
    <row r="30" spans="1:18" x14ac:dyDescent="0.2">
      <c r="A30">
        <v>29</v>
      </c>
      <c r="B30">
        <v>-99</v>
      </c>
      <c r="C30" t="s">
        <v>99</v>
      </c>
      <c r="D30" t="s">
        <v>63</v>
      </c>
      <c r="E30" t="s">
        <v>526</v>
      </c>
      <c r="F30" t="s">
        <v>210</v>
      </c>
      <c r="G30" t="s">
        <v>655</v>
      </c>
      <c r="H30" t="s">
        <v>369</v>
      </c>
      <c r="I30">
        <v>380</v>
      </c>
      <c r="J30">
        <v>30</v>
      </c>
      <c r="K30" t="s">
        <v>368</v>
      </c>
      <c r="L30">
        <v>8242</v>
      </c>
      <c r="M30" t="s">
        <v>346</v>
      </c>
      <c r="N30" t="s">
        <v>374</v>
      </c>
      <c r="O30">
        <v>-99</v>
      </c>
      <c r="P30">
        <v>1</v>
      </c>
      <c r="Q30">
        <v>-99</v>
      </c>
      <c r="R30" t="s">
        <v>208</v>
      </c>
    </row>
    <row r="31" spans="1:18" x14ac:dyDescent="0.2">
      <c r="A31">
        <v>30</v>
      </c>
      <c r="B31">
        <v>15</v>
      </c>
      <c r="C31" t="s">
        <v>142</v>
      </c>
      <c r="D31" t="s">
        <v>65</v>
      </c>
      <c r="E31" t="s">
        <v>527</v>
      </c>
      <c r="F31" t="s">
        <v>528</v>
      </c>
      <c r="G31" t="s">
        <v>655</v>
      </c>
      <c r="H31" t="s">
        <v>369</v>
      </c>
      <c r="I31">
        <v>380</v>
      </c>
      <c r="J31">
        <v>30</v>
      </c>
      <c r="K31" t="s">
        <v>368</v>
      </c>
      <c r="L31">
        <v>8243</v>
      </c>
      <c r="M31" t="s">
        <v>346</v>
      </c>
      <c r="N31" t="s">
        <v>374</v>
      </c>
      <c r="O31">
        <v>1</v>
      </c>
      <c r="P31">
        <v>1</v>
      </c>
      <c r="Q31">
        <v>-99</v>
      </c>
      <c r="R31" t="s">
        <v>681</v>
      </c>
    </row>
    <row r="32" spans="1:18" x14ac:dyDescent="0.2">
      <c r="A32">
        <v>31</v>
      </c>
      <c r="B32">
        <v>-99</v>
      </c>
      <c r="C32" t="s">
        <v>142</v>
      </c>
      <c r="D32" t="s">
        <v>65</v>
      </c>
      <c r="E32" t="s">
        <v>529</v>
      </c>
      <c r="F32" t="s">
        <v>530</v>
      </c>
      <c r="G32" t="s">
        <v>655</v>
      </c>
      <c r="H32" t="s">
        <v>369</v>
      </c>
      <c r="I32">
        <v>380</v>
      </c>
      <c r="J32">
        <v>30</v>
      </c>
      <c r="K32" t="s">
        <v>368</v>
      </c>
      <c r="L32">
        <v>8243</v>
      </c>
      <c r="M32" t="s">
        <v>346</v>
      </c>
      <c r="N32" t="s">
        <v>374</v>
      </c>
      <c r="O32">
        <v>-99</v>
      </c>
      <c r="P32">
        <v>1</v>
      </c>
      <c r="Q32">
        <v>-99</v>
      </c>
      <c r="R32" t="s">
        <v>680</v>
      </c>
    </row>
    <row r="33" spans="1:18" x14ac:dyDescent="0.2">
      <c r="A33">
        <v>32</v>
      </c>
      <c r="B33">
        <v>16</v>
      </c>
      <c r="C33" t="s">
        <v>143</v>
      </c>
      <c r="D33" t="s">
        <v>33</v>
      </c>
      <c r="E33" t="s">
        <v>531</v>
      </c>
      <c r="F33" t="s">
        <v>532</v>
      </c>
      <c r="G33" t="s">
        <v>655</v>
      </c>
      <c r="H33" t="s">
        <v>369</v>
      </c>
      <c r="I33">
        <v>380</v>
      </c>
      <c r="J33">
        <v>30</v>
      </c>
      <c r="K33" t="s">
        <v>368</v>
      </c>
      <c r="L33">
        <v>8244</v>
      </c>
      <c r="M33" t="s">
        <v>341</v>
      </c>
      <c r="N33" t="s">
        <v>375</v>
      </c>
      <c r="O33">
        <v>1</v>
      </c>
      <c r="P33">
        <v>2</v>
      </c>
      <c r="Q33">
        <v>-99</v>
      </c>
      <c r="R33" t="s">
        <v>681</v>
      </c>
    </row>
    <row r="34" spans="1:18" x14ac:dyDescent="0.2">
      <c r="A34">
        <v>33</v>
      </c>
      <c r="B34">
        <v>23</v>
      </c>
      <c r="C34" t="s">
        <v>103</v>
      </c>
      <c r="D34" t="s">
        <v>69</v>
      </c>
      <c r="E34" t="s">
        <v>533</v>
      </c>
      <c r="F34" t="s">
        <v>534</v>
      </c>
      <c r="G34" t="s">
        <v>656</v>
      </c>
      <c r="H34" t="s">
        <v>376</v>
      </c>
      <c r="I34">
        <v>381</v>
      </c>
      <c r="J34">
        <v>30</v>
      </c>
      <c r="K34" t="s">
        <v>368</v>
      </c>
      <c r="L34">
        <v>8245</v>
      </c>
      <c r="M34" t="s">
        <v>320</v>
      </c>
      <c r="N34" t="s">
        <v>377</v>
      </c>
      <c r="O34">
        <v>1</v>
      </c>
      <c r="P34">
        <v>2</v>
      </c>
      <c r="Q34">
        <v>-99</v>
      </c>
      <c r="R34" t="s">
        <v>681</v>
      </c>
    </row>
    <row r="35" spans="1:18" x14ac:dyDescent="0.2">
      <c r="A35">
        <v>34</v>
      </c>
      <c r="B35">
        <v>24</v>
      </c>
      <c r="C35" t="s">
        <v>144</v>
      </c>
      <c r="D35" t="s">
        <v>47</v>
      </c>
      <c r="E35" t="s">
        <v>535</v>
      </c>
      <c r="F35" t="s">
        <v>536</v>
      </c>
      <c r="G35" t="s">
        <v>656</v>
      </c>
      <c r="H35" t="s">
        <v>376</v>
      </c>
      <c r="I35">
        <v>381</v>
      </c>
      <c r="J35">
        <v>30</v>
      </c>
      <c r="K35" t="s">
        <v>368</v>
      </c>
      <c r="L35">
        <v>8246</v>
      </c>
      <c r="M35" t="s">
        <v>336</v>
      </c>
      <c r="N35" t="s">
        <v>378</v>
      </c>
      <c r="O35">
        <v>1</v>
      </c>
      <c r="P35">
        <v>2</v>
      </c>
      <c r="Q35">
        <v>-99</v>
      </c>
      <c r="R35" t="s">
        <v>681</v>
      </c>
    </row>
    <row r="36" spans="1:18" x14ac:dyDescent="0.2">
      <c r="A36">
        <v>35</v>
      </c>
      <c r="B36">
        <v>30</v>
      </c>
      <c r="C36" t="s">
        <v>145</v>
      </c>
      <c r="D36" t="s">
        <v>25</v>
      </c>
      <c r="E36" t="s">
        <v>537</v>
      </c>
      <c r="F36" t="s">
        <v>538</v>
      </c>
      <c r="G36" t="s">
        <v>656</v>
      </c>
      <c r="H36" t="s">
        <v>376</v>
      </c>
      <c r="I36">
        <v>381</v>
      </c>
      <c r="J36">
        <v>31</v>
      </c>
      <c r="K36" t="s">
        <v>379</v>
      </c>
      <c r="L36">
        <v>8247</v>
      </c>
      <c r="M36" t="s">
        <v>361</v>
      </c>
      <c r="N36" t="s">
        <v>380</v>
      </c>
      <c r="O36">
        <v>1</v>
      </c>
      <c r="P36">
        <v>2</v>
      </c>
      <c r="Q36">
        <v>-99</v>
      </c>
      <c r="R36" t="s">
        <v>681</v>
      </c>
    </row>
    <row r="37" spans="1:18" x14ac:dyDescent="0.2">
      <c r="A37">
        <v>36</v>
      </c>
      <c r="B37">
        <v>194</v>
      </c>
      <c r="C37" t="s">
        <v>146</v>
      </c>
      <c r="D37" t="s">
        <v>77</v>
      </c>
      <c r="E37" t="s">
        <v>539</v>
      </c>
      <c r="F37" t="s">
        <v>540</v>
      </c>
      <c r="G37" t="s">
        <v>656</v>
      </c>
      <c r="H37" t="s">
        <v>376</v>
      </c>
      <c r="I37">
        <v>381</v>
      </c>
      <c r="J37">
        <v>31</v>
      </c>
      <c r="K37" t="s">
        <v>379</v>
      </c>
      <c r="L37">
        <v>8248</v>
      </c>
      <c r="M37" t="s">
        <v>316</v>
      </c>
      <c r="N37" t="s">
        <v>424</v>
      </c>
      <c r="O37">
        <v>1</v>
      </c>
      <c r="P37">
        <v>2</v>
      </c>
      <c r="Q37">
        <v>-99</v>
      </c>
      <c r="R37" t="s">
        <v>681</v>
      </c>
    </row>
    <row r="38" spans="1:18" x14ac:dyDescent="0.2">
      <c r="A38">
        <v>37</v>
      </c>
      <c r="B38">
        <v>34</v>
      </c>
      <c r="C38" t="s">
        <v>147</v>
      </c>
      <c r="D38" t="s">
        <v>83</v>
      </c>
      <c r="E38" t="s">
        <v>541</v>
      </c>
      <c r="F38" t="s">
        <v>542</v>
      </c>
      <c r="G38" t="s">
        <v>656</v>
      </c>
      <c r="H38" t="s">
        <v>376</v>
      </c>
      <c r="I38">
        <v>381</v>
      </c>
      <c r="J38">
        <v>30</v>
      </c>
      <c r="K38" t="s">
        <v>368</v>
      </c>
      <c r="L38">
        <v>8249</v>
      </c>
      <c r="M38" t="s">
        <v>347</v>
      </c>
      <c r="N38" t="s">
        <v>381</v>
      </c>
      <c r="O38">
        <v>1</v>
      </c>
      <c r="P38">
        <v>1</v>
      </c>
      <c r="Q38">
        <v>-99</v>
      </c>
      <c r="R38" t="s">
        <v>681</v>
      </c>
    </row>
    <row r="39" spans="1:18" x14ac:dyDescent="0.2">
      <c r="A39">
        <v>38</v>
      </c>
      <c r="B39">
        <v>-99</v>
      </c>
      <c r="C39" t="s">
        <v>147</v>
      </c>
      <c r="D39" t="s">
        <v>83</v>
      </c>
      <c r="E39" t="s">
        <v>543</v>
      </c>
      <c r="F39" t="s">
        <v>213</v>
      </c>
      <c r="G39" t="s">
        <v>656</v>
      </c>
      <c r="H39" t="s">
        <v>376</v>
      </c>
      <c r="I39">
        <v>381</v>
      </c>
      <c r="J39">
        <v>30</v>
      </c>
      <c r="K39" t="s">
        <v>368</v>
      </c>
      <c r="L39">
        <v>8249</v>
      </c>
      <c r="M39" t="s">
        <v>347</v>
      </c>
      <c r="N39" t="s">
        <v>381</v>
      </c>
      <c r="O39">
        <v>-99</v>
      </c>
      <c r="P39">
        <v>1</v>
      </c>
      <c r="Q39">
        <v>-99</v>
      </c>
      <c r="R39" t="s">
        <v>678</v>
      </c>
    </row>
    <row r="40" spans="1:18" x14ac:dyDescent="0.2">
      <c r="A40">
        <v>39</v>
      </c>
      <c r="B40">
        <v>-99</v>
      </c>
      <c r="C40" t="s">
        <v>147</v>
      </c>
      <c r="D40" t="s">
        <v>83</v>
      </c>
      <c r="E40" t="s">
        <v>544</v>
      </c>
      <c r="F40" t="s">
        <v>956</v>
      </c>
      <c r="G40" t="s">
        <v>656</v>
      </c>
      <c r="H40" t="s">
        <v>376</v>
      </c>
      <c r="I40">
        <v>381</v>
      </c>
      <c r="J40">
        <v>30</v>
      </c>
      <c r="K40" t="s">
        <v>368</v>
      </c>
      <c r="L40">
        <v>8249</v>
      </c>
      <c r="M40" t="s">
        <v>347</v>
      </c>
      <c r="N40" t="s">
        <v>381</v>
      </c>
      <c r="O40">
        <v>-99</v>
      </c>
      <c r="P40">
        <v>1</v>
      </c>
      <c r="Q40">
        <v>-99</v>
      </c>
      <c r="R40" t="s">
        <v>679</v>
      </c>
    </row>
    <row r="41" spans="1:18" x14ac:dyDescent="0.2">
      <c r="A41">
        <v>40</v>
      </c>
      <c r="B41">
        <v>35</v>
      </c>
      <c r="C41" t="s">
        <v>148</v>
      </c>
      <c r="D41" t="s">
        <v>39</v>
      </c>
      <c r="E41" t="s">
        <v>545</v>
      </c>
      <c r="F41" t="s">
        <v>546</v>
      </c>
      <c r="G41" t="s">
        <v>656</v>
      </c>
      <c r="H41" t="s">
        <v>376</v>
      </c>
      <c r="I41">
        <v>381</v>
      </c>
      <c r="J41">
        <v>31</v>
      </c>
      <c r="K41" t="s">
        <v>379</v>
      </c>
      <c r="L41">
        <v>8250</v>
      </c>
      <c r="M41" t="s">
        <v>339</v>
      </c>
      <c r="N41" t="s">
        <v>382</v>
      </c>
      <c r="O41">
        <v>1</v>
      </c>
      <c r="P41">
        <v>2</v>
      </c>
      <c r="Q41">
        <v>-99</v>
      </c>
      <c r="R41" t="s">
        <v>681</v>
      </c>
    </row>
    <row r="42" spans="1:18" x14ac:dyDescent="0.2">
      <c r="A42">
        <v>41</v>
      </c>
      <c r="B42">
        <v>36</v>
      </c>
      <c r="C42" t="s">
        <v>91</v>
      </c>
      <c r="D42" t="s">
        <v>58</v>
      </c>
      <c r="E42" t="s">
        <v>547</v>
      </c>
      <c r="F42" t="s">
        <v>548</v>
      </c>
      <c r="G42" t="s">
        <v>656</v>
      </c>
      <c r="H42" t="s">
        <v>376</v>
      </c>
      <c r="I42">
        <v>381</v>
      </c>
      <c r="J42">
        <v>31</v>
      </c>
      <c r="K42" t="s">
        <v>379</v>
      </c>
      <c r="L42">
        <v>8251</v>
      </c>
      <c r="M42" t="s">
        <v>342</v>
      </c>
      <c r="N42" t="s">
        <v>383</v>
      </c>
      <c r="O42">
        <v>1</v>
      </c>
      <c r="P42">
        <v>2</v>
      </c>
      <c r="Q42">
        <v>-99</v>
      </c>
      <c r="R42" t="s">
        <v>681</v>
      </c>
    </row>
    <row r="43" spans="1:18" x14ac:dyDescent="0.2">
      <c r="A43">
        <v>42</v>
      </c>
      <c r="B43">
        <v>37</v>
      </c>
      <c r="C43" t="s">
        <v>149</v>
      </c>
      <c r="D43" t="s">
        <v>59</v>
      </c>
      <c r="E43" t="s">
        <v>549</v>
      </c>
      <c r="F43" t="s">
        <v>550</v>
      </c>
      <c r="G43" t="s">
        <v>657</v>
      </c>
      <c r="H43" t="s">
        <v>385</v>
      </c>
      <c r="I43">
        <v>382</v>
      </c>
      <c r="J43">
        <v>33</v>
      </c>
      <c r="K43" t="s">
        <v>384</v>
      </c>
      <c r="L43">
        <v>8252</v>
      </c>
      <c r="M43" t="s">
        <v>319</v>
      </c>
      <c r="N43" t="s">
        <v>386</v>
      </c>
      <c r="O43">
        <v>1</v>
      </c>
      <c r="P43">
        <v>2</v>
      </c>
      <c r="Q43">
        <v>-99</v>
      </c>
      <c r="R43" t="s">
        <v>681</v>
      </c>
    </row>
    <row r="44" spans="1:18" x14ac:dyDescent="0.2">
      <c r="A44">
        <v>43</v>
      </c>
      <c r="B44">
        <v>38</v>
      </c>
      <c r="C44" t="s">
        <v>150</v>
      </c>
      <c r="D44" t="s">
        <v>57</v>
      </c>
      <c r="E44" t="s">
        <v>551</v>
      </c>
      <c r="F44" t="s">
        <v>552</v>
      </c>
      <c r="G44" t="s">
        <v>656</v>
      </c>
      <c r="H44" t="s">
        <v>376</v>
      </c>
      <c r="I44">
        <v>381</v>
      </c>
      <c r="J44">
        <v>31</v>
      </c>
      <c r="K44" t="s">
        <v>379</v>
      </c>
      <c r="L44">
        <v>8253</v>
      </c>
      <c r="M44" t="s">
        <v>353</v>
      </c>
      <c r="N44" t="s">
        <v>387</v>
      </c>
      <c r="O44">
        <v>1</v>
      </c>
      <c r="P44">
        <v>2</v>
      </c>
      <c r="Q44">
        <v>-99</v>
      </c>
      <c r="R44" t="s">
        <v>681</v>
      </c>
    </row>
    <row r="45" spans="1:18" x14ac:dyDescent="0.2">
      <c r="A45">
        <v>44</v>
      </c>
      <c r="B45">
        <v>39</v>
      </c>
      <c r="C45" t="s">
        <v>151</v>
      </c>
      <c r="D45" t="s">
        <v>49</v>
      </c>
      <c r="E45" t="s">
        <v>553</v>
      </c>
      <c r="F45" t="s">
        <v>554</v>
      </c>
      <c r="G45" t="s">
        <v>656</v>
      </c>
      <c r="H45" t="s">
        <v>376</v>
      </c>
      <c r="I45">
        <v>381</v>
      </c>
      <c r="J45">
        <v>33</v>
      </c>
      <c r="K45" t="s">
        <v>384</v>
      </c>
      <c r="L45">
        <v>8254</v>
      </c>
      <c r="M45" t="s">
        <v>354</v>
      </c>
      <c r="N45" t="s">
        <v>388</v>
      </c>
      <c r="O45">
        <v>1</v>
      </c>
      <c r="P45">
        <v>1</v>
      </c>
      <c r="Q45">
        <v>-99</v>
      </c>
      <c r="R45" t="s">
        <v>681</v>
      </c>
    </row>
    <row r="46" spans="1:18" x14ac:dyDescent="0.2">
      <c r="A46">
        <v>45</v>
      </c>
      <c r="B46">
        <v>-99</v>
      </c>
      <c r="C46" t="s">
        <v>151</v>
      </c>
      <c r="D46" t="s">
        <v>49</v>
      </c>
      <c r="E46" t="s">
        <v>555</v>
      </c>
      <c r="F46" t="s">
        <v>556</v>
      </c>
      <c r="G46" t="s">
        <v>656</v>
      </c>
      <c r="H46" t="s">
        <v>376</v>
      </c>
      <c r="I46">
        <v>381</v>
      </c>
      <c r="J46">
        <v>33</v>
      </c>
      <c r="K46" t="s">
        <v>384</v>
      </c>
      <c r="L46">
        <v>8254</v>
      </c>
      <c r="M46" t="s">
        <v>354</v>
      </c>
      <c r="N46" t="s">
        <v>388</v>
      </c>
      <c r="O46">
        <v>-99</v>
      </c>
      <c r="P46">
        <v>1</v>
      </c>
      <c r="Q46">
        <v>-99</v>
      </c>
      <c r="R46" t="s">
        <v>682</v>
      </c>
    </row>
    <row r="47" spans="1:18" x14ac:dyDescent="0.2">
      <c r="A47">
        <v>46</v>
      </c>
      <c r="B47">
        <v>52</v>
      </c>
      <c r="C47" t="s">
        <v>152</v>
      </c>
      <c r="D47" t="s">
        <v>38</v>
      </c>
      <c r="E47" t="s">
        <v>557</v>
      </c>
      <c r="F47" t="s">
        <v>558</v>
      </c>
      <c r="G47" t="s">
        <v>655</v>
      </c>
      <c r="H47" t="s">
        <v>369</v>
      </c>
      <c r="I47">
        <v>380</v>
      </c>
      <c r="J47">
        <v>32</v>
      </c>
      <c r="K47" t="s">
        <v>389</v>
      </c>
      <c r="L47">
        <v>8255</v>
      </c>
      <c r="M47" t="s">
        <v>355</v>
      </c>
      <c r="N47" t="s">
        <v>390</v>
      </c>
      <c r="O47">
        <v>1</v>
      </c>
      <c r="P47">
        <v>2</v>
      </c>
      <c r="Q47">
        <v>-99</v>
      </c>
      <c r="R47" t="s">
        <v>681</v>
      </c>
    </row>
    <row r="48" spans="1:18" x14ac:dyDescent="0.2">
      <c r="A48">
        <v>47</v>
      </c>
      <c r="B48">
        <v>53</v>
      </c>
      <c r="C48" t="s">
        <v>153</v>
      </c>
      <c r="D48" t="s">
        <v>48</v>
      </c>
      <c r="E48" t="s">
        <v>559</v>
      </c>
      <c r="F48" t="s">
        <v>560</v>
      </c>
      <c r="G48" t="s">
        <v>655</v>
      </c>
      <c r="H48" t="s">
        <v>369</v>
      </c>
      <c r="I48">
        <v>380</v>
      </c>
      <c r="J48">
        <v>32</v>
      </c>
      <c r="K48" t="s">
        <v>389</v>
      </c>
      <c r="L48">
        <v>8256</v>
      </c>
      <c r="M48" t="s">
        <v>329</v>
      </c>
      <c r="N48" t="s">
        <v>391</v>
      </c>
      <c r="O48">
        <v>1</v>
      </c>
      <c r="P48">
        <v>2</v>
      </c>
      <c r="Q48">
        <v>-99</v>
      </c>
      <c r="R48" t="s">
        <v>681</v>
      </c>
    </row>
    <row r="49" spans="1:18" x14ac:dyDescent="0.2">
      <c r="A49">
        <v>48</v>
      </c>
      <c r="B49">
        <v>54</v>
      </c>
      <c r="C49" t="s">
        <v>154</v>
      </c>
      <c r="D49" t="s">
        <v>53</v>
      </c>
      <c r="E49" t="s">
        <v>561</v>
      </c>
      <c r="F49" t="s">
        <v>562</v>
      </c>
      <c r="G49" t="s">
        <v>656</v>
      </c>
      <c r="H49" t="s">
        <v>376</v>
      </c>
      <c r="I49">
        <v>381</v>
      </c>
      <c r="J49">
        <v>31</v>
      </c>
      <c r="K49" t="s">
        <v>379</v>
      </c>
      <c r="L49">
        <v>8257</v>
      </c>
      <c r="M49" t="s">
        <v>335</v>
      </c>
      <c r="N49" t="s">
        <v>392</v>
      </c>
      <c r="O49">
        <v>1</v>
      </c>
      <c r="P49">
        <v>1</v>
      </c>
      <c r="Q49">
        <v>-99</v>
      </c>
      <c r="R49" t="s">
        <v>681</v>
      </c>
    </row>
    <row r="50" spans="1:18" x14ac:dyDescent="0.2">
      <c r="A50">
        <v>49</v>
      </c>
      <c r="B50">
        <v>-99</v>
      </c>
      <c r="C50" t="s">
        <v>154</v>
      </c>
      <c r="D50" t="s">
        <v>53</v>
      </c>
      <c r="E50" t="s">
        <v>563</v>
      </c>
      <c r="F50" t="s">
        <v>564</v>
      </c>
      <c r="G50" t="s">
        <v>656</v>
      </c>
      <c r="H50" t="s">
        <v>376</v>
      </c>
      <c r="I50">
        <v>381</v>
      </c>
      <c r="J50">
        <v>31</v>
      </c>
      <c r="K50" t="s">
        <v>379</v>
      </c>
      <c r="L50">
        <v>8257</v>
      </c>
      <c r="M50" t="s">
        <v>335</v>
      </c>
      <c r="N50" t="s">
        <v>392</v>
      </c>
      <c r="O50">
        <v>-99</v>
      </c>
      <c r="P50">
        <v>1</v>
      </c>
      <c r="Q50">
        <v>-99</v>
      </c>
      <c r="R50" t="s">
        <v>683</v>
      </c>
    </row>
    <row r="51" spans="1:18" x14ac:dyDescent="0.2">
      <c r="A51">
        <v>50</v>
      </c>
      <c r="B51">
        <v>55</v>
      </c>
      <c r="C51" t="s">
        <v>155</v>
      </c>
      <c r="D51" t="s">
        <v>37</v>
      </c>
      <c r="E51" t="s">
        <v>565</v>
      </c>
      <c r="F51" t="s">
        <v>566</v>
      </c>
      <c r="G51" t="s">
        <v>657</v>
      </c>
      <c r="H51" t="s">
        <v>385</v>
      </c>
      <c r="I51">
        <v>382</v>
      </c>
      <c r="J51">
        <v>32</v>
      </c>
      <c r="K51" t="s">
        <v>389</v>
      </c>
      <c r="L51">
        <v>8258</v>
      </c>
      <c r="M51" t="s">
        <v>348</v>
      </c>
      <c r="N51" t="s">
        <v>393</v>
      </c>
      <c r="O51">
        <v>1</v>
      </c>
      <c r="P51">
        <v>2</v>
      </c>
      <c r="Q51">
        <v>-99</v>
      </c>
      <c r="R51" t="s">
        <v>681</v>
      </c>
    </row>
    <row r="52" spans="1:18" x14ac:dyDescent="0.2">
      <c r="A52">
        <v>51</v>
      </c>
      <c r="B52">
        <v>56</v>
      </c>
      <c r="C52" t="s">
        <v>156</v>
      </c>
      <c r="D52" t="s">
        <v>42</v>
      </c>
      <c r="E52" t="s">
        <v>567</v>
      </c>
      <c r="F52" t="s">
        <v>568</v>
      </c>
      <c r="G52" t="s">
        <v>655</v>
      </c>
      <c r="H52" t="s">
        <v>369</v>
      </c>
      <c r="I52">
        <v>380</v>
      </c>
      <c r="J52">
        <v>32</v>
      </c>
      <c r="K52" t="s">
        <v>389</v>
      </c>
      <c r="L52">
        <v>8259</v>
      </c>
      <c r="M52" t="s">
        <v>325</v>
      </c>
      <c r="N52" t="s">
        <v>394</v>
      </c>
      <c r="O52">
        <v>1</v>
      </c>
      <c r="P52">
        <v>2</v>
      </c>
      <c r="Q52">
        <v>-99</v>
      </c>
      <c r="R52" t="s">
        <v>681</v>
      </c>
    </row>
    <row r="53" spans="1:18" x14ac:dyDescent="0.2">
      <c r="A53">
        <v>52</v>
      </c>
      <c r="B53">
        <v>57</v>
      </c>
      <c r="C53" t="s">
        <v>157</v>
      </c>
      <c r="D53" t="s">
        <v>56</v>
      </c>
      <c r="E53" t="s">
        <v>569</v>
      </c>
      <c r="F53" t="s">
        <v>570</v>
      </c>
      <c r="G53" t="s">
        <v>657</v>
      </c>
      <c r="H53" t="s">
        <v>385</v>
      </c>
      <c r="I53">
        <v>382</v>
      </c>
      <c r="J53">
        <v>32</v>
      </c>
      <c r="K53" t="s">
        <v>389</v>
      </c>
      <c r="L53">
        <v>8260</v>
      </c>
      <c r="M53" t="s">
        <v>315</v>
      </c>
      <c r="N53" t="s">
        <v>395</v>
      </c>
      <c r="O53">
        <v>1</v>
      </c>
      <c r="P53">
        <v>1</v>
      </c>
      <c r="Q53">
        <v>-99</v>
      </c>
      <c r="R53" t="s">
        <v>681</v>
      </c>
    </row>
    <row r="54" spans="1:18" x14ac:dyDescent="0.2">
      <c r="A54">
        <v>53</v>
      </c>
      <c r="B54">
        <v>-99</v>
      </c>
      <c r="C54" t="s">
        <v>157</v>
      </c>
      <c r="D54" t="s">
        <v>56</v>
      </c>
      <c r="E54" t="s">
        <v>571</v>
      </c>
      <c r="F54" t="s">
        <v>209</v>
      </c>
      <c r="G54" t="s">
        <v>657</v>
      </c>
      <c r="H54" t="s">
        <v>385</v>
      </c>
      <c r="I54">
        <v>382</v>
      </c>
      <c r="J54">
        <v>32</v>
      </c>
      <c r="K54" t="s">
        <v>389</v>
      </c>
      <c r="L54">
        <v>8260</v>
      </c>
      <c r="M54" t="s">
        <v>315</v>
      </c>
      <c r="N54" t="s">
        <v>395</v>
      </c>
      <c r="O54">
        <v>-99</v>
      </c>
      <c r="P54">
        <v>1</v>
      </c>
      <c r="Q54">
        <v>-99</v>
      </c>
      <c r="R54" t="s">
        <v>208</v>
      </c>
    </row>
    <row r="55" spans="1:18" x14ac:dyDescent="0.2">
      <c r="A55">
        <v>54</v>
      </c>
      <c r="B55">
        <v>58</v>
      </c>
      <c r="C55" t="s">
        <v>158</v>
      </c>
      <c r="D55" t="s">
        <v>75</v>
      </c>
      <c r="E55" t="s">
        <v>572</v>
      </c>
      <c r="F55" t="s">
        <v>573</v>
      </c>
      <c r="G55" t="s">
        <v>657</v>
      </c>
      <c r="H55" t="s">
        <v>385</v>
      </c>
      <c r="I55">
        <v>382</v>
      </c>
      <c r="J55">
        <v>32</v>
      </c>
      <c r="K55" t="s">
        <v>389</v>
      </c>
      <c r="L55">
        <v>8261</v>
      </c>
      <c r="M55" t="s">
        <v>338</v>
      </c>
      <c r="N55" t="s">
        <v>396</v>
      </c>
      <c r="O55">
        <v>1</v>
      </c>
      <c r="P55">
        <v>2</v>
      </c>
      <c r="Q55">
        <v>-99</v>
      </c>
      <c r="R55" t="s">
        <v>681</v>
      </c>
    </row>
    <row r="56" spans="1:18" x14ac:dyDescent="0.2">
      <c r="A56">
        <v>55</v>
      </c>
      <c r="B56">
        <v>59</v>
      </c>
      <c r="C56" t="s">
        <v>159</v>
      </c>
      <c r="D56" t="s">
        <v>41</v>
      </c>
      <c r="E56" t="s">
        <v>574</v>
      </c>
      <c r="F56" t="s">
        <v>575</v>
      </c>
      <c r="G56" t="s">
        <v>657</v>
      </c>
      <c r="H56" t="s">
        <v>385</v>
      </c>
      <c r="I56">
        <v>382</v>
      </c>
      <c r="J56">
        <v>32</v>
      </c>
      <c r="K56" t="s">
        <v>389</v>
      </c>
      <c r="L56">
        <v>8262</v>
      </c>
      <c r="M56" t="s">
        <v>362</v>
      </c>
      <c r="N56" t="s">
        <v>398</v>
      </c>
      <c r="O56">
        <v>1</v>
      </c>
      <c r="P56">
        <v>2</v>
      </c>
      <c r="Q56">
        <v>-99</v>
      </c>
      <c r="R56" t="s">
        <v>681</v>
      </c>
    </row>
    <row r="57" spans="1:18" x14ac:dyDescent="0.2">
      <c r="A57">
        <v>56</v>
      </c>
      <c r="B57">
        <v>60</v>
      </c>
      <c r="C57" t="s">
        <v>160</v>
      </c>
      <c r="D57" t="s">
        <v>50</v>
      </c>
      <c r="E57" t="s">
        <v>576</v>
      </c>
      <c r="F57" t="s">
        <v>577</v>
      </c>
      <c r="G57" t="s">
        <v>657</v>
      </c>
      <c r="H57" t="s">
        <v>385</v>
      </c>
      <c r="I57">
        <v>382</v>
      </c>
      <c r="J57">
        <v>32</v>
      </c>
      <c r="K57" t="s">
        <v>389</v>
      </c>
      <c r="L57">
        <v>8263</v>
      </c>
      <c r="M57" t="s">
        <v>321</v>
      </c>
      <c r="N57" t="s">
        <v>399</v>
      </c>
      <c r="O57">
        <v>1</v>
      </c>
      <c r="P57">
        <v>2</v>
      </c>
      <c r="Q57">
        <v>-99</v>
      </c>
      <c r="R57" t="s">
        <v>681</v>
      </c>
    </row>
    <row r="58" spans="1:18" x14ac:dyDescent="0.2">
      <c r="A58">
        <v>57</v>
      </c>
      <c r="B58">
        <v>84</v>
      </c>
      <c r="C58" t="s">
        <v>161</v>
      </c>
      <c r="D58" t="s">
        <v>76</v>
      </c>
      <c r="E58" t="s">
        <v>578</v>
      </c>
      <c r="F58" t="s">
        <v>579</v>
      </c>
      <c r="G58" t="s">
        <v>657</v>
      </c>
      <c r="H58" t="s">
        <v>385</v>
      </c>
      <c r="I58">
        <v>382</v>
      </c>
      <c r="J58">
        <v>32</v>
      </c>
      <c r="K58" t="s">
        <v>389</v>
      </c>
      <c r="L58">
        <v>8264</v>
      </c>
      <c r="M58" t="s">
        <v>332</v>
      </c>
      <c r="N58" t="s">
        <v>400</v>
      </c>
      <c r="O58">
        <v>1</v>
      </c>
      <c r="P58">
        <v>1</v>
      </c>
      <c r="Q58">
        <v>-99</v>
      </c>
      <c r="R58" t="s">
        <v>681</v>
      </c>
    </row>
    <row r="59" spans="1:18" x14ac:dyDescent="0.2">
      <c r="A59">
        <v>58</v>
      </c>
      <c r="B59">
        <v>-99</v>
      </c>
      <c r="C59" t="s">
        <v>161</v>
      </c>
      <c r="D59" t="s">
        <v>76</v>
      </c>
      <c r="E59" t="s">
        <v>580</v>
      </c>
      <c r="F59" t="s">
        <v>490</v>
      </c>
      <c r="G59" t="s">
        <v>657</v>
      </c>
      <c r="H59" t="s">
        <v>385</v>
      </c>
      <c r="I59">
        <v>382</v>
      </c>
      <c r="J59">
        <v>32</v>
      </c>
      <c r="K59" t="s">
        <v>389</v>
      </c>
      <c r="L59">
        <v>8264</v>
      </c>
      <c r="M59" t="s">
        <v>332</v>
      </c>
      <c r="N59" t="s">
        <v>400</v>
      </c>
      <c r="O59">
        <v>-99</v>
      </c>
      <c r="P59">
        <v>1</v>
      </c>
      <c r="Q59">
        <v>-99</v>
      </c>
      <c r="R59" t="s">
        <v>653</v>
      </c>
    </row>
    <row r="60" spans="1:18" x14ac:dyDescent="0.2">
      <c r="A60">
        <v>59</v>
      </c>
      <c r="B60">
        <v>-99</v>
      </c>
      <c r="C60" t="s">
        <v>161</v>
      </c>
      <c r="D60" t="s">
        <v>76</v>
      </c>
      <c r="E60" t="s">
        <v>581</v>
      </c>
      <c r="F60" t="s">
        <v>212</v>
      </c>
      <c r="G60" t="s">
        <v>657</v>
      </c>
      <c r="H60" t="s">
        <v>385</v>
      </c>
      <c r="I60">
        <v>382</v>
      </c>
      <c r="J60">
        <v>32</v>
      </c>
      <c r="K60" t="s">
        <v>389</v>
      </c>
      <c r="L60">
        <v>8264</v>
      </c>
      <c r="M60" t="s">
        <v>332</v>
      </c>
      <c r="N60" t="s">
        <v>400</v>
      </c>
      <c r="O60">
        <v>-99</v>
      </c>
      <c r="P60">
        <v>1</v>
      </c>
      <c r="Q60">
        <v>-99</v>
      </c>
      <c r="R60" t="s">
        <v>208</v>
      </c>
    </row>
    <row r="61" spans="1:18" x14ac:dyDescent="0.2">
      <c r="A61">
        <v>60</v>
      </c>
      <c r="B61">
        <v>100</v>
      </c>
      <c r="C61" t="s">
        <v>162</v>
      </c>
      <c r="D61" t="s">
        <v>40</v>
      </c>
      <c r="E61" t="s">
        <v>582</v>
      </c>
      <c r="F61" t="s">
        <v>583</v>
      </c>
      <c r="G61" t="s">
        <v>659</v>
      </c>
      <c r="H61" t="s">
        <v>401</v>
      </c>
      <c r="I61">
        <v>383</v>
      </c>
      <c r="J61">
        <v>33</v>
      </c>
      <c r="K61" t="s">
        <v>384</v>
      </c>
      <c r="L61">
        <v>8268</v>
      </c>
      <c r="M61" t="s">
        <v>349</v>
      </c>
      <c r="N61" t="s">
        <v>402</v>
      </c>
      <c r="O61">
        <v>1</v>
      </c>
      <c r="P61">
        <v>2</v>
      </c>
      <c r="Q61">
        <v>-99</v>
      </c>
      <c r="R61" t="s">
        <v>681</v>
      </c>
    </row>
    <row r="62" spans="1:18" x14ac:dyDescent="0.2">
      <c r="A62">
        <v>61</v>
      </c>
      <c r="B62">
        <v>101</v>
      </c>
      <c r="C62" t="s">
        <v>163</v>
      </c>
      <c r="D62" t="s">
        <v>31</v>
      </c>
      <c r="E62" t="s">
        <v>584</v>
      </c>
      <c r="F62" t="s">
        <v>585</v>
      </c>
      <c r="G62" t="s">
        <v>659</v>
      </c>
      <c r="H62" t="s">
        <v>401</v>
      </c>
      <c r="I62">
        <v>383</v>
      </c>
      <c r="J62">
        <v>34</v>
      </c>
      <c r="K62" t="s">
        <v>403</v>
      </c>
      <c r="L62">
        <v>8269</v>
      </c>
      <c r="M62" t="s">
        <v>317</v>
      </c>
      <c r="N62" t="s">
        <v>404</v>
      </c>
      <c r="O62">
        <v>1</v>
      </c>
      <c r="P62">
        <v>2</v>
      </c>
      <c r="Q62">
        <v>-99</v>
      </c>
      <c r="R62" t="s">
        <v>681</v>
      </c>
    </row>
    <row r="63" spans="1:18" x14ac:dyDescent="0.2">
      <c r="A63">
        <v>62</v>
      </c>
      <c r="B63">
        <v>102</v>
      </c>
      <c r="C63" t="s">
        <v>164</v>
      </c>
      <c r="D63" t="s">
        <v>70</v>
      </c>
      <c r="E63" t="s">
        <v>586</v>
      </c>
      <c r="F63" t="s">
        <v>587</v>
      </c>
      <c r="G63" t="s">
        <v>659</v>
      </c>
      <c r="H63" t="s">
        <v>401</v>
      </c>
      <c r="I63">
        <v>383</v>
      </c>
      <c r="J63">
        <v>33</v>
      </c>
      <c r="K63" t="s">
        <v>384</v>
      </c>
      <c r="L63">
        <v>8270</v>
      </c>
      <c r="M63" t="s">
        <v>343</v>
      </c>
      <c r="N63" t="s">
        <v>405</v>
      </c>
      <c r="O63">
        <v>1</v>
      </c>
      <c r="P63">
        <v>1</v>
      </c>
      <c r="Q63">
        <v>-99</v>
      </c>
      <c r="R63" t="s">
        <v>681</v>
      </c>
    </row>
    <row r="64" spans="1:18" x14ac:dyDescent="0.2">
      <c r="A64">
        <v>63</v>
      </c>
      <c r="B64">
        <v>-99</v>
      </c>
      <c r="C64" t="s">
        <v>164</v>
      </c>
      <c r="D64" t="s">
        <v>70</v>
      </c>
      <c r="E64" t="s">
        <v>588</v>
      </c>
      <c r="F64" t="s">
        <v>211</v>
      </c>
      <c r="G64" t="s">
        <v>659</v>
      </c>
      <c r="H64" t="s">
        <v>401</v>
      </c>
      <c r="I64">
        <v>383</v>
      </c>
      <c r="J64">
        <v>33</v>
      </c>
      <c r="K64" t="s">
        <v>384</v>
      </c>
      <c r="L64">
        <v>8270</v>
      </c>
      <c r="M64" t="s">
        <v>343</v>
      </c>
      <c r="N64" t="s">
        <v>405</v>
      </c>
      <c r="O64">
        <v>-99</v>
      </c>
      <c r="P64">
        <v>1</v>
      </c>
      <c r="Q64">
        <v>-99</v>
      </c>
      <c r="R64" t="s">
        <v>678</v>
      </c>
    </row>
    <row r="65" spans="1:18" x14ac:dyDescent="0.2">
      <c r="A65">
        <v>64</v>
      </c>
      <c r="B65">
        <v>103</v>
      </c>
      <c r="C65" t="s">
        <v>165</v>
      </c>
      <c r="D65" t="s">
        <v>62</v>
      </c>
      <c r="E65" t="s">
        <v>589</v>
      </c>
      <c r="F65" t="s">
        <v>590</v>
      </c>
      <c r="G65" t="s">
        <v>659</v>
      </c>
      <c r="H65" t="s">
        <v>401</v>
      </c>
      <c r="I65">
        <v>383</v>
      </c>
      <c r="J65">
        <v>34</v>
      </c>
      <c r="K65" t="s">
        <v>403</v>
      </c>
      <c r="L65">
        <v>8272</v>
      </c>
      <c r="M65" t="s">
        <v>331</v>
      </c>
      <c r="N65" t="s">
        <v>406</v>
      </c>
      <c r="O65">
        <v>1</v>
      </c>
      <c r="P65">
        <v>2</v>
      </c>
      <c r="Q65">
        <v>-99</v>
      </c>
      <c r="R65" t="s">
        <v>681</v>
      </c>
    </row>
    <row r="66" spans="1:18" x14ac:dyDescent="0.2">
      <c r="A66">
        <v>65</v>
      </c>
      <c r="B66">
        <v>104</v>
      </c>
      <c r="C66" t="s">
        <v>166</v>
      </c>
      <c r="D66" t="s">
        <v>52</v>
      </c>
      <c r="E66" t="s">
        <v>591</v>
      </c>
      <c r="F66" t="s">
        <v>592</v>
      </c>
      <c r="G66" t="s">
        <v>659</v>
      </c>
      <c r="H66" t="s">
        <v>401</v>
      </c>
      <c r="I66">
        <v>383</v>
      </c>
      <c r="J66">
        <v>34</v>
      </c>
      <c r="K66" t="s">
        <v>403</v>
      </c>
      <c r="L66">
        <v>8221</v>
      </c>
      <c r="M66" t="s">
        <v>331</v>
      </c>
      <c r="N66" t="s">
        <v>406</v>
      </c>
      <c r="O66">
        <v>1</v>
      </c>
      <c r="P66">
        <v>2</v>
      </c>
      <c r="Q66">
        <v>-99</v>
      </c>
      <c r="R66" t="s">
        <v>681</v>
      </c>
    </row>
    <row r="67" spans="1:18" x14ac:dyDescent="0.2">
      <c r="A67">
        <v>66</v>
      </c>
      <c r="B67">
        <v>196</v>
      </c>
      <c r="C67" t="s">
        <v>167</v>
      </c>
      <c r="D67" t="s">
        <v>64</v>
      </c>
      <c r="E67" t="s">
        <v>593</v>
      </c>
      <c r="F67" t="s">
        <v>594</v>
      </c>
      <c r="G67" t="s">
        <v>659</v>
      </c>
      <c r="H67" t="s">
        <v>401</v>
      </c>
      <c r="I67">
        <v>383</v>
      </c>
      <c r="J67">
        <v>34</v>
      </c>
      <c r="K67" t="s">
        <v>403</v>
      </c>
      <c r="L67">
        <v>8202</v>
      </c>
      <c r="M67" t="s">
        <v>344</v>
      </c>
      <c r="N67" t="s">
        <v>425</v>
      </c>
      <c r="O67">
        <v>1</v>
      </c>
      <c r="P67">
        <v>2</v>
      </c>
      <c r="Q67">
        <v>-99</v>
      </c>
      <c r="R67" t="s">
        <v>681</v>
      </c>
    </row>
    <row r="68" spans="1:18" x14ac:dyDescent="0.2">
      <c r="A68">
        <v>67</v>
      </c>
      <c r="B68">
        <v>110</v>
      </c>
      <c r="C68" t="s">
        <v>168</v>
      </c>
      <c r="D68" t="s">
        <v>73</v>
      </c>
      <c r="E68" t="s">
        <v>595</v>
      </c>
      <c r="F68" t="s">
        <v>596</v>
      </c>
      <c r="G68" t="s">
        <v>659</v>
      </c>
      <c r="H68" t="s">
        <v>401</v>
      </c>
      <c r="I68">
        <v>383</v>
      </c>
      <c r="J68">
        <v>34</v>
      </c>
      <c r="K68" t="s">
        <v>403</v>
      </c>
      <c r="L68">
        <v>8203</v>
      </c>
      <c r="M68" t="s">
        <v>328</v>
      </c>
      <c r="N68" t="s">
        <v>80</v>
      </c>
      <c r="O68">
        <v>1</v>
      </c>
      <c r="P68">
        <v>1</v>
      </c>
      <c r="Q68">
        <v>-99</v>
      </c>
      <c r="R68" t="s">
        <v>681</v>
      </c>
    </row>
    <row r="69" spans="1:18" x14ac:dyDescent="0.2">
      <c r="A69">
        <v>68</v>
      </c>
      <c r="B69">
        <v>-99</v>
      </c>
      <c r="C69" t="s">
        <v>168</v>
      </c>
      <c r="D69" t="s">
        <v>73</v>
      </c>
      <c r="E69" t="s">
        <v>597</v>
      </c>
      <c r="F69" t="s">
        <v>598</v>
      </c>
      <c r="G69" t="s">
        <v>659</v>
      </c>
      <c r="H69" t="s">
        <v>401</v>
      </c>
      <c r="I69">
        <v>383</v>
      </c>
      <c r="J69">
        <v>34</v>
      </c>
      <c r="K69" t="s">
        <v>403</v>
      </c>
      <c r="L69">
        <v>8203</v>
      </c>
      <c r="M69" t="s">
        <v>328</v>
      </c>
      <c r="N69" t="s">
        <v>80</v>
      </c>
      <c r="O69">
        <v>-99</v>
      </c>
      <c r="P69">
        <v>1</v>
      </c>
      <c r="Q69">
        <v>-99</v>
      </c>
      <c r="R69" t="s">
        <v>397</v>
      </c>
    </row>
    <row r="70" spans="1:18" x14ac:dyDescent="0.2">
      <c r="A70">
        <v>69</v>
      </c>
      <c r="B70">
        <v>111</v>
      </c>
      <c r="C70" t="s">
        <v>169</v>
      </c>
      <c r="D70" t="s">
        <v>34</v>
      </c>
      <c r="E70" t="s">
        <v>599</v>
      </c>
      <c r="F70" t="s">
        <v>600</v>
      </c>
      <c r="G70" t="s">
        <v>659</v>
      </c>
      <c r="H70" t="s">
        <v>401</v>
      </c>
      <c r="I70">
        <v>383</v>
      </c>
      <c r="J70">
        <v>34</v>
      </c>
      <c r="K70" t="s">
        <v>403</v>
      </c>
      <c r="L70">
        <v>8204</v>
      </c>
      <c r="M70" t="s">
        <v>333</v>
      </c>
      <c r="N70" t="s">
        <v>407</v>
      </c>
      <c r="O70">
        <v>1</v>
      </c>
      <c r="P70">
        <v>2</v>
      </c>
      <c r="Q70">
        <v>-99</v>
      </c>
      <c r="R70" t="s">
        <v>681</v>
      </c>
    </row>
    <row r="71" spans="1:18" x14ac:dyDescent="0.2">
      <c r="A71">
        <v>70</v>
      </c>
      <c r="B71">
        <v>112</v>
      </c>
      <c r="C71" t="s">
        <v>170</v>
      </c>
      <c r="D71" t="s">
        <v>66</v>
      </c>
      <c r="E71" t="s">
        <v>601</v>
      </c>
      <c r="F71" t="s">
        <v>602</v>
      </c>
      <c r="G71" t="s">
        <v>659</v>
      </c>
      <c r="H71" t="s">
        <v>401</v>
      </c>
      <c r="I71">
        <v>383</v>
      </c>
      <c r="J71">
        <v>34</v>
      </c>
      <c r="K71" t="s">
        <v>403</v>
      </c>
      <c r="L71">
        <v>8205</v>
      </c>
      <c r="M71" t="s">
        <v>350</v>
      </c>
      <c r="N71" t="s">
        <v>408</v>
      </c>
      <c r="O71">
        <v>1</v>
      </c>
      <c r="P71">
        <v>2</v>
      </c>
      <c r="Q71">
        <v>-99</v>
      </c>
      <c r="R71" t="s">
        <v>681</v>
      </c>
    </row>
    <row r="72" spans="1:18" x14ac:dyDescent="0.2">
      <c r="A72">
        <v>71</v>
      </c>
      <c r="B72">
        <v>113</v>
      </c>
      <c r="C72" t="s">
        <v>171</v>
      </c>
      <c r="D72" t="s">
        <v>79</v>
      </c>
      <c r="E72" t="s">
        <v>603</v>
      </c>
      <c r="F72" t="s">
        <v>604</v>
      </c>
      <c r="G72" t="s">
        <v>657</v>
      </c>
      <c r="H72" t="s">
        <v>385</v>
      </c>
      <c r="I72">
        <v>382</v>
      </c>
      <c r="J72">
        <v>33</v>
      </c>
      <c r="K72" t="s">
        <v>384</v>
      </c>
      <c r="L72">
        <v>8206</v>
      </c>
      <c r="M72" t="s">
        <v>326</v>
      </c>
      <c r="N72" t="s">
        <v>409</v>
      </c>
      <c r="O72">
        <v>1</v>
      </c>
      <c r="P72">
        <v>2</v>
      </c>
      <c r="Q72">
        <v>-99</v>
      </c>
      <c r="R72" t="s">
        <v>681</v>
      </c>
    </row>
    <row r="73" spans="1:18" x14ac:dyDescent="0.2">
      <c r="A73">
        <v>72</v>
      </c>
      <c r="B73">
        <v>114</v>
      </c>
      <c r="C73" t="s">
        <v>172</v>
      </c>
      <c r="D73" t="s">
        <v>51</v>
      </c>
      <c r="E73" t="s">
        <v>605</v>
      </c>
      <c r="F73" t="s">
        <v>606</v>
      </c>
      <c r="G73" t="s">
        <v>657</v>
      </c>
      <c r="H73" t="s">
        <v>385</v>
      </c>
      <c r="I73">
        <v>382</v>
      </c>
      <c r="J73">
        <v>33</v>
      </c>
      <c r="K73" t="s">
        <v>384</v>
      </c>
      <c r="L73">
        <v>8207</v>
      </c>
      <c r="M73" t="s">
        <v>314</v>
      </c>
      <c r="N73" t="s">
        <v>410</v>
      </c>
      <c r="O73">
        <v>1</v>
      </c>
      <c r="P73">
        <v>2</v>
      </c>
      <c r="Q73">
        <v>-99</v>
      </c>
      <c r="R73" t="s">
        <v>681</v>
      </c>
    </row>
    <row r="74" spans="1:18" x14ac:dyDescent="0.2">
      <c r="A74">
        <v>73</v>
      </c>
      <c r="B74">
        <v>115</v>
      </c>
      <c r="C74" t="s">
        <v>173</v>
      </c>
      <c r="D74" t="s">
        <v>27</v>
      </c>
      <c r="E74" t="s">
        <v>607</v>
      </c>
      <c r="F74" t="s">
        <v>608</v>
      </c>
      <c r="G74" t="s">
        <v>657</v>
      </c>
      <c r="H74" t="s">
        <v>385</v>
      </c>
      <c r="I74">
        <v>382</v>
      </c>
      <c r="J74">
        <v>33</v>
      </c>
      <c r="K74" t="s">
        <v>384</v>
      </c>
      <c r="L74">
        <v>8208</v>
      </c>
      <c r="M74" t="s">
        <v>337</v>
      </c>
      <c r="N74" t="s">
        <v>411</v>
      </c>
      <c r="O74">
        <v>1</v>
      </c>
      <c r="P74">
        <v>2</v>
      </c>
      <c r="Q74">
        <v>-99</v>
      </c>
      <c r="R74" t="s">
        <v>681</v>
      </c>
    </row>
    <row r="75" spans="1:18" x14ac:dyDescent="0.2">
      <c r="A75">
        <v>74</v>
      </c>
      <c r="B75">
        <v>116</v>
      </c>
      <c r="C75" t="s">
        <v>174</v>
      </c>
      <c r="D75" t="s">
        <v>68</v>
      </c>
      <c r="E75" t="s">
        <v>609</v>
      </c>
      <c r="F75" t="s">
        <v>610</v>
      </c>
      <c r="G75" t="s">
        <v>659</v>
      </c>
      <c r="H75" t="s">
        <v>401</v>
      </c>
      <c r="I75">
        <v>383</v>
      </c>
      <c r="J75">
        <v>34</v>
      </c>
      <c r="K75" t="s">
        <v>403</v>
      </c>
      <c r="L75">
        <v>8210</v>
      </c>
      <c r="M75" t="s">
        <v>327</v>
      </c>
      <c r="N75" t="s">
        <v>412</v>
      </c>
      <c r="O75">
        <v>1</v>
      </c>
      <c r="P75">
        <v>2</v>
      </c>
      <c r="Q75">
        <v>-99</v>
      </c>
      <c r="R75" t="s">
        <v>681</v>
      </c>
    </row>
    <row r="76" spans="1:18" x14ac:dyDescent="0.2">
      <c r="A76">
        <v>75</v>
      </c>
      <c r="B76">
        <v>197</v>
      </c>
      <c r="C76" t="s">
        <v>175</v>
      </c>
      <c r="D76" t="s">
        <v>72</v>
      </c>
      <c r="E76" t="s">
        <v>611</v>
      </c>
      <c r="F76" t="s">
        <v>612</v>
      </c>
      <c r="G76" t="s">
        <v>656</v>
      </c>
      <c r="H76" t="s">
        <v>376</v>
      </c>
      <c r="I76">
        <v>381</v>
      </c>
      <c r="J76">
        <v>31</v>
      </c>
      <c r="K76" t="s">
        <v>379</v>
      </c>
      <c r="L76">
        <v>8211</v>
      </c>
      <c r="M76" t="s">
        <v>330</v>
      </c>
      <c r="N76" t="s">
        <v>426</v>
      </c>
      <c r="O76">
        <v>1</v>
      </c>
      <c r="P76">
        <v>2</v>
      </c>
      <c r="Q76">
        <v>-99</v>
      </c>
      <c r="R76" t="s">
        <v>681</v>
      </c>
    </row>
    <row r="77" spans="1:18" x14ac:dyDescent="0.2">
      <c r="A77">
        <v>76</v>
      </c>
      <c r="B77">
        <v>119</v>
      </c>
      <c r="C77" t="s">
        <v>176</v>
      </c>
      <c r="D77" t="s">
        <v>55</v>
      </c>
      <c r="E77" t="s">
        <v>613</v>
      </c>
      <c r="F77" t="s">
        <v>614</v>
      </c>
      <c r="G77" t="s">
        <v>659</v>
      </c>
      <c r="H77" t="s">
        <v>401</v>
      </c>
      <c r="I77">
        <v>383</v>
      </c>
      <c r="J77">
        <v>34</v>
      </c>
      <c r="K77" t="s">
        <v>403</v>
      </c>
      <c r="L77">
        <v>8223</v>
      </c>
      <c r="M77" t="s">
        <v>615</v>
      </c>
      <c r="N77" t="s">
        <v>616</v>
      </c>
      <c r="O77">
        <v>1</v>
      </c>
      <c r="P77">
        <v>2</v>
      </c>
      <c r="Q77">
        <v>-99</v>
      </c>
      <c r="R77" t="s">
        <v>681</v>
      </c>
    </row>
    <row r="78" spans="1:18" x14ac:dyDescent="0.2">
      <c r="A78">
        <v>77</v>
      </c>
      <c r="B78">
        <v>131</v>
      </c>
      <c r="C78" t="s">
        <v>177</v>
      </c>
      <c r="D78" t="s">
        <v>46</v>
      </c>
      <c r="E78" t="s">
        <v>617</v>
      </c>
      <c r="F78" t="s">
        <v>618</v>
      </c>
      <c r="G78" t="s">
        <v>657</v>
      </c>
      <c r="H78" t="s">
        <v>385</v>
      </c>
      <c r="I78">
        <v>382</v>
      </c>
      <c r="J78">
        <v>33</v>
      </c>
      <c r="K78" t="s">
        <v>384</v>
      </c>
      <c r="L78">
        <v>8226</v>
      </c>
      <c r="M78" t="s">
        <v>326</v>
      </c>
      <c r="N78" t="s">
        <v>409</v>
      </c>
      <c r="O78">
        <v>1</v>
      </c>
      <c r="P78">
        <v>2</v>
      </c>
      <c r="Q78">
        <v>-99</v>
      </c>
      <c r="R78" t="s">
        <v>681</v>
      </c>
    </row>
    <row r="79" spans="1:18" x14ac:dyDescent="0.2">
      <c r="A79">
        <v>78</v>
      </c>
      <c r="B79">
        <v>132</v>
      </c>
      <c r="C79" t="s">
        <v>668</v>
      </c>
      <c r="D79" t="s">
        <v>429</v>
      </c>
      <c r="E79" t="s">
        <v>619</v>
      </c>
      <c r="F79" t="s">
        <v>669</v>
      </c>
      <c r="G79" t="s">
        <v>656</v>
      </c>
      <c r="H79" t="s">
        <v>376</v>
      </c>
      <c r="I79">
        <v>381</v>
      </c>
      <c r="J79">
        <v>30</v>
      </c>
      <c r="K79" t="s">
        <v>368</v>
      </c>
      <c r="L79">
        <v>8229</v>
      </c>
      <c r="M79" t="s">
        <v>345</v>
      </c>
      <c r="N79" t="s">
        <v>413</v>
      </c>
      <c r="O79">
        <v>1</v>
      </c>
      <c r="P79">
        <v>2</v>
      </c>
      <c r="Q79">
        <v>-99</v>
      </c>
      <c r="R79" t="s">
        <v>681</v>
      </c>
    </row>
    <row r="80" spans="1:18" x14ac:dyDescent="0.2">
      <c r="A80">
        <v>79</v>
      </c>
      <c r="B80">
        <v>143</v>
      </c>
      <c r="C80" t="s">
        <v>178</v>
      </c>
      <c r="D80" t="s">
        <v>54</v>
      </c>
      <c r="E80" t="s">
        <v>620</v>
      </c>
      <c r="F80" t="s">
        <v>621</v>
      </c>
      <c r="G80" t="s">
        <v>655</v>
      </c>
      <c r="H80" t="s">
        <v>369</v>
      </c>
      <c r="I80">
        <v>380</v>
      </c>
      <c r="J80">
        <v>30</v>
      </c>
      <c r="K80" t="s">
        <v>368</v>
      </c>
      <c r="L80">
        <v>8230</v>
      </c>
      <c r="M80" t="s">
        <v>358</v>
      </c>
      <c r="N80" t="s">
        <v>414</v>
      </c>
      <c r="O80">
        <v>1</v>
      </c>
      <c r="P80">
        <v>2</v>
      </c>
      <c r="Q80">
        <v>-99</v>
      </c>
      <c r="R80" t="s">
        <v>681</v>
      </c>
    </row>
    <row r="81" spans="1:18" x14ac:dyDescent="0.2">
      <c r="A81">
        <v>80</v>
      </c>
      <c r="B81">
        <v>144</v>
      </c>
      <c r="C81" t="s">
        <v>670</v>
      </c>
      <c r="D81" t="s">
        <v>488</v>
      </c>
      <c r="E81" t="s">
        <v>670</v>
      </c>
      <c r="F81" t="s">
        <v>488</v>
      </c>
      <c r="G81" t="s">
        <v>667</v>
      </c>
      <c r="H81" t="s">
        <v>8</v>
      </c>
      <c r="I81">
        <v>-99</v>
      </c>
      <c r="J81">
        <v>35</v>
      </c>
      <c r="K81" t="s">
        <v>8</v>
      </c>
      <c r="L81">
        <v>8215</v>
      </c>
      <c r="M81" t="s">
        <v>338</v>
      </c>
      <c r="N81" t="s">
        <v>396</v>
      </c>
      <c r="O81">
        <v>1</v>
      </c>
      <c r="P81">
        <v>2</v>
      </c>
      <c r="Q81">
        <v>-99</v>
      </c>
      <c r="R81" t="s">
        <v>653</v>
      </c>
    </row>
    <row r="82" spans="1:18" x14ac:dyDescent="0.2">
      <c r="A82">
        <v>81</v>
      </c>
      <c r="B82">
        <v>145</v>
      </c>
      <c r="C82" t="s">
        <v>179</v>
      </c>
      <c r="D82" t="s">
        <v>71</v>
      </c>
      <c r="E82" t="s">
        <v>622</v>
      </c>
      <c r="F82" t="s">
        <v>623</v>
      </c>
      <c r="G82" t="s">
        <v>659</v>
      </c>
      <c r="H82" t="s">
        <v>401</v>
      </c>
      <c r="I82">
        <v>383</v>
      </c>
      <c r="J82">
        <v>34</v>
      </c>
      <c r="K82" t="s">
        <v>403</v>
      </c>
      <c r="L82">
        <v>8231</v>
      </c>
      <c r="M82" t="s">
        <v>331</v>
      </c>
      <c r="N82" t="s">
        <v>406</v>
      </c>
      <c r="O82">
        <v>1</v>
      </c>
      <c r="P82">
        <v>1</v>
      </c>
      <c r="Q82">
        <v>-99</v>
      </c>
      <c r="R82" t="s">
        <v>681</v>
      </c>
    </row>
    <row r="83" spans="1:18" x14ac:dyDescent="0.2">
      <c r="A83">
        <v>82</v>
      </c>
      <c r="B83">
        <v>-99</v>
      </c>
      <c r="C83" t="s">
        <v>179</v>
      </c>
      <c r="D83" t="s">
        <v>71</v>
      </c>
      <c r="E83" t="s">
        <v>624</v>
      </c>
      <c r="F83" t="s">
        <v>955</v>
      </c>
      <c r="G83" t="s">
        <v>659</v>
      </c>
      <c r="H83" t="s">
        <v>401</v>
      </c>
      <c r="I83">
        <v>383</v>
      </c>
      <c r="J83">
        <v>34</v>
      </c>
      <c r="K83" t="s">
        <v>403</v>
      </c>
      <c r="L83">
        <v>8231</v>
      </c>
      <c r="M83" t="s">
        <v>331</v>
      </c>
      <c r="N83" t="s">
        <v>406</v>
      </c>
      <c r="O83">
        <v>-99</v>
      </c>
      <c r="P83">
        <v>1</v>
      </c>
      <c r="Q83">
        <v>-99</v>
      </c>
      <c r="R83" t="s">
        <v>679</v>
      </c>
    </row>
    <row r="84" spans="1:18" x14ac:dyDescent="0.2">
      <c r="A84">
        <v>83</v>
      </c>
      <c r="B84">
        <v>151</v>
      </c>
      <c r="C84" t="s">
        <v>671</v>
      </c>
      <c r="D84" t="s">
        <v>1055</v>
      </c>
      <c r="E84" t="s">
        <v>671</v>
      </c>
      <c r="F84" t="s">
        <v>489</v>
      </c>
      <c r="G84" t="s">
        <v>667</v>
      </c>
      <c r="H84" t="s">
        <v>8</v>
      </c>
      <c r="I84">
        <v>380</v>
      </c>
      <c r="J84">
        <v>35</v>
      </c>
      <c r="K84" t="s">
        <v>8</v>
      </c>
      <c r="L84">
        <v>3180155</v>
      </c>
      <c r="M84" t="s">
        <v>345</v>
      </c>
      <c r="N84" t="s">
        <v>413</v>
      </c>
      <c r="O84">
        <v>1</v>
      </c>
      <c r="P84">
        <v>2</v>
      </c>
      <c r="Q84">
        <v>-99</v>
      </c>
      <c r="R84" t="s">
        <v>653</v>
      </c>
    </row>
    <row r="85" spans="1:18" x14ac:dyDescent="0.2">
      <c r="A85">
        <v>84</v>
      </c>
      <c r="B85">
        <v>152</v>
      </c>
      <c r="C85" t="s">
        <v>180</v>
      </c>
      <c r="D85" t="s">
        <v>78</v>
      </c>
      <c r="E85" t="s">
        <v>625</v>
      </c>
      <c r="F85" t="s">
        <v>626</v>
      </c>
      <c r="G85" t="s">
        <v>655</v>
      </c>
      <c r="H85" t="s">
        <v>369</v>
      </c>
      <c r="I85">
        <v>380</v>
      </c>
      <c r="J85">
        <v>30</v>
      </c>
      <c r="K85" t="s">
        <v>368</v>
      </c>
      <c r="L85">
        <v>8234</v>
      </c>
      <c r="M85" t="s">
        <v>351</v>
      </c>
      <c r="N85" t="s">
        <v>415</v>
      </c>
      <c r="O85">
        <v>1</v>
      </c>
      <c r="P85">
        <v>2</v>
      </c>
      <c r="Q85">
        <v>-99</v>
      </c>
      <c r="R85" t="s">
        <v>681</v>
      </c>
    </row>
    <row r="86" spans="1:18" x14ac:dyDescent="0.2">
      <c r="A86">
        <v>85</v>
      </c>
      <c r="B86">
        <v>153</v>
      </c>
      <c r="C86" t="s">
        <v>89</v>
      </c>
      <c r="D86" t="s">
        <v>135</v>
      </c>
      <c r="E86" t="s">
        <v>627</v>
      </c>
      <c r="F86" t="s">
        <v>628</v>
      </c>
      <c r="G86" t="s">
        <v>655</v>
      </c>
      <c r="H86" t="s">
        <v>369</v>
      </c>
      <c r="I86">
        <v>380</v>
      </c>
      <c r="J86">
        <v>30</v>
      </c>
      <c r="K86" t="s">
        <v>368</v>
      </c>
      <c r="L86">
        <v>8236</v>
      </c>
      <c r="M86" t="s">
        <v>364</v>
      </c>
      <c r="N86" t="s">
        <v>416</v>
      </c>
      <c r="O86">
        <v>1</v>
      </c>
      <c r="P86">
        <v>2</v>
      </c>
      <c r="Q86">
        <v>-99</v>
      </c>
      <c r="R86" t="s">
        <v>681</v>
      </c>
    </row>
    <row r="87" spans="1:18" x14ac:dyDescent="0.2">
      <c r="A87">
        <v>86</v>
      </c>
      <c r="B87">
        <v>154</v>
      </c>
      <c r="C87" t="s">
        <v>182</v>
      </c>
      <c r="D87" t="s">
        <v>181</v>
      </c>
      <c r="E87" t="s">
        <v>629</v>
      </c>
      <c r="F87" t="s">
        <v>630</v>
      </c>
      <c r="G87" t="s">
        <v>659</v>
      </c>
      <c r="H87" t="s">
        <v>401</v>
      </c>
      <c r="I87">
        <v>383</v>
      </c>
      <c r="J87">
        <v>33</v>
      </c>
      <c r="K87" t="s">
        <v>384</v>
      </c>
      <c r="L87">
        <v>8265</v>
      </c>
      <c r="M87" t="s">
        <v>357</v>
      </c>
      <c r="N87" t="s">
        <v>417</v>
      </c>
      <c r="O87">
        <v>1</v>
      </c>
      <c r="P87">
        <v>2</v>
      </c>
      <c r="Q87">
        <v>-99</v>
      </c>
      <c r="R87" t="s">
        <v>681</v>
      </c>
    </row>
    <row r="88" spans="1:18" x14ac:dyDescent="0.2">
      <c r="A88">
        <v>87</v>
      </c>
      <c r="B88">
        <v>155</v>
      </c>
      <c r="C88" t="s">
        <v>183</v>
      </c>
      <c r="D88" t="s">
        <v>43</v>
      </c>
      <c r="E88" t="s">
        <v>631</v>
      </c>
      <c r="F88" t="s">
        <v>632</v>
      </c>
      <c r="G88" t="s">
        <v>657</v>
      </c>
      <c r="H88" t="s">
        <v>385</v>
      </c>
      <c r="I88">
        <v>382</v>
      </c>
      <c r="J88">
        <v>32</v>
      </c>
      <c r="K88" t="s">
        <v>389</v>
      </c>
      <c r="L88">
        <v>8266</v>
      </c>
      <c r="M88" t="s">
        <v>322</v>
      </c>
      <c r="N88" t="s">
        <v>418</v>
      </c>
      <c r="O88">
        <v>1</v>
      </c>
      <c r="P88">
        <v>2</v>
      </c>
      <c r="Q88">
        <v>-99</v>
      </c>
      <c r="R88" t="s">
        <v>681</v>
      </c>
    </row>
    <row r="89" spans="1:18" x14ac:dyDescent="0.2">
      <c r="A89">
        <v>88</v>
      </c>
      <c r="B89">
        <v>156</v>
      </c>
      <c r="C89" t="s">
        <v>184</v>
      </c>
      <c r="D89" t="s">
        <v>74</v>
      </c>
      <c r="E89" t="s">
        <v>633</v>
      </c>
      <c r="F89" t="s">
        <v>634</v>
      </c>
      <c r="G89" t="s">
        <v>657</v>
      </c>
      <c r="H89" t="s">
        <v>385</v>
      </c>
      <c r="I89">
        <v>382</v>
      </c>
      <c r="J89">
        <v>32</v>
      </c>
      <c r="K89" t="s">
        <v>389</v>
      </c>
      <c r="L89">
        <v>8267</v>
      </c>
      <c r="M89" t="s">
        <v>340</v>
      </c>
      <c r="N89" t="s">
        <v>419</v>
      </c>
      <c r="O89">
        <v>1</v>
      </c>
      <c r="P89">
        <v>2</v>
      </c>
      <c r="Q89">
        <v>-99</v>
      </c>
      <c r="R89" t="s">
        <v>681</v>
      </c>
    </row>
    <row r="90" spans="1:18" x14ac:dyDescent="0.2">
      <c r="A90">
        <v>89</v>
      </c>
      <c r="B90">
        <v>157</v>
      </c>
      <c r="C90" t="s">
        <v>672</v>
      </c>
      <c r="D90" t="s">
        <v>36</v>
      </c>
      <c r="E90" t="s">
        <v>635</v>
      </c>
      <c r="F90" t="s">
        <v>636</v>
      </c>
      <c r="G90" t="s">
        <v>659</v>
      </c>
      <c r="H90" t="s">
        <v>401</v>
      </c>
      <c r="I90">
        <v>383</v>
      </c>
      <c r="J90">
        <v>33</v>
      </c>
      <c r="K90" t="s">
        <v>384</v>
      </c>
      <c r="L90">
        <v>8271</v>
      </c>
      <c r="M90" t="s">
        <v>318</v>
      </c>
      <c r="N90" t="s">
        <v>420</v>
      </c>
      <c r="O90">
        <v>1</v>
      </c>
      <c r="P90">
        <v>2</v>
      </c>
      <c r="Q90">
        <v>-99</v>
      </c>
      <c r="R90" t="s">
        <v>681</v>
      </c>
    </row>
    <row r="91" spans="1:18" x14ac:dyDescent="0.2">
      <c r="A91">
        <v>90</v>
      </c>
      <c r="B91">
        <v>158</v>
      </c>
      <c r="C91" t="s">
        <v>185</v>
      </c>
      <c r="D91" t="s">
        <v>81</v>
      </c>
      <c r="E91" t="s">
        <v>637</v>
      </c>
      <c r="F91" t="s">
        <v>638</v>
      </c>
      <c r="G91" t="s">
        <v>657</v>
      </c>
      <c r="H91" t="s">
        <v>385</v>
      </c>
      <c r="I91">
        <v>382</v>
      </c>
      <c r="J91">
        <v>32</v>
      </c>
      <c r="K91" t="s">
        <v>389</v>
      </c>
      <c r="L91">
        <v>8209</v>
      </c>
      <c r="M91" t="s">
        <v>363</v>
      </c>
      <c r="N91" t="s">
        <v>421</v>
      </c>
      <c r="O91">
        <v>1</v>
      </c>
      <c r="P91">
        <v>2</v>
      </c>
      <c r="Q91">
        <v>-99</v>
      </c>
      <c r="R91" t="s">
        <v>681</v>
      </c>
    </row>
    <row r="92" spans="1:18" x14ac:dyDescent="0.2">
      <c r="A92">
        <v>91</v>
      </c>
      <c r="B92">
        <v>198</v>
      </c>
      <c r="C92" t="s">
        <v>186</v>
      </c>
      <c r="D92" t="s">
        <v>45</v>
      </c>
      <c r="E92" t="s">
        <v>639</v>
      </c>
      <c r="F92" t="s">
        <v>640</v>
      </c>
      <c r="G92" t="s">
        <v>659</v>
      </c>
      <c r="H92" t="s">
        <v>401</v>
      </c>
      <c r="I92">
        <v>383</v>
      </c>
      <c r="J92">
        <v>34</v>
      </c>
      <c r="K92" t="s">
        <v>403</v>
      </c>
      <c r="L92">
        <v>8224</v>
      </c>
      <c r="M92" t="s">
        <v>360</v>
      </c>
      <c r="N92" t="s">
        <v>427</v>
      </c>
      <c r="O92">
        <v>1</v>
      </c>
      <c r="P92">
        <v>2</v>
      </c>
      <c r="Q92">
        <v>-99</v>
      </c>
      <c r="R92" t="s">
        <v>681</v>
      </c>
    </row>
    <row r="93" spans="1:18" x14ac:dyDescent="0.2">
      <c r="A93">
        <v>92</v>
      </c>
      <c r="B93">
        <v>161</v>
      </c>
      <c r="C93" t="s">
        <v>187</v>
      </c>
      <c r="D93" t="s">
        <v>82</v>
      </c>
      <c r="E93" t="s">
        <v>641</v>
      </c>
      <c r="F93" t="s">
        <v>642</v>
      </c>
      <c r="G93" t="s">
        <v>655</v>
      </c>
      <c r="H93" t="s">
        <v>369</v>
      </c>
      <c r="I93">
        <v>380</v>
      </c>
      <c r="J93">
        <v>30</v>
      </c>
      <c r="K93" t="s">
        <v>368</v>
      </c>
      <c r="L93">
        <v>8225</v>
      </c>
      <c r="M93" t="s">
        <v>323</v>
      </c>
      <c r="N93" t="s">
        <v>422</v>
      </c>
      <c r="O93">
        <v>1</v>
      </c>
      <c r="P93">
        <v>2</v>
      </c>
      <c r="Q93">
        <v>-99</v>
      </c>
      <c r="R93" t="s">
        <v>681</v>
      </c>
    </row>
    <row r="94" spans="1:18" x14ac:dyDescent="0.2">
      <c r="A94">
        <v>93</v>
      </c>
      <c r="B94">
        <v>162</v>
      </c>
      <c r="C94" t="s">
        <v>188</v>
      </c>
      <c r="D94" t="s">
        <v>32</v>
      </c>
      <c r="E94" t="s">
        <v>643</v>
      </c>
      <c r="F94" t="s">
        <v>644</v>
      </c>
      <c r="G94" t="s">
        <v>659</v>
      </c>
      <c r="H94" t="s">
        <v>401</v>
      </c>
      <c r="I94">
        <v>383</v>
      </c>
      <c r="J94">
        <v>34</v>
      </c>
      <c r="K94" t="s">
        <v>403</v>
      </c>
      <c r="L94">
        <v>8227</v>
      </c>
      <c r="M94" t="s">
        <v>476</v>
      </c>
      <c r="N94" t="s">
        <v>423</v>
      </c>
      <c r="O94">
        <v>1</v>
      </c>
      <c r="P94">
        <v>2</v>
      </c>
      <c r="Q94">
        <v>-99</v>
      </c>
      <c r="R94" t="s">
        <v>681</v>
      </c>
    </row>
    <row r="95" spans="1:18" x14ac:dyDescent="0.2">
      <c r="A95">
        <v>94</v>
      </c>
      <c r="B95">
        <v>-99</v>
      </c>
      <c r="C95" t="s">
        <v>673</v>
      </c>
      <c r="D95" t="s">
        <v>8</v>
      </c>
      <c r="E95" t="s">
        <v>674</v>
      </c>
      <c r="F95" t="s">
        <v>224</v>
      </c>
      <c r="G95" t="s">
        <v>653</v>
      </c>
      <c r="H95" t="s">
        <v>8</v>
      </c>
      <c r="I95">
        <v>-99</v>
      </c>
      <c r="J95">
        <v>-99</v>
      </c>
      <c r="K95" t="s">
        <v>8</v>
      </c>
      <c r="L95">
        <v>-99</v>
      </c>
      <c r="M95" t="s">
        <v>653</v>
      </c>
      <c r="N95" t="s">
        <v>653</v>
      </c>
      <c r="O95">
        <v>-99</v>
      </c>
      <c r="P95">
        <v>-99</v>
      </c>
      <c r="Q95">
        <v>-99</v>
      </c>
      <c r="R95" t="s">
        <v>208</v>
      </c>
    </row>
    <row r="96" spans="1:18" x14ac:dyDescent="0.2">
      <c r="A96">
        <v>95</v>
      </c>
      <c r="B96">
        <v>-99</v>
      </c>
      <c r="C96" t="s">
        <v>673</v>
      </c>
      <c r="D96" t="s">
        <v>8</v>
      </c>
      <c r="E96" t="s">
        <v>675</v>
      </c>
      <c r="F96" t="s">
        <v>308</v>
      </c>
      <c r="G96" t="s">
        <v>653</v>
      </c>
      <c r="H96" t="s">
        <v>8</v>
      </c>
      <c r="I96">
        <v>-99</v>
      </c>
      <c r="J96">
        <v>-99</v>
      </c>
      <c r="K96" t="s">
        <v>8</v>
      </c>
      <c r="L96">
        <v>-99</v>
      </c>
      <c r="M96" t="s">
        <v>653</v>
      </c>
      <c r="N96" t="s">
        <v>653</v>
      </c>
      <c r="O96">
        <v>-99</v>
      </c>
      <c r="P96">
        <v>-99</v>
      </c>
      <c r="Q96">
        <v>-99</v>
      </c>
      <c r="R96" t="s">
        <v>678</v>
      </c>
    </row>
    <row r="97" spans="1:18" x14ac:dyDescent="0.2">
      <c r="A97">
        <v>96</v>
      </c>
      <c r="B97">
        <v>-99</v>
      </c>
      <c r="C97" t="s">
        <v>673</v>
      </c>
      <c r="D97" t="s">
        <v>8</v>
      </c>
      <c r="E97" t="s">
        <v>676</v>
      </c>
      <c r="F97" t="s">
        <v>307</v>
      </c>
      <c r="G97" t="s">
        <v>653</v>
      </c>
      <c r="H97" t="s">
        <v>8</v>
      </c>
      <c r="I97">
        <v>-99</v>
      </c>
      <c r="J97">
        <v>-99</v>
      </c>
      <c r="K97" t="s">
        <v>8</v>
      </c>
      <c r="L97">
        <v>-99</v>
      </c>
      <c r="M97" t="s">
        <v>653</v>
      </c>
      <c r="N97" t="s">
        <v>653</v>
      </c>
      <c r="O97">
        <v>-99</v>
      </c>
      <c r="P97">
        <v>-99</v>
      </c>
      <c r="Q97">
        <v>-99</v>
      </c>
      <c r="R97" t="s">
        <v>679</v>
      </c>
    </row>
    <row r="98" spans="1:18" x14ac:dyDescent="0.2">
      <c r="A98">
        <v>97</v>
      </c>
      <c r="B98">
        <v>-99</v>
      </c>
      <c r="C98" t="s">
        <v>665</v>
      </c>
      <c r="D98" t="s">
        <v>1054</v>
      </c>
      <c r="E98" t="s">
        <v>665</v>
      </c>
      <c r="F98" t="s">
        <v>1054</v>
      </c>
      <c r="G98" t="s">
        <v>653</v>
      </c>
      <c r="H98" t="s">
        <v>653</v>
      </c>
      <c r="I98">
        <v>-99</v>
      </c>
      <c r="J98">
        <v>35</v>
      </c>
      <c r="K98" t="s">
        <v>8</v>
      </c>
      <c r="L98">
        <v>-99</v>
      </c>
      <c r="M98" t="s">
        <v>653</v>
      </c>
      <c r="N98" t="s">
        <v>653</v>
      </c>
      <c r="O98">
        <v>-99</v>
      </c>
      <c r="P98">
        <v>-99</v>
      </c>
      <c r="Q98">
        <v>3</v>
      </c>
      <c r="R98" t="s">
        <v>653</v>
      </c>
    </row>
    <row r="99" spans="1:18" x14ac:dyDescent="0.2">
      <c r="A99">
        <v>98</v>
      </c>
      <c r="B99">
        <v>-99</v>
      </c>
      <c r="C99" t="s">
        <v>673</v>
      </c>
      <c r="D99" t="s">
        <v>8</v>
      </c>
      <c r="E99" t="s">
        <v>684</v>
      </c>
      <c r="F99" t="s">
        <v>685</v>
      </c>
      <c r="G99" t="s">
        <v>653</v>
      </c>
      <c r="H99" t="s">
        <v>8</v>
      </c>
      <c r="I99">
        <v>-99</v>
      </c>
      <c r="J99">
        <v>-99</v>
      </c>
      <c r="K99" t="s">
        <v>8</v>
      </c>
      <c r="L99">
        <v>-99</v>
      </c>
      <c r="M99" t="s">
        <v>653</v>
      </c>
      <c r="N99" t="s">
        <v>653</v>
      </c>
      <c r="O99">
        <v>-99</v>
      </c>
      <c r="P99">
        <v>-99</v>
      </c>
      <c r="Q99">
        <v>-99</v>
      </c>
      <c r="R99" t="s">
        <v>681</v>
      </c>
    </row>
    <row r="100" spans="1:18" x14ac:dyDescent="0.2">
      <c r="A100">
        <v>99</v>
      </c>
      <c r="B100">
        <v>250</v>
      </c>
      <c r="C100" t="s">
        <v>653</v>
      </c>
      <c r="D100" t="s">
        <v>32</v>
      </c>
      <c r="E100" t="s">
        <v>720</v>
      </c>
      <c r="F100" t="s">
        <v>686</v>
      </c>
      <c r="G100" t="s">
        <v>653</v>
      </c>
      <c r="H100" t="s">
        <v>401</v>
      </c>
      <c r="I100">
        <v>-99</v>
      </c>
      <c r="J100">
        <v>-99</v>
      </c>
      <c r="K100" t="s">
        <v>403</v>
      </c>
      <c r="L100">
        <v>-99</v>
      </c>
      <c r="M100" t="s">
        <v>653</v>
      </c>
      <c r="N100" t="s">
        <v>653</v>
      </c>
      <c r="O100">
        <v>-99</v>
      </c>
      <c r="P100">
        <v>-99</v>
      </c>
      <c r="Q100">
        <v>-99</v>
      </c>
      <c r="R100" t="s">
        <v>687</v>
      </c>
    </row>
    <row r="101" spans="1:18" x14ac:dyDescent="0.2">
      <c r="A101">
        <v>100</v>
      </c>
      <c r="B101">
        <v>256</v>
      </c>
      <c r="C101" t="s">
        <v>653</v>
      </c>
      <c r="D101" t="s">
        <v>212</v>
      </c>
      <c r="E101" t="s">
        <v>721</v>
      </c>
      <c r="F101" t="s">
        <v>688</v>
      </c>
      <c r="G101" t="s">
        <v>653</v>
      </c>
      <c r="H101" t="s">
        <v>385</v>
      </c>
      <c r="I101">
        <v>-99</v>
      </c>
      <c r="J101">
        <v>-99</v>
      </c>
      <c r="K101" t="s">
        <v>389</v>
      </c>
      <c r="L101">
        <v>-99</v>
      </c>
      <c r="M101" t="s">
        <v>653</v>
      </c>
      <c r="N101" t="s">
        <v>653</v>
      </c>
      <c r="O101">
        <v>-99</v>
      </c>
      <c r="P101">
        <v>-99</v>
      </c>
      <c r="Q101">
        <v>-99</v>
      </c>
      <c r="R101" t="s">
        <v>687</v>
      </c>
    </row>
    <row r="102" spans="1:18" x14ac:dyDescent="0.2">
      <c r="A102">
        <v>101</v>
      </c>
      <c r="B102">
        <v>257</v>
      </c>
      <c r="C102" t="s">
        <v>653</v>
      </c>
      <c r="D102" t="s">
        <v>209</v>
      </c>
      <c r="E102" t="s">
        <v>722</v>
      </c>
      <c r="F102" t="s">
        <v>689</v>
      </c>
      <c r="G102" t="s">
        <v>653</v>
      </c>
      <c r="H102" t="s">
        <v>385</v>
      </c>
      <c r="I102">
        <v>-99</v>
      </c>
      <c r="J102">
        <v>-99</v>
      </c>
      <c r="K102" t="s">
        <v>389</v>
      </c>
      <c r="L102">
        <v>-99</v>
      </c>
      <c r="M102" t="s">
        <v>653</v>
      </c>
      <c r="N102" t="s">
        <v>653</v>
      </c>
      <c r="O102">
        <v>-99</v>
      </c>
      <c r="P102">
        <v>-99</v>
      </c>
      <c r="Q102">
        <v>-99</v>
      </c>
      <c r="R102" t="s">
        <v>687</v>
      </c>
    </row>
    <row r="103" spans="1:18" x14ac:dyDescent="0.2">
      <c r="A103">
        <v>102</v>
      </c>
      <c r="B103">
        <v>258</v>
      </c>
      <c r="C103" t="s">
        <v>653</v>
      </c>
      <c r="D103" t="s">
        <v>210</v>
      </c>
      <c r="E103" t="s">
        <v>723</v>
      </c>
      <c r="F103" t="s">
        <v>690</v>
      </c>
      <c r="G103" t="s">
        <v>653</v>
      </c>
      <c r="H103" t="s">
        <v>369</v>
      </c>
      <c r="I103">
        <v>-99</v>
      </c>
      <c r="J103">
        <v>-99</v>
      </c>
      <c r="K103" t="s">
        <v>368</v>
      </c>
      <c r="L103">
        <v>-99</v>
      </c>
      <c r="M103" t="s">
        <v>653</v>
      </c>
      <c r="N103" t="s">
        <v>653</v>
      </c>
      <c r="O103">
        <v>-99</v>
      </c>
      <c r="P103">
        <v>-99</v>
      </c>
      <c r="Q103">
        <v>-99</v>
      </c>
      <c r="R103" t="s">
        <v>687</v>
      </c>
    </row>
    <row r="104" spans="1:18" x14ac:dyDescent="0.2">
      <c r="A104">
        <v>103</v>
      </c>
      <c r="B104">
        <v>259</v>
      </c>
      <c r="C104" t="s">
        <v>653</v>
      </c>
      <c r="D104" t="s">
        <v>135</v>
      </c>
      <c r="E104" t="s">
        <v>724</v>
      </c>
      <c r="F104" t="s">
        <v>691</v>
      </c>
      <c r="G104" t="s">
        <v>653</v>
      </c>
      <c r="H104" t="s">
        <v>369</v>
      </c>
      <c r="I104">
        <v>-99</v>
      </c>
      <c r="J104">
        <v>-99</v>
      </c>
      <c r="K104" t="s">
        <v>368</v>
      </c>
      <c r="L104">
        <v>-99</v>
      </c>
      <c r="M104" t="s">
        <v>653</v>
      </c>
      <c r="N104" t="s">
        <v>653</v>
      </c>
      <c r="O104">
        <v>-99</v>
      </c>
      <c r="P104">
        <v>-99</v>
      </c>
      <c r="Q104">
        <v>-99</v>
      </c>
      <c r="R104" t="s">
        <v>687</v>
      </c>
    </row>
    <row r="105" spans="1:18" x14ac:dyDescent="0.2">
      <c r="A105">
        <v>104</v>
      </c>
      <c r="B105">
        <v>260</v>
      </c>
      <c r="C105" t="s">
        <v>653</v>
      </c>
      <c r="D105" t="s">
        <v>46</v>
      </c>
      <c r="E105" t="s">
        <v>725</v>
      </c>
      <c r="F105" t="s">
        <v>692</v>
      </c>
      <c r="G105" t="s">
        <v>653</v>
      </c>
      <c r="H105" t="s">
        <v>385</v>
      </c>
      <c r="I105">
        <v>-99</v>
      </c>
      <c r="J105">
        <v>-99</v>
      </c>
      <c r="K105" t="s">
        <v>384</v>
      </c>
      <c r="L105">
        <v>-99</v>
      </c>
      <c r="M105" t="s">
        <v>653</v>
      </c>
      <c r="N105" t="s">
        <v>653</v>
      </c>
      <c r="O105">
        <v>-99</v>
      </c>
      <c r="P105">
        <v>-99</v>
      </c>
      <c r="Q105">
        <v>-99</v>
      </c>
      <c r="R105" t="s">
        <v>687</v>
      </c>
    </row>
    <row r="106" spans="1:18" x14ac:dyDescent="0.2">
      <c r="A106">
        <v>105</v>
      </c>
      <c r="B106">
        <v>261</v>
      </c>
      <c r="C106" t="s">
        <v>653</v>
      </c>
      <c r="D106" t="s">
        <v>65</v>
      </c>
      <c r="E106" t="s">
        <v>726</v>
      </c>
      <c r="F106" t="s">
        <v>693</v>
      </c>
      <c r="G106" t="s">
        <v>653</v>
      </c>
      <c r="H106" t="s">
        <v>369</v>
      </c>
      <c r="I106">
        <v>-99</v>
      </c>
      <c r="J106">
        <v>-99</v>
      </c>
      <c r="K106" t="s">
        <v>368</v>
      </c>
      <c r="L106">
        <v>-99</v>
      </c>
      <c r="M106" t="s">
        <v>653</v>
      </c>
      <c r="N106" t="s">
        <v>653</v>
      </c>
      <c r="O106">
        <v>-99</v>
      </c>
      <c r="P106">
        <v>-99</v>
      </c>
      <c r="Q106">
        <v>-99</v>
      </c>
      <c r="R106" t="s">
        <v>687</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462</v>
      </c>
      <c r="B1" t="s">
        <v>456</v>
      </c>
      <c r="C1" t="s">
        <v>463</v>
      </c>
      <c r="D1" t="s">
        <v>464</v>
      </c>
      <c r="E1" t="s">
        <v>491</v>
      </c>
    </row>
    <row r="2" spans="1:5" x14ac:dyDescent="0.2">
      <c r="A2" t="s">
        <v>324</v>
      </c>
      <c r="B2" t="s">
        <v>370</v>
      </c>
      <c r="C2" t="s">
        <v>370</v>
      </c>
      <c r="D2" t="s">
        <v>465</v>
      </c>
      <c r="E2" t="s">
        <v>368</v>
      </c>
    </row>
    <row r="3" spans="1:5" x14ac:dyDescent="0.2">
      <c r="A3" t="s">
        <v>356</v>
      </c>
      <c r="B3" t="s">
        <v>373</v>
      </c>
      <c r="C3" t="s">
        <v>373</v>
      </c>
      <c r="D3" t="s">
        <v>465</v>
      </c>
      <c r="E3" t="s">
        <v>368</v>
      </c>
    </row>
    <row r="4" spans="1:5" x14ac:dyDescent="0.2">
      <c r="A4" t="s">
        <v>351</v>
      </c>
      <c r="B4" t="s">
        <v>415</v>
      </c>
      <c r="C4" t="s">
        <v>415</v>
      </c>
      <c r="D4" t="s">
        <v>465</v>
      </c>
      <c r="E4" t="s">
        <v>368</v>
      </c>
    </row>
    <row r="5" spans="1:5" x14ac:dyDescent="0.2">
      <c r="A5" t="s">
        <v>330</v>
      </c>
      <c r="B5" t="s">
        <v>426</v>
      </c>
      <c r="C5" t="s">
        <v>426</v>
      </c>
      <c r="D5" t="s">
        <v>466</v>
      </c>
      <c r="E5" t="s">
        <v>379</v>
      </c>
    </row>
    <row r="6" spans="1:5" x14ac:dyDescent="0.2">
      <c r="A6" t="s">
        <v>354</v>
      </c>
      <c r="B6" t="s">
        <v>388</v>
      </c>
      <c r="C6" t="s">
        <v>388</v>
      </c>
      <c r="D6" t="s">
        <v>466</v>
      </c>
      <c r="E6" t="s">
        <v>384</v>
      </c>
    </row>
    <row r="7" spans="1:5" x14ac:dyDescent="0.2">
      <c r="A7" t="s">
        <v>357</v>
      </c>
      <c r="B7" t="s">
        <v>417</v>
      </c>
      <c r="C7" t="s">
        <v>417</v>
      </c>
      <c r="D7" t="s">
        <v>468</v>
      </c>
      <c r="E7" t="s">
        <v>384</v>
      </c>
    </row>
    <row r="8" spans="1:5" x14ac:dyDescent="0.2">
      <c r="A8" t="s">
        <v>332</v>
      </c>
      <c r="B8" t="s">
        <v>400</v>
      </c>
      <c r="C8" t="s">
        <v>400</v>
      </c>
      <c r="D8" t="s">
        <v>469</v>
      </c>
      <c r="E8" t="s">
        <v>389</v>
      </c>
    </row>
    <row r="9" spans="1:5" x14ac:dyDescent="0.2">
      <c r="A9" t="s">
        <v>349</v>
      </c>
      <c r="B9" t="s">
        <v>402</v>
      </c>
      <c r="C9" t="s">
        <v>402</v>
      </c>
      <c r="D9" t="s">
        <v>468</v>
      </c>
      <c r="E9" t="s">
        <v>384</v>
      </c>
    </row>
    <row r="10" spans="1:5" x14ac:dyDescent="0.2">
      <c r="A10" t="s">
        <v>477</v>
      </c>
      <c r="B10" t="s">
        <v>478</v>
      </c>
      <c r="C10" t="s">
        <v>309</v>
      </c>
      <c r="D10" t="s">
        <v>453</v>
      </c>
      <c r="E10" t="s">
        <v>8</v>
      </c>
    </row>
    <row r="11" spans="1:5" x14ac:dyDescent="0.2">
      <c r="A11" t="s">
        <v>358</v>
      </c>
      <c r="B11" t="s">
        <v>414</v>
      </c>
      <c r="C11" t="s">
        <v>414</v>
      </c>
      <c r="D11" t="s">
        <v>465</v>
      </c>
      <c r="E11" t="s">
        <v>368</v>
      </c>
    </row>
    <row r="12" spans="1:5" x14ac:dyDescent="0.2">
      <c r="A12" t="s">
        <v>336</v>
      </c>
      <c r="B12" t="s">
        <v>378</v>
      </c>
      <c r="C12" t="s">
        <v>378</v>
      </c>
      <c r="D12" t="s">
        <v>466</v>
      </c>
      <c r="E12" t="s">
        <v>368</v>
      </c>
    </row>
    <row r="13" spans="1:5" x14ac:dyDescent="0.2">
      <c r="A13" t="s">
        <v>341</v>
      </c>
      <c r="B13" t="s">
        <v>375</v>
      </c>
      <c r="C13" t="s">
        <v>375</v>
      </c>
      <c r="D13" t="s">
        <v>465</v>
      </c>
      <c r="E13" t="s">
        <v>368</v>
      </c>
    </row>
    <row r="14" spans="1:5" x14ac:dyDescent="0.2">
      <c r="A14" t="s">
        <v>339</v>
      </c>
      <c r="B14" t="s">
        <v>382</v>
      </c>
      <c r="C14" t="s">
        <v>382</v>
      </c>
      <c r="D14" t="s">
        <v>466</v>
      </c>
      <c r="E14" t="s">
        <v>379</v>
      </c>
    </row>
    <row r="15" spans="1:5" x14ac:dyDescent="0.2">
      <c r="A15" t="s">
        <v>329</v>
      </c>
      <c r="B15" t="s">
        <v>391</v>
      </c>
      <c r="C15" t="s">
        <v>391</v>
      </c>
      <c r="D15" t="s">
        <v>465</v>
      </c>
      <c r="E15" t="s">
        <v>389</v>
      </c>
    </row>
    <row r="16" spans="1:5" x14ac:dyDescent="0.2">
      <c r="A16" t="s">
        <v>343</v>
      </c>
      <c r="B16" t="s">
        <v>405</v>
      </c>
      <c r="C16" t="s">
        <v>405</v>
      </c>
      <c r="D16" t="s">
        <v>468</v>
      </c>
      <c r="E16" t="s">
        <v>384</v>
      </c>
    </row>
    <row r="17" spans="1:5" x14ac:dyDescent="0.2">
      <c r="A17" t="s">
        <v>479</v>
      </c>
      <c r="B17" t="s">
        <v>480</v>
      </c>
      <c r="C17" t="s">
        <v>309</v>
      </c>
      <c r="D17" t="s">
        <v>453</v>
      </c>
      <c r="E17" t="s">
        <v>8</v>
      </c>
    </row>
    <row r="18" spans="1:5" x14ac:dyDescent="0.2">
      <c r="A18" t="s">
        <v>355</v>
      </c>
      <c r="B18" t="s">
        <v>390</v>
      </c>
      <c r="C18" t="s">
        <v>390</v>
      </c>
      <c r="D18" t="s">
        <v>465</v>
      </c>
      <c r="E18" t="s">
        <v>389</v>
      </c>
    </row>
    <row r="19" spans="1:5" x14ac:dyDescent="0.2">
      <c r="A19" t="s">
        <v>348</v>
      </c>
      <c r="B19" t="s">
        <v>393</v>
      </c>
      <c r="C19" t="s">
        <v>393</v>
      </c>
      <c r="D19" t="s">
        <v>469</v>
      </c>
      <c r="E19" t="s">
        <v>389</v>
      </c>
    </row>
    <row r="20" spans="1:5" x14ac:dyDescent="0.2">
      <c r="A20" t="s">
        <v>338</v>
      </c>
      <c r="B20" t="s">
        <v>396</v>
      </c>
      <c r="C20" t="s">
        <v>396</v>
      </c>
      <c r="D20" t="s">
        <v>469</v>
      </c>
      <c r="E20" t="s">
        <v>389</v>
      </c>
    </row>
    <row r="21" spans="1:5" x14ac:dyDescent="0.2">
      <c r="A21" t="s">
        <v>363</v>
      </c>
      <c r="B21" t="s">
        <v>421</v>
      </c>
      <c r="C21" t="s">
        <v>421</v>
      </c>
      <c r="D21" t="s">
        <v>469</v>
      </c>
      <c r="E21" t="s">
        <v>389</v>
      </c>
    </row>
    <row r="22" spans="1:5" x14ac:dyDescent="0.2">
      <c r="A22" t="s">
        <v>334</v>
      </c>
      <c r="B22" t="s">
        <v>60</v>
      </c>
      <c r="C22" t="s">
        <v>60</v>
      </c>
      <c r="D22" t="s">
        <v>465</v>
      </c>
      <c r="E22" t="s">
        <v>368</v>
      </c>
    </row>
    <row r="23" spans="1:5" x14ac:dyDescent="0.2">
      <c r="A23" t="s">
        <v>347</v>
      </c>
      <c r="B23" t="s">
        <v>381</v>
      </c>
      <c r="C23" t="s">
        <v>381</v>
      </c>
      <c r="D23" t="s">
        <v>309</v>
      </c>
      <c r="E23" t="s">
        <v>368</v>
      </c>
    </row>
    <row r="24" spans="1:5" x14ac:dyDescent="0.2">
      <c r="A24" t="s">
        <v>342</v>
      </c>
      <c r="B24" t="s">
        <v>383</v>
      </c>
      <c r="C24" t="s">
        <v>383</v>
      </c>
      <c r="D24" t="s">
        <v>466</v>
      </c>
      <c r="E24" t="s">
        <v>379</v>
      </c>
    </row>
    <row r="25" spans="1:5" x14ac:dyDescent="0.2">
      <c r="A25" t="s">
        <v>340</v>
      </c>
      <c r="B25" t="s">
        <v>419</v>
      </c>
      <c r="C25" t="s">
        <v>419</v>
      </c>
      <c r="D25" t="s">
        <v>469</v>
      </c>
      <c r="E25" t="s">
        <v>389</v>
      </c>
    </row>
    <row r="26" spans="1:5" x14ac:dyDescent="0.2">
      <c r="A26" t="s">
        <v>317</v>
      </c>
      <c r="B26" t="s">
        <v>404</v>
      </c>
      <c r="C26" t="s">
        <v>404</v>
      </c>
      <c r="D26" t="s">
        <v>468</v>
      </c>
      <c r="E26" t="s">
        <v>403</v>
      </c>
    </row>
    <row r="27" spans="1:5" x14ac:dyDescent="0.2">
      <c r="A27" t="s">
        <v>318</v>
      </c>
      <c r="B27" t="s">
        <v>420</v>
      </c>
      <c r="C27" t="s">
        <v>420</v>
      </c>
      <c r="D27" t="s">
        <v>468</v>
      </c>
      <c r="E27" t="s">
        <v>384</v>
      </c>
    </row>
    <row r="28" spans="1:5" x14ac:dyDescent="0.2">
      <c r="A28" t="s">
        <v>352</v>
      </c>
      <c r="B28" t="s">
        <v>372</v>
      </c>
      <c r="C28" t="s">
        <v>372</v>
      </c>
      <c r="D28" t="s">
        <v>465</v>
      </c>
      <c r="E28" t="s">
        <v>368</v>
      </c>
    </row>
    <row r="29" spans="1:5" x14ac:dyDescent="0.2">
      <c r="A29" t="s">
        <v>467</v>
      </c>
      <c r="B29" t="s">
        <v>453</v>
      </c>
      <c r="C29" t="s">
        <v>309</v>
      </c>
      <c r="D29" t="s">
        <v>453</v>
      </c>
      <c r="E29" t="s">
        <v>8</v>
      </c>
    </row>
    <row r="30" spans="1:5" x14ac:dyDescent="0.2">
      <c r="A30" t="s">
        <v>364</v>
      </c>
      <c r="B30" t="s">
        <v>416</v>
      </c>
      <c r="C30" t="s">
        <v>416</v>
      </c>
      <c r="D30" t="s">
        <v>465</v>
      </c>
      <c r="E30" t="s">
        <v>368</v>
      </c>
    </row>
    <row r="31" spans="1:5" x14ac:dyDescent="0.2">
      <c r="A31" t="s">
        <v>345</v>
      </c>
      <c r="B31" t="s">
        <v>413</v>
      </c>
      <c r="C31" t="s">
        <v>413</v>
      </c>
      <c r="D31" t="s">
        <v>309</v>
      </c>
      <c r="E31" t="s">
        <v>368</v>
      </c>
    </row>
    <row r="32" spans="1:5" x14ac:dyDescent="0.2">
      <c r="A32" t="s">
        <v>325</v>
      </c>
      <c r="B32" t="s">
        <v>394</v>
      </c>
      <c r="C32" t="s">
        <v>394</v>
      </c>
      <c r="D32" t="s">
        <v>465</v>
      </c>
      <c r="E32" t="s">
        <v>389</v>
      </c>
    </row>
    <row r="33" spans="1:5" x14ac:dyDescent="0.2">
      <c r="A33" t="s">
        <v>322</v>
      </c>
      <c r="B33" t="s">
        <v>418</v>
      </c>
      <c r="C33" t="s">
        <v>418</v>
      </c>
      <c r="D33" t="s">
        <v>469</v>
      </c>
      <c r="E33" t="s">
        <v>389</v>
      </c>
    </row>
    <row r="34" spans="1:5" x14ac:dyDescent="0.2">
      <c r="A34" t="s">
        <v>344</v>
      </c>
      <c r="B34" t="s">
        <v>425</v>
      </c>
      <c r="C34" t="s">
        <v>425</v>
      </c>
      <c r="D34" t="s">
        <v>468</v>
      </c>
      <c r="E34" t="s">
        <v>403</v>
      </c>
    </row>
    <row r="35" spans="1:5" x14ac:dyDescent="0.2">
      <c r="A35" t="s">
        <v>333</v>
      </c>
      <c r="B35" t="s">
        <v>407</v>
      </c>
      <c r="C35" t="s">
        <v>407</v>
      </c>
      <c r="D35" t="s">
        <v>468</v>
      </c>
      <c r="E35" t="s">
        <v>403</v>
      </c>
    </row>
    <row r="36" spans="1:5" x14ac:dyDescent="0.2">
      <c r="A36" t="s">
        <v>360</v>
      </c>
      <c r="B36" t="s">
        <v>427</v>
      </c>
      <c r="C36" t="s">
        <v>427</v>
      </c>
      <c r="D36" t="s">
        <v>468</v>
      </c>
      <c r="E36" t="s">
        <v>403</v>
      </c>
    </row>
    <row r="37" spans="1:5" x14ac:dyDescent="0.2">
      <c r="A37" t="s">
        <v>476</v>
      </c>
      <c r="B37" t="s">
        <v>423</v>
      </c>
      <c r="C37" t="s">
        <v>423</v>
      </c>
      <c r="D37" t="s">
        <v>468</v>
      </c>
      <c r="E37" t="s">
        <v>403</v>
      </c>
    </row>
    <row r="38" spans="1:5" x14ac:dyDescent="0.2">
      <c r="A38" t="s">
        <v>474</v>
      </c>
      <c r="B38" t="s">
        <v>475</v>
      </c>
      <c r="C38" t="s">
        <v>309</v>
      </c>
      <c r="D38" t="s">
        <v>453</v>
      </c>
      <c r="E38" t="s">
        <v>8</v>
      </c>
    </row>
    <row r="39" spans="1:5" x14ac:dyDescent="0.2">
      <c r="A39" t="s">
        <v>350</v>
      </c>
      <c r="B39" t="s">
        <v>408</v>
      </c>
      <c r="C39" t="s">
        <v>408</v>
      </c>
      <c r="D39" t="s">
        <v>468</v>
      </c>
      <c r="E39" t="s">
        <v>403</v>
      </c>
    </row>
    <row r="40" spans="1:5" x14ac:dyDescent="0.2">
      <c r="A40" t="s">
        <v>483</v>
      </c>
      <c r="B40" t="s">
        <v>484</v>
      </c>
      <c r="C40" t="s">
        <v>309</v>
      </c>
      <c r="D40" t="s">
        <v>453</v>
      </c>
      <c r="E40" t="s">
        <v>8</v>
      </c>
    </row>
    <row r="41" spans="1:5" x14ac:dyDescent="0.2">
      <c r="A41" t="s">
        <v>470</v>
      </c>
      <c r="B41" t="s">
        <v>471</v>
      </c>
      <c r="C41" t="s">
        <v>309</v>
      </c>
      <c r="D41" t="s">
        <v>453</v>
      </c>
      <c r="E41" t="s">
        <v>8</v>
      </c>
    </row>
    <row r="42" spans="1:5" x14ac:dyDescent="0.2">
      <c r="A42" t="s">
        <v>359</v>
      </c>
      <c r="B42" t="s">
        <v>371</v>
      </c>
      <c r="C42" t="s">
        <v>371</v>
      </c>
      <c r="D42" t="s">
        <v>465</v>
      </c>
      <c r="E42" t="s">
        <v>368</v>
      </c>
    </row>
    <row r="43" spans="1:5" x14ac:dyDescent="0.2">
      <c r="A43" t="s">
        <v>320</v>
      </c>
      <c r="B43" t="s">
        <v>377</v>
      </c>
      <c r="C43" t="s">
        <v>377</v>
      </c>
      <c r="D43" t="s">
        <v>466</v>
      </c>
      <c r="E43" t="s">
        <v>368</v>
      </c>
    </row>
    <row r="44" spans="1:5" x14ac:dyDescent="0.2">
      <c r="A44" t="s">
        <v>323</v>
      </c>
      <c r="B44" t="s">
        <v>422</v>
      </c>
      <c r="C44" t="s">
        <v>422</v>
      </c>
      <c r="D44" t="s">
        <v>465</v>
      </c>
      <c r="E44" t="s">
        <v>368</v>
      </c>
    </row>
    <row r="45" spans="1:5" x14ac:dyDescent="0.2">
      <c r="A45" t="s">
        <v>353</v>
      </c>
      <c r="B45" t="s">
        <v>387</v>
      </c>
      <c r="C45" t="s">
        <v>387</v>
      </c>
      <c r="D45" t="s">
        <v>466</v>
      </c>
      <c r="E45" t="s">
        <v>379</v>
      </c>
    </row>
    <row r="46" spans="1:5" x14ac:dyDescent="0.2">
      <c r="A46" t="s">
        <v>335</v>
      </c>
      <c r="B46" t="s">
        <v>392</v>
      </c>
      <c r="C46" t="s">
        <v>392</v>
      </c>
      <c r="D46" t="s">
        <v>466</v>
      </c>
      <c r="E46" t="s">
        <v>379</v>
      </c>
    </row>
    <row r="47" spans="1:5" x14ac:dyDescent="0.2">
      <c r="A47" t="s">
        <v>362</v>
      </c>
      <c r="B47" t="s">
        <v>398</v>
      </c>
      <c r="C47" t="s">
        <v>398</v>
      </c>
      <c r="D47" t="s">
        <v>469</v>
      </c>
      <c r="E47" t="s">
        <v>389</v>
      </c>
    </row>
    <row r="48" spans="1:5" x14ac:dyDescent="0.2">
      <c r="A48" t="s">
        <v>337</v>
      </c>
      <c r="B48" t="s">
        <v>411</v>
      </c>
      <c r="C48" t="s">
        <v>411</v>
      </c>
      <c r="D48" t="s">
        <v>469</v>
      </c>
      <c r="E48" t="s">
        <v>384</v>
      </c>
    </row>
    <row r="49" spans="1:5" x14ac:dyDescent="0.2">
      <c r="A49" t="s">
        <v>326</v>
      </c>
      <c r="B49" t="s">
        <v>409</v>
      </c>
      <c r="C49" t="s">
        <v>409</v>
      </c>
      <c r="D49" t="s">
        <v>469</v>
      </c>
      <c r="E49" t="s">
        <v>384</v>
      </c>
    </row>
    <row r="50" spans="1:5" x14ac:dyDescent="0.2">
      <c r="A50" t="s">
        <v>331</v>
      </c>
      <c r="B50" t="s">
        <v>406</v>
      </c>
      <c r="C50" t="s">
        <v>406</v>
      </c>
      <c r="D50" t="s">
        <v>468</v>
      </c>
      <c r="E50" t="s">
        <v>403</v>
      </c>
    </row>
    <row r="51" spans="1:5" x14ac:dyDescent="0.2">
      <c r="A51" t="s">
        <v>319</v>
      </c>
      <c r="B51" t="s">
        <v>386</v>
      </c>
      <c r="C51" t="s">
        <v>386</v>
      </c>
      <c r="D51" t="s">
        <v>469</v>
      </c>
      <c r="E51" t="s">
        <v>384</v>
      </c>
    </row>
    <row r="52" spans="1:5" x14ac:dyDescent="0.2">
      <c r="A52" t="s">
        <v>472</v>
      </c>
      <c r="B52" t="s">
        <v>473</v>
      </c>
      <c r="C52" t="s">
        <v>309</v>
      </c>
      <c r="D52" t="s">
        <v>453</v>
      </c>
      <c r="E52" t="s">
        <v>8</v>
      </c>
    </row>
    <row r="53" spans="1:5" x14ac:dyDescent="0.2">
      <c r="A53" t="s">
        <v>481</v>
      </c>
      <c r="B53" t="s">
        <v>482</v>
      </c>
      <c r="C53" t="s">
        <v>309</v>
      </c>
      <c r="D53" t="s">
        <v>453</v>
      </c>
      <c r="E53" t="s">
        <v>8</v>
      </c>
    </row>
    <row r="54" spans="1:5" x14ac:dyDescent="0.2">
      <c r="A54" t="s">
        <v>346</v>
      </c>
      <c r="B54" t="s">
        <v>374</v>
      </c>
      <c r="C54" t="s">
        <v>374</v>
      </c>
      <c r="D54" t="s">
        <v>465</v>
      </c>
      <c r="E54" t="s">
        <v>368</v>
      </c>
    </row>
    <row r="55" spans="1:5" x14ac:dyDescent="0.2">
      <c r="A55" t="s">
        <v>361</v>
      </c>
      <c r="B55" t="s">
        <v>380</v>
      </c>
      <c r="C55" t="s">
        <v>380</v>
      </c>
      <c r="D55" t="s">
        <v>466</v>
      </c>
      <c r="E55" t="s">
        <v>379</v>
      </c>
    </row>
    <row r="56" spans="1:5" x14ac:dyDescent="0.2">
      <c r="A56" t="s">
        <v>316</v>
      </c>
      <c r="B56" t="s">
        <v>424</v>
      </c>
      <c r="C56" t="s">
        <v>424</v>
      </c>
      <c r="D56" t="s">
        <v>466</v>
      </c>
      <c r="E56" t="s">
        <v>379</v>
      </c>
    </row>
    <row r="57" spans="1:5" x14ac:dyDescent="0.2">
      <c r="A57" t="s">
        <v>315</v>
      </c>
      <c r="B57" t="s">
        <v>395</v>
      </c>
      <c r="C57" t="s">
        <v>395</v>
      </c>
      <c r="D57" t="s">
        <v>469</v>
      </c>
      <c r="E57" t="s">
        <v>389</v>
      </c>
    </row>
    <row r="58" spans="1:5" x14ac:dyDescent="0.2">
      <c r="A58" t="s">
        <v>321</v>
      </c>
      <c r="B58" t="s">
        <v>399</v>
      </c>
      <c r="C58" t="s">
        <v>399</v>
      </c>
      <c r="D58" t="s">
        <v>469</v>
      </c>
      <c r="E58" t="s">
        <v>389</v>
      </c>
    </row>
    <row r="59" spans="1:5" x14ac:dyDescent="0.2">
      <c r="A59" t="s">
        <v>327</v>
      </c>
      <c r="B59" t="s">
        <v>412</v>
      </c>
      <c r="C59" t="s">
        <v>412</v>
      </c>
      <c r="D59" t="s">
        <v>468</v>
      </c>
      <c r="E59" t="s">
        <v>403</v>
      </c>
    </row>
    <row r="60" spans="1:5" x14ac:dyDescent="0.2">
      <c r="A60" t="s">
        <v>314</v>
      </c>
      <c r="B60" t="s">
        <v>410</v>
      </c>
      <c r="C60" t="s">
        <v>410</v>
      </c>
      <c r="D60" t="s">
        <v>469</v>
      </c>
      <c r="E60" t="s">
        <v>384</v>
      </c>
    </row>
    <row r="61" spans="1:5" x14ac:dyDescent="0.2">
      <c r="A61" t="s">
        <v>328</v>
      </c>
      <c r="B61" t="s">
        <v>80</v>
      </c>
      <c r="C61" t="s">
        <v>80</v>
      </c>
      <c r="D61" t="s">
        <v>468</v>
      </c>
      <c r="E61" t="s">
        <v>403</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1033</v>
      </c>
      <c r="C2" t="s">
        <v>436</v>
      </c>
      <c r="D2" t="s">
        <v>437</v>
      </c>
      <c r="E2" t="s">
        <v>438</v>
      </c>
      <c r="F2" t="s">
        <v>439</v>
      </c>
      <c r="G2" t="s">
        <v>440</v>
      </c>
      <c r="H2" t="s">
        <v>441</v>
      </c>
      <c r="I2" t="s">
        <v>442</v>
      </c>
      <c r="J2" t="s">
        <v>443</v>
      </c>
      <c r="K2" t="s">
        <v>444</v>
      </c>
      <c r="L2" t="s">
        <v>445</v>
      </c>
      <c r="M2" t="s">
        <v>446</v>
      </c>
      <c r="N2" t="s">
        <v>447</v>
      </c>
      <c r="O2" t="s">
        <v>448</v>
      </c>
      <c r="P2" t="s">
        <v>449</v>
      </c>
      <c r="Q2" t="s">
        <v>451</v>
      </c>
    </row>
    <row r="3" spans="2:33" x14ac:dyDescent="0.2">
      <c r="B3" t="s">
        <v>384</v>
      </c>
      <c r="C3" t="s">
        <v>410</v>
      </c>
      <c r="D3" t="s">
        <v>402</v>
      </c>
      <c r="E3" t="s">
        <v>386</v>
      </c>
      <c r="F3" t="s">
        <v>388</v>
      </c>
      <c r="G3" t="s">
        <v>417</v>
      </c>
      <c r="H3" t="s">
        <v>411</v>
      </c>
      <c r="I3" t="s">
        <v>409</v>
      </c>
      <c r="J3" t="s">
        <v>405</v>
      </c>
      <c r="K3" t="s">
        <v>420</v>
      </c>
      <c r="L3" t="s">
        <v>450</v>
      </c>
      <c r="M3" t="s">
        <v>450</v>
      </c>
      <c r="N3" t="s">
        <v>450</v>
      </c>
      <c r="O3" t="s">
        <v>450</v>
      </c>
      <c r="P3" t="s">
        <v>450</v>
      </c>
      <c r="Q3" t="s">
        <v>450</v>
      </c>
      <c r="S3" s="14" t="s">
        <v>410</v>
      </c>
      <c r="T3" s="14" t="s">
        <v>402</v>
      </c>
      <c r="U3" s="14" t="s">
        <v>386</v>
      </c>
      <c r="V3" s="14" t="s">
        <v>388</v>
      </c>
      <c r="W3" s="14" t="s">
        <v>417</v>
      </c>
      <c r="X3" s="14" t="s">
        <v>411</v>
      </c>
      <c r="Y3" s="14" t="s">
        <v>409</v>
      </c>
      <c r="Z3" s="14" t="s">
        <v>405</v>
      </c>
      <c r="AA3" s="14" t="s">
        <v>420</v>
      </c>
      <c r="AB3" s="14"/>
      <c r="AC3" s="14"/>
      <c r="AD3" s="14"/>
      <c r="AE3" s="14"/>
      <c r="AF3" s="15"/>
      <c r="AG3" s="15"/>
    </row>
    <row r="4" spans="2:33" x14ac:dyDescent="0.2">
      <c r="B4" t="s">
        <v>389</v>
      </c>
      <c r="C4" t="s">
        <v>393</v>
      </c>
      <c r="D4" t="s">
        <v>391</v>
      </c>
      <c r="E4" t="s">
        <v>398</v>
      </c>
      <c r="F4" t="s">
        <v>421</v>
      </c>
      <c r="G4" t="s">
        <v>394</v>
      </c>
      <c r="H4" t="s">
        <v>400</v>
      </c>
      <c r="I4" t="s">
        <v>396</v>
      </c>
      <c r="J4" t="s">
        <v>399</v>
      </c>
      <c r="K4" t="s">
        <v>418</v>
      </c>
      <c r="L4" t="s">
        <v>390</v>
      </c>
      <c r="M4" t="s">
        <v>419</v>
      </c>
      <c r="N4" t="s">
        <v>395</v>
      </c>
      <c r="O4" t="s">
        <v>450</v>
      </c>
      <c r="P4" t="s">
        <v>450</v>
      </c>
      <c r="Q4" t="s">
        <v>450</v>
      </c>
      <c r="S4" s="14" t="s">
        <v>393</v>
      </c>
      <c r="T4" s="14" t="s">
        <v>391</v>
      </c>
      <c r="U4" s="14" t="s">
        <v>398</v>
      </c>
      <c r="V4" s="14" t="s">
        <v>421</v>
      </c>
      <c r="W4" s="14" t="s">
        <v>394</v>
      </c>
      <c r="X4" s="14" t="s">
        <v>400</v>
      </c>
      <c r="Y4" s="14" t="s">
        <v>396</v>
      </c>
      <c r="Z4" s="14" t="s">
        <v>399</v>
      </c>
      <c r="AA4" s="14" t="s">
        <v>418</v>
      </c>
      <c r="AB4" s="14" t="s">
        <v>390</v>
      </c>
      <c r="AC4" s="14" t="s">
        <v>419</v>
      </c>
      <c r="AD4" s="14" t="s">
        <v>395</v>
      </c>
      <c r="AE4" s="14"/>
      <c r="AF4" s="15"/>
      <c r="AG4" s="15"/>
    </row>
    <row r="5" spans="2:33" x14ac:dyDescent="0.2">
      <c r="B5" t="s">
        <v>368</v>
      </c>
      <c r="C5" t="s">
        <v>372</v>
      </c>
      <c r="D5" t="s">
        <v>422</v>
      </c>
      <c r="E5" t="s">
        <v>413</v>
      </c>
      <c r="F5" t="s">
        <v>415</v>
      </c>
      <c r="G5" t="s">
        <v>375</v>
      </c>
      <c r="H5" t="s">
        <v>370</v>
      </c>
      <c r="I5" t="s">
        <v>414</v>
      </c>
      <c r="J5" t="s">
        <v>373</v>
      </c>
      <c r="K5" t="s">
        <v>60</v>
      </c>
      <c r="L5" t="s">
        <v>381</v>
      </c>
      <c r="M5" t="s">
        <v>374</v>
      </c>
      <c r="N5" t="s">
        <v>371</v>
      </c>
      <c r="O5" t="s">
        <v>416</v>
      </c>
      <c r="P5" t="s">
        <v>377</v>
      </c>
      <c r="Q5" t="s">
        <v>378</v>
      </c>
      <c r="S5" s="14" t="s">
        <v>372</v>
      </c>
      <c r="T5" s="14" t="s">
        <v>422</v>
      </c>
      <c r="U5" s="14" t="s">
        <v>413</v>
      </c>
      <c r="V5" s="14" t="s">
        <v>415</v>
      </c>
      <c r="W5" s="14" t="s">
        <v>375</v>
      </c>
      <c r="X5" s="14" t="s">
        <v>370</v>
      </c>
      <c r="Y5" s="14" t="s">
        <v>414</v>
      </c>
      <c r="Z5" s="14" t="s">
        <v>373</v>
      </c>
      <c r="AA5" s="14" t="s">
        <v>60</v>
      </c>
      <c r="AB5" s="14" t="s">
        <v>381</v>
      </c>
      <c r="AC5" s="14" t="s">
        <v>374</v>
      </c>
      <c r="AD5" s="14" t="s">
        <v>371</v>
      </c>
      <c r="AE5" s="14" t="s">
        <v>416</v>
      </c>
      <c r="AF5" s="15" t="s">
        <v>377</v>
      </c>
      <c r="AG5" s="15" t="s">
        <v>378</v>
      </c>
    </row>
    <row r="6" spans="2:33" x14ac:dyDescent="0.2">
      <c r="B6" t="s">
        <v>403</v>
      </c>
      <c r="C6" t="s">
        <v>423</v>
      </c>
      <c r="D6" t="s">
        <v>425</v>
      </c>
      <c r="E6" t="s">
        <v>406</v>
      </c>
      <c r="F6" t="s">
        <v>427</v>
      </c>
      <c r="G6" t="s">
        <v>407</v>
      </c>
      <c r="H6" t="s">
        <v>412</v>
      </c>
      <c r="I6" t="s">
        <v>404</v>
      </c>
      <c r="J6" t="s">
        <v>408</v>
      </c>
      <c r="K6" t="s">
        <v>80</v>
      </c>
      <c r="L6" t="s">
        <v>450</v>
      </c>
      <c r="M6" t="s">
        <v>450</v>
      </c>
      <c r="N6" t="s">
        <v>450</v>
      </c>
      <c r="O6" t="s">
        <v>450</v>
      </c>
      <c r="P6" t="s">
        <v>450</v>
      </c>
      <c r="Q6" t="s">
        <v>450</v>
      </c>
      <c r="S6" s="14" t="s">
        <v>423</v>
      </c>
      <c r="T6" s="14" t="s">
        <v>425</v>
      </c>
      <c r="U6" s="14" t="s">
        <v>406</v>
      </c>
      <c r="V6" s="14" t="s">
        <v>427</v>
      </c>
      <c r="W6" s="14" t="s">
        <v>407</v>
      </c>
      <c r="X6" s="14" t="s">
        <v>412</v>
      </c>
      <c r="Y6" s="14" t="s">
        <v>404</v>
      </c>
      <c r="Z6" s="14" t="s">
        <v>408</v>
      </c>
      <c r="AA6" s="14" t="s">
        <v>80</v>
      </c>
      <c r="AB6" s="14"/>
      <c r="AC6" s="14"/>
      <c r="AD6" s="14"/>
      <c r="AE6" s="14"/>
      <c r="AF6" s="15"/>
      <c r="AG6" s="15"/>
    </row>
    <row r="7" spans="2:33" x14ac:dyDescent="0.2">
      <c r="B7" t="s">
        <v>379</v>
      </c>
      <c r="C7" t="s">
        <v>387</v>
      </c>
      <c r="D7" t="s">
        <v>424</v>
      </c>
      <c r="E7" t="s">
        <v>380</v>
      </c>
      <c r="F7" t="s">
        <v>392</v>
      </c>
      <c r="G7" t="s">
        <v>426</v>
      </c>
      <c r="H7" t="s">
        <v>382</v>
      </c>
      <c r="I7" t="s">
        <v>383</v>
      </c>
      <c r="J7" t="s">
        <v>450</v>
      </c>
      <c r="K7" t="s">
        <v>450</v>
      </c>
      <c r="L7" t="s">
        <v>450</v>
      </c>
      <c r="M7" t="s">
        <v>450</v>
      </c>
      <c r="N7" t="s">
        <v>450</v>
      </c>
      <c r="O7" t="s">
        <v>450</v>
      </c>
      <c r="P7" t="s">
        <v>450</v>
      </c>
      <c r="Q7" t="s">
        <v>450</v>
      </c>
      <c r="S7" s="14" t="s">
        <v>387</v>
      </c>
      <c r="T7" s="14" t="s">
        <v>424</v>
      </c>
      <c r="U7" s="14" t="s">
        <v>380</v>
      </c>
      <c r="V7" s="14" t="s">
        <v>392</v>
      </c>
      <c r="W7" s="14" t="s">
        <v>426</v>
      </c>
      <c r="X7" s="14" t="s">
        <v>382</v>
      </c>
      <c r="Y7" s="14" t="s">
        <v>383</v>
      </c>
      <c r="Z7" s="14"/>
      <c r="AA7" s="14"/>
      <c r="AB7" s="14"/>
      <c r="AC7" s="14"/>
      <c r="AD7" s="14"/>
      <c r="AE7" s="14"/>
      <c r="AF7" s="15"/>
      <c r="AG7" s="15"/>
    </row>
    <row r="8" spans="2:33" x14ac:dyDescent="0.2">
      <c r="B8" t="s">
        <v>8</v>
      </c>
      <c r="C8" t="s">
        <v>8</v>
      </c>
      <c r="D8" t="s">
        <v>450</v>
      </c>
      <c r="E8" t="s">
        <v>450</v>
      </c>
      <c r="F8" t="s">
        <v>450</v>
      </c>
      <c r="G8" t="s">
        <v>450</v>
      </c>
      <c r="H8" t="s">
        <v>450</v>
      </c>
      <c r="I8" t="s">
        <v>450</v>
      </c>
      <c r="J8" t="s">
        <v>450</v>
      </c>
      <c r="K8" t="s">
        <v>450</v>
      </c>
      <c r="L8" t="s">
        <v>450</v>
      </c>
      <c r="M8" t="s">
        <v>450</v>
      </c>
      <c r="N8" t="s">
        <v>450</v>
      </c>
      <c r="O8" t="s">
        <v>450</v>
      </c>
      <c r="P8" t="s">
        <v>450</v>
      </c>
      <c r="Q8" t="s">
        <v>450</v>
      </c>
      <c r="S8" s="16" t="s">
        <v>8</v>
      </c>
      <c r="T8" s="16"/>
      <c r="U8" s="16"/>
      <c r="V8" s="16"/>
      <c r="W8" s="16"/>
      <c r="X8" s="16"/>
      <c r="Y8" s="16"/>
      <c r="Z8" s="16"/>
      <c r="AA8" s="16"/>
      <c r="AB8" s="16"/>
      <c r="AC8" s="16"/>
      <c r="AD8" s="16"/>
      <c r="AE8" s="16"/>
      <c r="AF8" s="17"/>
      <c r="AG8" s="17"/>
    </row>
    <row r="10" spans="2:33" x14ac:dyDescent="0.2">
      <c r="B10" t="s">
        <v>435</v>
      </c>
      <c r="C10" t="s">
        <v>436</v>
      </c>
      <c r="D10" t="s">
        <v>437</v>
      </c>
      <c r="E10" t="s">
        <v>438</v>
      </c>
      <c r="F10" t="s">
        <v>439</v>
      </c>
      <c r="G10" t="s">
        <v>440</v>
      </c>
      <c r="H10" t="s">
        <v>441</v>
      </c>
      <c r="I10" t="s">
        <v>442</v>
      </c>
      <c r="J10" t="s">
        <v>443</v>
      </c>
      <c r="K10" t="s">
        <v>444</v>
      </c>
      <c r="L10" t="s">
        <v>445</v>
      </c>
      <c r="M10" t="s">
        <v>446</v>
      </c>
      <c r="N10" t="s">
        <v>447</v>
      </c>
      <c r="O10" t="s">
        <v>448</v>
      </c>
      <c r="P10" t="s">
        <v>449</v>
      </c>
      <c r="Q10" t="s">
        <v>451</v>
      </c>
      <c r="R10" t="s">
        <v>452</v>
      </c>
    </row>
    <row r="11" spans="2:33" x14ac:dyDescent="0.2">
      <c r="B11" t="s">
        <v>384</v>
      </c>
      <c r="C11" t="s">
        <v>636</v>
      </c>
      <c r="D11" t="s">
        <v>583</v>
      </c>
      <c r="E11" t="s">
        <v>630</v>
      </c>
      <c r="F11" t="s">
        <v>618</v>
      </c>
      <c r="G11" t="s">
        <v>554</v>
      </c>
      <c r="H11" t="s">
        <v>606</v>
      </c>
      <c r="I11" t="s">
        <v>608</v>
      </c>
      <c r="J11" t="s">
        <v>550</v>
      </c>
      <c r="K11" t="s">
        <v>587</v>
      </c>
      <c r="L11" t="s">
        <v>604</v>
      </c>
      <c r="M11" t="s">
        <v>450</v>
      </c>
      <c r="N11" t="s">
        <v>450</v>
      </c>
      <c r="O11" t="s">
        <v>450</v>
      </c>
      <c r="P11" t="s">
        <v>450</v>
      </c>
      <c r="Q11" t="s">
        <v>450</v>
      </c>
      <c r="R11" t="s">
        <v>450</v>
      </c>
    </row>
    <row r="12" spans="2:33" x14ac:dyDescent="0.2">
      <c r="B12" t="s">
        <v>389</v>
      </c>
      <c r="C12" t="s">
        <v>566</v>
      </c>
      <c r="D12" t="s">
        <v>558</v>
      </c>
      <c r="E12" t="s">
        <v>575</v>
      </c>
      <c r="F12" t="s">
        <v>568</v>
      </c>
      <c r="G12" t="s">
        <v>632</v>
      </c>
      <c r="H12" t="s">
        <v>560</v>
      </c>
      <c r="I12" t="s">
        <v>577</v>
      </c>
      <c r="J12" t="s">
        <v>570</v>
      </c>
      <c r="K12" t="s">
        <v>634</v>
      </c>
      <c r="L12" t="s">
        <v>573</v>
      </c>
      <c r="M12" t="s">
        <v>579</v>
      </c>
      <c r="N12" t="s">
        <v>638</v>
      </c>
      <c r="O12" t="s">
        <v>450</v>
      </c>
      <c r="P12" t="s">
        <v>450</v>
      </c>
      <c r="Q12" t="s">
        <v>450</v>
      </c>
      <c r="R12" t="s">
        <v>450</v>
      </c>
    </row>
    <row r="13" spans="2:33" x14ac:dyDescent="0.2">
      <c r="B13" t="s">
        <v>368</v>
      </c>
      <c r="C13" t="s">
        <v>532</v>
      </c>
      <c r="D13" t="s">
        <v>511</v>
      </c>
      <c r="E13" t="s">
        <v>519</v>
      </c>
      <c r="F13" t="s">
        <v>521</v>
      </c>
      <c r="G13" t="s">
        <v>536</v>
      </c>
      <c r="H13" t="s">
        <v>621</v>
      </c>
      <c r="I13" t="s">
        <v>517</v>
      </c>
      <c r="J13" t="s">
        <v>523</v>
      </c>
      <c r="K13" t="s">
        <v>525</v>
      </c>
      <c r="L13" t="s">
        <v>528</v>
      </c>
      <c r="M13" t="s">
        <v>513</v>
      </c>
      <c r="N13" t="s">
        <v>534</v>
      </c>
      <c r="O13" t="s">
        <v>626</v>
      </c>
      <c r="P13" t="s">
        <v>628</v>
      </c>
      <c r="Q13" t="s">
        <v>642</v>
      </c>
      <c r="R13" t="s">
        <v>542</v>
      </c>
    </row>
    <row r="14" spans="2:33" x14ac:dyDescent="0.2">
      <c r="B14" t="s">
        <v>403</v>
      </c>
      <c r="C14" t="s">
        <v>585</v>
      </c>
      <c r="D14" t="s">
        <v>644</v>
      </c>
      <c r="E14" t="s">
        <v>600</v>
      </c>
      <c r="F14" t="s">
        <v>640</v>
      </c>
      <c r="G14" t="s">
        <v>592</v>
      </c>
      <c r="H14" t="s">
        <v>614</v>
      </c>
      <c r="I14" t="s">
        <v>590</v>
      </c>
      <c r="J14" t="s">
        <v>594</v>
      </c>
      <c r="K14" t="s">
        <v>602</v>
      </c>
      <c r="L14" t="s">
        <v>610</v>
      </c>
      <c r="M14" t="s">
        <v>623</v>
      </c>
      <c r="N14" t="s">
        <v>596</v>
      </c>
      <c r="O14" t="s">
        <v>450</v>
      </c>
      <c r="P14" t="s">
        <v>450</v>
      </c>
      <c r="Q14" t="s">
        <v>450</v>
      </c>
      <c r="R14" t="s">
        <v>450</v>
      </c>
    </row>
    <row r="15" spans="2:33" x14ac:dyDescent="0.2">
      <c r="B15" t="s">
        <v>379</v>
      </c>
      <c r="C15" t="s">
        <v>538</v>
      </c>
      <c r="D15" t="s">
        <v>546</v>
      </c>
      <c r="E15" t="s">
        <v>562</v>
      </c>
      <c r="F15" t="s">
        <v>552</v>
      </c>
      <c r="G15" t="s">
        <v>548</v>
      </c>
      <c r="H15" t="s">
        <v>612</v>
      </c>
      <c r="I15" t="s">
        <v>540</v>
      </c>
      <c r="J15" t="s">
        <v>450</v>
      </c>
      <c r="K15" t="s">
        <v>450</v>
      </c>
      <c r="L15" t="s">
        <v>450</v>
      </c>
      <c r="M15" t="s">
        <v>450</v>
      </c>
      <c r="N15" t="s">
        <v>450</v>
      </c>
      <c r="O15" t="s">
        <v>450</v>
      </c>
      <c r="P15" t="s">
        <v>450</v>
      </c>
      <c r="Q15" t="s">
        <v>450</v>
      </c>
      <c r="R15" t="s">
        <v>450</v>
      </c>
    </row>
    <row r="16" spans="2:33" x14ac:dyDescent="0.2">
      <c r="B16" t="s">
        <v>8</v>
      </c>
      <c r="C16" t="s">
        <v>450</v>
      </c>
      <c r="D16" t="s">
        <v>450</v>
      </c>
      <c r="E16" t="s">
        <v>450</v>
      </c>
      <c r="F16" t="s">
        <v>450</v>
      </c>
      <c r="G16" t="s">
        <v>450</v>
      </c>
      <c r="H16" t="s">
        <v>450</v>
      </c>
      <c r="I16" t="s">
        <v>450</v>
      </c>
      <c r="J16" t="s">
        <v>450</v>
      </c>
      <c r="K16" t="s">
        <v>450</v>
      </c>
      <c r="L16" t="s">
        <v>450</v>
      </c>
      <c r="M16" t="s">
        <v>450</v>
      </c>
      <c r="N16" t="s">
        <v>450</v>
      </c>
      <c r="O16" t="s">
        <v>450</v>
      </c>
      <c r="P16" t="s">
        <v>450</v>
      </c>
      <c r="Q16" t="s">
        <v>450</v>
      </c>
      <c r="R16" t="s">
        <v>450</v>
      </c>
    </row>
    <row r="19" spans="2:4" x14ac:dyDescent="0.2">
      <c r="B19" t="s">
        <v>972</v>
      </c>
      <c r="C19" t="s">
        <v>973</v>
      </c>
      <c r="D19" t="s">
        <v>974</v>
      </c>
    </row>
    <row r="20" spans="2:4" x14ac:dyDescent="0.2">
      <c r="B20" s="151">
        <v>42574</v>
      </c>
      <c r="C20">
        <v>24311</v>
      </c>
      <c r="D20">
        <v>7</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tabSelected="1" zoomScaleNormal="10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5" t="s">
        <v>977</v>
      </c>
      <c r="C2" s="326"/>
      <c r="D2" s="326"/>
      <c r="E2" s="326"/>
      <c r="F2" s="326"/>
      <c r="G2" s="327"/>
      <c r="H2" s="135" t="s">
        <v>5</v>
      </c>
      <c r="I2" s="136" t="s">
        <v>2</v>
      </c>
      <c r="J2" s="136" t="s">
        <v>228</v>
      </c>
      <c r="K2" s="134"/>
    </row>
    <row r="3" spans="1:11" ht="59.25" customHeight="1" x14ac:dyDescent="0.2">
      <c r="A3" s="130"/>
      <c r="B3" s="328"/>
      <c r="C3" s="329"/>
      <c r="D3" s="329"/>
      <c r="E3" s="329"/>
      <c r="F3" s="329"/>
      <c r="G3" s="329"/>
      <c r="H3" s="321">
        <f>SUM(H5,H10)</f>
        <v>379516</v>
      </c>
      <c r="I3" s="321">
        <f>SUM(I5,I10)</f>
        <v>77667</v>
      </c>
      <c r="J3" s="323">
        <f>ROUND(I3/H3,5)</f>
        <v>0.20465</v>
      </c>
      <c r="K3" s="134"/>
    </row>
    <row r="4" spans="1:11" ht="33" customHeight="1" thickBot="1" x14ac:dyDescent="0.25">
      <c r="A4" s="130"/>
      <c r="B4" s="330" t="str">
        <f>"As of: "&amp;TEXT(INDEX(MMWR_DATES[],1,1),"MMMM DD, YYYY")</f>
        <v>As of: July 23, 2016</v>
      </c>
      <c r="C4" s="331"/>
      <c r="D4" s="331"/>
      <c r="E4" s="331"/>
      <c r="F4" s="331"/>
      <c r="G4" s="332"/>
      <c r="H4" s="322"/>
      <c r="I4" s="322"/>
      <c r="J4" s="324"/>
      <c r="K4" s="137"/>
    </row>
    <row r="5" spans="1:11" ht="16.5" customHeight="1" thickBot="1" x14ac:dyDescent="0.25">
      <c r="A5" s="130"/>
      <c r="B5" s="319" t="s">
        <v>233</v>
      </c>
      <c r="C5" s="320"/>
      <c r="D5" s="320"/>
      <c r="E5" s="320"/>
      <c r="F5" s="320"/>
      <c r="G5" s="138" t="s">
        <v>244</v>
      </c>
      <c r="H5" s="158">
        <f>SUM(H6:H9)</f>
        <v>135473</v>
      </c>
      <c r="I5" s="158">
        <f>SUM(I6:I9)</f>
        <v>31857</v>
      </c>
      <c r="J5" s="159">
        <f t="shared" ref="J5:J15" si="0">IF(H5=0, 0,I5/H5)</f>
        <v>0.23515386829848015</v>
      </c>
      <c r="K5" s="134"/>
    </row>
    <row r="6" spans="1:11" ht="16.5" customHeight="1" x14ac:dyDescent="0.2">
      <c r="A6" s="130"/>
      <c r="B6" s="284" t="s">
        <v>16</v>
      </c>
      <c r="C6" s="285"/>
      <c r="D6" s="285"/>
      <c r="E6" s="285"/>
      <c r="F6" s="285"/>
      <c r="G6" s="139" t="s">
        <v>190</v>
      </c>
      <c r="H6" s="160">
        <f>IFERROR(VLOOKUP(MID($G6,4,3),MMWR_TRAD_AGG_NATIONAL[],2,0),0)</f>
        <v>34786</v>
      </c>
      <c r="I6" s="160">
        <f>IFERROR(VLOOKUP(MID($G6,4,3),MMWR_TRAD_AGG_NATIONAL[],3,0),0)</f>
        <v>9816</v>
      </c>
      <c r="J6" s="161">
        <f t="shared" si="0"/>
        <v>0.28218248720749728</v>
      </c>
      <c r="K6" s="134"/>
    </row>
    <row r="7" spans="1:11" ht="16.5" customHeight="1" x14ac:dyDescent="0.2">
      <c r="A7" s="130"/>
      <c r="B7" s="286" t="s">
        <v>0</v>
      </c>
      <c r="C7" s="287"/>
      <c r="D7" s="287"/>
      <c r="E7" s="287"/>
      <c r="F7" s="287"/>
      <c r="G7" s="140" t="s">
        <v>191</v>
      </c>
      <c r="H7" s="160">
        <f>IFERROR(VLOOKUP(MID($G7,4,3),MMWR_TRAD_AGG_NATIONAL[],2,0),0)</f>
        <v>83229</v>
      </c>
      <c r="I7" s="160">
        <f>IFERROR(VLOOKUP(MID($G7,4,3),MMWR_TRAD_AGG_NATIONAL[],3,0),0)</f>
        <v>19488</v>
      </c>
      <c r="J7" s="161">
        <f t="shared" si="0"/>
        <v>0.23414915474173664</v>
      </c>
      <c r="K7" s="134"/>
    </row>
    <row r="8" spans="1:11" ht="16.5" customHeight="1" x14ac:dyDescent="0.2">
      <c r="A8" s="130"/>
      <c r="B8" s="288" t="s">
        <v>234</v>
      </c>
      <c r="C8" s="289"/>
      <c r="D8" s="289"/>
      <c r="E8" s="289"/>
      <c r="F8" s="289"/>
      <c r="G8" s="141" t="s">
        <v>193</v>
      </c>
      <c r="H8" s="160">
        <f>IFERROR(VLOOKUP(MID($G8,4,3),MMWR_TRAD_AGG_NATIONAL[],2,0),0)</f>
        <v>7142</v>
      </c>
      <c r="I8" s="160">
        <f>IFERROR(VLOOKUP(MID($G8,4,3),MMWR_TRAD_AGG_NATIONAL[],3,0),0)</f>
        <v>562</v>
      </c>
      <c r="J8" s="161">
        <f t="shared" si="0"/>
        <v>7.8689442733127973E-2</v>
      </c>
      <c r="K8" s="134"/>
    </row>
    <row r="9" spans="1:11" ht="16.5" customHeight="1" thickBot="1" x14ac:dyDescent="0.25">
      <c r="A9" s="130"/>
      <c r="B9" s="293" t="s">
        <v>17</v>
      </c>
      <c r="C9" s="294"/>
      <c r="D9" s="294"/>
      <c r="E9" s="294"/>
      <c r="F9" s="294"/>
      <c r="G9" s="140" t="s">
        <v>195</v>
      </c>
      <c r="H9" s="160">
        <f>IFERROR(VLOOKUP(MID($G9,4,3),MMWR_TRAD_AGG_NATIONAL[],2,0),0)</f>
        <v>10316</v>
      </c>
      <c r="I9" s="160">
        <f>IFERROR(VLOOKUP(MID($G9,4,3),MMWR_TRAD_AGG_NATIONAL[],3,0),0)</f>
        <v>1991</v>
      </c>
      <c r="J9" s="161">
        <f t="shared" si="0"/>
        <v>0.19300116324156649</v>
      </c>
      <c r="K9" s="134"/>
    </row>
    <row r="10" spans="1:11" ht="17.25" thickBot="1" x14ac:dyDescent="0.25">
      <c r="A10" s="130"/>
      <c r="B10" s="319" t="s">
        <v>1</v>
      </c>
      <c r="C10" s="320"/>
      <c r="D10" s="320"/>
      <c r="E10" s="320"/>
      <c r="F10" s="320"/>
      <c r="G10" s="138" t="s">
        <v>244</v>
      </c>
      <c r="H10" s="158">
        <f>SUM(H11:H18)</f>
        <v>244043</v>
      </c>
      <c r="I10" s="158">
        <f>SUM(I11:I18)</f>
        <v>45810</v>
      </c>
      <c r="J10" s="159">
        <f t="shared" si="0"/>
        <v>0.18771282110119938</v>
      </c>
      <c r="K10" s="134"/>
    </row>
    <row r="11" spans="1:11" ht="16.5" customHeight="1" x14ac:dyDescent="0.2">
      <c r="A11" s="130"/>
      <c r="B11" s="284" t="s">
        <v>199</v>
      </c>
      <c r="C11" s="285"/>
      <c r="D11" s="285"/>
      <c r="E11" s="285"/>
      <c r="F11" s="285"/>
      <c r="G11" s="142" t="s">
        <v>194</v>
      </c>
      <c r="H11" s="162">
        <f>IFERROR(VLOOKUP(MID($G11,4,3),MMWR_TRAD_AGG_NATIONAL[],2,0),0)</f>
        <v>7940</v>
      </c>
      <c r="I11" s="160">
        <f>IFERROR(VLOOKUP(MID($G11,4,3),MMWR_TRAD_AGG_NATIONAL[],3,0),0)</f>
        <v>548</v>
      </c>
      <c r="J11" s="161">
        <f t="shared" si="0"/>
        <v>6.9017632241813606E-2</v>
      </c>
      <c r="K11" s="134"/>
    </row>
    <row r="12" spans="1:11" ht="16.5" customHeight="1" x14ac:dyDescent="0.2">
      <c r="A12" s="130"/>
      <c r="B12" s="286" t="s">
        <v>18</v>
      </c>
      <c r="C12" s="287"/>
      <c r="D12" s="287"/>
      <c r="E12" s="287"/>
      <c r="F12" s="287"/>
      <c r="G12" s="143" t="s">
        <v>192</v>
      </c>
      <c r="H12" s="163">
        <f>IFERROR(VLOOKUP(MID($G12,4,3),MMWR_TRAD_AGG_NATIONAL[],2,0),0)</f>
        <v>213116</v>
      </c>
      <c r="I12" s="160">
        <f>IFERROR(VLOOKUP(MID($G12,4,3),MMWR_TRAD_AGG_NATIONAL[],3,0),0)</f>
        <v>41216</v>
      </c>
      <c r="J12" s="161">
        <f t="shared" si="0"/>
        <v>0.19339702321740274</v>
      </c>
      <c r="K12" s="134"/>
    </row>
    <row r="13" spans="1:11" ht="16.5" customHeight="1" x14ac:dyDescent="0.2">
      <c r="A13" s="130"/>
      <c r="B13" s="286" t="s">
        <v>14</v>
      </c>
      <c r="C13" s="287"/>
      <c r="D13" s="287"/>
      <c r="E13" s="287"/>
      <c r="F13" s="287"/>
      <c r="G13" s="143" t="s">
        <v>196</v>
      </c>
      <c r="H13" s="163">
        <f>IFERROR(VLOOKUP(MID($G13,4,3),MMWR_TRAD_AGG_NATIONAL[],2,0),0)</f>
        <v>22295</v>
      </c>
      <c r="I13" s="160">
        <f>IFERROR(VLOOKUP(MID($G13,4,3),MMWR_TRAD_AGG_NATIONAL[],3,0),0)</f>
        <v>3923</v>
      </c>
      <c r="J13" s="161">
        <f t="shared" si="0"/>
        <v>0.17595873514240862</v>
      </c>
      <c r="K13" s="134"/>
    </row>
    <row r="14" spans="1:11" ht="16.5" customHeight="1" x14ac:dyDescent="0.2">
      <c r="A14" s="130"/>
      <c r="B14" s="288" t="s">
        <v>19</v>
      </c>
      <c r="C14" s="289"/>
      <c r="D14" s="289"/>
      <c r="E14" s="289"/>
      <c r="F14" s="289"/>
      <c r="G14" s="142" t="s">
        <v>197</v>
      </c>
      <c r="H14" s="163">
        <f>IFERROR(VLOOKUP(MID($G14,4,3),MMWR_TRAD_AGG_NATIONAL[],2,0),0)</f>
        <v>430</v>
      </c>
      <c r="I14" s="160">
        <f>IFERROR(VLOOKUP(MID($G14,4,3),MMWR_TRAD_AGG_NATIONAL[],3,0),0)</f>
        <v>42</v>
      </c>
      <c r="J14" s="161">
        <f t="shared" si="0"/>
        <v>9.7674418604651161E-2</v>
      </c>
      <c r="K14" s="134"/>
    </row>
    <row r="15" spans="1:11" ht="16.5" customHeight="1" x14ac:dyDescent="0.2">
      <c r="A15" s="130"/>
      <c r="B15" s="288" t="s">
        <v>84</v>
      </c>
      <c r="C15" s="289"/>
      <c r="D15" s="289"/>
      <c r="E15" s="289"/>
      <c r="F15" s="289"/>
      <c r="G15" s="142" t="s">
        <v>200</v>
      </c>
      <c r="H15" s="163">
        <f>IFERROR(VLOOKUP(MID($G15,4,3),MMWR_TRAD_AGG_NATIONAL[],2,0),0)</f>
        <v>5</v>
      </c>
      <c r="I15" s="160">
        <f>IFERROR(VLOOKUP(MID($G15,4,3),MMWR_TRAD_AGG_NATIONAL[],3,0),0)</f>
        <v>2</v>
      </c>
      <c r="J15" s="161">
        <f t="shared" si="0"/>
        <v>0.4</v>
      </c>
      <c r="K15" s="134"/>
    </row>
    <row r="16" spans="1:11" ht="15" x14ac:dyDescent="0.2">
      <c r="A16" s="130"/>
      <c r="B16" s="288" t="s">
        <v>85</v>
      </c>
      <c r="C16" s="289"/>
      <c r="D16" s="289"/>
      <c r="E16" s="289"/>
      <c r="F16" s="289"/>
      <c r="G16" s="142" t="s">
        <v>201</v>
      </c>
      <c r="H16" s="163">
        <f>IFERROR(VLOOKUP(MID($G16,4,3),MMWR_TRAD_AGG_NATIONAL[],2,0),0)</f>
        <v>0</v>
      </c>
      <c r="I16" s="160">
        <f>IFERROR(VLOOKUP(MID($G16,4,3),MMWR_TRAD_AGG_NATIONAL[],3,0),0)</f>
        <v>0</v>
      </c>
      <c r="J16" s="161">
        <f>IF(H16=0, 0,I16/H16)</f>
        <v>0</v>
      </c>
      <c r="K16" s="134"/>
    </row>
    <row r="17" spans="1:11" ht="16.5" customHeight="1" x14ac:dyDescent="0.2">
      <c r="A17" s="130"/>
      <c r="B17" s="288" t="s">
        <v>87</v>
      </c>
      <c r="C17" s="289"/>
      <c r="D17" s="289"/>
      <c r="E17" s="289"/>
      <c r="F17" s="289"/>
      <c r="G17" s="142" t="s">
        <v>202</v>
      </c>
      <c r="H17" s="163">
        <f>IFERROR(VLOOKUP(MID($G17,4,3),MMWR_TRAD_AGG_NATIONAL[],2,0),0)</f>
        <v>7</v>
      </c>
      <c r="I17" s="160">
        <f>IFERROR(VLOOKUP(MID($G17,4,3),MMWR_TRAD_AGG_NATIONAL[],3,0),0)</f>
        <v>1</v>
      </c>
      <c r="J17" s="161">
        <f>IF(H17=0, 0,I17/H17)</f>
        <v>0.14285714285714285</v>
      </c>
      <c r="K17" s="134"/>
    </row>
    <row r="18" spans="1:11" ht="16.5" customHeight="1" thickBot="1" x14ac:dyDescent="0.25">
      <c r="A18" s="130"/>
      <c r="B18" s="293" t="s">
        <v>86</v>
      </c>
      <c r="C18" s="294"/>
      <c r="D18" s="294"/>
      <c r="E18" s="294"/>
      <c r="F18" s="294"/>
      <c r="G18" s="142" t="s">
        <v>203</v>
      </c>
      <c r="H18" s="164">
        <f>IFERROR(VLOOKUP(MID($G18,4,3),MMWR_TRAD_AGG_NATIONAL[],2,0),0)</f>
        <v>250</v>
      </c>
      <c r="I18" s="160">
        <f>IFERROR(VLOOKUP(MID($G18,4,3),MMWR_TRAD_AGG_NATIONAL[],3,0),0)</f>
        <v>78</v>
      </c>
      <c r="J18" s="165">
        <f>IF(H18=0, 0,I18/H18)</f>
        <v>0.312</v>
      </c>
      <c r="K18" s="134"/>
    </row>
    <row r="19" spans="1:11" ht="16.5" customHeight="1" x14ac:dyDescent="0.2">
      <c r="A19" s="130"/>
      <c r="B19" s="298" t="s">
        <v>968</v>
      </c>
      <c r="C19" s="299"/>
      <c r="D19" s="299"/>
      <c r="E19" s="299"/>
      <c r="F19" s="299"/>
      <c r="G19" s="299"/>
      <c r="H19" s="299"/>
      <c r="I19" s="299"/>
      <c r="J19" s="300"/>
      <c r="K19" s="134"/>
    </row>
    <row r="20" spans="1:11" ht="36" customHeight="1" thickBot="1" x14ac:dyDescent="0.25">
      <c r="A20" s="130"/>
      <c r="B20" s="301"/>
      <c r="C20" s="302"/>
      <c r="D20" s="302"/>
      <c r="E20" s="302"/>
      <c r="F20" s="302"/>
      <c r="G20" s="302"/>
      <c r="H20" s="302"/>
      <c r="I20" s="302"/>
      <c r="J20" s="303"/>
      <c r="K20" s="134"/>
    </row>
    <row r="21" spans="1:11" ht="36" customHeight="1" x14ac:dyDescent="0.2">
      <c r="A21" s="130"/>
      <c r="B21" s="313" t="s">
        <v>959</v>
      </c>
      <c r="C21" s="314"/>
      <c r="D21" s="315"/>
      <c r="E21" s="313" t="s">
        <v>960</v>
      </c>
      <c r="F21" s="314"/>
      <c r="G21" s="315"/>
      <c r="H21" s="313" t="s">
        <v>961</v>
      </c>
      <c r="I21" s="314"/>
      <c r="J21" s="315"/>
      <c r="K21" s="134"/>
    </row>
    <row r="22" spans="1:11" ht="29.25" customHeight="1" thickBot="1" x14ac:dyDescent="0.25">
      <c r="A22" s="130"/>
      <c r="B22" s="316"/>
      <c r="C22" s="317"/>
      <c r="D22" s="318"/>
      <c r="E22" s="316"/>
      <c r="F22" s="317"/>
      <c r="G22" s="318"/>
      <c r="H22" s="316"/>
      <c r="I22" s="317"/>
      <c r="J22" s="318"/>
      <c r="K22" s="134"/>
    </row>
    <row r="23" spans="1:11" ht="36" customHeight="1" x14ac:dyDescent="0.35">
      <c r="A23" s="130"/>
      <c r="B23" s="313" t="s">
        <v>953</v>
      </c>
      <c r="C23" s="314"/>
      <c r="D23" s="315"/>
      <c r="E23" s="313" t="s">
        <v>954</v>
      </c>
      <c r="F23" s="314"/>
      <c r="G23" s="315"/>
      <c r="H23" s="144"/>
      <c r="I23" s="144"/>
      <c r="J23" s="144"/>
      <c r="K23" s="134"/>
    </row>
    <row r="24" spans="1:11" ht="29.25" customHeight="1" thickBot="1" x14ac:dyDescent="0.4">
      <c r="A24" s="130"/>
      <c r="B24" s="316"/>
      <c r="C24" s="317"/>
      <c r="D24" s="318"/>
      <c r="E24" s="316"/>
      <c r="F24" s="317"/>
      <c r="G24" s="318"/>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39"/>
      <c r="D26" s="339"/>
      <c r="E26" s="339"/>
      <c r="F26" s="340"/>
      <c r="G26" s="263" t="s">
        <v>1061</v>
      </c>
      <c r="H26" s="263" t="s">
        <v>1062</v>
      </c>
      <c r="I26" s="263" t="s">
        <v>1059</v>
      </c>
      <c r="J26" s="264" t="s">
        <v>28</v>
      </c>
      <c r="K26" s="134"/>
    </row>
    <row r="27" spans="1:11" ht="16.5" customHeight="1" x14ac:dyDescent="0.2">
      <c r="A27" s="130"/>
      <c r="B27" s="295" t="s">
        <v>962</v>
      </c>
      <c r="C27" s="296"/>
      <c r="D27" s="296"/>
      <c r="E27" s="296"/>
      <c r="F27" s="297"/>
      <c r="G27" s="256">
        <v>10132</v>
      </c>
      <c r="H27" s="256">
        <v>9392</v>
      </c>
      <c r="I27" s="256">
        <v>740</v>
      </c>
      <c r="J27" s="260">
        <v>7.9000000000000001E-2</v>
      </c>
      <c r="K27" s="134"/>
    </row>
    <row r="28" spans="1:11" ht="15.75" customHeight="1" x14ac:dyDescent="0.2">
      <c r="A28" s="130"/>
      <c r="B28" s="333" t="s">
        <v>24</v>
      </c>
      <c r="C28" s="334"/>
      <c r="D28" s="334"/>
      <c r="E28" s="334"/>
      <c r="F28" s="335"/>
      <c r="G28" s="257">
        <v>2850</v>
      </c>
      <c r="H28" s="257">
        <v>2671</v>
      </c>
      <c r="I28" s="257">
        <v>179</v>
      </c>
      <c r="J28" s="253">
        <v>6.7000000000000004E-2</v>
      </c>
      <c r="K28" s="134"/>
    </row>
    <row r="29" spans="1:11" ht="15.75" customHeight="1" x14ac:dyDescent="0.2">
      <c r="A29" s="130"/>
      <c r="B29" s="304" t="s">
        <v>25</v>
      </c>
      <c r="C29" s="305"/>
      <c r="D29" s="305"/>
      <c r="E29" s="305"/>
      <c r="F29" s="306"/>
      <c r="G29" s="258">
        <v>1466</v>
      </c>
      <c r="H29" s="258">
        <v>1338</v>
      </c>
      <c r="I29" s="258">
        <v>128</v>
      </c>
      <c r="J29" s="254">
        <v>9.6000000000000002E-2</v>
      </c>
      <c r="K29" s="134"/>
    </row>
    <row r="30" spans="1:11" ht="15" x14ac:dyDescent="0.2">
      <c r="A30" s="130"/>
      <c r="B30" s="307" t="s">
        <v>26</v>
      </c>
      <c r="C30" s="308"/>
      <c r="D30" s="308"/>
      <c r="E30" s="308"/>
      <c r="F30" s="309"/>
      <c r="G30" s="258">
        <v>2099</v>
      </c>
      <c r="H30" s="258">
        <v>1936</v>
      </c>
      <c r="I30" s="258">
        <v>163</v>
      </c>
      <c r="J30" s="254">
        <v>8.4000000000000005E-2</v>
      </c>
      <c r="K30" s="134"/>
    </row>
    <row r="31" spans="1:11" ht="15" x14ac:dyDescent="0.2">
      <c r="A31" s="130"/>
      <c r="B31" s="336" t="s">
        <v>27</v>
      </c>
      <c r="C31" s="337"/>
      <c r="D31" s="337"/>
      <c r="E31" s="337"/>
      <c r="F31" s="338"/>
      <c r="G31" s="259">
        <v>3717</v>
      </c>
      <c r="H31" s="259">
        <v>3447</v>
      </c>
      <c r="I31" s="259">
        <v>270</v>
      </c>
      <c r="J31" s="255">
        <v>7.8E-2</v>
      </c>
      <c r="K31" s="134"/>
    </row>
    <row r="32" spans="1:11" ht="16.5" customHeight="1" x14ac:dyDescent="0.2">
      <c r="A32" s="130"/>
      <c r="B32" s="295" t="s">
        <v>235</v>
      </c>
      <c r="C32" s="296"/>
      <c r="D32" s="296"/>
      <c r="E32" s="296"/>
      <c r="F32" s="297"/>
      <c r="G32" s="256">
        <v>62894</v>
      </c>
      <c r="H32" s="256">
        <v>66616</v>
      </c>
      <c r="I32" s="256">
        <v>-3722</v>
      </c>
      <c r="J32" s="260">
        <v>-5.6000000000000001E-2</v>
      </c>
      <c r="K32" s="134"/>
    </row>
    <row r="33" spans="1:11" ht="15" x14ac:dyDescent="0.2">
      <c r="A33" s="130"/>
      <c r="B33" s="333" t="s">
        <v>24</v>
      </c>
      <c r="C33" s="334"/>
      <c r="D33" s="334"/>
      <c r="E33" s="334"/>
      <c r="F33" s="335"/>
      <c r="G33" s="265">
        <v>13659</v>
      </c>
      <c r="H33" s="265">
        <v>12647</v>
      </c>
      <c r="I33" s="258">
        <v>1012</v>
      </c>
      <c r="J33" s="253">
        <v>0.08</v>
      </c>
      <c r="K33" s="134"/>
    </row>
    <row r="34" spans="1:11" ht="15" x14ac:dyDescent="0.2">
      <c r="A34" s="130"/>
      <c r="B34" s="304" t="s">
        <v>25</v>
      </c>
      <c r="C34" s="305"/>
      <c r="D34" s="305"/>
      <c r="E34" s="305"/>
      <c r="F34" s="306"/>
      <c r="G34" s="265">
        <v>8916</v>
      </c>
      <c r="H34" s="265">
        <v>7856</v>
      </c>
      <c r="I34" s="258">
        <v>1060</v>
      </c>
      <c r="J34" s="254">
        <v>0.13500000000000001</v>
      </c>
      <c r="K34" s="134"/>
    </row>
    <row r="35" spans="1:11" ht="15" x14ac:dyDescent="0.2">
      <c r="A35" s="130"/>
      <c r="B35" s="307" t="s">
        <v>26</v>
      </c>
      <c r="C35" s="308"/>
      <c r="D35" s="308"/>
      <c r="E35" s="308"/>
      <c r="F35" s="309"/>
      <c r="G35" s="265">
        <v>18856</v>
      </c>
      <c r="H35" s="265">
        <v>21967</v>
      </c>
      <c r="I35" s="258">
        <v>-3111</v>
      </c>
      <c r="J35" s="254">
        <v>-0.14199999999999999</v>
      </c>
      <c r="K35" s="134"/>
    </row>
    <row r="36" spans="1:11" ht="15.75" thickBot="1" x14ac:dyDescent="0.25">
      <c r="A36" s="130"/>
      <c r="B36" s="310" t="s">
        <v>27</v>
      </c>
      <c r="C36" s="311"/>
      <c r="D36" s="311"/>
      <c r="E36" s="311"/>
      <c r="F36" s="312"/>
      <c r="G36" s="265">
        <v>21463</v>
      </c>
      <c r="H36" s="265">
        <v>24146</v>
      </c>
      <c r="I36" s="258">
        <v>-2683</v>
      </c>
      <c r="J36" s="254">
        <v>-0.111</v>
      </c>
      <c r="K36" s="134"/>
    </row>
    <row r="37" spans="1:11" ht="15.75" customHeight="1" thickBot="1" x14ac:dyDescent="0.25">
      <c r="A37" s="130"/>
      <c r="B37" s="290" t="s">
        <v>967</v>
      </c>
      <c r="C37" s="291"/>
      <c r="D37" s="291"/>
      <c r="E37" s="291"/>
      <c r="F37" s="291"/>
      <c r="G37" s="291"/>
      <c r="H37" s="291"/>
      <c r="I37" s="291"/>
      <c r="J37" s="292"/>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80" zoomScaleNormal="8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0" t="s">
        <v>295</v>
      </c>
      <c r="D2" s="351"/>
      <c r="E2" s="351"/>
      <c r="F2" s="351"/>
      <c r="G2" s="351"/>
      <c r="H2" s="351"/>
      <c r="I2" s="351"/>
      <c r="J2" s="351"/>
      <c r="K2" s="352"/>
      <c r="L2" s="350" t="s">
        <v>300</v>
      </c>
      <c r="M2" s="351"/>
      <c r="N2" s="351"/>
      <c r="O2" s="352"/>
      <c r="P2" s="28"/>
    </row>
    <row r="3" spans="1:16" ht="24" customHeight="1" thickBot="1" x14ac:dyDescent="0.4">
      <c r="A3" s="25"/>
      <c r="B3" s="29"/>
      <c r="C3" s="353"/>
      <c r="D3" s="354"/>
      <c r="E3" s="354"/>
      <c r="F3" s="354"/>
      <c r="G3" s="354"/>
      <c r="H3" s="354"/>
      <c r="I3" s="354"/>
      <c r="J3" s="354"/>
      <c r="K3" s="355"/>
      <c r="L3" s="353" t="str">
        <f>Transformation!B4</f>
        <v>As of: July 23, 2016</v>
      </c>
      <c r="M3" s="354"/>
      <c r="N3" s="354"/>
      <c r="O3" s="355"/>
      <c r="P3" s="28"/>
    </row>
    <row r="4" spans="1:16" ht="51.75" customHeight="1" thickBot="1" x14ac:dyDescent="0.35">
      <c r="A4" s="30"/>
      <c r="B4" s="246" t="s">
        <v>454</v>
      </c>
      <c r="C4" s="356" t="s">
        <v>304</v>
      </c>
      <c r="D4" s="357"/>
      <c r="E4" s="357"/>
      <c r="F4" s="357"/>
      <c r="G4" s="357"/>
      <c r="H4" s="357"/>
      <c r="I4" s="357"/>
      <c r="J4" s="357"/>
      <c r="K4" s="357"/>
      <c r="L4" s="357"/>
      <c r="M4" s="357"/>
      <c r="N4" s="357"/>
      <c r="O4" s="358"/>
      <c r="P4" s="28"/>
    </row>
    <row r="5" spans="1:16" ht="27" customHeight="1" thickBot="1" x14ac:dyDescent="0.25">
      <c r="A5" s="30"/>
      <c r="B5" s="26"/>
      <c r="C5" s="359" t="s">
        <v>1040</v>
      </c>
      <c r="D5" s="360"/>
      <c r="E5" s="360"/>
      <c r="F5" s="360"/>
      <c r="G5" s="360"/>
      <c r="H5" s="360"/>
      <c r="I5" s="360"/>
      <c r="J5" s="360"/>
      <c r="K5" s="360"/>
      <c r="L5" s="360"/>
      <c r="M5" s="360"/>
      <c r="N5" s="360"/>
      <c r="O5" s="361"/>
      <c r="P5" s="28"/>
    </row>
    <row r="6" spans="1:16" ht="55.5" customHeight="1" x14ac:dyDescent="0.2">
      <c r="A6" s="30"/>
      <c r="B6" s="31"/>
      <c r="C6" s="32" t="s">
        <v>190</v>
      </c>
      <c r="D6" s="362" t="s">
        <v>16</v>
      </c>
      <c r="E6" s="363"/>
      <c r="F6" s="33" t="s">
        <v>193</v>
      </c>
      <c r="G6" s="362" t="s">
        <v>198</v>
      </c>
      <c r="H6" s="364"/>
      <c r="I6" s="33" t="s">
        <v>196</v>
      </c>
      <c r="J6" s="368" t="s">
        <v>14</v>
      </c>
      <c r="K6" s="369"/>
      <c r="L6" s="33" t="s">
        <v>201</v>
      </c>
      <c r="M6" s="365" t="s">
        <v>85</v>
      </c>
      <c r="N6" s="366"/>
      <c r="O6" s="367"/>
      <c r="P6" s="28"/>
    </row>
    <row r="7" spans="1:16" ht="51.75" customHeight="1" x14ac:dyDescent="0.2">
      <c r="A7" s="30"/>
      <c r="B7" s="34"/>
      <c r="C7" s="35" t="s">
        <v>191</v>
      </c>
      <c r="D7" s="380" t="s">
        <v>0</v>
      </c>
      <c r="E7" s="381"/>
      <c r="F7" s="36" t="s">
        <v>194</v>
      </c>
      <c r="G7" s="382" t="s">
        <v>199</v>
      </c>
      <c r="H7" s="382"/>
      <c r="I7" s="36" t="s">
        <v>197</v>
      </c>
      <c r="J7" s="370" t="s">
        <v>19</v>
      </c>
      <c r="K7" s="371"/>
      <c r="L7" s="36" t="s">
        <v>202</v>
      </c>
      <c r="M7" s="374" t="s">
        <v>87</v>
      </c>
      <c r="N7" s="375"/>
      <c r="O7" s="376"/>
      <c r="P7" s="28"/>
    </row>
    <row r="8" spans="1:16" ht="51.75" customHeight="1" thickBot="1" x14ac:dyDescent="0.25">
      <c r="A8" s="25"/>
      <c r="B8" s="28"/>
      <c r="C8" s="37" t="s">
        <v>192</v>
      </c>
      <c r="D8" s="383" t="s">
        <v>18</v>
      </c>
      <c r="E8" s="384"/>
      <c r="F8" s="38" t="s">
        <v>195</v>
      </c>
      <c r="G8" s="385" t="s">
        <v>17</v>
      </c>
      <c r="H8" s="385"/>
      <c r="I8" s="38" t="s">
        <v>200</v>
      </c>
      <c r="J8" s="372" t="s">
        <v>84</v>
      </c>
      <c r="K8" s="373"/>
      <c r="L8" s="38" t="s">
        <v>203</v>
      </c>
      <c r="M8" s="347" t="s">
        <v>86</v>
      </c>
      <c r="N8" s="348"/>
      <c r="O8" s="349"/>
      <c r="P8" s="28"/>
    </row>
    <row r="9" spans="1:16" x14ac:dyDescent="0.2">
      <c r="A9" s="28"/>
      <c r="B9" s="28"/>
      <c r="C9" s="39" t="s">
        <v>703</v>
      </c>
      <c r="D9" s="39" t="s">
        <v>705</v>
      </c>
      <c r="E9" s="39" t="s">
        <v>704</v>
      </c>
      <c r="F9" s="39" t="s">
        <v>707</v>
      </c>
      <c r="G9" s="39" t="s">
        <v>706</v>
      </c>
      <c r="H9" s="39" t="s">
        <v>709</v>
      </c>
      <c r="I9" s="39" t="s">
        <v>708</v>
      </c>
      <c r="J9" s="39" t="s">
        <v>919</v>
      </c>
      <c r="K9" s="39" t="s">
        <v>920</v>
      </c>
      <c r="L9" s="39" t="s">
        <v>922</v>
      </c>
      <c r="M9" s="39" t="s">
        <v>1041</v>
      </c>
      <c r="N9" s="39" t="s">
        <v>923</v>
      </c>
      <c r="O9" s="39" t="s">
        <v>924</v>
      </c>
      <c r="P9" s="28"/>
    </row>
    <row r="10" spans="1:16" ht="15.75" customHeight="1" x14ac:dyDescent="0.2">
      <c r="A10" s="25"/>
      <c r="B10" s="26"/>
      <c r="C10" s="386" t="s">
        <v>293</v>
      </c>
      <c r="D10" s="386"/>
      <c r="E10" s="386"/>
      <c r="F10" s="386"/>
      <c r="G10" s="386"/>
      <c r="H10" s="386"/>
      <c r="I10" s="386"/>
      <c r="J10" s="386"/>
      <c r="K10" s="386"/>
      <c r="L10" s="386"/>
      <c r="M10" s="386"/>
      <c r="N10" s="386"/>
      <c r="O10" s="386"/>
      <c r="P10" s="28"/>
    </row>
    <row r="11" spans="1:16" ht="32.25" customHeight="1" x14ac:dyDescent="0.2">
      <c r="A11" s="25"/>
      <c r="B11" s="26"/>
      <c r="C11" s="341" t="s">
        <v>226</v>
      </c>
      <c r="D11" s="341" t="s">
        <v>134</v>
      </c>
      <c r="E11" s="341" t="s">
        <v>227</v>
      </c>
      <c r="F11" s="341" t="s">
        <v>189</v>
      </c>
      <c r="G11" s="341" t="s">
        <v>204</v>
      </c>
      <c r="H11" s="341" t="s">
        <v>206</v>
      </c>
      <c r="I11" s="341" t="s">
        <v>207</v>
      </c>
      <c r="J11" s="345" t="s">
        <v>1052</v>
      </c>
      <c r="K11" s="345" t="s">
        <v>1053</v>
      </c>
      <c r="L11" s="343" t="s">
        <v>1050</v>
      </c>
      <c r="M11" s="344"/>
      <c r="N11" s="343" t="s">
        <v>1051</v>
      </c>
      <c r="O11" s="344"/>
      <c r="P11" s="28"/>
    </row>
    <row r="12" spans="1:16" ht="32.25" customHeight="1" x14ac:dyDescent="0.2">
      <c r="A12" s="25"/>
      <c r="B12" s="26"/>
      <c r="C12" s="342"/>
      <c r="D12" s="342"/>
      <c r="E12" s="342"/>
      <c r="F12" s="342"/>
      <c r="G12" s="342"/>
      <c r="H12" s="342"/>
      <c r="I12" s="342"/>
      <c r="J12" s="346"/>
      <c r="K12" s="346"/>
      <c r="L12" s="40" t="s">
        <v>925</v>
      </c>
      <c r="M12" s="40" t="s">
        <v>930</v>
      </c>
      <c r="N12" s="40" t="s">
        <v>925</v>
      </c>
      <c r="O12" s="40" t="s">
        <v>930</v>
      </c>
      <c r="P12" s="28"/>
    </row>
    <row r="13" spans="1:16" x14ac:dyDescent="0.2">
      <c r="A13" s="25"/>
      <c r="B13" s="41" t="s">
        <v>1048</v>
      </c>
      <c r="C13" s="154">
        <f>IF($B13=" ","",IFERROR(INDEX(MMWR_RATING_RO_ROLLUP[],MATCH($B13,MMWR_RATING_RO_ROLLUP[MMWR_RATING_RO_ROLLUP],0),MATCH(C$9,MMWR_RATING_RO_ROLLUP[#Headers],0)),"ERROR"))</f>
        <v>379516</v>
      </c>
      <c r="D13" s="155">
        <f>IF($B13=" ","",IFERROR(INDEX(MMWR_RATING_RO_ROLLUP[],MATCH($B13,MMWR_RATING_RO_ROLLUP[MMWR_RATING_RO_ROLLUP],0),MATCH(D$9,MMWR_RATING_RO_ROLLUP[#Headers],0)),"ERROR"))</f>
        <v>89.273759209100007</v>
      </c>
      <c r="E13" s="156">
        <f>IF($B13=" ","",IFERROR(INDEX(MMWR_RATING_RO_ROLLUP[],MATCH($B13,MMWR_RATING_RO_ROLLUP[MMWR_RATING_RO_ROLLUP],0),MATCH(E$9,MMWR_RATING_RO_ROLLUP[#Headers],0))/$C13,"ERROR"))</f>
        <v>0.20464749839268964</v>
      </c>
      <c r="F13" s="154">
        <f>IF($B13=" ","",IFERROR(INDEX(MMWR_RATING_RO_ROLLUP[],MATCH($B13,MMWR_RATING_RO_ROLLUP[MMWR_RATING_RO_ROLLUP],0),MATCH(F$9,MMWR_RATING_RO_ROLLUP[#Headers],0)),"ERROR"))</f>
        <v>73704</v>
      </c>
      <c r="G13" s="154">
        <f>IF($B13=" ","",IFERROR(INDEX(MMWR_RATING_RO_ROLLUP[],MATCH($B13,MMWR_RATING_RO_ROLLUP[MMWR_RATING_RO_ROLLUP],0),MATCH(G$9,MMWR_RATING_RO_ROLLUP[#Headers],0)),"ERROR"))</f>
        <v>1018350</v>
      </c>
      <c r="H13" s="155">
        <f>IF($B13=" ","",IFERROR(INDEX(MMWR_RATING_RO_ROLLUP[],MATCH($B13,MMWR_RATING_RO_ROLLUP[MMWR_RATING_RO_ROLLUP],0),MATCH(H$9,MMWR_RATING_RO_ROLLUP[#Headers],0)),"ERROR"))</f>
        <v>121.24401660700001</v>
      </c>
      <c r="I13" s="155">
        <f>IF($B13=" ","",IFERROR(INDEX(MMWR_RATING_RO_ROLLUP[],MATCH($B13,MMWR_RATING_RO_ROLLUP[MMWR_RATING_RO_ROLLUP],0),MATCH(I$9,MMWR_RATING_RO_ROLLUP[#Headers],0)),"ERROR"))</f>
        <v>123.22773702560001</v>
      </c>
      <c r="J13" s="42"/>
      <c r="K13" s="42"/>
      <c r="L13" s="42"/>
      <c r="M13" s="42"/>
      <c r="N13" s="42"/>
      <c r="O13" s="42"/>
      <c r="P13" s="28"/>
    </row>
    <row r="14" spans="1:16" x14ac:dyDescent="0.2">
      <c r="A14" s="25"/>
      <c r="B14" s="378" t="s">
        <v>731</v>
      </c>
      <c r="C14" s="379"/>
      <c r="D14" s="379"/>
      <c r="E14" s="379"/>
      <c r="F14" s="379"/>
      <c r="G14" s="379"/>
      <c r="H14" s="379"/>
      <c r="I14" s="379"/>
      <c r="J14" s="379"/>
      <c r="K14" s="379"/>
      <c r="L14" s="379"/>
      <c r="M14" s="379"/>
      <c r="N14" s="379"/>
      <c r="O14" s="379"/>
      <c r="P14" s="28"/>
    </row>
    <row r="15" spans="1:16" x14ac:dyDescent="0.2">
      <c r="A15" s="25"/>
      <c r="B15" s="41" t="s">
        <v>727</v>
      </c>
      <c r="C15" s="154">
        <f>IF($B15=" ","",IFERROR(INDEX(MMWR_RATING_RO_ROLLUP[],MATCH($B15,MMWR_RATING_RO_ROLLUP[MMWR_RATING_RO_ROLLUP],0),MATCH(C$9,MMWR_RATING_RO_ROLLUP[#Headers],0)),"ERROR"))</f>
        <v>336722</v>
      </c>
      <c r="D15" s="155">
        <f>IF($B15=" ","",IFERROR(INDEX(MMWR_RATING_RO_ROLLUP[],MATCH($B15,MMWR_RATING_RO_ROLLUP[MMWR_RATING_RO_ROLLUP],0),MATCH(D$9,MMWR_RATING_RO_ROLLUP[#Headers],0)),"ERROR"))</f>
        <v>91.766543320599993</v>
      </c>
      <c r="E15" s="156">
        <f>IF($B15=" ","",IFERROR(INDEX(MMWR_RATING_RO_ROLLUP[],MATCH($B15,MMWR_RATING_RO_ROLLUP[MMWR_RATING_RO_ROLLUP],0),MATCH(E$9,MMWR_RATING_RO_ROLLUP[#Headers],0))/$C15,"ERROR"))</f>
        <v>0.21469639643385344</v>
      </c>
      <c r="F15" s="154">
        <f>IF($B15=" ","",IFERROR(INDEX(MMWR_RATING_RO_ROLLUP[],MATCH($B15,MMWR_RATING_RO_ROLLUP[MMWR_RATING_RO_ROLLUP],0),MATCH(F$9,MMWR_RATING_RO_ROLLUP[#Headers],0)),"ERROR"))</f>
        <v>60966</v>
      </c>
      <c r="G15" s="154">
        <f>IF($B15=" ","",IFERROR(INDEX(MMWR_RATING_RO_ROLLUP[],MATCH($B15,MMWR_RATING_RO_ROLLUP[MMWR_RATING_RO_ROLLUP],0),MATCH(G$9,MMWR_RATING_RO_ROLLUP[#Headers],0)),"ERROR"))</f>
        <v>854746</v>
      </c>
      <c r="H15" s="155">
        <f>IF($B15=" ","",IFERROR(INDEX(MMWR_RATING_RO_ROLLUP[],MATCH($B15,MMWR_RATING_RO_ROLLUP[MMWR_RATING_RO_ROLLUP],0),MATCH(H$9,MMWR_RATING_RO_ROLLUP[#Headers],0)),"ERROR"))</f>
        <v>127.2399862218</v>
      </c>
      <c r="I15" s="155">
        <f>IF($B15=" ","",IFERROR(INDEX(MMWR_RATING_RO_ROLLUP[],MATCH($B15,MMWR_RATING_RO_ROLLUP[MMWR_RATING_RO_ROLLUP],0),MATCH(I$9,MMWR_RATING_RO_ROLLUP[#Headers],0)),"ERROR"))</f>
        <v>128.81267300459999</v>
      </c>
      <c r="J15" s="157">
        <f>VLOOKUP($B$13,MMWR_ACCURACY_RO[],MATCH(J$9,MMWR_ACCURACY_RO[#Headers],0),0)</f>
        <v>0.95168781246098</v>
      </c>
      <c r="K15" s="157">
        <f>VLOOKUP($B$13,MMWR_ACCURACY_RO[],MATCH(K$9,MMWR_ACCURACY_RO[#Headers],0),0)</f>
        <v>0.86588343156635506</v>
      </c>
      <c r="L15" s="157">
        <f>VLOOKUP($B$13,MMWR_ACCURACY_RO[],MATCH(L$9,MMWR_ACCURACY_RO[#Headers],0),0)</f>
        <v>0.885974049178335</v>
      </c>
      <c r="M15" s="157">
        <f>VLOOKUP($B$13,MMWR_ACCURACY_RO[],MATCH(M$9,MMWR_ACCURACY_RO[#Headers],0),0)</f>
        <v>7.8611549572085004E-3</v>
      </c>
      <c r="N15" s="157">
        <f>VLOOKUP($B$13,MMWR_ACCURACY_RO[],MATCH(N$9,MMWR_ACCURACY_RO[#Headers],0),0)</f>
        <v>0.89787886833437702</v>
      </c>
      <c r="O15" s="157">
        <f>VLOOKUP($B$13,MMWR_ACCURACY_RO[],MATCH(O$9,MMWR_ACCURACY_RO[#Headers],0),0)</f>
        <v>1.1898620119243E-2</v>
      </c>
      <c r="P15" s="28"/>
    </row>
    <row r="16" spans="1:16" x14ac:dyDescent="0.2">
      <c r="A16" s="25"/>
      <c r="B16" s="247" t="s">
        <v>368</v>
      </c>
      <c r="C16" s="154">
        <f>IF($B16=" ","",IFERROR(INDEX(MMWR_RATING_RO_ROLLUP[],MATCH($B16,MMWR_RATING_RO_ROLLUP[MMWR_RATING_RO_ROLLUP],0),MATCH(C$9,MMWR_RATING_RO_ROLLUP[#Headers],0)),"ERROR"))</f>
        <v>22688</v>
      </c>
      <c r="D16" s="155">
        <f>IF($B16=" ","",IFERROR(INDEX(MMWR_RATING_RO_ROLLUP[],MATCH($B16,MMWR_RATING_RO_ROLLUP[MMWR_RATING_RO_ROLLUP],0),MATCH(D$9,MMWR_RATING_RO_ROLLUP[#Headers],0)),"ERROR"))</f>
        <v>104.0320433709</v>
      </c>
      <c r="E16" s="156">
        <f>IF($B16=" ","",IFERROR(INDEX(MMWR_RATING_RO_ROLLUP[],MATCH($B16,MMWR_RATING_RO_ROLLUP[MMWR_RATING_RO_ROLLUP],0),MATCH(E$9,MMWR_RATING_RO_ROLLUP[#Headers],0))/$C16,"ERROR"))</f>
        <v>0.28098554301833567</v>
      </c>
      <c r="F16" s="154">
        <f>IF($B16=" ","",IFERROR(INDEX(MMWR_RATING_RO_ROLLUP[],MATCH($B16,MMWR_RATING_RO_ROLLUP[MMWR_RATING_RO_ROLLUP],0),MATCH(F$9,MMWR_RATING_RO_ROLLUP[#Headers],0)),"ERROR"))</f>
        <v>12972</v>
      </c>
      <c r="G16" s="154">
        <f>IF($B16=" ","",IFERROR(INDEX(MMWR_RATING_RO_ROLLUP[],MATCH($B16,MMWR_RATING_RO_ROLLUP[MMWR_RATING_RO_ROLLUP],0),MATCH(G$9,MMWR_RATING_RO_ROLLUP[#Headers],0)),"ERROR"))</f>
        <v>181106</v>
      </c>
      <c r="H16" s="155">
        <f>IF($B16=" ","",IFERROR(INDEX(MMWR_RATING_RO_ROLLUP[],MATCH($B16,MMWR_RATING_RO_ROLLUP[MMWR_RATING_RO_ROLLUP],0),MATCH(H$9,MMWR_RATING_RO_ROLLUP[#Headers],0)),"ERROR"))</f>
        <v>129.4427227875</v>
      </c>
      <c r="I16" s="155">
        <f>IF($B16=" ","",IFERROR(INDEX(MMWR_RATING_RO_ROLLUP[],MATCH($B16,MMWR_RATING_RO_ROLLUP[MMWR_RATING_RO_ROLLUP],0),MATCH(I$9,MMWR_RATING_RO_ROLLUP[#Headers],0)),"ERROR"))</f>
        <v>129.79147571039999</v>
      </c>
      <c r="J16" s="157">
        <f>IF($B16=" ","",IFERROR(VLOOKUP($B16,MMWR_ACCURACY_RO[],MATCH(J$9,MMWR_ACCURACY_RO[#Headers],0),0),"ERROR"))</f>
        <v>0.95846293173471497</v>
      </c>
      <c r="K16" s="157">
        <f>IF($B16=" ","",IFERROR(VLOOKUP($B16,MMWR_ACCURACY_RO[],MATCH(K$9,MMWR_ACCURACY_RO[#Headers],0),0),"ERROR"))</f>
        <v>0.86841381260836104</v>
      </c>
      <c r="L16" s="157">
        <f>IF($B16=" ","",IFERROR(VLOOKUP($B16,MMWR_ACCURACY_RO[],MATCH(L$9,MMWR_ACCURACY_RO[#Headers],0),0),"ERROR"))</f>
        <v>0.87854911720371398</v>
      </c>
      <c r="M16" s="157">
        <f>IF($B16=" ","",IFERROR(VLOOKUP($B16,MMWR_ACCURACY_RO[],MATCH(M$9,MMWR_ACCURACY_RO[#Headers],0),0),"ERROR"))</f>
        <v>1.5281988631149801E-2</v>
      </c>
      <c r="N16" s="157">
        <f>IF($B16=" ","",IFERROR(VLOOKUP($B16,MMWR_ACCURACY_RO[],MATCH(N$9,MMWR_ACCURACY_RO[#Headers],0),0),"ERROR"))</f>
        <v>0.87548147611045801</v>
      </c>
      <c r="O16" s="157">
        <f>IF($B16=" ","",IFERROR(VLOOKUP($B16,MMWR_ACCURACY_RO[],MATCH(O$9,MMWR_ACCURACY_RO[#Headers],0),0),"ERROR"))</f>
        <v>3.1487582547481997E-2</v>
      </c>
      <c r="P16" s="28"/>
    </row>
    <row r="17" spans="1:16" x14ac:dyDescent="0.2">
      <c r="A17" s="25"/>
      <c r="B17" s="8" t="str">
        <f>VLOOKUP($B$16,DISTRICT_RO[],2,0)</f>
        <v>Baltimore VSC</v>
      </c>
      <c r="C17" s="154">
        <f>IF($B17=" ","",IFERROR(INDEX(MMWR_RATING_RO_ROLLUP[],MATCH($B17,MMWR_RATING_RO_ROLLUP[MMWR_RATING_RO_ROLLUP],0),MATCH(C$9,MMWR_RATING_RO_ROLLUP[#Headers],0)),"ERROR"))</f>
        <v>753</v>
      </c>
      <c r="D17" s="155">
        <f>IF($B17=" ","",IFERROR(INDEX(MMWR_RATING_RO_ROLLUP[],MATCH($B17,MMWR_RATING_RO_ROLLUP[MMWR_RATING_RO_ROLLUP],0),MATCH(D$9,MMWR_RATING_RO_ROLLUP[#Headers],0)),"ERROR"))</f>
        <v>117.86586985389999</v>
      </c>
      <c r="E17" s="156">
        <f>IF($B17=" ","",IFERROR(INDEX(MMWR_RATING_RO_ROLLUP[],MATCH($B17,MMWR_RATING_RO_ROLLUP[MMWR_RATING_RO_ROLLUP],0),MATCH(E$9,MMWR_RATING_RO_ROLLUP[#Headers],0))/$C17,"ERROR"))</f>
        <v>0.39043824701195218</v>
      </c>
      <c r="F17" s="154">
        <f>IF($B17=" ","",IFERROR(INDEX(MMWR_RATING_RO_ROLLUP[],MATCH($B17,MMWR_RATING_RO_ROLLUP[MMWR_RATING_RO_ROLLUP],0),MATCH(F$9,MMWR_RATING_RO_ROLLUP[#Headers],0)),"ERROR"))</f>
        <v>280</v>
      </c>
      <c r="G17" s="154">
        <f>IF($B17=" ","",IFERROR(INDEX(MMWR_RATING_RO_ROLLUP[],MATCH($B17,MMWR_RATING_RO_ROLLUP[MMWR_RATING_RO_ROLLUP],0),MATCH(G$9,MMWR_RATING_RO_ROLLUP[#Headers],0)),"ERROR"))</f>
        <v>6445</v>
      </c>
      <c r="H17" s="155">
        <f>IF($B17=" ","",IFERROR(INDEX(MMWR_RATING_RO_ROLLUP[],MATCH($B17,MMWR_RATING_RO_ROLLUP[MMWR_RATING_RO_ROLLUP],0),MATCH(H$9,MMWR_RATING_RO_ROLLUP[#Headers],0)),"ERROR"))</f>
        <v>176.3714285714</v>
      </c>
      <c r="I17" s="155">
        <f>IF($B17=" ","",IFERROR(INDEX(MMWR_RATING_RO_ROLLUP[],MATCH($B17,MMWR_RATING_RO_ROLLUP[MMWR_RATING_RO_ROLLUP],0),MATCH(I$9,MMWR_RATING_RO_ROLLUP[#Headers],0)),"ERROR"))</f>
        <v>143.63211792089999</v>
      </c>
      <c r="J17" s="157">
        <f>IF($B17=" ","",IFERROR(VLOOKUP($B17,MMWR_ACCURACY_RO[],MATCH(J$9,MMWR_ACCURACY_RO[#Headers],0),0),"ERROR"))</f>
        <v>0.90188566775685497</v>
      </c>
      <c r="K17" s="157">
        <f>IF($B17=" ","",IFERROR(VLOOKUP($B17,MMWR_ACCURACY_RO[],MATCH(K$9,MMWR_ACCURACY_RO[#Headers],0),0),"ERROR"))</f>
        <v>0.73347025467369298</v>
      </c>
      <c r="L17" s="157">
        <f>IF($B17=" ","",IFERROR(VLOOKUP($B17,MMWR_ACCURACY_RO[],MATCH(L$9,MMWR_ACCURACY_RO[#Headers],0),0),"ERROR"))</f>
        <v>0.81653649450434795</v>
      </c>
      <c r="M17" s="157">
        <f>IF($B17=" ","",IFERROR(VLOOKUP($B17,MMWR_ACCURACY_RO[],MATCH(M$9,MMWR_ACCURACY_RO[#Headers],0),0),"ERROR"))</f>
        <v>4.6324894365922603E-2</v>
      </c>
      <c r="N17" s="157">
        <f>IF($B17=" ","",IFERROR(VLOOKUP($B17,MMWR_ACCURACY_RO[],MATCH(N$9,MMWR_ACCURACY_RO[#Headers],0),0),"ERROR"))</f>
        <v>0.88521920558676104</v>
      </c>
      <c r="O17" s="157">
        <f>IF($B17=" ","",IFERROR(VLOOKUP($B17,MMWR_ACCURACY_RO[],MATCH(O$9,MMWR_ACCURACY_RO[#Headers],0),0),"ERROR"))</f>
        <v>4.92292310977984E-2</v>
      </c>
      <c r="P17" s="28"/>
    </row>
    <row r="18" spans="1:16" x14ac:dyDescent="0.2">
      <c r="A18" s="25"/>
      <c r="B18" s="8" t="str">
        <f>VLOOKUP($B$16,DISTRICT_RO[],3,0)</f>
        <v>Boston VSC</v>
      </c>
      <c r="C18" s="154">
        <f>IF($B18=" ","",IFERROR(INDEX(MMWR_RATING_RO_ROLLUP[],MATCH($B18,MMWR_RATING_RO_ROLLUP[MMWR_RATING_RO_ROLLUP],0),MATCH(C$9,MMWR_RATING_RO_ROLLUP[#Headers],0)),"ERROR"))</f>
        <v>891</v>
      </c>
      <c r="D18" s="155">
        <f>IF($B18=" ","",IFERROR(INDEX(MMWR_RATING_RO_ROLLUP[],MATCH($B18,MMWR_RATING_RO_ROLLUP[MMWR_RATING_RO_ROLLUP],0),MATCH(D$9,MMWR_RATING_RO_ROLLUP[#Headers],0)),"ERROR"))</f>
        <v>114.31537598200001</v>
      </c>
      <c r="E18" s="156">
        <f>IF($B18=" ","",IFERROR(INDEX(MMWR_RATING_RO_ROLLUP[],MATCH($B18,MMWR_RATING_RO_ROLLUP[MMWR_RATING_RO_ROLLUP],0),MATCH(E$9,MMWR_RATING_RO_ROLLUP[#Headers],0))/$C18,"ERROR"))</f>
        <v>0.37598204264870932</v>
      </c>
      <c r="F18" s="154">
        <f>IF($B18=" ","",IFERROR(INDEX(MMWR_RATING_RO_ROLLUP[],MATCH($B18,MMWR_RATING_RO_ROLLUP[MMWR_RATING_RO_ROLLUP],0),MATCH(F$9,MMWR_RATING_RO_ROLLUP[#Headers],0)),"ERROR"))</f>
        <v>617</v>
      </c>
      <c r="G18" s="154">
        <f>IF($B18=" ","",IFERROR(INDEX(MMWR_RATING_RO_ROLLUP[],MATCH($B18,MMWR_RATING_RO_ROLLUP[MMWR_RATING_RO_ROLLUP],0),MATCH(G$9,MMWR_RATING_RO_ROLLUP[#Headers],0)),"ERROR"))</f>
        <v>7861</v>
      </c>
      <c r="H18" s="155">
        <f>IF($B18=" ","",IFERROR(INDEX(MMWR_RATING_RO_ROLLUP[],MATCH($B18,MMWR_RATING_RO_ROLLUP[MMWR_RATING_RO_ROLLUP],0),MATCH(H$9,MMWR_RATING_RO_ROLLUP[#Headers],0)),"ERROR"))</f>
        <v>121.39059967590001</v>
      </c>
      <c r="I18" s="155">
        <f>IF($B18=" ","",IFERROR(INDEX(MMWR_RATING_RO_ROLLUP[],MATCH($B18,MMWR_RATING_RO_ROLLUP[MMWR_RATING_RO_ROLLUP],0),MATCH(I$9,MMWR_RATING_RO_ROLLUP[#Headers],0)),"ERROR"))</f>
        <v>130.86782852050001</v>
      </c>
      <c r="J18" s="157">
        <f>IF($B18=" ","",IFERROR(VLOOKUP($B18,MMWR_ACCURACY_RO[],MATCH(J$9,MMWR_ACCURACY_RO[#Headers],0),0),"ERROR"))</f>
        <v>0.93814228931247201</v>
      </c>
      <c r="K18" s="157">
        <f>IF($B18=" ","",IFERROR(VLOOKUP($B18,MMWR_ACCURACY_RO[],MATCH(K$9,MMWR_ACCURACY_RO[#Headers],0),0),"ERROR"))</f>
        <v>0.80065275187492602</v>
      </c>
      <c r="L18" s="157">
        <f>IF($B18=" ","",IFERROR(VLOOKUP($B18,MMWR_ACCURACY_RO[],MATCH(L$9,MMWR_ACCURACY_RO[#Headers],0),0),"ERROR"))</f>
        <v>0.79722077464949703</v>
      </c>
      <c r="M18" s="157">
        <f>IF($B18=" ","",IFERROR(VLOOKUP($B18,MMWR_ACCURACY_RO[],MATCH(M$9,MMWR_ACCURACY_RO[#Headers],0),0),"ERROR"))</f>
        <v>6.1605731085896898E-2</v>
      </c>
      <c r="N18" s="157">
        <f>IF($B18=" ","",IFERROR(VLOOKUP($B18,MMWR_ACCURACY_RO[],MATCH(N$9,MMWR_ACCURACY_RO[#Headers],0),0),"ERROR"))</f>
        <v>0.92791149212874402</v>
      </c>
      <c r="O18" s="157">
        <f>IF($B18=" ","",IFERROR(VLOOKUP($B18,MMWR_ACCURACY_RO[],MATCH(O$9,MMWR_ACCURACY_RO[#Headers],0),0),"ERROR"))</f>
        <v>3.00411100052588E-2</v>
      </c>
      <c r="P18" s="28"/>
    </row>
    <row r="19" spans="1:16" x14ac:dyDescent="0.2">
      <c r="A19" s="25"/>
      <c r="B19" s="8" t="str">
        <f>VLOOKUP($B$16,DISTRICT_RO[],4,0)</f>
        <v>Buffalo VSC</v>
      </c>
      <c r="C19" s="154">
        <f>IF($B19=" ","",IFERROR(INDEX(MMWR_RATING_RO_ROLLUP[],MATCH($B19,MMWR_RATING_RO_ROLLUP[MMWR_RATING_RO_ROLLUP],0),MATCH(C$9,MMWR_RATING_RO_ROLLUP[#Headers],0)),"ERROR"))</f>
        <v>979</v>
      </c>
      <c r="D19" s="155">
        <f>IF($B19=" ","",IFERROR(INDEX(MMWR_RATING_RO_ROLLUP[],MATCH($B19,MMWR_RATING_RO_ROLLUP[MMWR_RATING_RO_ROLLUP],0),MATCH(D$9,MMWR_RATING_RO_ROLLUP[#Headers],0)),"ERROR"))</f>
        <v>96.074565883600002</v>
      </c>
      <c r="E19" s="156">
        <f>IF($B19=" ","",IFERROR(INDEX(MMWR_RATING_RO_ROLLUP[],MATCH($B19,MMWR_RATING_RO_ROLLUP[MMWR_RATING_RO_ROLLUP],0),MATCH(E$9,MMWR_RATING_RO_ROLLUP[#Headers],0))/$C19,"ERROR"))</f>
        <v>0.2992849846782431</v>
      </c>
      <c r="F19" s="154">
        <f>IF($B19=" ","",IFERROR(INDEX(MMWR_RATING_RO_ROLLUP[],MATCH($B19,MMWR_RATING_RO_ROLLUP[MMWR_RATING_RO_ROLLUP],0),MATCH(F$9,MMWR_RATING_RO_ROLLUP[#Headers],0)),"ERROR"))</f>
        <v>492</v>
      </c>
      <c r="G19" s="154">
        <f>IF($B19=" ","",IFERROR(INDEX(MMWR_RATING_RO_ROLLUP[],MATCH($B19,MMWR_RATING_RO_ROLLUP[MMWR_RATING_RO_ROLLUP],0),MATCH(G$9,MMWR_RATING_RO_ROLLUP[#Headers],0)),"ERROR"))</f>
        <v>8375</v>
      </c>
      <c r="H19" s="155">
        <f>IF($B19=" ","",IFERROR(INDEX(MMWR_RATING_RO_ROLLUP[],MATCH($B19,MMWR_RATING_RO_ROLLUP[MMWR_RATING_RO_ROLLUP],0),MATCH(H$9,MMWR_RATING_RO_ROLLUP[#Headers],0)),"ERROR"))</f>
        <v>147.36991869920001</v>
      </c>
      <c r="I19" s="155">
        <f>IF($B19=" ","",IFERROR(INDEX(MMWR_RATING_RO_ROLLUP[],MATCH($B19,MMWR_RATING_RO_ROLLUP[MMWR_RATING_RO_ROLLUP],0),MATCH(I$9,MMWR_RATING_RO_ROLLUP[#Headers],0)),"ERROR"))</f>
        <v>133.00561194030001</v>
      </c>
      <c r="J19" s="157">
        <f>IF($B19=" ","",IFERROR(VLOOKUP($B19,MMWR_ACCURACY_RO[],MATCH(J$9,MMWR_ACCURACY_RO[#Headers],0),0),"ERROR"))</f>
        <v>0.95926984604583498</v>
      </c>
      <c r="K19" s="157">
        <f>IF($B19=" ","",IFERROR(VLOOKUP($B19,MMWR_ACCURACY_RO[],MATCH(K$9,MMWR_ACCURACY_RO[#Headers],0),0),"ERROR"))</f>
        <v>0.90241278623021404</v>
      </c>
      <c r="L19" s="157">
        <f>IF($B19=" ","",IFERROR(VLOOKUP($B19,MMWR_ACCURACY_RO[],MATCH(L$9,MMWR_ACCURACY_RO[#Headers],0),0),"ERROR"))</f>
        <v>0.89693203448661996</v>
      </c>
      <c r="M19" s="157">
        <f>IF($B19=" ","",IFERROR(VLOOKUP($B19,MMWR_ACCURACY_RO[],MATCH(M$9,MMWR_ACCURACY_RO[#Headers],0),0),"ERROR"))</f>
        <v>4.7920287070820203E-2</v>
      </c>
      <c r="N19" s="157">
        <f>IF($B19=" ","",IFERROR(VLOOKUP($B19,MMWR_ACCURACY_RO[],MATCH(N$9,MMWR_ACCURACY_RO[#Headers],0),0),"ERROR"))</f>
        <v>0.85459267784486603</v>
      </c>
      <c r="O19" s="157">
        <f>IF($B19=" ","",IFERROR(VLOOKUP($B19,MMWR_ACCURACY_RO[],MATCH(O$9,MMWR_ACCURACY_RO[#Headers],0),0),"ERROR"))</f>
        <v>4.93915498095788E-2</v>
      </c>
      <c r="P19" s="28"/>
    </row>
    <row r="20" spans="1:16" x14ac:dyDescent="0.2">
      <c r="A20" s="25"/>
      <c r="B20" s="8" t="str">
        <f>VLOOKUP($B$16,DISTRICT_RO[],5,0)</f>
        <v>Hartford VSC</v>
      </c>
      <c r="C20" s="154">
        <f>IF($B20=" ","",IFERROR(INDEX(MMWR_RATING_RO_ROLLUP[],MATCH($B20,MMWR_RATING_RO_ROLLUP[MMWR_RATING_RO_ROLLUP],0),MATCH(C$9,MMWR_RATING_RO_ROLLUP[#Headers],0)),"ERROR"))</f>
        <v>785</v>
      </c>
      <c r="D20" s="155">
        <f>IF($B20=" ","",IFERROR(INDEX(MMWR_RATING_RO_ROLLUP[],MATCH($B20,MMWR_RATING_RO_ROLLUP[MMWR_RATING_RO_ROLLUP],0),MATCH(D$9,MMWR_RATING_RO_ROLLUP[#Headers],0)),"ERROR"))</f>
        <v>93.085350318500005</v>
      </c>
      <c r="E20" s="156">
        <f>IF($B20=" ","",IFERROR(INDEX(MMWR_RATING_RO_ROLLUP[],MATCH($B20,MMWR_RATING_RO_ROLLUP[MMWR_RATING_RO_ROLLUP],0),MATCH(E$9,MMWR_RATING_RO_ROLLUP[#Headers],0))/$C20,"ERROR"))</f>
        <v>0.1961783439490446</v>
      </c>
      <c r="F20" s="154">
        <f>IF($B20=" ","",IFERROR(INDEX(MMWR_RATING_RO_ROLLUP[],MATCH($B20,MMWR_RATING_RO_ROLLUP[MMWR_RATING_RO_ROLLUP],0),MATCH(F$9,MMWR_RATING_RO_ROLLUP[#Headers],0)),"ERROR"))</f>
        <v>639</v>
      </c>
      <c r="G20" s="154">
        <f>IF($B20=" ","",IFERROR(INDEX(MMWR_RATING_RO_ROLLUP[],MATCH($B20,MMWR_RATING_RO_ROLLUP[MMWR_RATING_RO_ROLLUP],0),MATCH(G$9,MMWR_RATING_RO_ROLLUP[#Headers],0)),"ERROR"))</f>
        <v>7795</v>
      </c>
      <c r="H20" s="155">
        <f>IF($B20=" ","",IFERROR(INDEX(MMWR_RATING_RO_ROLLUP[],MATCH($B20,MMWR_RATING_RO_ROLLUP[MMWR_RATING_RO_ROLLUP],0),MATCH(H$9,MMWR_RATING_RO_ROLLUP[#Headers],0)),"ERROR"))</f>
        <v>116.3568075117</v>
      </c>
      <c r="I20" s="155">
        <f>IF($B20=" ","",IFERROR(INDEX(MMWR_RATING_RO_ROLLUP[],MATCH($B20,MMWR_RATING_RO_ROLLUP[MMWR_RATING_RO_ROLLUP],0),MATCH(I$9,MMWR_RATING_RO_ROLLUP[#Headers],0)),"ERROR"))</f>
        <v>125.8735086594</v>
      </c>
      <c r="J20" s="157">
        <f>IF($B20=" ","",IFERROR(VLOOKUP($B20,MMWR_ACCURACY_RO[],MATCH(J$9,MMWR_ACCURACY_RO[#Headers],0),0),"ERROR"))</f>
        <v>0.98068869165559502</v>
      </c>
      <c r="K20" s="157">
        <f>IF($B20=" ","",IFERROR(VLOOKUP($B20,MMWR_ACCURACY_RO[],MATCH(K$9,MMWR_ACCURACY_RO[#Headers],0),0),"ERROR"))</f>
        <v>0.93820256453708395</v>
      </c>
      <c r="L20" s="157">
        <f>IF($B20=" ","",IFERROR(VLOOKUP($B20,MMWR_ACCURACY_RO[],MATCH(L$9,MMWR_ACCURACY_RO[#Headers],0),0),"ERROR"))</f>
        <v>0.92779320412044497</v>
      </c>
      <c r="M20" s="157">
        <f>IF($B20=" ","",IFERROR(VLOOKUP($B20,MMWR_ACCURACY_RO[],MATCH(M$9,MMWR_ACCURACY_RO[#Headers],0),0),"ERROR"))</f>
        <v>4.4271476300910398E-2</v>
      </c>
      <c r="N20" s="157">
        <f>IF($B20=" ","",IFERROR(VLOOKUP($B20,MMWR_ACCURACY_RO[],MATCH(N$9,MMWR_ACCURACY_RO[#Headers],0),0),"ERROR"))</f>
        <v>0.94307359307359295</v>
      </c>
      <c r="O20" s="157">
        <f>IF($B20=" ","",IFERROR(VLOOKUP($B20,MMWR_ACCURACY_RO[],MATCH(O$9,MMWR_ACCURACY_RO[#Headers],0),0),"ERROR"))</f>
        <v>4.6997468949121803E-2</v>
      </c>
      <c r="P20" s="28"/>
    </row>
    <row r="21" spans="1:16" x14ac:dyDescent="0.2">
      <c r="A21" s="25"/>
      <c r="B21" s="8" t="str">
        <f>VLOOKUP($B$16,DISTRICT_RO[],6,0)</f>
        <v>Huntington VSC</v>
      </c>
      <c r="C21" s="154">
        <f>IF($B21=" ","",IFERROR(INDEX(MMWR_RATING_RO_ROLLUP[],MATCH($B21,MMWR_RATING_RO_ROLLUP[MMWR_RATING_RO_ROLLUP],0),MATCH(C$9,MMWR_RATING_RO_ROLLUP[#Headers],0)),"ERROR"))</f>
        <v>2255</v>
      </c>
      <c r="D21" s="155">
        <f>IF($B21=" ","",IFERROR(INDEX(MMWR_RATING_RO_ROLLUP[],MATCH($B21,MMWR_RATING_RO_ROLLUP[MMWR_RATING_RO_ROLLUP],0),MATCH(D$9,MMWR_RATING_RO_ROLLUP[#Headers],0)),"ERROR"))</f>
        <v>79.380931263899996</v>
      </c>
      <c r="E21" s="156">
        <f>IF($B21=" ","",IFERROR(INDEX(MMWR_RATING_RO_ROLLUP[],MATCH($B21,MMWR_RATING_RO_ROLLUP[MMWR_RATING_RO_ROLLUP],0),MATCH(E$9,MMWR_RATING_RO_ROLLUP[#Headers],0))/$C21,"ERROR"))</f>
        <v>0.14190687361419069</v>
      </c>
      <c r="F21" s="154">
        <f>IF($B21=" ","",IFERROR(INDEX(MMWR_RATING_RO_ROLLUP[],MATCH($B21,MMWR_RATING_RO_ROLLUP[MMWR_RATING_RO_ROLLUP],0),MATCH(F$9,MMWR_RATING_RO_ROLLUP[#Headers],0)),"ERROR"))</f>
        <v>986</v>
      </c>
      <c r="G21" s="154">
        <f>IF($B21=" ","",IFERROR(INDEX(MMWR_RATING_RO_ROLLUP[],MATCH($B21,MMWR_RATING_RO_ROLLUP[MMWR_RATING_RO_ROLLUP],0),MATCH(G$9,MMWR_RATING_RO_ROLLUP[#Headers],0)),"ERROR"))</f>
        <v>13364</v>
      </c>
      <c r="H21" s="155">
        <f>IF($B21=" ","",IFERROR(INDEX(MMWR_RATING_RO_ROLLUP[],MATCH($B21,MMWR_RATING_RO_ROLLUP[MMWR_RATING_RO_ROLLUP],0),MATCH(H$9,MMWR_RATING_RO_ROLLUP[#Headers],0)),"ERROR"))</f>
        <v>115.8519269777</v>
      </c>
      <c r="I21" s="155">
        <f>IF($B21=" ","",IFERROR(INDEX(MMWR_RATING_RO_ROLLUP[],MATCH($B21,MMWR_RATING_RO_ROLLUP[MMWR_RATING_RO_ROLLUP],0),MATCH(I$9,MMWR_RATING_RO_ROLLUP[#Headers],0)),"ERROR"))</f>
        <v>127.8906016163</v>
      </c>
      <c r="J21" s="157">
        <f>IF($B21=" ","",IFERROR(VLOOKUP($B21,MMWR_ACCURACY_RO[],MATCH(J$9,MMWR_ACCURACY_RO[#Headers],0),0),"ERROR"))</f>
        <v>0.97442158530926104</v>
      </c>
      <c r="K21" s="157">
        <f>IF($B21=" ","",IFERROR(VLOOKUP($B21,MMWR_ACCURACY_RO[],MATCH(K$9,MMWR_ACCURACY_RO[#Headers],0),0),"ERROR"))</f>
        <v>0.90296513107661003</v>
      </c>
      <c r="L21" s="157">
        <f>IF($B21=" ","",IFERROR(VLOOKUP($B21,MMWR_ACCURACY_RO[],MATCH(L$9,MMWR_ACCURACY_RO[#Headers],0),0),"ERROR"))</f>
        <v>0.87672402884980405</v>
      </c>
      <c r="M21" s="157">
        <f>IF($B21=" ","",IFERROR(VLOOKUP($B21,MMWR_ACCURACY_RO[],MATCH(M$9,MMWR_ACCURACY_RO[#Headers],0),0),"ERROR"))</f>
        <v>4.8457498326536202E-2</v>
      </c>
      <c r="N21" s="157">
        <f>IF($B21=" ","",IFERROR(VLOOKUP($B21,MMWR_ACCURACY_RO[],MATCH(N$9,MMWR_ACCURACY_RO[#Headers],0),0),"ERROR"))</f>
        <v>0.89849844709711302</v>
      </c>
      <c r="O21" s="157">
        <f>IF($B21=" ","",IFERROR(VLOOKUP($B21,MMWR_ACCURACY_RO[],MATCH(O$9,MMWR_ACCURACY_RO[#Headers],0),0),"ERROR"))</f>
        <v>4.7045346468051003E-2</v>
      </c>
      <c r="P21" s="28"/>
    </row>
    <row r="22" spans="1:16" x14ac:dyDescent="0.2">
      <c r="A22" s="25"/>
      <c r="B22" s="8" t="str">
        <f>VLOOKUP($B$16,DISTRICT_RO[],7,0)</f>
        <v>Manchester VSC</v>
      </c>
      <c r="C22" s="154">
        <f>IF($B22=" ","",IFERROR(INDEX(MMWR_RATING_RO_ROLLUP[],MATCH($B22,MMWR_RATING_RO_ROLLUP[MMWR_RATING_RO_ROLLUP],0),MATCH(C$9,MMWR_RATING_RO_ROLLUP[#Headers],0)),"ERROR"))</f>
        <v>372</v>
      </c>
      <c r="D22" s="155">
        <f>IF($B22=" ","",IFERROR(INDEX(MMWR_RATING_RO_ROLLUP[],MATCH($B22,MMWR_RATING_RO_ROLLUP[MMWR_RATING_RO_ROLLUP],0),MATCH(D$9,MMWR_RATING_RO_ROLLUP[#Headers],0)),"ERROR"))</f>
        <v>91.206989247300001</v>
      </c>
      <c r="E22" s="156">
        <f>IF($B22=" ","",IFERROR(INDEX(MMWR_RATING_RO_ROLLUP[],MATCH($B22,MMWR_RATING_RO_ROLLUP[MMWR_RATING_RO_ROLLUP],0),MATCH(E$9,MMWR_RATING_RO_ROLLUP[#Headers],0))/$C22,"ERROR"))</f>
        <v>0.20698924731182797</v>
      </c>
      <c r="F22" s="154">
        <f>IF($B22=" ","",IFERROR(INDEX(MMWR_RATING_RO_ROLLUP[],MATCH($B22,MMWR_RATING_RO_ROLLUP[MMWR_RATING_RO_ROLLUP],0),MATCH(F$9,MMWR_RATING_RO_ROLLUP[#Headers],0)),"ERROR"))</f>
        <v>216</v>
      </c>
      <c r="G22" s="154">
        <f>IF($B22=" ","",IFERROR(INDEX(MMWR_RATING_RO_ROLLUP[],MATCH($B22,MMWR_RATING_RO_ROLLUP[MMWR_RATING_RO_ROLLUP],0),MATCH(G$9,MMWR_RATING_RO_ROLLUP[#Headers],0)),"ERROR"))</f>
        <v>3338</v>
      </c>
      <c r="H22" s="155">
        <f>IF($B22=" ","",IFERROR(INDEX(MMWR_RATING_RO_ROLLUP[],MATCH($B22,MMWR_RATING_RO_ROLLUP[MMWR_RATING_RO_ROLLUP],0),MATCH(H$9,MMWR_RATING_RO_ROLLUP[#Headers],0)),"ERROR"))</f>
        <v>137.0972222222</v>
      </c>
      <c r="I22" s="155">
        <f>IF($B22=" ","",IFERROR(INDEX(MMWR_RATING_RO_ROLLUP[],MATCH($B22,MMWR_RATING_RO_ROLLUP[MMWR_RATING_RO_ROLLUP],0),MATCH(I$9,MMWR_RATING_RO_ROLLUP[#Headers],0)),"ERROR"))</f>
        <v>132.39724385860001</v>
      </c>
      <c r="J22" s="157">
        <f>IF($B22=" ","",IFERROR(VLOOKUP($B22,MMWR_ACCURACY_RO[],MATCH(J$9,MMWR_ACCURACY_RO[#Headers],0),0),"ERROR"))</f>
        <v>0.97013701421076803</v>
      </c>
      <c r="K22" s="157">
        <f>IF($B22=" ","",IFERROR(VLOOKUP($B22,MMWR_ACCURACY_RO[],MATCH(K$9,MMWR_ACCURACY_RO[#Headers],0),0),"ERROR"))</f>
        <v>0.90144452842865497</v>
      </c>
      <c r="L22" s="157">
        <f>IF($B22=" ","",IFERROR(VLOOKUP($B22,MMWR_ACCURACY_RO[],MATCH(L$9,MMWR_ACCURACY_RO[#Headers],0),0),"ERROR"))</f>
        <v>0.89876098297638596</v>
      </c>
      <c r="M22" s="157">
        <f>IF($B22=" ","",IFERROR(VLOOKUP($B22,MMWR_ACCURACY_RO[],MATCH(M$9,MMWR_ACCURACY_RO[#Headers],0),0),"ERROR"))</f>
        <v>4.4138516467842899E-2</v>
      </c>
      <c r="N22" s="157">
        <f>IF($B22=" ","",IFERROR(VLOOKUP($B22,MMWR_ACCURACY_RO[],MATCH(N$9,MMWR_ACCURACY_RO[#Headers],0),0),"ERROR"))</f>
        <v>0.87528553489206495</v>
      </c>
      <c r="O22" s="157">
        <f>IF($B22=" ","",IFERROR(VLOOKUP($B22,MMWR_ACCURACY_RO[],MATCH(O$9,MMWR_ACCURACY_RO[#Headers],0),0),"ERROR"))</f>
        <v>5.7207236605424303E-2</v>
      </c>
      <c r="P22" s="28"/>
    </row>
    <row r="23" spans="1:16" x14ac:dyDescent="0.2">
      <c r="A23" s="25"/>
      <c r="B23" s="8" t="str">
        <f>VLOOKUP($B$16,DISTRICT_RO[],8,0)</f>
        <v>New York VSC</v>
      </c>
      <c r="C23" s="154">
        <f>IF($B23=" ","",IFERROR(INDEX(MMWR_RATING_RO_ROLLUP[],MATCH($B23,MMWR_RATING_RO_ROLLUP[MMWR_RATING_RO_ROLLUP],0),MATCH(C$9,MMWR_RATING_RO_ROLLUP[#Headers],0)),"ERROR"))</f>
        <v>1269</v>
      </c>
      <c r="D23" s="155">
        <f>IF($B23=" ","",IFERROR(INDEX(MMWR_RATING_RO_ROLLUP[],MATCH($B23,MMWR_RATING_RO_ROLLUP[MMWR_RATING_RO_ROLLUP],0),MATCH(D$9,MMWR_RATING_RO_ROLLUP[#Headers],0)),"ERROR"))</f>
        <v>133.80772261620001</v>
      </c>
      <c r="E23" s="156">
        <f>IF($B23=" ","",IFERROR(INDEX(MMWR_RATING_RO_ROLLUP[],MATCH($B23,MMWR_RATING_RO_ROLLUP[MMWR_RATING_RO_ROLLUP],0),MATCH(E$9,MMWR_RATING_RO_ROLLUP[#Headers],0))/$C23,"ERROR"))</f>
        <v>0.43577620173364856</v>
      </c>
      <c r="F23" s="154">
        <f>IF($B23=" ","",IFERROR(INDEX(MMWR_RATING_RO_ROLLUP[],MATCH($B23,MMWR_RATING_RO_ROLLUP[MMWR_RATING_RO_ROLLUP],0),MATCH(F$9,MMWR_RATING_RO_ROLLUP[#Headers],0)),"ERROR"))</f>
        <v>499</v>
      </c>
      <c r="G23" s="154">
        <f>IF($B23=" ","",IFERROR(INDEX(MMWR_RATING_RO_ROLLUP[],MATCH($B23,MMWR_RATING_RO_ROLLUP[MMWR_RATING_RO_ROLLUP],0),MATCH(G$9,MMWR_RATING_RO_ROLLUP[#Headers],0)),"ERROR"))</f>
        <v>9158</v>
      </c>
      <c r="H23" s="155">
        <f>IF($B23=" ","",IFERROR(INDEX(MMWR_RATING_RO_ROLLUP[],MATCH($B23,MMWR_RATING_RO_ROLLUP[MMWR_RATING_RO_ROLLUP],0),MATCH(H$9,MMWR_RATING_RO_ROLLUP[#Headers],0)),"ERROR"))</f>
        <v>151.15631262529999</v>
      </c>
      <c r="I23" s="155">
        <f>IF($B23=" ","",IFERROR(INDEX(MMWR_RATING_RO_ROLLUP[],MATCH($B23,MMWR_RATING_RO_ROLLUP[MMWR_RATING_RO_ROLLUP],0),MATCH(I$9,MMWR_RATING_RO_ROLLUP[#Headers],0)),"ERROR"))</f>
        <v>132.24011792970001</v>
      </c>
      <c r="J23" s="157">
        <f>IF($B23=" ","",IFERROR(VLOOKUP($B23,MMWR_ACCURACY_RO[],MATCH(J$9,MMWR_ACCURACY_RO[#Headers],0),0),"ERROR"))</f>
        <v>0.93814788167473995</v>
      </c>
      <c r="K23" s="157">
        <f>IF($B23=" ","",IFERROR(VLOOKUP($B23,MMWR_ACCURACY_RO[],MATCH(K$9,MMWR_ACCURACY_RO[#Headers],0),0),"ERROR"))</f>
        <v>0.87274806093754798</v>
      </c>
      <c r="L23" s="157">
        <f>IF($B23=" ","",IFERROR(VLOOKUP($B23,MMWR_ACCURACY_RO[],MATCH(L$9,MMWR_ACCURACY_RO[#Headers],0),0),"ERROR"))</f>
        <v>0.87191749462785995</v>
      </c>
      <c r="M23" s="157">
        <f>IF($B23=" ","",IFERROR(VLOOKUP($B23,MMWR_ACCURACY_RO[],MATCH(M$9,MMWR_ACCURACY_RO[#Headers],0),0),"ERROR"))</f>
        <v>5.10509932455223E-2</v>
      </c>
      <c r="N23" s="157">
        <f>IF($B23=" ","",IFERROR(VLOOKUP($B23,MMWR_ACCURACY_RO[],MATCH(N$9,MMWR_ACCURACY_RO[#Headers],0),0),"ERROR"))</f>
        <v>0.91433992235894301</v>
      </c>
      <c r="O23" s="157">
        <f>IF($B23=" ","",IFERROR(VLOOKUP($B23,MMWR_ACCURACY_RO[],MATCH(O$9,MMWR_ACCURACY_RO[#Headers],0),0),"ERROR"))</f>
        <v>4.2794130526865398E-2</v>
      </c>
      <c r="P23" s="28"/>
    </row>
    <row r="24" spans="1:16" x14ac:dyDescent="0.2">
      <c r="A24" s="25"/>
      <c r="B24" s="8" t="str">
        <f>VLOOKUP($B$16,DISTRICT_RO[],9,0)</f>
        <v>Newark VSC</v>
      </c>
      <c r="C24" s="154">
        <f>IF($B24=" ","",IFERROR(INDEX(MMWR_RATING_RO_ROLLUP[],MATCH($B24,MMWR_RATING_RO_ROLLUP[MMWR_RATING_RO_ROLLUP],0),MATCH(C$9,MMWR_RATING_RO_ROLLUP[#Headers],0)),"ERROR"))</f>
        <v>768</v>
      </c>
      <c r="D24" s="155">
        <f>IF($B24=" ","",IFERROR(INDEX(MMWR_RATING_RO_ROLLUP[],MATCH($B24,MMWR_RATING_RO_ROLLUP[MMWR_RATING_RO_ROLLUP],0),MATCH(D$9,MMWR_RATING_RO_ROLLUP[#Headers],0)),"ERROR"))</f>
        <v>136.0690104167</v>
      </c>
      <c r="E24" s="156">
        <f>IF($B24=" ","",IFERROR(INDEX(MMWR_RATING_RO_ROLLUP[],MATCH($B24,MMWR_RATING_RO_ROLLUP[MMWR_RATING_RO_ROLLUP],0),MATCH(E$9,MMWR_RATING_RO_ROLLUP[#Headers],0))/$C24,"ERROR"))</f>
        <v>0.47395833333333331</v>
      </c>
      <c r="F24" s="154">
        <f>IF($B24=" ","",IFERROR(INDEX(MMWR_RATING_RO_ROLLUP[],MATCH($B24,MMWR_RATING_RO_ROLLUP[MMWR_RATING_RO_ROLLUP],0),MATCH(F$9,MMWR_RATING_RO_ROLLUP[#Headers],0)),"ERROR"))</f>
        <v>207</v>
      </c>
      <c r="G24" s="154">
        <f>IF($B24=" ","",IFERROR(INDEX(MMWR_RATING_RO_ROLLUP[],MATCH($B24,MMWR_RATING_RO_ROLLUP[MMWR_RATING_RO_ROLLUP],0),MATCH(G$9,MMWR_RATING_RO_ROLLUP[#Headers],0)),"ERROR"))</f>
        <v>4277</v>
      </c>
      <c r="H24" s="155">
        <f>IF($B24=" ","",IFERROR(INDEX(MMWR_RATING_RO_ROLLUP[],MATCH($B24,MMWR_RATING_RO_ROLLUP[MMWR_RATING_RO_ROLLUP],0),MATCH(H$9,MMWR_RATING_RO_ROLLUP[#Headers],0)),"ERROR"))</f>
        <v>179.0096618357</v>
      </c>
      <c r="I24" s="155">
        <f>IF($B24=" ","",IFERROR(INDEX(MMWR_RATING_RO_ROLLUP[],MATCH($B24,MMWR_RATING_RO_ROLLUP[MMWR_RATING_RO_ROLLUP],0),MATCH(I$9,MMWR_RATING_RO_ROLLUP[#Headers],0)),"ERROR"))</f>
        <v>142.8157587094</v>
      </c>
      <c r="J24" s="157">
        <f>IF($B24=" ","",IFERROR(VLOOKUP($B24,MMWR_ACCURACY_RO[],MATCH(J$9,MMWR_ACCURACY_RO[#Headers],0),0),"ERROR"))</f>
        <v>0.95214199809231503</v>
      </c>
      <c r="K24" s="157">
        <f>IF($B24=" ","",IFERROR(VLOOKUP($B24,MMWR_ACCURACY_RO[],MATCH(K$9,MMWR_ACCURACY_RO[#Headers],0),0),"ERROR"))</f>
        <v>0.89667266187050398</v>
      </c>
      <c r="L24" s="157">
        <f>IF($B24=" ","",IFERROR(VLOOKUP($B24,MMWR_ACCURACY_RO[],MATCH(L$9,MMWR_ACCURACY_RO[#Headers],0),0),"ERROR"))</f>
        <v>0.90428581260107999</v>
      </c>
      <c r="M24" s="157">
        <f>IF($B24=" ","",IFERROR(VLOOKUP($B24,MMWR_ACCURACY_RO[],MATCH(M$9,MMWR_ACCURACY_RO[#Headers],0),0),"ERROR"))</f>
        <v>3.9477569540227901E-2</v>
      </c>
      <c r="N24" s="157">
        <f>IF($B24=" ","",IFERROR(VLOOKUP($B24,MMWR_ACCURACY_RO[],MATCH(N$9,MMWR_ACCURACY_RO[#Headers],0),0),"ERROR"))</f>
        <v>0.85679246064442405</v>
      </c>
      <c r="O24" s="157">
        <f>IF($B24=" ","",IFERROR(VLOOKUP($B24,MMWR_ACCURACY_RO[],MATCH(O$9,MMWR_ACCURACY_RO[#Headers],0),0),"ERROR"))</f>
        <v>5.2328934940198801E-2</v>
      </c>
      <c r="P24" s="28"/>
    </row>
    <row r="25" spans="1:16" x14ac:dyDescent="0.2">
      <c r="A25" s="25"/>
      <c r="B25" s="8" t="str">
        <f>VLOOKUP($B$16,DISTRICT_RO[],10,0)</f>
        <v>Philadelphia VSC</v>
      </c>
      <c r="C25" s="154">
        <f>IF($B25=" ","",IFERROR(INDEX(MMWR_RATING_RO_ROLLUP[],MATCH($B25,MMWR_RATING_RO_ROLLUP[MMWR_RATING_RO_ROLLUP],0),MATCH(C$9,MMWR_RATING_RO_ROLLUP[#Headers],0)),"ERROR"))</f>
        <v>2915</v>
      </c>
      <c r="D25" s="155">
        <f>IF($B25=" ","",IFERROR(INDEX(MMWR_RATING_RO_ROLLUP[],MATCH($B25,MMWR_RATING_RO_ROLLUP[MMWR_RATING_RO_ROLLUP],0),MATCH(D$9,MMWR_RATING_RO_ROLLUP[#Headers],0)),"ERROR"))</f>
        <v>134.53516295029999</v>
      </c>
      <c r="E25" s="156">
        <f>IF($B25=" ","",IFERROR(INDEX(MMWR_RATING_RO_ROLLUP[],MATCH($B25,MMWR_RATING_RO_ROLLUP[MMWR_RATING_RO_ROLLUP],0),MATCH(E$9,MMWR_RATING_RO_ROLLUP[#Headers],0))/$C25,"ERROR"))</f>
        <v>0.37084048027444255</v>
      </c>
      <c r="F25" s="154">
        <f>IF($B25=" ","",IFERROR(INDEX(MMWR_RATING_RO_ROLLUP[],MATCH($B25,MMWR_RATING_RO_ROLLUP[MMWR_RATING_RO_ROLLUP],0),MATCH(F$9,MMWR_RATING_RO_ROLLUP[#Headers],0)),"ERROR"))</f>
        <v>1454</v>
      </c>
      <c r="G25" s="154">
        <f>IF($B25=" ","",IFERROR(INDEX(MMWR_RATING_RO_ROLLUP[],MATCH($B25,MMWR_RATING_RO_ROLLUP[MMWR_RATING_RO_ROLLUP],0),MATCH(G$9,MMWR_RATING_RO_ROLLUP[#Headers],0)),"ERROR"))</f>
        <v>19158</v>
      </c>
      <c r="H25" s="155">
        <f>IF($B25=" ","",IFERROR(INDEX(MMWR_RATING_RO_ROLLUP[],MATCH($B25,MMWR_RATING_RO_ROLLUP[MMWR_RATING_RO_ROLLUP],0),MATCH(H$9,MMWR_RATING_RO_ROLLUP[#Headers],0)),"ERROR"))</f>
        <v>138.54057771660001</v>
      </c>
      <c r="I25" s="155">
        <f>IF($B25=" ","",IFERROR(INDEX(MMWR_RATING_RO_ROLLUP[],MATCH($B25,MMWR_RATING_RO_ROLLUP[MMWR_RATING_RO_ROLLUP],0),MATCH(I$9,MMWR_RATING_RO_ROLLUP[#Headers],0)),"ERROR"))</f>
        <v>145.55804363710001</v>
      </c>
      <c r="J25" s="157">
        <f>IF($B25=" ","",IFERROR(VLOOKUP($B25,MMWR_ACCURACY_RO[],MATCH(J$9,MMWR_ACCURACY_RO[#Headers],0),0),"ERROR"))</f>
        <v>0.94628007849308804</v>
      </c>
      <c r="K25" s="157">
        <f>IF($B25=" ","",IFERROR(VLOOKUP($B25,MMWR_ACCURACY_RO[],MATCH(K$9,MMWR_ACCURACY_RO[#Headers],0),0),"ERROR"))</f>
        <v>0.89027388022362897</v>
      </c>
      <c r="L25" s="157">
        <f>IF($B25=" ","",IFERROR(VLOOKUP($B25,MMWR_ACCURACY_RO[],MATCH(L$9,MMWR_ACCURACY_RO[#Headers],0),0),"ERROR"))</f>
        <v>0.90797815441669005</v>
      </c>
      <c r="M25" s="157">
        <f>IF($B25=" ","",IFERROR(VLOOKUP($B25,MMWR_ACCURACY_RO[],MATCH(M$9,MMWR_ACCURACY_RO[#Headers],0),0),"ERROR"))</f>
        <v>4.0546343801548902E-2</v>
      </c>
      <c r="N25" s="157">
        <f>IF($B25=" ","",IFERROR(VLOOKUP($B25,MMWR_ACCURACY_RO[],MATCH(N$9,MMWR_ACCURACY_RO[#Headers],0),0),"ERROR"))</f>
        <v>0.86444863285205198</v>
      </c>
      <c r="O25" s="157">
        <f>IF($B25=" ","",IFERROR(VLOOKUP($B25,MMWR_ACCURACY_RO[],MATCH(O$9,MMWR_ACCURACY_RO[#Headers],0),0),"ERROR"))</f>
        <v>5.6895880287101103E-2</v>
      </c>
      <c r="P25" s="28"/>
    </row>
    <row r="26" spans="1:16" x14ac:dyDescent="0.2">
      <c r="A26" s="25"/>
      <c r="B26" s="8" t="str">
        <f>VLOOKUP($B$16,DISTRICT_RO[],11,0)</f>
        <v>Pittsburgh VSC</v>
      </c>
      <c r="C26" s="154">
        <f>IF($B26=" ","",IFERROR(INDEX(MMWR_RATING_RO_ROLLUP[],MATCH($B26,MMWR_RATING_RO_ROLLUP[MMWR_RATING_RO_ROLLUP],0),MATCH(C$9,MMWR_RATING_RO_ROLLUP[#Headers],0)),"ERROR"))</f>
        <v>802</v>
      </c>
      <c r="D26" s="155">
        <f>IF($B26=" ","",IFERROR(INDEX(MMWR_RATING_RO_ROLLUP[],MATCH($B26,MMWR_RATING_RO_ROLLUP[MMWR_RATING_RO_ROLLUP],0),MATCH(D$9,MMWR_RATING_RO_ROLLUP[#Headers],0)),"ERROR"))</f>
        <v>150.49750623439999</v>
      </c>
      <c r="E26" s="156">
        <f>IF($B26=" ","",IFERROR(INDEX(MMWR_RATING_RO_ROLLUP[],MATCH($B26,MMWR_RATING_RO_ROLLUP[MMWR_RATING_RO_ROLLUP],0),MATCH(E$9,MMWR_RATING_RO_ROLLUP[#Headers],0))/$C26,"ERROR"))</f>
        <v>0.53990024937655856</v>
      </c>
      <c r="F26" s="154">
        <f>IF($B26=" ","",IFERROR(INDEX(MMWR_RATING_RO_ROLLUP[],MATCH($B26,MMWR_RATING_RO_ROLLUP[MMWR_RATING_RO_ROLLUP],0),MATCH(F$9,MMWR_RATING_RO_ROLLUP[#Headers],0)),"ERROR"))</f>
        <v>696</v>
      </c>
      <c r="G26" s="154">
        <f>IF($B26=" ","",IFERROR(INDEX(MMWR_RATING_RO_ROLLUP[],MATCH($B26,MMWR_RATING_RO_ROLLUP[MMWR_RATING_RO_ROLLUP],0),MATCH(G$9,MMWR_RATING_RO_ROLLUP[#Headers],0)),"ERROR"))</f>
        <v>9050</v>
      </c>
      <c r="H26" s="155">
        <f>IF($B26=" ","",IFERROR(INDEX(MMWR_RATING_RO_ROLLUP[],MATCH($B26,MMWR_RATING_RO_ROLLUP[MMWR_RATING_RO_ROLLUP],0),MATCH(H$9,MMWR_RATING_RO_ROLLUP[#Headers],0)),"ERROR"))</f>
        <v>201.97988505750001</v>
      </c>
      <c r="I26" s="155">
        <f>IF($B26=" ","",IFERROR(INDEX(MMWR_RATING_RO_ROLLUP[],MATCH($B26,MMWR_RATING_RO_ROLLUP[MMWR_RATING_RO_ROLLUP],0),MATCH(I$9,MMWR_RATING_RO_ROLLUP[#Headers],0)),"ERROR"))</f>
        <v>173.15193370169999</v>
      </c>
      <c r="J26" s="157">
        <f>IF($B26=" ","",IFERROR(VLOOKUP($B26,MMWR_ACCURACY_RO[],MATCH(J$9,MMWR_ACCURACY_RO[#Headers],0),0),"ERROR"))</f>
        <v>0.95793217049462098</v>
      </c>
      <c r="K26" s="157">
        <f>IF($B26=" ","",IFERROR(VLOOKUP($B26,MMWR_ACCURACY_RO[],MATCH(K$9,MMWR_ACCURACY_RO[#Headers],0),0),"ERROR"))</f>
        <v>0.85860801647551099</v>
      </c>
      <c r="L26" s="157">
        <f>IF($B26=" ","",IFERROR(VLOOKUP($B26,MMWR_ACCURACY_RO[],MATCH(L$9,MMWR_ACCURACY_RO[#Headers],0),0),"ERROR"))</f>
        <v>0.87937727771437402</v>
      </c>
      <c r="M26" s="157">
        <f>IF($B26=" ","",IFERROR(VLOOKUP($B26,MMWR_ACCURACY_RO[],MATCH(M$9,MMWR_ACCURACY_RO[#Headers],0),0),"ERROR"))</f>
        <v>4.7506445381002002E-2</v>
      </c>
      <c r="N26" s="157">
        <f>IF($B26=" ","",IFERROR(VLOOKUP($B26,MMWR_ACCURACY_RO[],MATCH(N$9,MMWR_ACCURACY_RO[#Headers],0),0),"ERROR"))</f>
        <v>0.88973110411783196</v>
      </c>
      <c r="O26" s="157">
        <f>IF($B26=" ","",IFERROR(VLOOKUP($B26,MMWR_ACCURACY_RO[],MATCH(O$9,MMWR_ACCURACY_RO[#Headers],0),0),"ERROR"))</f>
        <v>5.6191515520256599E-2</v>
      </c>
      <c r="P26" s="28"/>
    </row>
    <row r="27" spans="1:16" x14ac:dyDescent="0.2">
      <c r="A27" s="25"/>
      <c r="B27" s="8" t="str">
        <f>VLOOKUP($B$16,DISTRICT_RO[],12,0)</f>
        <v>Providence VSC</v>
      </c>
      <c r="C27" s="154">
        <f>IF($B27=" ","",IFERROR(INDEX(MMWR_RATING_RO_ROLLUP[],MATCH($B27,MMWR_RATING_RO_ROLLUP[MMWR_RATING_RO_ROLLUP],0),MATCH(C$9,MMWR_RATING_RO_ROLLUP[#Headers],0)),"ERROR"))</f>
        <v>1845</v>
      </c>
      <c r="D27" s="155">
        <f>IF($B27=" ","",IFERROR(INDEX(MMWR_RATING_RO_ROLLUP[],MATCH($B27,MMWR_RATING_RO_ROLLUP[MMWR_RATING_RO_ROLLUP],0),MATCH(D$9,MMWR_RATING_RO_ROLLUP[#Headers],0)),"ERROR"))</f>
        <v>58.290514905099997</v>
      </c>
      <c r="E27" s="156">
        <f>IF($B27=" ","",IFERROR(INDEX(MMWR_RATING_RO_ROLLUP[],MATCH($B27,MMWR_RATING_RO_ROLLUP[MMWR_RATING_RO_ROLLUP],0),MATCH(E$9,MMWR_RATING_RO_ROLLUP[#Headers],0))/$C27,"ERROR"))</f>
        <v>8.8888888888888892E-2</v>
      </c>
      <c r="F27" s="154">
        <f>IF($B27=" ","",IFERROR(INDEX(MMWR_RATING_RO_ROLLUP[],MATCH($B27,MMWR_RATING_RO_ROLLUP[MMWR_RATING_RO_ROLLUP],0),MATCH(F$9,MMWR_RATING_RO_ROLLUP[#Headers],0)),"ERROR"))</f>
        <v>1676</v>
      </c>
      <c r="G27" s="154">
        <f>IF($B27=" ","",IFERROR(INDEX(MMWR_RATING_RO_ROLLUP[],MATCH($B27,MMWR_RATING_RO_ROLLUP[MMWR_RATING_RO_ROLLUP],0),MATCH(G$9,MMWR_RATING_RO_ROLLUP[#Headers],0)),"ERROR"))</f>
        <v>21164</v>
      </c>
      <c r="H27" s="155">
        <f>IF($B27=" ","",IFERROR(INDEX(MMWR_RATING_RO_ROLLUP[],MATCH($B27,MMWR_RATING_RO_ROLLUP[MMWR_RATING_RO_ROLLUP],0),MATCH(H$9,MMWR_RATING_RO_ROLLUP[#Headers],0)),"ERROR"))</f>
        <v>63.1658711217</v>
      </c>
      <c r="I27" s="155">
        <f>IF($B27=" ","",IFERROR(INDEX(MMWR_RATING_RO_ROLLUP[],MATCH($B27,MMWR_RATING_RO_ROLLUP[MMWR_RATING_RO_ROLLUP],0),MATCH(I$9,MMWR_RATING_RO_ROLLUP[#Headers],0)),"ERROR"))</f>
        <v>72.257229257199995</v>
      </c>
      <c r="J27" s="157">
        <f>IF($B27=" ","",IFERROR(VLOOKUP($B27,MMWR_ACCURACY_RO[],MATCH(J$9,MMWR_ACCURACY_RO[#Headers],0),0),"ERROR"))</f>
        <v>0.94296670230941904</v>
      </c>
      <c r="K27" s="157">
        <f>IF($B27=" ","",IFERROR(VLOOKUP($B27,MMWR_ACCURACY_RO[],MATCH(K$9,MMWR_ACCURACY_RO[#Headers],0),0),"ERROR"))</f>
        <v>0.85349718209980197</v>
      </c>
      <c r="L27" s="157">
        <f>IF($B27=" ","",IFERROR(VLOOKUP($B27,MMWR_ACCURACY_RO[],MATCH(L$9,MMWR_ACCURACY_RO[#Headers],0),0),"ERROR"))</f>
        <v>0.88856606333828703</v>
      </c>
      <c r="M27" s="157">
        <f>IF($B27=" ","",IFERROR(VLOOKUP($B27,MMWR_ACCURACY_RO[],MATCH(M$9,MMWR_ACCURACY_RO[#Headers],0),0),"ERROR"))</f>
        <v>5.0706483762728398E-2</v>
      </c>
      <c r="N27" s="157">
        <f>IF($B27=" ","",IFERROR(VLOOKUP($B27,MMWR_ACCURACY_RO[],MATCH(N$9,MMWR_ACCURACY_RO[#Headers],0),0),"ERROR"))</f>
        <v>0.93977915265468903</v>
      </c>
      <c r="O27" s="157">
        <f>IF($B27=" ","",IFERROR(VLOOKUP($B27,MMWR_ACCURACY_RO[],MATCH(O$9,MMWR_ACCURACY_RO[#Headers],0),0),"ERROR"))</f>
        <v>3.9216633604310797E-2</v>
      </c>
      <c r="P27" s="28"/>
    </row>
    <row r="28" spans="1:16" x14ac:dyDescent="0.2">
      <c r="A28" s="25"/>
      <c r="B28" s="8" t="str">
        <f>VLOOKUP($B$16,DISTRICT_RO[],13,0)</f>
        <v>Roanoke VSC</v>
      </c>
      <c r="C28" s="154">
        <f>IF($B28=" ","",IFERROR(INDEX(MMWR_RATING_RO_ROLLUP[],MATCH($B28,MMWR_RATING_RO_ROLLUP[MMWR_RATING_RO_ROLLUP],0),MATCH(C$9,MMWR_RATING_RO_ROLLUP[#Headers],0)),"ERROR"))</f>
        <v>2718</v>
      </c>
      <c r="D28" s="155">
        <f>IF($B28=" ","",IFERROR(INDEX(MMWR_RATING_RO_ROLLUP[],MATCH($B28,MMWR_RATING_RO_ROLLUP[MMWR_RATING_RO_ROLLUP],0),MATCH(D$9,MMWR_RATING_RO_ROLLUP[#Headers],0)),"ERROR"))</f>
        <v>102.51655629139999</v>
      </c>
      <c r="E28" s="156">
        <f>IF($B28=" ","",IFERROR(INDEX(MMWR_RATING_RO_ROLLUP[],MATCH($B28,MMWR_RATING_RO_ROLLUP[MMWR_RATING_RO_ROLLUP],0),MATCH(E$9,MMWR_RATING_RO_ROLLUP[#Headers],0))/$C28,"ERROR"))</f>
        <v>0.28955114054451803</v>
      </c>
      <c r="F28" s="154">
        <f>IF($B28=" ","",IFERROR(INDEX(MMWR_RATING_RO_ROLLUP[],MATCH($B28,MMWR_RATING_RO_ROLLUP[MMWR_RATING_RO_ROLLUP],0),MATCH(F$9,MMWR_RATING_RO_ROLLUP[#Headers],0)),"ERROR"))</f>
        <v>2051</v>
      </c>
      <c r="G28" s="154">
        <f>IF($B28=" ","",IFERROR(INDEX(MMWR_RATING_RO_ROLLUP[],MATCH($B28,MMWR_RATING_RO_ROLLUP[MMWR_RATING_RO_ROLLUP],0),MATCH(G$9,MMWR_RATING_RO_ROLLUP[#Headers],0)),"ERROR"))</f>
        <v>28123</v>
      </c>
      <c r="H28" s="155">
        <f>IF($B28=" ","",IFERROR(INDEX(MMWR_RATING_RO_ROLLUP[],MATCH($B28,MMWR_RATING_RO_ROLLUP[MMWR_RATING_RO_ROLLUP],0),MATCH(H$9,MMWR_RATING_RO_ROLLUP[#Headers],0)),"ERROR"))</f>
        <v>136.48902974160001</v>
      </c>
      <c r="I28" s="155">
        <f>IF($B28=" ","",IFERROR(INDEX(MMWR_RATING_RO_ROLLUP[],MATCH($B28,MMWR_RATING_RO_ROLLUP[MMWR_RATING_RO_ROLLUP],0),MATCH(I$9,MMWR_RATING_RO_ROLLUP[#Headers],0)),"ERROR"))</f>
        <v>133.0159655798</v>
      </c>
      <c r="J28" s="157">
        <f>IF($B28=" ","",IFERROR(VLOOKUP($B28,MMWR_ACCURACY_RO[],MATCH(J$9,MMWR_ACCURACY_RO[#Headers],0),0),"ERROR"))</f>
        <v>0.94995038186049097</v>
      </c>
      <c r="K28" s="157">
        <f>IF($B28=" ","",IFERROR(VLOOKUP($B28,MMWR_ACCURACY_RO[],MATCH(K$9,MMWR_ACCURACY_RO[#Headers],0),0),"ERROR"))</f>
        <v>0.81953368490708001</v>
      </c>
      <c r="L28" s="157">
        <f>IF($B28=" ","",IFERROR(VLOOKUP($B28,MMWR_ACCURACY_RO[],MATCH(L$9,MMWR_ACCURACY_RO[#Headers],0),0),"ERROR"))</f>
        <v>0.89004359705665703</v>
      </c>
      <c r="M28" s="157">
        <f>IF($B28=" ","",IFERROR(VLOOKUP($B28,MMWR_ACCURACY_RO[],MATCH(M$9,MMWR_ACCURACY_RO[#Headers],0),0),"ERROR"))</f>
        <v>4.6643099069139E-2</v>
      </c>
      <c r="N28" s="157">
        <f>IF($B28=" ","",IFERROR(VLOOKUP($B28,MMWR_ACCURACY_RO[],MATCH(N$9,MMWR_ACCURACY_RO[#Headers],0),0),"ERROR"))</f>
        <v>0.89970755114911505</v>
      </c>
      <c r="O28" s="157">
        <f>IF($B28=" ","",IFERROR(VLOOKUP($B28,MMWR_ACCURACY_RO[],MATCH(O$9,MMWR_ACCURACY_RO[#Headers],0),0),"ERROR"))</f>
        <v>4.5651227068979901E-2</v>
      </c>
      <c r="P28" s="28"/>
    </row>
    <row r="29" spans="1:16" x14ac:dyDescent="0.2">
      <c r="A29" s="25"/>
      <c r="B29" s="8" t="str">
        <f>VLOOKUP($B$16,DISTRICT_RO[],14,0)</f>
        <v>Togus VSC</v>
      </c>
      <c r="C29" s="154">
        <f>IF($B29=" ","",IFERROR(INDEX(MMWR_RATING_RO_ROLLUP[],MATCH($B29,MMWR_RATING_RO_ROLLUP[MMWR_RATING_RO_ROLLUP],0),MATCH(C$9,MMWR_RATING_RO_ROLLUP[#Headers],0)),"ERROR"))</f>
        <v>1722</v>
      </c>
      <c r="D29" s="155">
        <f>IF($B29=" ","",IFERROR(INDEX(MMWR_RATING_RO_ROLLUP[],MATCH($B29,MMWR_RATING_RO_ROLLUP[MMWR_RATING_RO_ROLLUP],0),MATCH(D$9,MMWR_RATING_RO_ROLLUP[#Headers],0)),"ERROR"))</f>
        <v>75.004645760700001</v>
      </c>
      <c r="E29" s="156">
        <f>IF($B29=" ","",IFERROR(INDEX(MMWR_RATING_RO_ROLLUP[],MATCH($B29,MMWR_RATING_RO_ROLLUP[MMWR_RATING_RO_ROLLUP],0),MATCH(E$9,MMWR_RATING_RO_ROLLUP[#Headers],0))/$C29,"ERROR"))</f>
        <v>9.1753774680603944E-2</v>
      </c>
      <c r="F29" s="154">
        <f>IF($B29=" ","",IFERROR(INDEX(MMWR_RATING_RO_ROLLUP[],MATCH($B29,MMWR_RATING_RO_ROLLUP[MMWR_RATING_RO_ROLLUP],0),MATCH(F$9,MMWR_RATING_RO_ROLLUP[#Headers],0)),"ERROR"))</f>
        <v>1131</v>
      </c>
      <c r="G29" s="154">
        <f>IF($B29=" ","",IFERROR(INDEX(MMWR_RATING_RO_ROLLUP[],MATCH($B29,MMWR_RATING_RO_ROLLUP[MMWR_RATING_RO_ROLLUP],0),MATCH(G$9,MMWR_RATING_RO_ROLLUP[#Headers],0)),"ERROR"))</f>
        <v>14131</v>
      </c>
      <c r="H29" s="155">
        <f>IF($B29=" ","",IFERROR(INDEX(MMWR_RATING_RO_ROLLUP[],MATCH($B29,MMWR_RATING_RO_ROLLUP[MMWR_RATING_RO_ROLLUP],0),MATCH(H$9,MMWR_RATING_RO_ROLLUP[#Headers],0)),"ERROR"))</f>
        <v>89.709106985000005</v>
      </c>
      <c r="I29" s="155">
        <f>IF($B29=" ","",IFERROR(INDEX(MMWR_RATING_RO_ROLLUP[],MATCH($B29,MMWR_RATING_RO_ROLLUP[MMWR_RATING_RO_ROLLUP],0),MATCH(I$9,MMWR_RATING_RO_ROLLUP[#Headers],0)),"ERROR"))</f>
        <v>125.4376901847</v>
      </c>
      <c r="J29" s="157">
        <f>IF($B29=" ","",IFERROR(VLOOKUP($B29,MMWR_ACCURACY_RO[],MATCH(J$9,MMWR_ACCURACY_RO[#Headers],0),0),"ERROR"))</f>
        <v>0.95099421506928705</v>
      </c>
      <c r="K29" s="157">
        <f>IF($B29=" ","",IFERROR(VLOOKUP($B29,MMWR_ACCURACY_RO[],MATCH(K$9,MMWR_ACCURACY_RO[#Headers],0),0),"ERROR"))</f>
        <v>0.86820493236588803</v>
      </c>
      <c r="L29" s="157">
        <f>IF($B29=" ","",IFERROR(VLOOKUP($B29,MMWR_ACCURACY_RO[],MATCH(L$9,MMWR_ACCURACY_RO[#Headers],0),0),"ERROR"))</f>
        <v>0.882147152333979</v>
      </c>
      <c r="M29" s="157">
        <f>IF($B29=" ","",IFERROR(VLOOKUP($B29,MMWR_ACCURACY_RO[],MATCH(M$9,MMWR_ACCURACY_RO[#Headers],0),0),"ERROR"))</f>
        <v>5.0737305494407997E-2</v>
      </c>
      <c r="N29" s="157">
        <f>IF($B29=" ","",IFERROR(VLOOKUP($B29,MMWR_ACCURACY_RO[],MATCH(N$9,MMWR_ACCURACY_RO[#Headers],0),0),"ERROR"))</f>
        <v>0.94162719388572302</v>
      </c>
      <c r="O29" s="157">
        <f>IF($B29=" ","",IFERROR(VLOOKUP($B29,MMWR_ACCURACY_RO[],MATCH(O$9,MMWR_ACCURACY_RO[#Headers],0),0),"ERROR"))</f>
        <v>3.6865638105428603E-2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270</v>
      </c>
      <c r="D30" s="155">
        <f>IF($B30=" ","",IFERROR(INDEX(MMWR_RATING_RO_ROLLUP[],MATCH($B30,MMWR_RATING_RO_ROLLUP[MMWR_RATING_RO_ROLLUP],0),MATCH(D$9,MMWR_RATING_RO_ROLLUP[#Headers],0)),"ERROR"))</f>
        <v>106.8814814815</v>
      </c>
      <c r="E30" s="156">
        <f>IF($B30=" ","",IFERROR(INDEX(MMWR_RATING_RO_ROLLUP[],MATCH($B30,MMWR_RATING_RO_ROLLUP[MMWR_RATING_RO_ROLLUP],0),MATCH(E$9,MMWR_RATING_RO_ROLLUP[#Headers],0))/$C30,"ERROR"))</f>
        <v>0.35185185185185186</v>
      </c>
      <c r="F30" s="154">
        <f>IF($B30=" ","",IFERROR(INDEX(MMWR_RATING_RO_ROLLUP[],MATCH($B30,MMWR_RATING_RO_ROLLUP[MMWR_RATING_RO_ROLLUP],0),MATCH(F$9,MMWR_RATING_RO_ROLLUP[#Headers],0)),"ERROR"))</f>
        <v>149</v>
      </c>
      <c r="G30" s="154">
        <f>IF($B30=" ","",IFERROR(INDEX(MMWR_RATING_RO_ROLLUP[],MATCH($B30,MMWR_RATING_RO_ROLLUP[MMWR_RATING_RO_ROLLUP],0),MATCH(G$9,MMWR_RATING_RO_ROLLUP[#Headers],0)),"ERROR"))</f>
        <v>1814</v>
      </c>
      <c r="H30" s="155">
        <f>IF($B30=" ","",IFERROR(INDEX(MMWR_RATING_RO_ROLLUP[],MATCH($B30,MMWR_RATING_RO_ROLLUP[MMWR_RATING_RO_ROLLUP],0),MATCH(H$9,MMWR_RATING_RO_ROLLUP[#Headers],0)),"ERROR"))</f>
        <v>159.27516778520001</v>
      </c>
      <c r="I30" s="155">
        <f>IF($B30=" ","",IFERROR(INDEX(MMWR_RATING_RO_ROLLUP[],MATCH($B30,MMWR_RATING_RO_ROLLUP[MMWR_RATING_RO_ROLLUP],0),MATCH(I$9,MMWR_RATING_RO_ROLLUP[#Headers],0)),"ERROR"))</f>
        <v>143.5959206174</v>
      </c>
      <c r="J30" s="157">
        <f>IF($B30=" ","",IFERROR(VLOOKUP($B30,MMWR_ACCURACY_RO[],MATCH(J$9,MMWR_ACCURACY_RO[#Headers],0),0),"ERROR"))</f>
        <v>0.92819112720934704</v>
      </c>
      <c r="K30" s="157">
        <f>IF($B30=" ","",IFERROR(VLOOKUP($B30,MMWR_ACCURACY_RO[],MATCH(K$9,MMWR_ACCURACY_RO[#Headers],0),0),"ERROR"))</f>
        <v>0.85756607609642799</v>
      </c>
      <c r="L30" s="157">
        <f>IF($B30=" ","",IFERROR(VLOOKUP($B30,MMWR_ACCURACY_RO[],MATCH(L$9,MMWR_ACCURACY_RO[#Headers],0),0),"ERROR"))</f>
        <v>0.86165169908625405</v>
      </c>
      <c r="M30" s="157">
        <f>IF($B30=" ","",IFERROR(VLOOKUP($B30,MMWR_ACCURACY_RO[],MATCH(M$9,MMWR_ACCURACY_RO[#Headers],0),0),"ERROR"))</f>
        <v>4.51309145133931E-2</v>
      </c>
      <c r="N30" s="157">
        <f>IF($B30=" ","",IFERROR(VLOOKUP($B30,MMWR_ACCURACY_RO[],MATCH(N$9,MMWR_ACCURACY_RO[#Headers],0),0),"ERROR"))</f>
        <v>0.89202927531595</v>
      </c>
      <c r="O30" s="157">
        <f>IF($B30=" ","",IFERROR(VLOOKUP($B30,MMWR_ACCURACY_RO[],MATCH(O$9,MMWR_ACCURACY_RO[#Headers],0),0),"ERROR"))</f>
        <v>4.4870385383623999E-2</v>
      </c>
      <c r="P30" s="28"/>
    </row>
    <row r="31" spans="1:16" x14ac:dyDescent="0.2">
      <c r="A31" s="25"/>
      <c r="B31" s="8" t="str">
        <f>VLOOKUP($B$16,DISTRICT_RO[],16,0)</f>
        <v>Wilmington VSC</v>
      </c>
      <c r="C31" s="154">
        <f>IF($B31=" ","",IFERROR(INDEX(MMWR_RATING_RO_ROLLUP[],MATCH($B31,MMWR_RATING_RO_ROLLUP[MMWR_RATING_RO_ROLLUP],0),MATCH(C$9,MMWR_RATING_RO_ROLLUP[#Headers],0)),"ERROR"))</f>
        <v>196</v>
      </c>
      <c r="D31" s="155">
        <f>IF($B31=" ","",IFERROR(INDEX(MMWR_RATING_RO_ROLLUP[],MATCH($B31,MMWR_RATING_RO_ROLLUP[MMWR_RATING_RO_ROLLUP],0),MATCH(D$9,MMWR_RATING_RO_ROLLUP[#Headers],0)),"ERROR"))</f>
        <v>146.08673469390001</v>
      </c>
      <c r="E31" s="156">
        <f>IF($B31=" ","",IFERROR(INDEX(MMWR_RATING_RO_ROLLUP[],MATCH($B31,MMWR_RATING_RO_ROLLUP[MMWR_RATING_RO_ROLLUP],0),MATCH(E$9,MMWR_RATING_RO_ROLLUP[#Headers],0))/$C31,"ERROR"))</f>
        <v>0.51530612244897955</v>
      </c>
      <c r="F31" s="154">
        <f>IF($B31=" ","",IFERROR(INDEX(MMWR_RATING_RO_ROLLUP[],MATCH($B31,MMWR_RATING_RO_ROLLUP[MMWR_RATING_RO_ROLLUP],0),MATCH(F$9,MMWR_RATING_RO_ROLLUP[#Headers],0)),"ERROR"))</f>
        <v>90</v>
      </c>
      <c r="G31" s="154">
        <f>IF($B31=" ","",IFERROR(INDEX(MMWR_RATING_RO_ROLLUP[],MATCH($B31,MMWR_RATING_RO_ROLLUP[MMWR_RATING_RO_ROLLUP],0),MATCH(G$9,MMWR_RATING_RO_ROLLUP[#Headers],0)),"ERROR"))</f>
        <v>1190</v>
      </c>
      <c r="H31" s="155">
        <f>IF($B31=" ","",IFERROR(INDEX(MMWR_RATING_RO_ROLLUP[],MATCH($B31,MMWR_RATING_RO_ROLLUP[MMWR_RATING_RO_ROLLUP],0),MATCH(H$9,MMWR_RATING_RO_ROLLUP[#Headers],0)),"ERROR"))</f>
        <v>191.14444444439999</v>
      </c>
      <c r="I31" s="155">
        <f>IF($B31=" ","",IFERROR(INDEX(MMWR_RATING_RO_ROLLUP[],MATCH($B31,MMWR_RATING_RO_ROLLUP[MMWR_RATING_RO_ROLLUP],0),MATCH(I$9,MMWR_RATING_RO_ROLLUP[#Headers],0)),"ERROR"))</f>
        <v>131.35798319329999</v>
      </c>
      <c r="J31" s="157">
        <f>IF($B31=" ","",IFERROR(VLOOKUP($B31,MMWR_ACCURACY_RO[],MATCH(J$9,MMWR_ACCURACY_RO[#Headers],0),0),"ERROR"))</f>
        <v>0.93471966306922905</v>
      </c>
      <c r="K31" s="157">
        <f>IF($B31=" ","",IFERROR(VLOOKUP($B31,MMWR_ACCURACY_RO[],MATCH(K$9,MMWR_ACCURACY_RO[#Headers],0),0),"ERROR"))</f>
        <v>0.88203017832647501</v>
      </c>
      <c r="L31" s="157">
        <f>IF($B31=" ","",IFERROR(VLOOKUP($B31,MMWR_ACCURACY_RO[],MATCH(L$9,MMWR_ACCURACY_RO[#Headers],0),0),"ERROR"))</f>
        <v>0.85926204227565595</v>
      </c>
      <c r="M31" s="157">
        <f>IF($B31=" ","",IFERROR(VLOOKUP($B31,MMWR_ACCURACY_RO[],MATCH(M$9,MMWR_ACCURACY_RO[#Headers],0),0),"ERROR"))</f>
        <v>4.8008498261212298E-2</v>
      </c>
      <c r="N31" s="157">
        <f>IF($B31=" ","",IFERROR(VLOOKUP($B31,MMWR_ACCURACY_RO[],MATCH(N$9,MMWR_ACCURACY_RO[#Headers],0),0),"ERROR"))</f>
        <v>0.918353174603175</v>
      </c>
      <c r="O31" s="157">
        <f>IF($B31=" ","",IFERROR(VLOOKUP($B31,MMWR_ACCURACY_RO[],MATCH(O$9,MMWR_ACCURACY_RO[#Headers],0),0),"ERROR"))</f>
        <v>5.0309632027787897E-2</v>
      </c>
      <c r="P31" s="28"/>
    </row>
    <row r="32" spans="1:16" x14ac:dyDescent="0.2">
      <c r="A32" s="25"/>
      <c r="B32" s="8" t="str">
        <f>VLOOKUP($B$16,DISTRICT_RO[],17,0)</f>
        <v>Winston-Salem VSC</v>
      </c>
      <c r="C32" s="154">
        <f>IF($B32=" ","",IFERROR(INDEX(MMWR_RATING_RO_ROLLUP[],MATCH($B32,MMWR_RATING_RO_ROLLUP[MMWR_RATING_RO_ROLLUP],0),MATCH(C$9,MMWR_RATING_RO_ROLLUP[#Headers],0)),"ERROR"))</f>
        <v>4148</v>
      </c>
      <c r="D32" s="155">
        <f>IF($B32=" ","",IFERROR(INDEX(MMWR_RATING_RO_ROLLUP[],MATCH($B32,MMWR_RATING_RO_ROLLUP[MMWR_RATING_RO_ROLLUP],0),MATCH(D$9,MMWR_RATING_RO_ROLLUP[#Headers],0)),"ERROR"))</f>
        <v>103.568466731</v>
      </c>
      <c r="E32" s="156">
        <f>IF($B32=" ","",IFERROR(INDEX(MMWR_RATING_RO_ROLLUP[],MATCH($B32,MMWR_RATING_RO_ROLLUP[MMWR_RATING_RO_ROLLUP],0),MATCH(E$9,MMWR_RATING_RO_ROLLUP[#Headers],0))/$C32,"ERROR"))</f>
        <v>0.28109932497589202</v>
      </c>
      <c r="F32" s="154">
        <f>IF($B32=" ","",IFERROR(INDEX(MMWR_RATING_RO_ROLLUP[],MATCH($B32,MMWR_RATING_RO_ROLLUP[MMWR_RATING_RO_ROLLUP],0),MATCH(F$9,MMWR_RATING_RO_ROLLUP[#Headers],0)),"ERROR"))</f>
        <v>1789</v>
      </c>
      <c r="G32" s="154">
        <f>IF($B32=" ","",IFERROR(INDEX(MMWR_RATING_RO_ROLLUP[],MATCH($B32,MMWR_RATING_RO_ROLLUP[MMWR_RATING_RO_ROLLUP],0),MATCH(G$9,MMWR_RATING_RO_ROLLUP[#Headers],0)),"ERROR"))</f>
        <v>25863</v>
      </c>
      <c r="H32" s="155">
        <f>IF($B32=" ","",IFERROR(INDEX(MMWR_RATING_RO_ROLLUP[],MATCH($B32,MMWR_RATING_RO_ROLLUP[MMWR_RATING_RO_ROLLUP],0),MATCH(H$9,MMWR_RATING_RO_ROLLUP[#Headers],0)),"ERROR"))</f>
        <v>157.32196757969999</v>
      </c>
      <c r="I32" s="155">
        <f>IF($B32=" ","",IFERROR(INDEX(MMWR_RATING_RO_ROLLUP[],MATCH($B32,MMWR_RATING_RO_ROLLUP[MMWR_RATING_RO_ROLLUP],0),MATCH(I$9,MMWR_RATING_RO_ROLLUP[#Headers],0)),"ERROR"))</f>
        <v>141.84174303060001</v>
      </c>
      <c r="J32" s="157">
        <f>IF($B32=" ","",IFERROR(VLOOKUP($B32,MMWR_ACCURACY_RO[],MATCH(J$9,MMWR_ACCURACY_RO[#Headers],0),0),"ERROR"))</f>
        <v>0.97516311507695497</v>
      </c>
      <c r="K32" s="157">
        <f>IF($B32=" ","",IFERROR(VLOOKUP($B32,MMWR_ACCURACY_RO[],MATCH(K$9,MMWR_ACCURACY_RO[#Headers],0),0),"ERROR"))</f>
        <v>0.89462189025807903</v>
      </c>
      <c r="L32" s="157">
        <f>IF($B32=" ","",IFERROR(VLOOKUP($B32,MMWR_ACCURACY_RO[],MATCH(L$9,MMWR_ACCURACY_RO[#Headers],0),0),"ERROR"))</f>
        <v>0.86190657684410998</v>
      </c>
      <c r="M32" s="157">
        <f>IF($B32=" ","",IFERROR(VLOOKUP($B32,MMWR_ACCURACY_RO[],MATCH(M$9,MMWR_ACCURACY_RO[#Headers],0),0),"ERROR"))</f>
        <v>4.8293107088046502E-2</v>
      </c>
      <c r="N32" s="157">
        <f>IF($B32=" ","",IFERROR(VLOOKUP($B32,MMWR_ACCURACY_RO[],MATCH(N$9,MMWR_ACCURACY_RO[#Headers],0),0),"ERROR"))</f>
        <v>0.92634233480790296</v>
      </c>
      <c r="O32" s="157">
        <f>IF($B32=" ","",IFERROR(VLOOKUP($B32,MMWR_ACCURACY_RO[],MATCH(O$9,MMWR_ACCURACY_RO[#Headers],0),0),"ERROR"))</f>
        <v>4.5502998631029898E-2</v>
      </c>
      <c r="P32" s="28"/>
    </row>
    <row r="33" spans="1:16" x14ac:dyDescent="0.2">
      <c r="A33" s="25"/>
      <c r="B33" s="378" t="s">
        <v>732</v>
      </c>
      <c r="C33" s="379"/>
      <c r="D33" s="379"/>
      <c r="E33" s="379"/>
      <c r="F33" s="379"/>
      <c r="G33" s="379"/>
      <c r="H33" s="379"/>
      <c r="I33" s="379"/>
      <c r="J33" s="379"/>
      <c r="K33" s="379"/>
      <c r="L33" s="379"/>
      <c r="M33" s="379"/>
      <c r="N33" s="379"/>
      <c r="O33" s="379"/>
      <c r="P33" s="28"/>
    </row>
    <row r="34" spans="1:16" x14ac:dyDescent="0.2">
      <c r="A34" s="25"/>
      <c r="B34" s="11" t="s">
        <v>695</v>
      </c>
      <c r="C34" s="154">
        <f>IF($B34=" ","",IFERROR(INDEX(MMWR_RATING_RO_ROLLUP[],MATCH($B34,MMWR_RATING_RO_ROLLUP[MMWR_RATING_RO_ROLLUP],0),MATCH(C$9,MMWR_RATING_RO_ROLLUP[#Headers],0)),"ERROR"))</f>
        <v>27421</v>
      </c>
      <c r="D34" s="155">
        <f>IF($B34=" ","",IFERROR(INDEX(MMWR_RATING_RO_ROLLUP[],MATCH($B34,MMWR_RATING_RO_ROLLUP[MMWR_RATING_RO_ROLLUP],0),MATCH(D$9,MMWR_RATING_RO_ROLLUP[#Headers],0)),"ERROR"))</f>
        <v>70.245797016899999</v>
      </c>
      <c r="E34" s="156">
        <f>IF($B34=" ","",IFERROR(INDEX(MMWR_RATING_RO_ROLLUP[],MATCH($B34,MMWR_RATING_RO_ROLLUP[MMWR_RATING_RO_ROLLUP],0),MATCH(E$9,MMWR_RATING_RO_ROLLUP[#Headers],0))/$C34,"ERROR"))</f>
        <v>0.12472192844899894</v>
      </c>
      <c r="F34" s="154">
        <f>IF($B34=" ","",IFERROR(INDEX(MMWR_RATING_RO_ROLLUP[],MATCH($B34,MMWR_RATING_RO_ROLLUP[MMWR_RATING_RO_ROLLUP],0),MATCH(F$9,MMWR_RATING_RO_ROLLUP[#Headers],0)),"ERROR"))</f>
        <v>9778</v>
      </c>
      <c r="G34" s="154">
        <f>IF($B34=" ","",IFERROR(INDEX(MMWR_RATING_RO_ROLLUP[],MATCH($B34,MMWR_RATING_RO_ROLLUP[MMWR_RATING_RO_ROLLUP],0),MATCH(G$9,MMWR_RATING_RO_ROLLUP[#Headers],0)),"ERROR"))</f>
        <v>119177</v>
      </c>
      <c r="H34" s="155">
        <f>IF($B34=" ","",IFERROR(INDEX(MMWR_RATING_RO_ROLLUP[],MATCH($B34,MMWR_RATING_RO_ROLLUP[MMWR_RATING_RO_ROLLUP],0),MATCH(H$9,MMWR_RATING_RO_ROLLUP[#Headers],0)),"ERROR"))</f>
        <v>84.823072202899993</v>
      </c>
      <c r="I34" s="155">
        <f>IF($B34=" ","",IFERROR(INDEX(MMWR_RATING_RO_ROLLUP[],MATCH($B34,MMWR_RATING_RO_ROLLUP[MMWR_RATING_RO_ROLLUP],0),MATCH(I$9,MMWR_RATING_RO_ROLLUP[#Headers],0)),"ERROR"))</f>
        <v>78.834875856899998</v>
      </c>
      <c r="J34" s="42"/>
      <c r="K34" s="262">
        <f>IF($B34=" ","",IFERROR(VLOOKUP($B34,MMWR_ACCURACY_RO[],MATCH(K$50,MMWR_ACCURACY_RO[#Headers],0),0),"ERROR"))</f>
        <v>0.98909889862257405</v>
      </c>
      <c r="L34" s="262">
        <f>IF($B34=" ","",IFERROR(VLOOKUP($B34,MMWR_ACCURACY_RO[],MATCH(L$50,MMWR_ACCURACY_RO[#Headers],0),0),"ERROR"))</f>
        <v>0.962461420830656</v>
      </c>
      <c r="M34" s="262">
        <f>IF($B34=" ","",IFERROR(VLOOKUP($B34,MMWR_ACCURACY_RO[],MATCH(M$50,MMWR_ACCURACY_RO[#Headers],0),0),"ERROR"))</f>
        <v>1.89323408092755E-2</v>
      </c>
      <c r="N34" s="262">
        <f>IF($B34=" ","",IFERROR(VLOOKUP($B34,MMWR_ACCURACY_RO[],MATCH(N$50,MMWR_ACCURACY_RO[#Headers],0),0),"ERROR"))</f>
        <v>0.96839693342882505</v>
      </c>
      <c r="O34" s="262">
        <f>IF($B34=" ","",IFERROR(VLOOKUP($B34,MMWR_ACCURACY_RO[],MATCH(O$50,MMWR_ACCURACY_RO[#Headers],0),0),"ERROR"))</f>
        <v>1.7865746849166E-2</v>
      </c>
      <c r="P34" s="28"/>
    </row>
    <row r="35" spans="1:16" x14ac:dyDescent="0.2">
      <c r="A35" s="25"/>
      <c r="B35" s="12" t="s">
        <v>210</v>
      </c>
      <c r="C35" s="154">
        <f>IF($B35=" ","",IFERROR(INDEX(MMWR_RATING_RO_ROLLUP[],MATCH($B35,MMWR_RATING_RO_ROLLUP[MMWR_RATING_RO_ROLLUP],0),MATCH(C$9,MMWR_RATING_RO_ROLLUP[#Headers],0)),"ERROR"))</f>
        <v>12608</v>
      </c>
      <c r="D35" s="155">
        <f>IF($B35=" ","",IFERROR(INDEX(MMWR_RATING_RO_ROLLUP[],MATCH($B35,MMWR_RATING_RO_ROLLUP[MMWR_RATING_RO_ROLLUP],0),MATCH(D$9,MMWR_RATING_RO_ROLLUP[#Headers],0)),"ERROR"))</f>
        <v>68.582963198000002</v>
      </c>
      <c r="E35" s="156">
        <f>IF($B35=" ","",IFERROR(INDEX(MMWR_RATING_RO_ROLLUP[],MATCH($B35,MMWR_RATING_RO_ROLLUP[MMWR_RATING_RO_ROLLUP],0),MATCH(E$9,MMWR_RATING_RO_ROLLUP[#Headers],0))/$C35,"ERROR"))</f>
        <v>0.13015545685279187</v>
      </c>
      <c r="F35" s="154">
        <f>IF($B35=" ","",IFERROR(INDEX(MMWR_RATING_RO_ROLLUP[],MATCH($B35,MMWR_RATING_RO_ROLLUP[MMWR_RATING_RO_ROLLUP],0),MATCH(F$9,MMWR_RATING_RO_ROLLUP[#Headers],0)),"ERROR"))</f>
        <v>3718</v>
      </c>
      <c r="G35" s="154">
        <f>IF($B35=" ","",IFERROR(INDEX(MMWR_RATING_RO_ROLLUP[],MATCH($B35,MMWR_RATING_RO_ROLLUP[MMWR_RATING_RO_ROLLUP],0),MATCH(G$9,MMWR_RATING_RO_ROLLUP[#Headers],0)),"ERROR"))</f>
        <v>39249</v>
      </c>
      <c r="H35" s="155">
        <f>IF($B35=" ","",IFERROR(INDEX(MMWR_RATING_RO_ROLLUP[],MATCH($B35,MMWR_RATING_RO_ROLLUP[MMWR_RATING_RO_ROLLUP],0),MATCH(H$9,MMWR_RATING_RO_ROLLUP[#Headers],0)),"ERROR"))</f>
        <v>104.4744486283</v>
      </c>
      <c r="I35" s="155">
        <f>IF($B35=" ","",IFERROR(INDEX(MMWR_RATING_RO_ROLLUP[],MATCH($B35,MMWR_RATING_RO_ROLLUP[MMWR_RATING_RO_ROLLUP],0),MATCH(I$9,MMWR_RATING_RO_ROLLUP[#Headers],0)),"ERROR"))</f>
        <v>99.519019592899994</v>
      </c>
      <c r="J35" s="42"/>
      <c r="K35" s="251">
        <f>IF($B35=" ","",IFERROR(VLOOKUP($B35,MMWR_ACCURACY_RO[],MATCH(K$50,MMWR_ACCURACY_RO[#Headers],0),0),"ERROR"))</f>
        <v>1</v>
      </c>
      <c r="L35" s="251">
        <f>IF($B35=" ","",IFERROR(VLOOKUP($B35,MMWR_ACCURACY_RO[],MATCH(L$50,MMWR_ACCURACY_RO[#Headers],0),0),"ERROR"))</f>
        <v>0.94104774258337198</v>
      </c>
      <c r="M35" s="251">
        <f>IF($B35=" ","",IFERROR(VLOOKUP($B35,MMWR_ACCURACY_RO[],MATCH(M$50,MMWR_ACCURACY_RO[#Headers],0),0),"ERROR"))</f>
        <v>4.0168640763625002E-2</v>
      </c>
      <c r="N35" s="251">
        <f>IF($B35=" ","",IFERROR(VLOOKUP($B35,MMWR_ACCURACY_RO[],MATCH(N$50,MMWR_ACCURACY_RO[#Headers],0),0),"ERROR"))</f>
        <v>0.94488559649514903</v>
      </c>
      <c r="O35" s="251">
        <f>IF($B35=" ","",IFERROR(VLOOKUP($B35,MMWR_ACCURACY_RO[],MATCH(O$50,MMWR_ACCURACY_RO[#Headers],0),0),"ERROR"))</f>
        <v>3.8677062646118102E-2</v>
      </c>
      <c r="P35" s="28"/>
    </row>
    <row r="36" spans="1:16" x14ac:dyDescent="0.2">
      <c r="A36" s="43"/>
      <c r="B36" s="12" t="s">
        <v>209</v>
      </c>
      <c r="C36" s="154">
        <f>IF($B36=" ","",IFERROR(INDEX(MMWR_RATING_RO_ROLLUP[],MATCH($B36,MMWR_RATING_RO_ROLLUP[MMWR_RATING_RO_ROLLUP],0),MATCH(C$9,MMWR_RATING_RO_ROLLUP[#Headers],0)),"ERROR"))</f>
        <v>6290</v>
      </c>
      <c r="D36" s="155">
        <f>IF($B36=" ","",IFERROR(INDEX(MMWR_RATING_RO_ROLLUP[],MATCH($B36,MMWR_RATING_RO_ROLLUP[MMWR_RATING_RO_ROLLUP],0),MATCH(D$9,MMWR_RATING_RO_ROLLUP[#Headers],0)),"ERROR"))</f>
        <v>67.0038155803</v>
      </c>
      <c r="E36" s="156">
        <f>IF($B36=" ","",IFERROR(INDEX(MMWR_RATING_RO_ROLLUP[],MATCH($B36,MMWR_RATING_RO_ROLLUP[MMWR_RATING_RO_ROLLUP],0),MATCH(E$9,MMWR_RATING_RO_ROLLUP[#Headers],0))/$C36,"ERROR"))</f>
        <v>0.11478537360890302</v>
      </c>
      <c r="F36" s="154">
        <f>IF($B36=" ","",IFERROR(INDEX(MMWR_RATING_RO_ROLLUP[],MATCH($B36,MMWR_RATING_RO_ROLLUP[MMWR_RATING_RO_ROLLUP],0),MATCH(F$9,MMWR_RATING_RO_ROLLUP[#Headers],0)),"ERROR"))</f>
        <v>2211</v>
      </c>
      <c r="G36" s="154">
        <f>IF($B36=" ","",IFERROR(INDEX(MMWR_RATING_RO_ROLLUP[],MATCH($B36,MMWR_RATING_RO_ROLLUP[MMWR_RATING_RO_ROLLUP],0),MATCH(G$9,MMWR_RATING_RO_ROLLUP[#Headers],0)),"ERROR"))</f>
        <v>33498</v>
      </c>
      <c r="H36" s="155">
        <f>IF($B36=" ","",IFERROR(INDEX(MMWR_RATING_RO_ROLLUP[],MATCH($B36,MMWR_RATING_RO_ROLLUP[MMWR_RATING_RO_ROLLUP],0),MATCH(H$9,MMWR_RATING_RO_ROLLUP[#Headers],0)),"ERROR"))</f>
        <v>75.040705563100005</v>
      </c>
      <c r="I36" s="155">
        <f>IF($B36=" ","",IFERROR(INDEX(MMWR_RATING_RO_ROLLUP[],MATCH($B36,MMWR_RATING_RO_ROLLUP[MMWR_RATING_RO_ROLLUP],0),MATCH(I$9,MMWR_RATING_RO_ROLLUP[#Headers],0)),"ERROR"))</f>
        <v>71.161770852000004</v>
      </c>
      <c r="J36" s="42"/>
      <c r="K36" s="251">
        <f>IF($B36=" ","",IFERROR(VLOOKUP($B36,MMWR_ACCURACY_RO[],MATCH(K$50,MMWR_ACCURACY_RO[#Headers],0),0),"ERROR"))</f>
        <v>0.96276698095054802</v>
      </c>
      <c r="L36" s="251">
        <f>IF($B36=" ","",IFERROR(VLOOKUP($B36,MMWR_ACCURACY_RO[],MATCH(L$50,MMWR_ACCURACY_RO[#Headers],0),0),"ERROR"))</f>
        <v>0.94959324681566903</v>
      </c>
      <c r="M36" s="251">
        <f>IF($B36=" ","",IFERROR(VLOOKUP($B36,MMWR_ACCURACY_RO[],MATCH(M$50,MMWR_ACCURACY_RO[#Headers],0),0),"ERROR"))</f>
        <v>4.1262651856044497E-2</v>
      </c>
      <c r="N36" s="251">
        <f>IF($B36=" ","",IFERROR(VLOOKUP($B36,MMWR_ACCURACY_RO[],MATCH(N$50,MMWR_ACCURACY_RO[#Headers],0),0),"ERROR"))</f>
        <v>0.98543069541401496</v>
      </c>
      <c r="O36" s="251">
        <f>IF($B36=" ","",IFERROR(VLOOKUP($B36,MMWR_ACCURACY_RO[],MATCH(O$50,MMWR_ACCURACY_RO[#Headers],0),0),"ERROR"))</f>
        <v>1.64370248537857E-2</v>
      </c>
      <c r="P36" s="28"/>
    </row>
    <row r="37" spans="1:16" x14ac:dyDescent="0.2">
      <c r="A37" s="25"/>
      <c r="B37" s="12" t="s">
        <v>212</v>
      </c>
      <c r="C37" s="154">
        <f>IF($B37=" ","",IFERROR(INDEX(MMWR_RATING_RO_ROLLUP[],MATCH($B37,MMWR_RATING_RO_ROLLUP[MMWR_RATING_RO_ROLLUP],0),MATCH(C$9,MMWR_RATING_RO_ROLLUP[#Headers],0)),"ERROR"))</f>
        <v>7696</v>
      </c>
      <c r="D37" s="155">
        <f>IF($B37=" ","",IFERROR(INDEX(MMWR_RATING_RO_ROLLUP[],MATCH($B37,MMWR_RATING_RO_ROLLUP[MMWR_RATING_RO_ROLLUP],0),MATCH(D$9,MMWR_RATING_RO_ROLLUP[#Headers],0)),"ERROR"))</f>
        <v>61.441268191299997</v>
      </c>
      <c r="E37" s="156">
        <f>IF($B37=" ","",IFERROR(INDEX(MMWR_RATING_RO_ROLLUP[],MATCH($B37,MMWR_RATING_RO_ROLLUP[MMWR_RATING_RO_ROLLUP],0),MATCH(E$9,MMWR_RATING_RO_ROLLUP[#Headers],0))/$C37,"ERROR"))</f>
        <v>7.6013513513513514E-2</v>
      </c>
      <c r="F37" s="154">
        <f>IF($B37=" ","",IFERROR(INDEX(MMWR_RATING_RO_ROLLUP[],MATCH($B37,MMWR_RATING_RO_ROLLUP[MMWR_RATING_RO_ROLLUP],0),MATCH(F$9,MMWR_RATING_RO_ROLLUP[#Headers],0)),"ERROR"))</f>
        <v>3572</v>
      </c>
      <c r="G37" s="154">
        <f>IF($B37=" ","",IFERROR(INDEX(MMWR_RATING_RO_ROLLUP[],MATCH($B37,MMWR_RATING_RO_ROLLUP[MMWR_RATING_RO_ROLLUP],0),MATCH(G$9,MMWR_RATING_RO_ROLLUP[#Headers],0)),"ERROR"))</f>
        <v>42855</v>
      </c>
      <c r="H37" s="155">
        <f>IF($B37=" ","",IFERROR(INDEX(MMWR_RATING_RO_ROLLUP[],MATCH($B37,MMWR_RATING_RO_ROLLUP[MMWR_RATING_RO_ROLLUP],0),MATCH(H$9,MMWR_RATING_RO_ROLLUP[#Headers],0)),"ERROR"))</f>
        <v>71.739081746899998</v>
      </c>
      <c r="I37" s="155">
        <f>IF($B37=" ","",IFERROR(INDEX(MMWR_RATING_RO_ROLLUP[],MATCH($B37,MMWR_RATING_RO_ROLLUP[MMWR_RATING_RO_ROLLUP],0),MATCH(I$9,MMWR_RATING_RO_ROLLUP[#Headers],0)),"ERROR"))</f>
        <v>68.353821024400006</v>
      </c>
      <c r="J37" s="42"/>
      <c r="K37" s="251">
        <f>IF($B37=" ","",IFERROR(VLOOKUP($B37,MMWR_ACCURACY_RO[],MATCH(K$50,MMWR_ACCURACY_RO[#Headers],0),0),"ERROR"))</f>
        <v>1</v>
      </c>
      <c r="L37" s="251">
        <f>IF($B37=" ","",IFERROR(VLOOKUP($B37,MMWR_ACCURACY_RO[],MATCH(L$50,MMWR_ACCURACY_RO[#Headers],0),0),"ERROR"))</f>
        <v>0.99143651029663205</v>
      </c>
      <c r="M37" s="251">
        <f>IF($B37=" ","",IFERROR(VLOOKUP($B37,MMWR_ACCURACY_RO[],MATCH(M$50,MMWR_ACCURACY_RO[#Headers],0),0),"ERROR"))</f>
        <v>1.2784329961668801E-2</v>
      </c>
      <c r="N37" s="251">
        <f>IF($B37=" ","",IFERROR(VLOOKUP($B37,MMWR_ACCURACY_RO[],MATCH(N$50,MMWR_ACCURACY_RO[#Headers],0),0),"ERROR"))</f>
        <v>0.98094927418039501</v>
      </c>
      <c r="O37" s="251">
        <f>IF($B37=" ","",IFERROR(VLOOKUP($B37,MMWR_ACCURACY_RO[],MATCH(O$50,MMWR_ACCURACY_RO[#Headers],0),0),"ERROR"))</f>
        <v>2.30989770379884E-2</v>
      </c>
      <c r="P37" s="28"/>
    </row>
    <row r="38" spans="1:16" x14ac:dyDescent="0.2">
      <c r="A38" s="25"/>
      <c r="B38" s="13" t="s">
        <v>224</v>
      </c>
      <c r="C38" s="154">
        <f>IF($B38=" ","",IFERROR(INDEX(MMWR_RATING_RO_ROLLUP[],MATCH($B38,MMWR_RATING_RO_ROLLUP[MMWR_RATING_RO_ROLLUP],0),MATCH(C$9,MMWR_RATING_RO_ROLLUP[#Headers],0)),"ERROR"))</f>
        <v>827</v>
      </c>
      <c r="D38" s="155">
        <f>IF($B38=" ","",IFERROR(INDEX(MMWR_RATING_RO_ROLLUP[],MATCH($B38,MMWR_RATING_RO_ROLLUP[MMWR_RATING_RO_ROLLUP],0),MATCH(D$9,MMWR_RATING_RO_ROLLUP[#Headers],0)),"ERROR"))</f>
        <v>202.18863361550001</v>
      </c>
      <c r="E38" s="156">
        <f>IF($B38=" ","",IFERROR(INDEX(MMWR_RATING_RO_ROLLUP[],MATCH($B38,MMWR_RATING_RO_ROLLUP[MMWR_RATING_RO_ROLLUP],0),MATCH(E$9,MMWR_RATING_RO_ROLLUP[#Headers],0))/$C38,"ERROR"))</f>
        <v>0.57073760580411126</v>
      </c>
      <c r="F38" s="154">
        <f>IF($B38=" ","",IFERROR(INDEX(MMWR_RATING_RO_ROLLUP[],MATCH($B38,MMWR_RATING_RO_ROLLUP[MMWR_RATING_RO_ROLLUP],0),MATCH(F$9,MMWR_RATING_RO_ROLLUP[#Headers],0)),"ERROR"))</f>
        <v>277</v>
      </c>
      <c r="G38" s="154">
        <f>IF($B38=" ","",IFERROR(INDEX(MMWR_RATING_RO_ROLLUP[],MATCH($B38,MMWR_RATING_RO_ROLLUP[MMWR_RATING_RO_ROLLUP],0),MATCH(G$9,MMWR_RATING_RO_ROLLUP[#Headers],0)),"ERROR"))</f>
        <v>3575</v>
      </c>
      <c r="H38" s="155">
        <f>IF($B38=" ","",IFERROR(INDEX(MMWR_RATING_RO_ROLLUP[],MATCH($B38,MMWR_RATING_RO_ROLLUP[MMWR_RATING_RO_ROLLUP],0),MATCH(H$9,MMWR_RATING_RO_ROLLUP[#Headers],0)),"ERROR"))</f>
        <v>67.8592057762</v>
      </c>
      <c r="I38" s="155">
        <f>IF($B38=" ","",IFERROR(INDEX(MMWR_RATING_RO_ROLLUP[],MATCH($B38,MMWR_RATING_RO_ROLLUP[MMWR_RATING_RO_ROLLUP],0),MATCH(I$9,MMWR_RATING_RO_ROLLUP[#Headers],0)),"ERROR"))</f>
        <v>49.2872727273</v>
      </c>
      <c r="J38" s="42"/>
      <c r="K38" s="42"/>
      <c r="L38" s="42"/>
      <c r="M38" s="42"/>
      <c r="N38" s="42"/>
      <c r="O38" s="42"/>
      <c r="P38" s="28"/>
    </row>
    <row r="39" spans="1:16" x14ac:dyDescent="0.2">
      <c r="A39" s="25"/>
      <c r="B39" s="378" t="s">
        <v>915</v>
      </c>
      <c r="C39" s="379"/>
      <c r="D39" s="379"/>
      <c r="E39" s="379"/>
      <c r="F39" s="379"/>
      <c r="G39" s="379"/>
      <c r="H39" s="379"/>
      <c r="I39" s="379"/>
      <c r="J39" s="379"/>
      <c r="K39" s="379"/>
      <c r="L39" s="379"/>
      <c r="M39" s="379"/>
      <c r="N39" s="379"/>
      <c r="O39" s="379"/>
      <c r="P39" s="28"/>
    </row>
    <row r="40" spans="1:16" x14ac:dyDescent="0.2">
      <c r="A40" s="25"/>
      <c r="B40" s="44" t="s">
        <v>696</v>
      </c>
      <c r="C40" s="154">
        <f>IF($B40=" ","",IFERROR(INDEX(MMWR_RATING_RO_ROLLUP[],MATCH($B40,MMWR_RATING_RO_ROLLUP[MMWR_RATING_RO_ROLLUP],0),MATCH(C$9,MMWR_RATING_RO_ROLLUP[#Headers],0)),"ERROR"))</f>
        <v>7627</v>
      </c>
      <c r="D40" s="155">
        <f>IF($B40=" ","",IFERROR(INDEX(MMWR_RATING_RO_ROLLUP[],MATCH($B40,MMWR_RATING_RO_ROLLUP[MMWR_RATING_RO_ROLLUP],0),MATCH(D$9,MMWR_RATING_RO_ROLLUP[#Headers],0)),"ERROR"))</f>
        <v>69.450898125099997</v>
      </c>
      <c r="E40" s="156">
        <f>IF($B40=" ","",IFERROR(INDEX(MMWR_RATING_RO_ROLLUP[],MATCH($B40,MMWR_RATING_RO_ROLLUP[MMWR_RATING_RO_ROLLUP],0),MATCH(E$9,MMWR_RATING_RO_ROLLUP[#Headers],0))/$C40,"ERROR"))</f>
        <v>0.12940867969057296</v>
      </c>
      <c r="F40" s="154">
        <f>IF($B40=" ","",IFERROR(INDEX(MMWR_RATING_RO_ROLLUP[],MATCH($B40,MMWR_RATING_RO_ROLLUP[MMWR_RATING_RO_ROLLUP],0),MATCH(F$9,MMWR_RATING_RO_ROLLUP[#Headers],0)),"ERROR"))</f>
        <v>1517</v>
      </c>
      <c r="G40" s="154">
        <f>IF($B40=" ","",IFERROR(INDEX(MMWR_RATING_RO_ROLLUP[],MATCH($B40,MMWR_RATING_RO_ROLLUP[MMWR_RATING_RO_ROLLUP],0),MATCH(G$9,MMWR_RATING_RO_ROLLUP[#Headers],0)),"ERROR"))</f>
        <v>20739</v>
      </c>
      <c r="H40" s="155">
        <f>IF($B40=" ","",IFERROR(INDEX(MMWR_RATING_RO_ROLLUP[],MATCH($B40,MMWR_RATING_RO_ROLLUP[MMWR_RATING_RO_ROLLUP],0),MATCH(H$9,MMWR_RATING_RO_ROLLUP[#Headers],0)),"ERROR"))</f>
        <v>119.551087673</v>
      </c>
      <c r="I40" s="155">
        <f>IF($B40=" ","",IFERROR(INDEX(MMWR_RATING_RO_ROLLUP[],MATCH($B40,MMWR_RATING_RO_ROLLUP[MMWR_RATING_RO_ROLLUP],0),MATCH(I$9,MMWR_RATING_RO_ROLLUP[#Headers],0)),"ERROR"))</f>
        <v>138.77626693670001</v>
      </c>
      <c r="J40" s="42"/>
      <c r="K40" s="42"/>
      <c r="L40" s="42"/>
      <c r="M40" s="42"/>
      <c r="N40" s="42"/>
      <c r="O40" s="42"/>
      <c r="P40" s="28"/>
    </row>
    <row r="41" spans="1:16" x14ac:dyDescent="0.2">
      <c r="A41" s="25"/>
      <c r="B41" s="45" t="s">
        <v>955</v>
      </c>
      <c r="C41" s="154">
        <f>IF($B41=" ","",IFERROR(INDEX(MMWR_RATING_RO_ROLLUP[],MATCH($B41,MMWR_RATING_RO_ROLLUP[MMWR_RATING_RO_ROLLUP],0),MATCH(C$9,MMWR_RATING_RO_ROLLUP[#Headers],0)),"ERROR"))</f>
        <v>921</v>
      </c>
      <c r="D41" s="155">
        <f>IF($B41=" ","",IFERROR(INDEX(MMWR_RATING_RO_ROLLUP[],MATCH($B41,MMWR_RATING_RO_ROLLUP[MMWR_RATING_RO_ROLLUP],0),MATCH(D$9,MMWR_RATING_RO_ROLLUP[#Headers],0)),"ERROR"))</f>
        <v>91.910966340900004</v>
      </c>
      <c r="E41" s="156">
        <f>IF($B41=" ","",IFERROR(INDEX(MMWR_RATING_RO_ROLLUP[],MATCH($B41,MMWR_RATING_RO_ROLLUP[MMWR_RATING_RO_ROLLUP],0),MATCH(E$9,MMWR_RATING_RO_ROLLUP[#Headers],0))/$C41,"ERROR"))</f>
        <v>0.21281216069489686</v>
      </c>
      <c r="F41" s="154">
        <f>IF($B41=" ","",IFERROR(INDEX(MMWR_RATING_RO_ROLLUP[],MATCH($B41,MMWR_RATING_RO_ROLLUP[MMWR_RATING_RO_ROLLUP],0),MATCH(F$9,MMWR_RATING_RO_ROLLUP[#Headers],0)),"ERROR"))</f>
        <v>756</v>
      </c>
      <c r="G41" s="154">
        <f>IF($B41=" ","",IFERROR(INDEX(MMWR_RATING_RO_ROLLUP[],MATCH($B41,MMWR_RATING_RO_ROLLUP[MMWR_RATING_RO_ROLLUP],0),MATCH(G$9,MMWR_RATING_RO_ROLLUP[#Headers],0)),"ERROR"))</f>
        <v>9207</v>
      </c>
      <c r="H41" s="155">
        <f>IF($B41=" ","",IFERROR(INDEX(MMWR_RATING_RO_ROLLUP[],MATCH($B41,MMWR_RATING_RO_ROLLUP[MMWR_RATING_RO_ROLLUP],0),MATCH(H$9,MMWR_RATING_RO_ROLLUP[#Headers],0)),"ERROR"))</f>
        <v>114.19444444440001</v>
      </c>
      <c r="I41" s="155">
        <f>IF($B41=" ","",IFERROR(INDEX(MMWR_RATING_RO_ROLLUP[],MATCH($B41,MMWR_RATING_RO_ROLLUP[MMWR_RATING_RO_ROLLUP],0),MATCH(I$9,MMWR_RATING_RO_ROLLUP[#Headers],0)),"ERROR"))</f>
        <v>125.97653958940001</v>
      </c>
      <c r="J41" s="42"/>
      <c r="K41" s="42"/>
      <c r="L41" s="42"/>
      <c r="M41" s="42"/>
      <c r="N41" s="42"/>
      <c r="O41" s="42"/>
      <c r="P41" s="28"/>
    </row>
    <row r="42" spans="1:16" x14ac:dyDescent="0.2">
      <c r="A42" s="25"/>
      <c r="B42" s="45" t="s">
        <v>956</v>
      </c>
      <c r="C42" s="154">
        <f>IF($B42=" ","",IFERROR(INDEX(MMWR_RATING_RO_ROLLUP[],MATCH($B42,MMWR_RATING_RO_ROLLUP[MMWR_RATING_RO_ROLLUP],0),MATCH(C$9,MMWR_RATING_RO_ROLLUP[#Headers],0)),"ERROR"))</f>
        <v>434</v>
      </c>
      <c r="D42" s="155">
        <f>IF($B42=" ","",IFERROR(INDEX(MMWR_RATING_RO_ROLLUP[],MATCH($B42,MMWR_RATING_RO_ROLLUP[MMWR_RATING_RO_ROLLUP],0),MATCH(D$9,MMWR_RATING_RO_ROLLUP[#Headers],0)),"ERROR"))</f>
        <v>119.4792626728</v>
      </c>
      <c r="E42" s="156">
        <f>IF($B42=" ","",IFERROR(INDEX(MMWR_RATING_RO_ROLLUP[],MATCH($B42,MMWR_RATING_RO_ROLLUP[MMWR_RATING_RO_ROLLUP],0),MATCH(E$9,MMWR_RATING_RO_ROLLUP[#Headers],0))/$C42,"ERROR"))</f>
        <v>0.34331797235023043</v>
      </c>
      <c r="F42" s="154">
        <f>IF($B42=" ","",IFERROR(INDEX(MMWR_RATING_RO_ROLLUP[],MATCH($B42,MMWR_RATING_RO_ROLLUP[MMWR_RATING_RO_ROLLUP],0),MATCH(F$9,MMWR_RATING_RO_ROLLUP[#Headers],0)),"ERROR"))</f>
        <v>603</v>
      </c>
      <c r="G42" s="154">
        <f>IF($B42=" ","",IFERROR(INDEX(MMWR_RATING_RO_ROLLUP[],MATCH($B42,MMWR_RATING_RO_ROLLUP[MMWR_RATING_RO_ROLLUP],0),MATCH(G$9,MMWR_RATING_RO_ROLLUP[#Headers],0)),"ERROR"))</f>
        <v>7738</v>
      </c>
      <c r="H42" s="155">
        <f>IF($B42=" ","",IFERROR(INDEX(MMWR_RATING_RO_ROLLUP[],MATCH($B42,MMWR_RATING_RO_ROLLUP[MMWR_RATING_RO_ROLLUP],0),MATCH(H$9,MMWR_RATING_RO_ROLLUP[#Headers],0)),"ERROR"))</f>
        <v>124.9701492537</v>
      </c>
      <c r="I42" s="155">
        <f>IF($B42=" ","",IFERROR(INDEX(MMWR_RATING_RO_ROLLUP[],MATCH($B42,MMWR_RATING_RO_ROLLUP[MMWR_RATING_RO_ROLLUP],0),MATCH(I$9,MMWR_RATING_RO_ROLLUP[#Headers],0)),"ERROR"))</f>
        <v>156.54652364949999</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6272</v>
      </c>
      <c r="D43" s="155">
        <f>IF($B43=" ","",IFERROR(INDEX(MMWR_RATING_RO_ROLLUP[],MATCH($B43,MMWR_RATING_RO_ROLLUP[MMWR_RATING_RO_ROLLUP],0),MATCH(D$9,MMWR_RATING_RO_ROLLUP[#Headers],0)),"ERROR"))</f>
        <v>62.691007653100002</v>
      </c>
      <c r="E43" s="156">
        <f>IF($B43=" ","",IFERROR(INDEX(MMWR_RATING_RO_ROLLUP[],MATCH($B43,MMWR_RATING_RO_ROLLUP[MMWR_RATING_RO_ROLLUP],0),MATCH(E$9,MMWR_RATING_RO_ROLLUP[#Headers],0))/$C43,"ERROR"))</f>
        <v>0.10235969387755102</v>
      </c>
      <c r="F43" s="154">
        <f>IF($B43=" ","",IFERROR(INDEX(MMWR_RATING_RO_ROLLUP[],MATCH($B43,MMWR_RATING_RO_ROLLUP[MMWR_RATING_RO_ROLLUP],0),MATCH(F$9,MMWR_RATING_RO_ROLLUP[#Headers],0)),"ERROR"))</f>
        <v>158</v>
      </c>
      <c r="G43" s="154">
        <f>IF($B43=" ","",IFERROR(INDEX(MMWR_RATING_RO_ROLLUP[],MATCH($B43,MMWR_RATING_RO_ROLLUP[MMWR_RATING_RO_ROLLUP],0),MATCH(G$9,MMWR_RATING_RO_ROLLUP[#Headers],0)),"ERROR"))</f>
        <v>3794</v>
      </c>
      <c r="H43" s="155">
        <f>IF($B43=" ","",IFERROR(INDEX(MMWR_RATING_RO_ROLLUP[],MATCH($B43,MMWR_RATING_RO_ROLLUP[MMWR_RATING_RO_ROLLUP],0),MATCH(H$9,MMWR_RATING_RO_ROLLUP[#Headers],0)),"ERROR"))</f>
        <v>124.5</v>
      </c>
      <c r="I43" s="155">
        <f>IF($B43=" ","",IFERROR(INDEX(MMWR_RATING_RO_ROLLUP[],MATCH($B43,MMWR_RATING_RO_ROLLUP[MMWR_RATING_RO_ROLLUP],0),MATCH(I$9,MMWR_RATING_RO_ROLLUP[#Headers],0)),"ERROR"))</f>
        <v>133.5946230891</v>
      </c>
      <c r="J43" s="42"/>
      <c r="K43" s="42"/>
      <c r="L43" s="42"/>
      <c r="M43" s="42"/>
      <c r="N43" s="42"/>
      <c r="O43" s="42"/>
      <c r="P43" s="28"/>
    </row>
    <row r="44" spans="1:16" x14ac:dyDescent="0.2">
      <c r="A44" s="25"/>
      <c r="B44" s="378" t="s">
        <v>733</v>
      </c>
      <c r="C44" s="379"/>
      <c r="D44" s="379"/>
      <c r="E44" s="379"/>
      <c r="F44" s="379"/>
      <c r="G44" s="379"/>
      <c r="H44" s="379"/>
      <c r="I44" s="379"/>
      <c r="J44" s="379"/>
      <c r="K44" s="379"/>
      <c r="L44" s="379"/>
      <c r="M44" s="379"/>
      <c r="N44" s="379"/>
      <c r="O44" s="379"/>
      <c r="P44" s="28"/>
    </row>
    <row r="45" spans="1:16" x14ac:dyDescent="0.2">
      <c r="A45" s="25"/>
      <c r="B45" s="44" t="s">
        <v>694</v>
      </c>
      <c r="C45" s="154">
        <f>IF($B45=" ","",IFERROR(INDEX(MMWR_RATING_RO_ROLLUP[],MATCH($B45,MMWR_RATING_RO_ROLLUP[MMWR_RATING_RO_ROLLUP],0),MATCH(C$9,MMWR_RATING_RO_ROLLUP[#Headers],0)),"ERROR"))</f>
        <v>7746</v>
      </c>
      <c r="D45" s="155">
        <f>IF($B45=" ","",IFERROR(INDEX(MMWR_RATING_RO_ROLLUP[],MATCH($B45,MMWR_RATING_RO_ROLLUP[MMWR_RATING_RO_ROLLUP],0),MATCH(D$9,MMWR_RATING_RO_ROLLUP[#Headers],0)),"ERROR"))</f>
        <v>67.789052414099999</v>
      </c>
      <c r="E45" s="156">
        <f>IF($B45=" ","",IFERROR(INDEX(MMWR_RATING_RO_ROLLUP[],MATCH($B45,MMWR_RATING_RO_ROLLUP[MMWR_RATING_RO_ROLLUP],0),MATCH(E$9,MMWR_RATING_RO_ROLLUP[#Headers],0))/$C45,"ERROR"))</f>
        <v>0.12483862638781307</v>
      </c>
      <c r="F45" s="154">
        <f>IF($B45=" ","",IFERROR(INDEX(MMWR_RATING_RO_ROLLUP[],MATCH($B45,MMWR_RATING_RO_ROLLUP[MMWR_RATING_RO_ROLLUP],0),MATCH(F$9,MMWR_RATING_RO_ROLLUP[#Headers],0)),"ERROR"))</f>
        <v>1443</v>
      </c>
      <c r="G45" s="154">
        <f>IF($B45=" ","",IFERROR(INDEX(MMWR_RATING_RO_ROLLUP[],MATCH($B45,MMWR_RATING_RO_ROLLUP[MMWR_RATING_RO_ROLLUP],0),MATCH(G$9,MMWR_RATING_RO_ROLLUP[#Headers],0)),"ERROR"))</f>
        <v>23688</v>
      </c>
      <c r="H45" s="155">
        <f>IF($B45=" ","",IFERROR(INDEX(MMWR_RATING_RO_ROLLUP[],MATCH($B45,MMWR_RATING_RO_ROLLUP[MMWR_RATING_RO_ROLLUP],0),MATCH(H$9,MMWR_RATING_RO_ROLLUP[#Headers],0)),"ERROR"))</f>
        <v>116.4913374913</v>
      </c>
      <c r="I45" s="155">
        <f>IF($B45=" ","",IFERROR(INDEX(MMWR_RATING_RO_ROLLUP[],MATCH($B45,MMWR_RATING_RO_ROLLUP[MMWR_RATING_RO_ROLLUP],0),MATCH(I$9,MMWR_RATING_RO_ROLLUP[#Headers],0)),"ERROR"))</f>
        <v>131.4363390746</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497</v>
      </c>
      <c r="D46" s="155">
        <f>IF($B46=" ","",IFERROR(INDEX(MMWR_RATING_RO_ROLLUP[],MATCH($B46,MMWR_RATING_RO_ROLLUP[MMWR_RATING_RO_ROLLUP],0),MATCH(D$9,MMWR_RATING_RO_ROLLUP[#Headers],0)),"ERROR"))</f>
        <v>104.661971831</v>
      </c>
      <c r="E46" s="156">
        <f>IF($B46=" ","",IFERROR(INDEX(MMWR_RATING_RO_ROLLUP[],MATCH($B46,MMWR_RATING_RO_ROLLUP[MMWR_RATING_RO_ROLLUP],0),MATCH(E$9,MMWR_RATING_RO_ROLLUP[#Headers],0))/$C46,"ERROR"))</f>
        <v>0.21126760563380281</v>
      </c>
      <c r="F46" s="154">
        <f>IF($B46=" ","",IFERROR(INDEX(MMWR_RATING_RO_ROLLUP[],MATCH($B46,MMWR_RATING_RO_ROLLUP[MMWR_RATING_RO_ROLLUP],0),MATCH(F$9,MMWR_RATING_RO_ROLLUP[#Headers],0)),"ERROR"))</f>
        <v>605</v>
      </c>
      <c r="G46" s="154">
        <f>IF($B46=" ","",IFERROR(INDEX(MMWR_RATING_RO_ROLLUP[],MATCH($B46,MMWR_RATING_RO_ROLLUP[MMWR_RATING_RO_ROLLUP],0),MATCH(G$9,MMWR_RATING_RO_ROLLUP[#Headers],0)),"ERROR"))</f>
        <v>9482</v>
      </c>
      <c r="H46" s="155">
        <f>IF($B46=" ","",IFERROR(INDEX(MMWR_RATING_RO_ROLLUP[],MATCH($B46,MMWR_RATING_RO_ROLLUP[MMWR_RATING_RO_ROLLUP],0),MATCH(H$9,MMWR_RATING_RO_ROLLUP[#Headers],0)),"ERROR"))</f>
        <v>115.0247933884</v>
      </c>
      <c r="I46" s="155">
        <f>IF($B46=" ","",IFERROR(INDEX(MMWR_RATING_RO_ROLLUP[],MATCH($B46,MMWR_RATING_RO_ROLLUP[MMWR_RATING_RO_ROLLUP],0),MATCH(I$9,MMWR_RATING_RO_ROLLUP[#Headers],0)),"ERROR"))</f>
        <v>118.92786332</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530</v>
      </c>
      <c r="D47" s="155">
        <f>IF($B47=" ","",IFERROR(INDEX(MMWR_RATING_RO_ROLLUP[],MATCH($B47,MMWR_RATING_RO_ROLLUP[MMWR_RATING_RO_ROLLUP],0),MATCH(D$9,MMWR_RATING_RO_ROLLUP[#Headers],0)),"ERROR"))</f>
        <v>114.84716981130001</v>
      </c>
      <c r="E47" s="156">
        <f>IF($B47=" ","",IFERROR(INDEX(MMWR_RATING_RO_ROLLUP[],MATCH($B47,MMWR_RATING_RO_ROLLUP[MMWR_RATING_RO_ROLLUP],0),MATCH(E$9,MMWR_RATING_RO_ROLLUP[#Headers],0))/$C47,"ERROR"))</f>
        <v>0.31320754716981131</v>
      </c>
      <c r="F47" s="154">
        <f>IF($B47=" ","",IFERROR(INDEX(MMWR_RATING_RO_ROLLUP[],MATCH($B47,MMWR_RATING_RO_ROLLUP[MMWR_RATING_RO_ROLLUP],0),MATCH(F$9,MMWR_RATING_RO_ROLLUP[#Headers],0)),"ERROR"))</f>
        <v>560</v>
      </c>
      <c r="G47" s="154">
        <f>IF($B47=" ","",IFERROR(INDEX(MMWR_RATING_RO_ROLLUP[],MATCH($B47,MMWR_RATING_RO_ROLLUP[MMWR_RATING_RO_ROLLUP],0),MATCH(G$9,MMWR_RATING_RO_ROLLUP[#Headers],0)),"ERROR"))</f>
        <v>8426</v>
      </c>
      <c r="H47" s="155">
        <f>IF($B47=" ","",IFERROR(INDEX(MMWR_RATING_RO_ROLLUP[],MATCH($B47,MMWR_RATING_RO_ROLLUP[MMWR_RATING_RO_ROLLUP],0),MATCH(H$9,MMWR_RATING_RO_ROLLUP[#Headers],0)),"ERROR"))</f>
        <v>117.6285714286</v>
      </c>
      <c r="I47" s="155">
        <f>IF($B47=" ","",IFERROR(INDEX(MMWR_RATING_RO_ROLLUP[],MATCH($B47,MMWR_RATING_RO_ROLLUP[MMWR_RATING_RO_ROLLUP],0),MATCH(I$9,MMWR_RATING_RO_ROLLUP[#Headers],0)),"ERROR"))</f>
        <v>148.0008307619</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6719</v>
      </c>
      <c r="D48" s="155">
        <f>IF($B48=" ","",IFERROR(INDEX(MMWR_RATING_RO_ROLLUP[],MATCH($B48,MMWR_RATING_RO_ROLLUP[MMWR_RATING_RO_ROLLUP],0),MATCH(D$9,MMWR_RATING_RO_ROLLUP[#Headers],0)),"ERROR"))</f>
        <v>61.349605596099998</v>
      </c>
      <c r="E48" s="156">
        <f>IF($B48=" ","",IFERROR(INDEX(MMWR_RATING_RO_ROLLUP[],MATCH($B48,MMWR_RATING_RO_ROLLUP[MMWR_RATING_RO_ROLLUP],0),MATCH(E$9,MMWR_RATING_RO_ROLLUP[#Headers],0))/$C48,"ERROR"))</f>
        <v>0.10358684328025004</v>
      </c>
      <c r="F48" s="154">
        <f>IF($B48=" ","",IFERROR(INDEX(MMWR_RATING_RO_ROLLUP[],MATCH($B48,MMWR_RATING_RO_ROLLUP[MMWR_RATING_RO_ROLLUP],0),MATCH(F$9,MMWR_RATING_RO_ROLLUP[#Headers],0)),"ERROR"))</f>
        <v>278</v>
      </c>
      <c r="G48" s="154">
        <f>IF($B48=" ","",IFERROR(INDEX(MMWR_RATING_RO_ROLLUP[],MATCH($B48,MMWR_RATING_RO_ROLLUP[MMWR_RATING_RO_ROLLUP],0),MATCH(G$9,MMWR_RATING_RO_ROLLUP[#Headers],0)),"ERROR"))</f>
        <v>5780</v>
      </c>
      <c r="H48" s="155">
        <f>IF($B48=" ","",IFERROR(INDEX(MMWR_RATING_RO_ROLLUP[],MATCH($B48,MMWR_RATING_RO_ROLLUP[MMWR_RATING_RO_ROLLUP],0),MATCH(H$9,MMWR_RATING_RO_ROLLUP[#Headers],0)),"ERROR"))</f>
        <v>117.3920863309</v>
      </c>
      <c r="I48" s="155">
        <f>IF($B48=" ","",IFERROR(INDEX(MMWR_RATING_RO_ROLLUP[],MATCH($B48,MMWR_RATING_RO_ROLLUP[MMWR_RATING_RO_ROLLUP],0),MATCH(I$9,MMWR_RATING_RO_ROLLUP[#Headers],0)),"ERROR"))</f>
        <v>127.8088235294</v>
      </c>
      <c r="J48" s="42"/>
      <c r="K48" s="42"/>
      <c r="L48" s="42"/>
      <c r="M48" s="42"/>
      <c r="N48" s="42"/>
      <c r="O48" s="42"/>
      <c r="P48" s="28"/>
    </row>
    <row r="49" spans="1:16" ht="15.75" x14ac:dyDescent="0.25">
      <c r="A49" s="25"/>
      <c r="B49" s="377" t="s">
        <v>1049</v>
      </c>
      <c r="C49" s="377"/>
      <c r="D49" s="377"/>
      <c r="E49" s="377"/>
      <c r="F49" s="377"/>
      <c r="G49" s="377"/>
      <c r="H49" s="377"/>
      <c r="I49" s="377"/>
      <c r="J49" s="377"/>
      <c r="K49" s="377"/>
      <c r="L49" s="377"/>
      <c r="M49" s="377"/>
      <c r="N49" s="377"/>
      <c r="O49" s="261"/>
      <c r="P49" s="28"/>
    </row>
    <row r="50" spans="1:16" ht="12" customHeight="1" x14ac:dyDescent="0.2">
      <c r="A50" s="25"/>
      <c r="B50" s="26"/>
      <c r="C50" s="26"/>
      <c r="D50" s="26"/>
      <c r="E50" s="26"/>
      <c r="F50" s="26"/>
      <c r="G50" s="26"/>
      <c r="H50" s="26"/>
      <c r="I50" s="26"/>
      <c r="J50" s="26"/>
      <c r="K50" s="27" t="s">
        <v>921</v>
      </c>
      <c r="L50" s="27" t="s">
        <v>926</v>
      </c>
      <c r="M50" s="27" t="s">
        <v>927</v>
      </c>
      <c r="N50" s="27" t="s">
        <v>928</v>
      </c>
      <c r="O50" s="27" t="s">
        <v>929</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80" zoomScaleNormal="8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0" t="s">
        <v>294</v>
      </c>
      <c r="D2" s="351"/>
      <c r="E2" s="351"/>
      <c r="F2" s="351"/>
      <c r="G2" s="351"/>
      <c r="H2" s="351"/>
      <c r="I2" s="351"/>
      <c r="J2" s="350" t="s">
        <v>300</v>
      </c>
      <c r="K2" s="351"/>
      <c r="L2" s="351"/>
      <c r="M2" s="352"/>
      <c r="N2" s="28"/>
    </row>
    <row r="3" spans="1:16" ht="24" customHeight="1" thickBot="1" x14ac:dyDescent="0.4">
      <c r="A3" s="25"/>
      <c r="B3" s="29"/>
      <c r="C3" s="353"/>
      <c r="D3" s="354"/>
      <c r="E3" s="354"/>
      <c r="F3" s="354"/>
      <c r="G3" s="354"/>
      <c r="H3" s="354"/>
      <c r="I3" s="354"/>
      <c r="J3" s="353" t="str">
        <f>Transformation!B4</f>
        <v>As of: July 23, 2016</v>
      </c>
      <c r="K3" s="354"/>
      <c r="L3" s="354"/>
      <c r="M3" s="355"/>
      <c r="N3" s="28"/>
    </row>
    <row r="4" spans="1:16" ht="51" customHeight="1" thickBot="1" x14ac:dyDescent="0.35">
      <c r="A4" s="30"/>
      <c r="B4" s="246" t="s">
        <v>454</v>
      </c>
      <c r="C4" s="356" t="s">
        <v>969</v>
      </c>
      <c r="D4" s="357"/>
      <c r="E4" s="357"/>
      <c r="F4" s="357"/>
      <c r="G4" s="357"/>
      <c r="H4" s="357"/>
      <c r="I4" s="357"/>
      <c r="J4" s="357"/>
      <c r="K4" s="357"/>
      <c r="L4" s="357"/>
      <c r="M4" s="358"/>
      <c r="N4" s="28"/>
      <c r="O4" s="22"/>
      <c r="P4" s="23"/>
    </row>
    <row r="5" spans="1:16" ht="27" customHeight="1" thickBot="1" x14ac:dyDescent="0.25">
      <c r="A5" s="30"/>
      <c r="B5" s="48"/>
      <c r="C5" s="359" t="s">
        <v>1040</v>
      </c>
      <c r="D5" s="360"/>
      <c r="E5" s="360"/>
      <c r="F5" s="360"/>
      <c r="G5" s="360"/>
      <c r="H5" s="360"/>
      <c r="I5" s="360"/>
      <c r="J5" s="360"/>
      <c r="K5" s="360"/>
      <c r="L5" s="360"/>
      <c r="M5" s="360"/>
      <c r="N5" s="360"/>
      <c r="O5" s="361"/>
    </row>
    <row r="6" spans="1:16" ht="55.5" customHeight="1" x14ac:dyDescent="0.2">
      <c r="A6" s="30"/>
      <c r="B6" s="31"/>
      <c r="C6" s="32" t="s">
        <v>190</v>
      </c>
      <c r="D6" s="362" t="s">
        <v>16</v>
      </c>
      <c r="E6" s="363"/>
      <c r="F6" s="33" t="s">
        <v>193</v>
      </c>
      <c r="G6" s="362" t="s">
        <v>198</v>
      </c>
      <c r="H6" s="364"/>
      <c r="I6" s="33" t="s">
        <v>196</v>
      </c>
      <c r="J6" s="49" t="s">
        <v>14</v>
      </c>
      <c r="K6" s="33" t="s">
        <v>201</v>
      </c>
      <c r="L6" s="368" t="s">
        <v>85</v>
      </c>
      <c r="M6" s="396"/>
      <c r="N6" s="28"/>
    </row>
    <row r="7" spans="1:16" ht="51.75" customHeight="1" x14ac:dyDescent="0.2">
      <c r="A7" s="30"/>
      <c r="B7" s="34"/>
      <c r="C7" s="35" t="s">
        <v>191</v>
      </c>
      <c r="D7" s="380" t="s">
        <v>0</v>
      </c>
      <c r="E7" s="381"/>
      <c r="F7" s="36" t="s">
        <v>194</v>
      </c>
      <c r="G7" s="382" t="s">
        <v>199</v>
      </c>
      <c r="H7" s="382"/>
      <c r="I7" s="36" t="s">
        <v>197</v>
      </c>
      <c r="J7" s="50" t="s">
        <v>19</v>
      </c>
      <c r="K7" s="36" t="s">
        <v>202</v>
      </c>
      <c r="L7" s="392" t="s">
        <v>87</v>
      </c>
      <c r="M7" s="393"/>
      <c r="N7" s="28"/>
    </row>
    <row r="8" spans="1:16" ht="51.75" customHeight="1" thickBot="1" x14ac:dyDescent="0.25">
      <c r="A8" s="25"/>
      <c r="B8" s="28"/>
      <c r="C8" s="37" t="s">
        <v>192</v>
      </c>
      <c r="D8" s="383" t="s">
        <v>18</v>
      </c>
      <c r="E8" s="384"/>
      <c r="F8" s="38" t="s">
        <v>195</v>
      </c>
      <c r="G8" s="385" t="s">
        <v>17</v>
      </c>
      <c r="H8" s="385"/>
      <c r="I8" s="38" t="s">
        <v>200</v>
      </c>
      <c r="J8" s="51" t="s">
        <v>84</v>
      </c>
      <c r="K8" s="38" t="s">
        <v>203</v>
      </c>
      <c r="L8" s="394" t="s">
        <v>86</v>
      </c>
      <c r="M8" s="395"/>
      <c r="N8" s="28"/>
    </row>
    <row r="9" spans="1:16" x14ac:dyDescent="0.2">
      <c r="A9" s="28"/>
      <c r="B9" s="28"/>
      <c r="C9" s="39" t="s">
        <v>698</v>
      </c>
      <c r="D9" s="39" t="s">
        <v>700</v>
      </c>
      <c r="E9" s="39" t="s">
        <v>699</v>
      </c>
      <c r="F9" s="39" t="s">
        <v>702</v>
      </c>
      <c r="G9" s="39" t="s">
        <v>701</v>
      </c>
      <c r="H9" s="39" t="s">
        <v>712</v>
      </c>
      <c r="I9" s="39" t="s">
        <v>711</v>
      </c>
      <c r="J9" s="39"/>
      <c r="K9" s="39"/>
      <c r="L9" s="39"/>
      <c r="M9" s="39"/>
      <c r="N9" s="28"/>
    </row>
    <row r="10" spans="1:16" ht="15.75" customHeight="1" x14ac:dyDescent="0.2">
      <c r="A10" s="25"/>
      <c r="B10" s="26"/>
      <c r="C10" s="386" t="s">
        <v>293</v>
      </c>
      <c r="D10" s="386"/>
      <c r="E10" s="386"/>
      <c r="F10" s="386"/>
      <c r="G10" s="386"/>
      <c r="H10" s="386"/>
      <c r="I10" s="386"/>
      <c r="J10" s="386"/>
      <c r="K10" s="386"/>
      <c r="L10" s="386"/>
      <c r="M10" s="387"/>
      <c r="N10" s="28"/>
    </row>
    <row r="11" spans="1:16" ht="64.5" customHeight="1" x14ac:dyDescent="0.2">
      <c r="A11" s="25"/>
      <c r="B11" s="26"/>
      <c r="C11" s="52" t="s">
        <v>226</v>
      </c>
      <c r="D11" s="52" t="s">
        <v>134</v>
      </c>
      <c r="E11" s="52" t="s">
        <v>227</v>
      </c>
      <c r="F11" s="52" t="s">
        <v>189</v>
      </c>
      <c r="G11" s="52" t="s">
        <v>204</v>
      </c>
      <c r="H11" s="52" t="s">
        <v>206</v>
      </c>
      <c r="I11" s="52" t="s">
        <v>207</v>
      </c>
      <c r="J11" s="389" t="s">
        <v>970</v>
      </c>
      <c r="K11" s="390"/>
      <c r="L11" s="390"/>
      <c r="M11" s="391"/>
      <c r="N11" s="28"/>
    </row>
    <row r="12" spans="1:16" x14ac:dyDescent="0.2">
      <c r="A12" s="25"/>
      <c r="B12" s="41" t="s">
        <v>728</v>
      </c>
      <c r="C12" s="154">
        <f>IF($B12=" ","",IFERROR(INDEX(MMWR_RATING_RO_ROLLUP[],MATCH($B12,MMWR_RATING_RO_ROLLUP[MMWR_RATING_RO_ROLLUP],0),MATCH(C$9,MMWR_RATING_RO_ROLLUP[#Headers],0)),"ERROR"))</f>
        <v>379516</v>
      </c>
      <c r="D12" s="155">
        <f>IF($B12=" ","",IFERROR(INDEX(MMWR_RATING_RO_ROLLUP[],MATCH($B12,MMWR_RATING_RO_ROLLUP[MMWR_RATING_RO_ROLLUP],0),MATCH(D$9,MMWR_RATING_RO_ROLLUP[#Headers],0)),"ERROR"))</f>
        <v>89.273759209100007</v>
      </c>
      <c r="E12" s="156">
        <f>IF($B12=" ","",IFERROR(INDEX(MMWR_RATING_RO_ROLLUP[],MATCH($B12,MMWR_RATING_RO_ROLLUP[MMWR_RATING_RO_ROLLUP],0),MATCH(E$9,MMWR_RATING_RO_ROLLUP[#Headers],0))/$C12,"ERROR"))</f>
        <v>0.20464749839268964</v>
      </c>
      <c r="F12" s="154">
        <f>IF($B12=" ","",IFERROR(INDEX(MMWR_RATING_RO_ROLLUP[],MATCH($B12,MMWR_RATING_RO_ROLLUP[MMWR_RATING_RO_ROLLUP],0),MATCH(F$9,MMWR_RATING_RO_ROLLUP[#Headers],0)),"ERROR"))</f>
        <v>73704</v>
      </c>
      <c r="G12" s="154">
        <f>IF($B12=" ","",IFERROR(INDEX(MMWR_RATING_RO_ROLLUP[],MATCH($B12,MMWR_RATING_RO_ROLLUP[MMWR_RATING_RO_ROLLUP],0),MATCH(G$9,MMWR_RATING_RO_ROLLUP[#Headers],0)),"ERROR"))</f>
        <v>1018350</v>
      </c>
      <c r="H12" s="155">
        <f>IF($B12=" ","",IFERROR(INDEX(MMWR_RATING_RO_ROLLUP[],MATCH($B12,MMWR_RATING_RO_ROLLUP[MMWR_RATING_RO_ROLLUP],0),MATCH(H$9,MMWR_RATING_RO_ROLLUP[#Headers],0)),"ERROR"))</f>
        <v>121.24401660700001</v>
      </c>
      <c r="I12" s="155">
        <f>IF($B12=" ","",IFERROR(INDEX(MMWR_RATING_RO_ROLLUP[],MATCH($B12,MMWR_RATING_RO_ROLLUP[MMWR_RATING_RO_ROLLUP],0),MATCH(I$9,MMWR_RATING_RO_ROLLUP[#Headers],0)),"ERROR"))</f>
        <v>123.22773702560001</v>
      </c>
      <c r="J12" s="42"/>
      <c r="K12" s="42"/>
      <c r="L12" s="42"/>
      <c r="M12" s="42"/>
      <c r="N12" s="28"/>
    </row>
    <row r="13" spans="1:16" x14ac:dyDescent="0.2">
      <c r="A13" s="25"/>
      <c r="B13" s="378" t="s">
        <v>731</v>
      </c>
      <c r="C13" s="379"/>
      <c r="D13" s="379"/>
      <c r="E13" s="379"/>
      <c r="F13" s="379"/>
      <c r="G13" s="379"/>
      <c r="H13" s="379"/>
      <c r="I13" s="379"/>
      <c r="J13" s="379"/>
      <c r="K13" s="379"/>
      <c r="L13" s="379"/>
      <c r="M13" s="388"/>
      <c r="N13" s="28"/>
    </row>
    <row r="14" spans="1:16" x14ac:dyDescent="0.2">
      <c r="A14" s="25"/>
      <c r="B14" s="41" t="s">
        <v>727</v>
      </c>
      <c r="C14" s="154">
        <f>IF($B14=" ","",IFERROR(INDEX(MMWR_RATING_RO_ROLLUP[],MATCH($B14,MMWR_RATING_RO_ROLLUP[MMWR_RATING_RO_ROLLUP],0),MATCH(C$9,MMWR_RATING_RO_ROLLUP[#Headers],0)),"ERROR"))</f>
        <v>336721</v>
      </c>
      <c r="D14" s="155">
        <f>IF($B14=" ","",IFERROR(INDEX(MMWR_RATING_RO_ROLLUP[],MATCH($B14,MMWR_RATING_RO_ROLLUP[MMWR_RATING_RO_ROLLUP],0),MATCH(D$9,MMWR_RATING_RO_ROLLUP[#Headers],0)),"ERROR"))</f>
        <v>91.765265605600007</v>
      </c>
      <c r="E14" s="156">
        <f>IF($B14=" ","",IFERROR(INDEX(MMWR_RATING_RO_ROLLUP[],MATCH($B14,MMWR_RATING_RO_ROLLUP[MMWR_RATING_RO_ROLLUP],0),MATCH(E$9,MMWR_RATING_RO_ROLLUP[#Headers],0))/$C14,"ERROR"))</f>
        <v>0.21469406422527851</v>
      </c>
      <c r="F14" s="154">
        <f>IF($B14=" ","",IFERROR(INDEX(MMWR_RATING_RO_ROLLUP[],MATCH($B14,MMWR_RATING_RO_ROLLUP[MMWR_RATING_RO_ROLLUP],0),MATCH(F$9,MMWR_RATING_RO_ROLLUP[#Headers],0)),"ERROR"))</f>
        <v>60966</v>
      </c>
      <c r="G14" s="154">
        <f>IF($B14=" ","",IFERROR(INDEX(MMWR_RATING_RO_ROLLUP[],MATCH($B14,MMWR_RATING_RO_ROLLUP[MMWR_RATING_RO_ROLLUP],0),MATCH(G$9,MMWR_RATING_RO_ROLLUP[#Headers],0)),"ERROR"))</f>
        <v>854746</v>
      </c>
      <c r="H14" s="155">
        <f>IF($B14=" ","",IFERROR(INDEX(MMWR_RATING_RO_ROLLUP[],MATCH($B14,MMWR_RATING_RO_ROLLUP[MMWR_RATING_RO_ROLLUP],0),MATCH(H$9,MMWR_RATING_RO_ROLLUP[#Headers],0)),"ERROR"))</f>
        <v>127.2399862218</v>
      </c>
      <c r="I14" s="155">
        <f>IF($B14=" ","",IFERROR(INDEX(MMWR_RATING_RO_ROLLUP[],MATCH($B14,MMWR_RATING_RO_ROLLUP[MMWR_RATING_RO_ROLLUP],0),MATCH(I$9,MMWR_RATING_RO_ROLLUP[#Headers],0)),"ERROR"))</f>
        <v>128.81267300459999</v>
      </c>
      <c r="J14" s="42"/>
      <c r="K14" s="42"/>
      <c r="L14" s="42"/>
      <c r="M14" s="42"/>
      <c r="N14" s="28"/>
    </row>
    <row r="15" spans="1:16" x14ac:dyDescent="0.2">
      <c r="A15" s="25"/>
      <c r="B15" s="247" t="s">
        <v>368</v>
      </c>
      <c r="C15" s="154">
        <f>IF($B15=" ","",IFERROR(INDEX(MMWR_RATING_RO_ROLLUP[],MATCH($B15,MMWR_RATING_RO_ROLLUP[MMWR_RATING_RO_ROLLUP],0),MATCH(C$9,MMWR_RATING_RO_ROLLUP[#Headers],0)),"ERROR"))</f>
        <v>74911</v>
      </c>
      <c r="D15" s="155">
        <f>IF($B15=" ","",IFERROR(INDEX(MMWR_RATING_RO_ROLLUP[],MATCH($B15,MMWR_RATING_RO_ROLLUP[MMWR_RATING_RO_ROLLUP],0),MATCH(D$9,MMWR_RATING_RO_ROLLUP[#Headers],0)),"ERROR"))</f>
        <v>95.455500527300003</v>
      </c>
      <c r="E15" s="156">
        <f>IF($B15=" ","",IFERROR(INDEX(MMWR_RATING_RO_ROLLUP[],MATCH($B15,MMWR_RATING_RO_ROLLUP[MMWR_RATING_RO_ROLLUP],0),MATCH(E$9,MMWR_RATING_RO_ROLLUP[#Headers],0))/$C15,"ERROR"))</f>
        <v>0.23095406549104938</v>
      </c>
      <c r="F15" s="154">
        <f>IF($B15=" ","",IFERROR(INDEX(MMWR_RATING_RO_ROLLUP[],MATCH($B15,MMWR_RATING_RO_ROLLUP[MMWR_RATING_RO_ROLLUP],0),MATCH(F$9,MMWR_RATING_RO_ROLLUP[#Headers],0)),"ERROR"))</f>
        <v>14390</v>
      </c>
      <c r="G15" s="154">
        <f>IF($B15=" ","",IFERROR(INDEX(MMWR_RATING_RO_ROLLUP[],MATCH($B15,MMWR_RATING_RO_ROLLUP[MMWR_RATING_RO_ROLLUP],0),MATCH(G$9,MMWR_RATING_RO_ROLLUP[#Headers],0)),"ERROR"))</f>
        <v>188966</v>
      </c>
      <c r="H15" s="155">
        <f>IF($B15=" ","",IFERROR(INDEX(MMWR_RATING_RO_ROLLUP[],MATCH($B15,MMWR_RATING_RO_ROLLUP[MMWR_RATING_RO_ROLLUP],0),MATCH(H$9,MMWR_RATING_RO_ROLLUP[#Headers],0)),"ERROR"))</f>
        <v>129.36073662269999</v>
      </c>
      <c r="I15" s="155">
        <f>IF($B15=" ","",IFERROR(INDEX(MMWR_RATING_RO_ROLLUP[],MATCH($B15,MMWR_RATING_RO_ROLLUP[MMWR_RATING_RO_ROLLUP],0),MATCH(I$9,MMWR_RATING_RO_ROLLUP[#Headers],0)),"ERROR"))</f>
        <v>130.6970724892</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5688</v>
      </c>
      <c r="D16" s="155">
        <f>IF($B16=" ","",IFERROR(INDEX(MMWR_RATING_RO_ROLLUP[],MATCH($B16,MMWR_RATING_RO_ROLLUP[MMWR_RATING_RO_ROLLUP],0),MATCH(D$9,MMWR_RATING_RO_ROLLUP[#Headers],0)),"ERROR"))</f>
        <v>94.056258790399994</v>
      </c>
      <c r="E16" s="156">
        <f>IF($B16=" ","",IFERROR(INDEX(MMWR_RATING_RO_ROLLUP[],MATCH($B16,MMWR_RATING_RO_ROLLUP[MMWR_RATING_RO_ROLLUP],0),MATCH(E$9,MMWR_RATING_RO_ROLLUP[#Headers],0))/$C16,"ERROR"))</f>
        <v>0.2289029535864979</v>
      </c>
      <c r="F16" s="154">
        <f>IF($B16=" ","",IFERROR(INDEX(MMWR_RATING_RO_ROLLUP[],MATCH($B16,MMWR_RATING_RO_ROLLUP[MMWR_RATING_RO_ROLLUP],0),MATCH(F$9,MMWR_RATING_RO_ROLLUP[#Headers],0)),"ERROR"))</f>
        <v>1099</v>
      </c>
      <c r="G16" s="154">
        <f>IF($B16=" ","",IFERROR(INDEX(MMWR_RATING_RO_ROLLUP[],MATCH($B16,MMWR_RATING_RO_ROLLUP[MMWR_RATING_RO_ROLLUP],0),MATCH(G$9,MMWR_RATING_RO_ROLLUP[#Headers],0)),"ERROR"))</f>
        <v>12475</v>
      </c>
      <c r="H16" s="155">
        <f>IF($B16=" ","",IFERROR(INDEX(MMWR_RATING_RO_ROLLUP[],MATCH($B16,MMWR_RATING_RO_ROLLUP[MMWR_RATING_RO_ROLLUP],0),MATCH(H$9,MMWR_RATING_RO_ROLLUP[#Headers],0)),"ERROR"))</f>
        <v>141.30482256600001</v>
      </c>
      <c r="I16" s="155">
        <f>IF($B16=" ","",IFERROR(INDEX(MMWR_RATING_RO_ROLLUP[],MATCH($B16,MMWR_RATING_RO_ROLLUP[MMWR_RATING_RO_ROLLUP],0),MATCH(I$9,MMWR_RATING_RO_ROLLUP[#Headers],0)),"ERROR"))</f>
        <v>142.73162324649999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3461</v>
      </c>
      <c r="D17" s="155">
        <f>IF($B17=" ","",IFERROR(INDEX(MMWR_RATING_RO_ROLLUP[],MATCH($B17,MMWR_RATING_RO_ROLLUP[MMWR_RATING_RO_ROLLUP],0),MATCH(D$9,MMWR_RATING_RO_ROLLUP[#Headers],0)),"ERROR"))</f>
        <v>86.003178272200003</v>
      </c>
      <c r="E17" s="156">
        <f>IF($B17=" ","",IFERROR(INDEX(MMWR_RATING_RO_ROLLUP[],MATCH($B17,MMWR_RATING_RO_ROLLUP[MMWR_RATING_RO_ROLLUP],0),MATCH(E$9,MMWR_RATING_RO_ROLLUP[#Headers],0))/$C17,"ERROR"))</f>
        <v>0.18954059520369834</v>
      </c>
      <c r="F17" s="154">
        <f>IF($B17=" ","",IFERROR(INDEX(MMWR_RATING_RO_ROLLUP[],MATCH($B17,MMWR_RATING_RO_ROLLUP[MMWR_RATING_RO_ROLLUP],0),MATCH(F$9,MMWR_RATING_RO_ROLLUP[#Headers],0)),"ERROR"))</f>
        <v>604</v>
      </c>
      <c r="G17" s="154">
        <f>IF($B17=" ","",IFERROR(INDEX(MMWR_RATING_RO_ROLLUP[],MATCH($B17,MMWR_RATING_RO_ROLLUP[MMWR_RATING_RO_ROLLUP],0),MATCH(G$9,MMWR_RATING_RO_ROLLUP[#Headers],0)),"ERROR"))</f>
        <v>9223</v>
      </c>
      <c r="H17" s="155">
        <f>IF($B17=" ","",IFERROR(INDEX(MMWR_RATING_RO_ROLLUP[],MATCH($B17,MMWR_RATING_RO_ROLLUP[MMWR_RATING_RO_ROLLUP],0),MATCH(H$9,MMWR_RATING_RO_ROLLUP[#Headers],0)),"ERROR"))</f>
        <v>123.6937086093</v>
      </c>
      <c r="I17" s="155">
        <f>IF($B17=" ","",IFERROR(INDEX(MMWR_RATING_RO_ROLLUP[],MATCH($B17,MMWR_RATING_RO_ROLLUP[MMWR_RATING_RO_ROLLUP],0),MATCH(I$9,MMWR_RATING_RO_ROLLUP[#Headers],0)),"ERROR"))</f>
        <v>130.5486284289</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3905</v>
      </c>
      <c r="D18" s="155">
        <f>IF($B18=" ","",IFERROR(INDEX(MMWR_RATING_RO_ROLLUP[],MATCH($B18,MMWR_RATING_RO_ROLLUP[MMWR_RATING_RO_ROLLUP],0),MATCH(D$9,MMWR_RATING_RO_ROLLUP[#Headers],0)),"ERROR"))</f>
        <v>86.471446862999997</v>
      </c>
      <c r="E18" s="156">
        <f>IF($B18=" ","",IFERROR(INDEX(MMWR_RATING_RO_ROLLUP[],MATCH($B18,MMWR_RATING_RO_ROLLUP[MMWR_RATING_RO_ROLLUP],0),MATCH(E$9,MMWR_RATING_RO_ROLLUP[#Headers],0))/$C18,"ERROR"))</f>
        <v>0.19487836107554418</v>
      </c>
      <c r="F18" s="154">
        <f>IF($B18=" ","",IFERROR(INDEX(MMWR_RATING_RO_ROLLUP[],MATCH($B18,MMWR_RATING_RO_ROLLUP[MMWR_RATING_RO_ROLLUP],0),MATCH(F$9,MMWR_RATING_RO_ROLLUP[#Headers],0)),"ERROR"))</f>
        <v>702</v>
      </c>
      <c r="G18" s="154">
        <f>IF($B18=" ","",IFERROR(INDEX(MMWR_RATING_RO_ROLLUP[],MATCH($B18,MMWR_RATING_RO_ROLLUP[MMWR_RATING_RO_ROLLUP],0),MATCH(G$9,MMWR_RATING_RO_ROLLUP[#Headers],0)),"ERROR"))</f>
        <v>10396</v>
      </c>
      <c r="H18" s="155">
        <f>IF($B18=" ","",IFERROR(INDEX(MMWR_RATING_RO_ROLLUP[],MATCH($B18,MMWR_RATING_RO_ROLLUP[MMWR_RATING_RO_ROLLUP],0),MATCH(H$9,MMWR_RATING_RO_ROLLUP[#Headers],0)),"ERROR"))</f>
        <v>126.8290598291</v>
      </c>
      <c r="I18" s="155">
        <f>IF($B18=" ","",IFERROR(INDEX(MMWR_RATING_RO_ROLLUP[],MATCH($B18,MMWR_RATING_RO_ROLLUP[MMWR_RATING_RO_ROLLUP],0),MATCH(I$9,MMWR_RATING_RO_ROLLUP[#Headers],0)),"ERROR"))</f>
        <v>133.77395151979999</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1944</v>
      </c>
      <c r="D19" s="155">
        <f>IF($B19=" ","",IFERROR(INDEX(MMWR_RATING_RO_ROLLUP[],MATCH($B19,MMWR_RATING_RO_ROLLUP[MMWR_RATING_RO_ROLLUP],0),MATCH(D$9,MMWR_RATING_RO_ROLLUP[#Headers],0)),"ERROR"))</f>
        <v>84.641460905299994</v>
      </c>
      <c r="E19" s="156">
        <f>IF($B19=" ","",IFERROR(INDEX(MMWR_RATING_RO_ROLLUP[],MATCH($B19,MMWR_RATING_RO_ROLLUP[MMWR_RATING_RO_ROLLUP],0),MATCH(E$9,MMWR_RATING_RO_ROLLUP[#Headers],0))/$C19,"ERROR"))</f>
        <v>0.17849794238683128</v>
      </c>
      <c r="F19" s="154">
        <f>IF($B19=" ","",IFERROR(INDEX(MMWR_RATING_RO_ROLLUP[],MATCH($B19,MMWR_RATING_RO_ROLLUP[MMWR_RATING_RO_ROLLUP],0),MATCH(F$9,MMWR_RATING_RO_ROLLUP[#Headers],0)),"ERROR"))</f>
        <v>384</v>
      </c>
      <c r="G19" s="154">
        <f>IF($B19=" ","",IFERROR(INDEX(MMWR_RATING_RO_ROLLUP[],MATCH($B19,MMWR_RATING_RO_ROLLUP[MMWR_RATING_RO_ROLLUP],0),MATCH(G$9,MMWR_RATING_RO_ROLLUP[#Headers],0)),"ERROR"))</f>
        <v>5291</v>
      </c>
      <c r="H19" s="155">
        <f>IF($B19=" ","",IFERROR(INDEX(MMWR_RATING_RO_ROLLUP[],MATCH($B19,MMWR_RATING_RO_ROLLUP[MMWR_RATING_RO_ROLLUP],0),MATCH(H$9,MMWR_RATING_RO_ROLLUP[#Headers],0)),"ERROR"))</f>
        <v>121.9895833333</v>
      </c>
      <c r="I19" s="155">
        <f>IF($B19=" ","",IFERROR(INDEX(MMWR_RATING_RO_ROLLUP[],MATCH($B19,MMWR_RATING_RO_ROLLUP[MMWR_RATING_RO_ROLLUP],0),MATCH(I$9,MMWR_RATING_RO_ROLLUP[#Headers],0)),"ERROR"))</f>
        <v>115.2026082026</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2393</v>
      </c>
      <c r="D20" s="155">
        <f>IF($B20=" ","",IFERROR(INDEX(MMWR_RATING_RO_ROLLUP[],MATCH($B20,MMWR_RATING_RO_ROLLUP[MMWR_RATING_RO_ROLLUP],0),MATCH(D$9,MMWR_RATING_RO_ROLLUP[#Headers],0)),"ERROR"))</f>
        <v>86.177183451700003</v>
      </c>
      <c r="E20" s="156">
        <f>IF($B20=" ","",IFERROR(INDEX(MMWR_RATING_RO_ROLLUP[],MATCH($B20,MMWR_RATING_RO_ROLLUP[MMWR_RATING_RO_ROLLUP],0),MATCH(E$9,MMWR_RATING_RO_ROLLUP[#Headers],0))/$C20,"ERROR"))</f>
        <v>0.18219807772670288</v>
      </c>
      <c r="F20" s="154">
        <f>IF($B20=" ","",IFERROR(INDEX(MMWR_RATING_RO_ROLLUP[],MATCH($B20,MMWR_RATING_RO_ROLLUP[MMWR_RATING_RO_ROLLUP],0),MATCH(F$9,MMWR_RATING_RO_ROLLUP[#Headers],0)),"ERROR"))</f>
        <v>687</v>
      </c>
      <c r="G20" s="154">
        <f>IF($B20=" ","",IFERROR(INDEX(MMWR_RATING_RO_ROLLUP[],MATCH($B20,MMWR_RATING_RO_ROLLUP[MMWR_RATING_RO_ROLLUP],0),MATCH(G$9,MMWR_RATING_RO_ROLLUP[#Headers],0)),"ERROR"))</f>
        <v>7491</v>
      </c>
      <c r="H20" s="155">
        <f>IF($B20=" ","",IFERROR(INDEX(MMWR_RATING_RO_ROLLUP[],MATCH($B20,MMWR_RATING_RO_ROLLUP[MMWR_RATING_RO_ROLLUP],0),MATCH(H$9,MMWR_RATING_RO_ROLLUP[#Headers],0)),"ERROR"))</f>
        <v>121.5109170306</v>
      </c>
      <c r="I20" s="155">
        <f>IF($B20=" ","",IFERROR(INDEX(MMWR_RATING_RO_ROLLUP[],MATCH($B20,MMWR_RATING_RO_ROLLUP[MMWR_RATING_RO_ROLLUP],0),MATCH(I$9,MMWR_RATING_RO_ROLLUP[#Headers],0)),"ERROR"))</f>
        <v>116.6507809371</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1336</v>
      </c>
      <c r="D21" s="155">
        <f>IF($B21=" ","",IFERROR(INDEX(MMWR_RATING_RO_ROLLUP[],MATCH($B21,MMWR_RATING_RO_ROLLUP[MMWR_RATING_RO_ROLLUP],0),MATCH(D$9,MMWR_RATING_RO_ROLLUP[#Headers],0)),"ERROR"))</f>
        <v>77.132485029899996</v>
      </c>
      <c r="E21" s="156">
        <f>IF($B21=" ","",IFERROR(INDEX(MMWR_RATING_RO_ROLLUP[],MATCH($B21,MMWR_RATING_RO_ROLLUP[MMWR_RATING_RO_ROLLUP],0),MATCH(E$9,MMWR_RATING_RO_ROLLUP[#Headers],0))/$C21,"ERROR"))</f>
        <v>0.13697604790419163</v>
      </c>
      <c r="F21" s="154">
        <f>IF($B21=" ","",IFERROR(INDEX(MMWR_RATING_RO_ROLLUP[],MATCH($B21,MMWR_RATING_RO_ROLLUP[MMWR_RATING_RO_ROLLUP],0),MATCH(F$9,MMWR_RATING_RO_ROLLUP[#Headers],0)),"ERROR"))</f>
        <v>232</v>
      </c>
      <c r="G21" s="154">
        <f>IF($B21=" ","",IFERROR(INDEX(MMWR_RATING_RO_ROLLUP[],MATCH($B21,MMWR_RATING_RO_ROLLUP[MMWR_RATING_RO_ROLLUP],0),MATCH(G$9,MMWR_RATING_RO_ROLLUP[#Headers],0)),"ERROR"))</f>
        <v>3164</v>
      </c>
      <c r="H21" s="155">
        <f>IF($B21=" ","",IFERROR(INDEX(MMWR_RATING_RO_ROLLUP[],MATCH($B21,MMWR_RATING_RO_ROLLUP[MMWR_RATING_RO_ROLLUP],0),MATCH(H$9,MMWR_RATING_RO_ROLLUP[#Headers],0)),"ERROR"))</f>
        <v>124.474137931</v>
      </c>
      <c r="I21" s="155">
        <f>IF($B21=" ","",IFERROR(INDEX(MMWR_RATING_RO_ROLLUP[],MATCH($B21,MMWR_RATING_RO_ROLLUP[MMWR_RATING_RO_ROLLUP],0),MATCH(I$9,MMWR_RATING_RO_ROLLUP[#Headers],0)),"ERROR"))</f>
        <v>127.48482933</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5093</v>
      </c>
      <c r="D22" s="155">
        <f>IF($B22=" ","",IFERROR(INDEX(MMWR_RATING_RO_ROLLUP[],MATCH($B22,MMWR_RATING_RO_ROLLUP[MMWR_RATING_RO_ROLLUP],0),MATCH(D$9,MMWR_RATING_RO_ROLLUP[#Headers],0)),"ERROR"))</f>
        <v>109.32750834479999</v>
      </c>
      <c r="E22" s="156">
        <f>IF($B22=" ","",IFERROR(INDEX(MMWR_RATING_RO_ROLLUP[],MATCH($B22,MMWR_RATING_RO_ROLLUP[MMWR_RATING_RO_ROLLUP],0),MATCH(E$9,MMWR_RATING_RO_ROLLUP[#Headers],0))/$C22,"ERROR"))</f>
        <v>0.27901040644021208</v>
      </c>
      <c r="F22" s="154">
        <f>IF($B22=" ","",IFERROR(INDEX(MMWR_RATING_RO_ROLLUP[],MATCH($B22,MMWR_RATING_RO_ROLLUP[MMWR_RATING_RO_ROLLUP],0),MATCH(F$9,MMWR_RATING_RO_ROLLUP[#Headers],0)),"ERROR"))</f>
        <v>852</v>
      </c>
      <c r="G22" s="154">
        <f>IF($B22=" ","",IFERROR(INDEX(MMWR_RATING_RO_ROLLUP[],MATCH($B22,MMWR_RATING_RO_ROLLUP[MMWR_RATING_RO_ROLLUP],0),MATCH(G$9,MMWR_RATING_RO_ROLLUP[#Headers],0)),"ERROR"))</f>
        <v>11480</v>
      </c>
      <c r="H22" s="155">
        <f>IF($B22=" ","",IFERROR(INDEX(MMWR_RATING_RO_ROLLUP[],MATCH($B22,MMWR_RATING_RO_ROLLUP[MMWR_RATING_RO_ROLLUP],0),MATCH(H$9,MMWR_RATING_RO_ROLLUP[#Headers],0)),"ERROR"))</f>
        <v>141.7605633803</v>
      </c>
      <c r="I22" s="155">
        <f>IF($B22=" ","",IFERROR(INDEX(MMWR_RATING_RO_ROLLUP[],MATCH($B22,MMWR_RATING_RO_ROLLUP[MMWR_RATING_RO_ROLLUP],0),MATCH(I$9,MMWR_RATING_RO_ROLLUP[#Headers],0)),"ERROR"))</f>
        <v>137.16402439020001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2881</v>
      </c>
      <c r="D23" s="155">
        <f>IF($B23=" ","",IFERROR(INDEX(MMWR_RATING_RO_ROLLUP[],MATCH($B23,MMWR_RATING_RO_ROLLUP[MMWR_RATING_RO_ROLLUP],0),MATCH(D$9,MMWR_RATING_RO_ROLLUP[#Headers],0)),"ERROR"))</f>
        <v>97.680666435299997</v>
      </c>
      <c r="E23" s="156">
        <f>IF($B23=" ","",IFERROR(INDEX(MMWR_RATING_RO_ROLLUP[],MATCH($B23,MMWR_RATING_RO_ROLLUP[MMWR_RATING_RO_ROLLUP],0),MATCH(E$9,MMWR_RATING_RO_ROLLUP[#Headers],0))/$C23,"ERROR"))</f>
        <v>0.25407844498438042</v>
      </c>
      <c r="F23" s="154">
        <f>IF($B23=" ","",IFERROR(INDEX(MMWR_RATING_RO_ROLLUP[],MATCH($B23,MMWR_RATING_RO_ROLLUP[MMWR_RATING_RO_ROLLUP],0),MATCH(F$9,MMWR_RATING_RO_ROLLUP[#Headers],0)),"ERROR"))</f>
        <v>466</v>
      </c>
      <c r="G23" s="154">
        <f>IF($B23=" ","",IFERROR(INDEX(MMWR_RATING_RO_ROLLUP[],MATCH($B23,MMWR_RATING_RO_ROLLUP[MMWR_RATING_RO_ROLLUP],0),MATCH(G$9,MMWR_RATING_RO_ROLLUP[#Headers],0)),"ERROR"))</f>
        <v>6436</v>
      </c>
      <c r="H23" s="155">
        <f>IF($B23=" ","",IFERROR(INDEX(MMWR_RATING_RO_ROLLUP[],MATCH($B23,MMWR_RATING_RO_ROLLUP[MMWR_RATING_RO_ROLLUP],0),MATCH(H$9,MMWR_RATING_RO_ROLLUP[#Headers],0)),"ERROR"))</f>
        <v>144.9098712446</v>
      </c>
      <c r="I23" s="155">
        <f>IF($B23=" ","",IFERROR(INDEX(MMWR_RATING_RO_ROLLUP[],MATCH($B23,MMWR_RATING_RO_ROLLUP[MMWR_RATING_RO_ROLLUP],0),MATCH(I$9,MMWR_RATING_RO_ROLLUP[#Headers],0)),"ERROR"))</f>
        <v>137.5379117464</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8621</v>
      </c>
      <c r="D24" s="155">
        <f>IF($B24=" ","",IFERROR(INDEX(MMWR_RATING_RO_ROLLUP[],MATCH($B24,MMWR_RATING_RO_ROLLUP[MMWR_RATING_RO_ROLLUP],0),MATCH(D$9,MMWR_RATING_RO_ROLLUP[#Headers],0)),"ERROR"))</f>
        <v>119.1147198701</v>
      </c>
      <c r="E24" s="156">
        <f>IF($B24=" ","",IFERROR(INDEX(MMWR_RATING_RO_ROLLUP[],MATCH($B24,MMWR_RATING_RO_ROLLUP[MMWR_RATING_RO_ROLLUP],0),MATCH(E$9,MMWR_RATING_RO_ROLLUP[#Headers],0))/$C24,"ERROR"))</f>
        <v>0.31121679619533699</v>
      </c>
      <c r="F24" s="154">
        <f>IF($B24=" ","",IFERROR(INDEX(MMWR_RATING_RO_ROLLUP[],MATCH($B24,MMWR_RATING_RO_ROLLUP[MMWR_RATING_RO_ROLLUP],0),MATCH(F$9,MMWR_RATING_RO_ROLLUP[#Headers],0)),"ERROR"))</f>
        <v>1297</v>
      </c>
      <c r="G24" s="154">
        <f>IF($B24=" ","",IFERROR(INDEX(MMWR_RATING_RO_ROLLUP[],MATCH($B24,MMWR_RATING_RO_ROLLUP[MMWR_RATING_RO_ROLLUP],0),MATCH(G$9,MMWR_RATING_RO_ROLLUP[#Headers],0)),"ERROR"))</f>
        <v>18696</v>
      </c>
      <c r="H24" s="155">
        <f>IF($B24=" ","",IFERROR(INDEX(MMWR_RATING_RO_ROLLUP[],MATCH($B24,MMWR_RATING_RO_ROLLUP[MMWR_RATING_RO_ROLLUP],0),MATCH(H$9,MMWR_RATING_RO_ROLLUP[#Headers],0)),"ERROR"))</f>
        <v>145.9622205089</v>
      </c>
      <c r="I24" s="155">
        <f>IF($B24=" ","",IFERROR(INDEX(MMWR_RATING_RO_ROLLUP[],MATCH($B24,MMWR_RATING_RO_ROLLUP[MMWR_RATING_RO_ROLLUP],0),MATCH(I$9,MMWR_RATING_RO_ROLLUP[#Headers],0)),"ERROR"))</f>
        <v>148.3049315362</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4742</v>
      </c>
      <c r="D25" s="155">
        <f>IF($B25=" ","",IFERROR(INDEX(MMWR_RATING_RO_ROLLUP[],MATCH($B25,MMWR_RATING_RO_ROLLUP[MMWR_RATING_RO_ROLLUP],0),MATCH(D$9,MMWR_RATING_RO_ROLLUP[#Headers],0)),"ERROR"))</f>
        <v>114.2340784479</v>
      </c>
      <c r="E25" s="156">
        <f>IF($B25=" ","",IFERROR(INDEX(MMWR_RATING_RO_ROLLUP[],MATCH($B25,MMWR_RATING_RO_ROLLUP[MMWR_RATING_RO_ROLLUP],0),MATCH(E$9,MMWR_RATING_RO_ROLLUP[#Headers],0))/$C25,"ERROR"))</f>
        <v>0.31927456769295653</v>
      </c>
      <c r="F25" s="154">
        <f>IF($B25=" ","",IFERROR(INDEX(MMWR_RATING_RO_ROLLUP[],MATCH($B25,MMWR_RATING_RO_ROLLUP[MMWR_RATING_RO_ROLLUP],0),MATCH(F$9,MMWR_RATING_RO_ROLLUP[#Headers],0)),"ERROR"))</f>
        <v>891</v>
      </c>
      <c r="G25" s="154">
        <f>IF($B25=" ","",IFERROR(INDEX(MMWR_RATING_RO_ROLLUP[],MATCH($B25,MMWR_RATING_RO_ROLLUP[MMWR_RATING_RO_ROLLUP],0),MATCH(G$9,MMWR_RATING_RO_ROLLUP[#Headers],0)),"ERROR"))</f>
        <v>10607</v>
      </c>
      <c r="H25" s="155">
        <f>IF($B25=" ","",IFERROR(INDEX(MMWR_RATING_RO_ROLLUP[],MATCH($B25,MMWR_RATING_RO_ROLLUP[MMWR_RATING_RO_ROLLUP],0),MATCH(H$9,MMWR_RATING_RO_ROLLUP[#Headers],0)),"ERROR"))</f>
        <v>162.28507295169999</v>
      </c>
      <c r="I25" s="155">
        <f>IF($B25=" ","",IFERROR(INDEX(MMWR_RATING_RO_ROLLUP[],MATCH($B25,MMWR_RATING_RO_ROLLUP[MMWR_RATING_RO_ROLLUP],0),MATCH(I$9,MMWR_RATING_RO_ROLLUP[#Headers],0)),"ERROR"))</f>
        <v>157.7267841991</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2969</v>
      </c>
      <c r="D26" s="155">
        <f>IF($B26=" ","",IFERROR(INDEX(MMWR_RATING_RO_ROLLUP[],MATCH($B26,MMWR_RATING_RO_ROLLUP[MMWR_RATING_RO_ROLLUP],0),MATCH(D$9,MMWR_RATING_RO_ROLLUP[#Headers],0)),"ERROR"))</f>
        <v>68.013135735899994</v>
      </c>
      <c r="E26" s="156">
        <f>IF($B26=" ","",IFERROR(INDEX(MMWR_RATING_RO_ROLLUP[],MATCH($B26,MMWR_RATING_RO_ROLLUP[MMWR_RATING_RO_ROLLUP],0),MATCH(E$9,MMWR_RATING_RO_ROLLUP[#Headers],0))/$C26,"ERROR"))</f>
        <v>0.12158976086224318</v>
      </c>
      <c r="F26" s="154">
        <f>IF($B26=" ","",IFERROR(INDEX(MMWR_RATING_RO_ROLLUP[],MATCH($B26,MMWR_RATING_RO_ROLLUP[MMWR_RATING_RO_ROLLUP],0),MATCH(F$9,MMWR_RATING_RO_ROLLUP[#Headers],0)),"ERROR"))</f>
        <v>1281</v>
      </c>
      <c r="G26" s="154">
        <f>IF($B26=" ","",IFERROR(INDEX(MMWR_RATING_RO_ROLLUP[],MATCH($B26,MMWR_RATING_RO_ROLLUP[MMWR_RATING_RO_ROLLUP],0),MATCH(G$9,MMWR_RATING_RO_ROLLUP[#Headers],0)),"ERROR"))</f>
        <v>17480</v>
      </c>
      <c r="H26" s="155">
        <f>IF($B26=" ","",IFERROR(INDEX(MMWR_RATING_RO_ROLLUP[],MATCH($B26,MMWR_RATING_RO_ROLLUP[MMWR_RATING_RO_ROLLUP],0),MATCH(H$9,MMWR_RATING_RO_ROLLUP[#Headers],0)),"ERROR"))</f>
        <v>59.120999219399998</v>
      </c>
      <c r="I26" s="155">
        <f>IF($B26=" ","",IFERROR(INDEX(MMWR_RATING_RO_ROLLUP[],MATCH($B26,MMWR_RATING_RO_ROLLUP[MMWR_RATING_RO_ROLLUP],0),MATCH(I$9,MMWR_RATING_RO_ROLLUP[#Headers],0)),"ERROR"))</f>
        <v>56.5308352403</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11187</v>
      </c>
      <c r="D27" s="155">
        <f>IF($B27=" ","",IFERROR(INDEX(MMWR_RATING_RO_ROLLUP[],MATCH($B27,MMWR_RATING_RO_ROLLUP[MMWR_RATING_RO_ROLLUP],0),MATCH(D$9,MMWR_RATING_RO_ROLLUP[#Headers],0)),"ERROR"))</f>
        <v>89.561455260599999</v>
      </c>
      <c r="E27" s="156">
        <f>IF($B27=" ","",IFERROR(INDEX(MMWR_RATING_RO_ROLLUP[],MATCH($B27,MMWR_RATING_RO_ROLLUP[MMWR_RATING_RO_ROLLUP],0),MATCH(E$9,MMWR_RATING_RO_ROLLUP[#Headers],0))/$C27,"ERROR"))</f>
        <v>0.19746133905425942</v>
      </c>
      <c r="F27" s="154">
        <f>IF($B27=" ","",IFERROR(INDEX(MMWR_RATING_RO_ROLLUP[],MATCH($B27,MMWR_RATING_RO_ROLLUP[MMWR_RATING_RO_ROLLUP],0),MATCH(F$9,MMWR_RATING_RO_ROLLUP[#Headers],0)),"ERROR"))</f>
        <v>2102</v>
      </c>
      <c r="G27" s="154">
        <f>IF($B27=" ","",IFERROR(INDEX(MMWR_RATING_RO_ROLLUP[],MATCH($B27,MMWR_RATING_RO_ROLLUP[MMWR_RATING_RO_ROLLUP],0),MATCH(G$9,MMWR_RATING_RO_ROLLUP[#Headers],0)),"ERROR"))</f>
        <v>28134</v>
      </c>
      <c r="H27" s="155">
        <f>IF($B27=" ","",IFERROR(INDEX(MMWR_RATING_RO_ROLLUP[],MATCH($B27,MMWR_RATING_RO_ROLLUP[MMWR_RATING_RO_ROLLUP],0),MATCH(H$9,MMWR_RATING_RO_ROLLUP[#Headers],0)),"ERROR"))</f>
        <v>133.2031398668</v>
      </c>
      <c r="I27" s="155">
        <f>IF($B27=" ","",IFERROR(INDEX(MMWR_RATING_RO_ROLLUP[],MATCH($B27,MMWR_RATING_RO_ROLLUP[MMWR_RATING_RO_ROLLUP],0),MATCH(I$9,MMWR_RATING_RO_ROLLUP[#Headers],0)),"ERROR"))</f>
        <v>135.8760574394</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1514</v>
      </c>
      <c r="D28" s="155">
        <f>IF($B28=" ","",IFERROR(INDEX(MMWR_RATING_RO_ROLLUP[],MATCH($B28,MMWR_RATING_RO_ROLLUP[MMWR_RATING_RO_ROLLUP],0),MATCH(D$9,MMWR_RATING_RO_ROLLUP[#Headers],0)),"ERROR"))</f>
        <v>67.980845442499998</v>
      </c>
      <c r="E28" s="156">
        <f>IF($B28=" ","",IFERROR(INDEX(MMWR_RATING_RO_ROLLUP[],MATCH($B28,MMWR_RATING_RO_ROLLUP[MMWR_RATING_RO_ROLLUP],0),MATCH(E$9,MMWR_RATING_RO_ROLLUP[#Headers],0))/$C28,"ERROR"))</f>
        <v>0.11756935270805813</v>
      </c>
      <c r="F28" s="154">
        <f>IF($B28=" ","",IFERROR(INDEX(MMWR_RATING_RO_ROLLUP[],MATCH($B28,MMWR_RATING_RO_ROLLUP[MMWR_RATING_RO_ROLLUP],0),MATCH(F$9,MMWR_RATING_RO_ROLLUP[#Headers],0)),"ERROR"))</f>
        <v>335</v>
      </c>
      <c r="G28" s="154">
        <f>IF($B28=" ","",IFERROR(INDEX(MMWR_RATING_RO_ROLLUP[],MATCH($B28,MMWR_RATING_RO_ROLLUP[MMWR_RATING_RO_ROLLUP],0),MATCH(G$9,MMWR_RATING_RO_ROLLUP[#Headers],0)),"ERROR"))</f>
        <v>4169</v>
      </c>
      <c r="H28" s="155">
        <f>IF($B28=" ","",IFERROR(INDEX(MMWR_RATING_RO_ROLLUP[],MATCH($B28,MMWR_RATING_RO_ROLLUP[MMWR_RATING_RO_ROLLUP],0),MATCH(H$9,MMWR_RATING_RO_ROLLUP[#Headers],0)),"ERROR"))</f>
        <v>93.056716417900006</v>
      </c>
      <c r="I28" s="155">
        <f>IF($B28=" ","",IFERROR(INDEX(MMWR_RATING_RO_ROLLUP[],MATCH($B28,MMWR_RATING_RO_ROLLUP[MMWR_RATING_RO_ROLLUP],0),MATCH(I$9,MMWR_RATING_RO_ROLLUP[#Headers],0)),"ERROR"))</f>
        <v>103.7994722955</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541</v>
      </c>
      <c r="D29" s="155">
        <f>IF($B29=" ","",IFERROR(INDEX(MMWR_RATING_RO_ROLLUP[],MATCH($B29,MMWR_RATING_RO_ROLLUP[MMWR_RATING_RO_ROLLUP],0),MATCH(D$9,MMWR_RATING_RO_ROLLUP[#Headers],0)),"ERROR"))</f>
        <v>96.360443622899993</v>
      </c>
      <c r="E29" s="156">
        <f>IF($B29=" ","",IFERROR(INDEX(MMWR_RATING_RO_ROLLUP[],MATCH($B29,MMWR_RATING_RO_ROLLUP[MMWR_RATING_RO_ROLLUP],0),MATCH(E$9,MMWR_RATING_RO_ROLLUP[#Headers],0))/$C29,"ERROR"))</f>
        <v>0.25138632162661739</v>
      </c>
      <c r="F29" s="154">
        <f>IF($B29=" ","",IFERROR(INDEX(MMWR_RATING_RO_ROLLUP[],MATCH($B29,MMWR_RATING_RO_ROLLUP[MMWR_RATING_RO_ROLLUP],0),MATCH(F$9,MMWR_RATING_RO_ROLLUP[#Headers],0)),"ERROR"))</f>
        <v>141</v>
      </c>
      <c r="G29" s="154">
        <f>IF($B29=" ","",IFERROR(INDEX(MMWR_RATING_RO_ROLLUP[],MATCH($B29,MMWR_RATING_RO_ROLLUP[MMWR_RATING_RO_ROLLUP],0),MATCH(G$9,MMWR_RATING_RO_ROLLUP[#Headers],0)),"ERROR"))</f>
        <v>1240</v>
      </c>
      <c r="H29" s="155">
        <f>IF($B29=" ","",IFERROR(INDEX(MMWR_RATING_RO_ROLLUP[],MATCH($B29,MMWR_RATING_RO_ROLLUP[MMWR_RATING_RO_ROLLUP],0),MATCH(H$9,MMWR_RATING_RO_ROLLUP[#Headers],0)),"ERROR"))</f>
        <v>150.97872340430001</v>
      </c>
      <c r="I29" s="155">
        <f>IF($B29=" ","",IFERROR(INDEX(MMWR_RATING_RO_ROLLUP[],MATCH($B29,MMWR_RATING_RO_ROLLUP[MMWR_RATING_RO_ROLLUP],0),MATCH(I$9,MMWR_RATING_RO_ROLLUP[#Headers],0)),"ERROR"))</f>
        <v>137.02822580649999</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833</v>
      </c>
      <c r="D30" s="155">
        <f>IF($B30=" ","",IFERROR(INDEX(MMWR_RATING_RO_ROLLUP[],MATCH($B30,MMWR_RATING_RO_ROLLUP[MMWR_RATING_RO_ROLLUP],0),MATCH(D$9,MMWR_RATING_RO_ROLLUP[#Headers],0)),"ERROR"))</f>
        <v>90.018007202899994</v>
      </c>
      <c r="E30" s="156">
        <f>IF($B30=" ","",IFERROR(INDEX(MMWR_RATING_RO_ROLLUP[],MATCH($B30,MMWR_RATING_RO_ROLLUP[MMWR_RATING_RO_ROLLUP],0),MATCH(E$9,MMWR_RATING_RO_ROLLUP[#Headers],0))/$C30,"ERROR"))</f>
        <v>0.20888355342136855</v>
      </c>
      <c r="F30" s="154">
        <f>IF($B30=" ","",IFERROR(INDEX(MMWR_RATING_RO_ROLLUP[],MATCH($B30,MMWR_RATING_RO_ROLLUP[MMWR_RATING_RO_ROLLUP],0),MATCH(F$9,MMWR_RATING_RO_ROLLUP[#Headers],0)),"ERROR"))</f>
        <v>137</v>
      </c>
      <c r="G30" s="154">
        <f>IF($B30=" ","",IFERROR(INDEX(MMWR_RATING_RO_ROLLUP[],MATCH($B30,MMWR_RATING_RO_ROLLUP[MMWR_RATING_RO_ROLLUP],0),MATCH(G$9,MMWR_RATING_RO_ROLLUP[#Headers],0)),"ERROR"))</f>
        <v>1989</v>
      </c>
      <c r="H30" s="155">
        <f>IF($B30=" ","",IFERROR(INDEX(MMWR_RATING_RO_ROLLUP[],MATCH($B30,MMWR_RATING_RO_ROLLUP[MMWR_RATING_RO_ROLLUP],0),MATCH(H$9,MMWR_RATING_RO_ROLLUP[#Headers],0)),"ERROR"))</f>
        <v>141.97080291969999</v>
      </c>
      <c r="I30" s="155">
        <f>IF($B30=" ","",IFERROR(INDEX(MMWR_RATING_RO_ROLLUP[],MATCH($B30,MMWR_RATING_RO_ROLLUP[MMWR_RATING_RO_ROLLUP],0),MATCH(I$9,MMWR_RATING_RO_ROLLUP[#Headers],0)),"ERROR"))</f>
        <v>140.1045751634</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17803</v>
      </c>
      <c r="D31" s="155">
        <f>IF($B31=" ","",IFERROR(INDEX(MMWR_RATING_RO_ROLLUP[],MATCH($B31,MMWR_RATING_RO_ROLLUP[MMWR_RATING_RO_ROLLUP],0),MATCH(D$9,MMWR_RATING_RO_ROLLUP[#Headers],0)),"ERROR"))</f>
        <v>93.570184800299998</v>
      </c>
      <c r="E31" s="156">
        <f>IF($B31=" ","",IFERROR(INDEX(MMWR_RATING_RO_ROLLUP[],MATCH($B31,MMWR_RATING_RO_ROLLUP[MMWR_RATING_RO_ROLLUP],0),MATCH(E$9,MMWR_RATING_RO_ROLLUP[#Headers],0))/$C31,"ERROR"))</f>
        <v>0.23636465764197045</v>
      </c>
      <c r="F31" s="154">
        <f>IF($B31=" ","",IFERROR(INDEX(MMWR_RATING_RO_ROLLUP[],MATCH($B31,MMWR_RATING_RO_ROLLUP[MMWR_RATING_RO_ROLLUP],0),MATCH(F$9,MMWR_RATING_RO_ROLLUP[#Headers],0)),"ERROR"))</f>
        <v>3180</v>
      </c>
      <c r="G31" s="154">
        <f>IF($B31=" ","",IFERROR(INDEX(MMWR_RATING_RO_ROLLUP[],MATCH($B31,MMWR_RATING_RO_ROLLUP[MMWR_RATING_RO_ROLLUP],0),MATCH(G$9,MMWR_RATING_RO_ROLLUP[#Headers],0)),"ERROR"))</f>
        <v>40695</v>
      </c>
      <c r="H31" s="155">
        <f>IF($B31=" ","",IFERROR(INDEX(MMWR_RATING_RO_ROLLUP[],MATCH($B31,MMWR_RATING_RO_ROLLUP[MMWR_RATING_RO_ROLLUP],0),MATCH(H$9,MMWR_RATING_RO_ROLLUP[#Headers],0)),"ERROR"))</f>
        <v>136.2911949686</v>
      </c>
      <c r="I31" s="155">
        <f>IF($B31=" ","",IFERROR(INDEX(MMWR_RATING_RO_ROLLUP[],MATCH($B31,MMWR_RATING_RO_ROLLUP[MMWR_RATING_RO_ROLLUP],0),MATCH(I$9,MMWR_RATING_RO_ROLLUP[#Headers],0)),"ERROR"))</f>
        <v>143.4441331859</v>
      </c>
      <c r="J31" s="42"/>
      <c r="K31" s="42"/>
      <c r="L31" s="42"/>
      <c r="M31" s="42"/>
      <c r="N31" s="28"/>
    </row>
    <row r="32" spans="1:14" x14ac:dyDescent="0.2">
      <c r="A32" s="25"/>
      <c r="B32" s="378" t="s">
        <v>732</v>
      </c>
      <c r="C32" s="379"/>
      <c r="D32" s="379"/>
      <c r="E32" s="379"/>
      <c r="F32" s="379"/>
      <c r="G32" s="379"/>
      <c r="H32" s="379"/>
      <c r="I32" s="379"/>
      <c r="J32" s="379"/>
      <c r="K32" s="379"/>
      <c r="L32" s="379"/>
      <c r="M32" s="388"/>
      <c r="N32" s="28"/>
    </row>
    <row r="33" spans="1:14" x14ac:dyDescent="0.2">
      <c r="A33" s="25"/>
      <c r="B33" s="11" t="s">
        <v>695</v>
      </c>
      <c r="C33" s="154">
        <f>IF($B33=" ","",IFERROR(INDEX(MMWR_RATING_RO_ROLLUP[],MATCH($B33,MMWR_RATING_RO_ROLLUP[MMWR_RATING_RO_ROLLUP],0),MATCH(C$9,MMWR_RATING_RO_ROLLUP[#Headers],0)),"ERROR"))</f>
        <v>27422</v>
      </c>
      <c r="D33" s="155">
        <f>IF($B33=" ","",IFERROR(INDEX(MMWR_RATING_RO_ROLLUP[],MATCH($B33,MMWR_RATING_RO_ROLLUP[MMWR_RATING_RO_ROLLUP],0),MATCH(D$9,MMWR_RATING_RO_ROLLUP[#Headers],0)),"ERROR"))</f>
        <v>70.262271169100003</v>
      </c>
      <c r="E33" s="156">
        <f>IF($B33=" ","",IFERROR(INDEX(MMWR_RATING_RO_ROLLUP[],MATCH($B33,MMWR_RATING_RO_ROLLUP[MMWR_RATING_RO_ROLLUP],0),MATCH(E$9,MMWR_RATING_RO_ROLLUP[#Headers],0))/$C33,"ERROR"))</f>
        <v>0.12475384727590985</v>
      </c>
      <c r="F33" s="154">
        <f>IF($B33=" ","",IFERROR(INDEX(MMWR_RATING_RO_ROLLUP[],MATCH($B33,MMWR_RATING_RO_ROLLUP[MMWR_RATING_RO_ROLLUP],0),MATCH(F$9,MMWR_RATING_RO_ROLLUP[#Headers],0)),"ERROR"))</f>
        <v>9778</v>
      </c>
      <c r="G33" s="154">
        <f>IF($B33=" ","",IFERROR(INDEX(MMWR_RATING_RO_ROLLUP[],MATCH($B33,MMWR_RATING_RO_ROLLUP[MMWR_RATING_RO_ROLLUP],0),MATCH(G$9,MMWR_RATING_RO_ROLLUP[#Headers],0)),"ERROR"))</f>
        <v>119177</v>
      </c>
      <c r="H33" s="155">
        <f>IF($B33=" ","",IFERROR(INDEX(MMWR_RATING_RO_ROLLUP[],MATCH($B33,MMWR_RATING_RO_ROLLUP[MMWR_RATING_RO_ROLLUP],0),MATCH(H$9,MMWR_RATING_RO_ROLLUP[#Headers],0)),"ERROR"))</f>
        <v>84.823072202899993</v>
      </c>
      <c r="I33" s="155">
        <f>IF($B33=" ","",IFERROR(INDEX(MMWR_RATING_RO_ROLLUP[],MATCH($B33,MMWR_RATING_RO_ROLLUP[MMWR_RATING_RO_ROLLUP],0),MATCH(I$9,MMWR_RATING_RO_ROLLUP[#Headers],0)),"ERROR"))</f>
        <v>78.834875856899998</v>
      </c>
      <c r="J33" s="42"/>
      <c r="K33" s="42"/>
      <c r="L33" s="42"/>
      <c r="M33" s="42"/>
      <c r="N33" s="28"/>
    </row>
    <row r="34" spans="1:14" x14ac:dyDescent="0.2">
      <c r="A34" s="25"/>
      <c r="B34" s="12" t="s">
        <v>210</v>
      </c>
      <c r="C34" s="154">
        <f>IF($B34=" ","",IFERROR(INDEX(MMWR_RATING_RO_ROLLUP[],MATCH($B34,MMWR_RATING_RO_ROLLUP[MMWR_RATING_RO_ROLLUP],0),MATCH(C$9,MMWR_RATING_RO_ROLLUP[#Headers],0)),"ERROR"))</f>
        <v>12939</v>
      </c>
      <c r="D34" s="155">
        <f>IF($B34=" ","",IFERROR(INDEX(MMWR_RATING_RO_ROLLUP[],MATCH($B34,MMWR_RATING_RO_ROLLUP[MMWR_RATING_RO_ROLLUP],0),MATCH(D$9,MMWR_RATING_RO_ROLLUP[#Headers],0)),"ERROR"))</f>
        <v>68.892572841800003</v>
      </c>
      <c r="E34" s="156">
        <f>IF($B34=" ","",IFERROR(INDEX(MMWR_RATING_RO_ROLLUP[],MATCH($B34,MMWR_RATING_RO_ROLLUP[MMWR_RATING_RO_ROLLUP],0),MATCH(E$9,MMWR_RATING_RO_ROLLUP[#Headers],0))/$C34,"ERROR"))</f>
        <v>0.12690316098616586</v>
      </c>
      <c r="F34" s="154">
        <f>IF($B34=" ","",IFERROR(INDEX(MMWR_RATING_RO_ROLLUP[],MATCH($B34,MMWR_RATING_RO_ROLLUP[MMWR_RATING_RO_ROLLUP],0),MATCH(F$9,MMWR_RATING_RO_ROLLUP[#Headers],0)),"ERROR"))</f>
        <v>3947</v>
      </c>
      <c r="G34" s="154">
        <f>IF($B34=" ","",IFERROR(INDEX(MMWR_RATING_RO_ROLLUP[],MATCH($B34,MMWR_RATING_RO_ROLLUP[MMWR_RATING_RO_ROLLUP],0),MATCH(G$9,MMWR_RATING_RO_ROLLUP[#Headers],0)),"ERROR"))</f>
        <v>39253</v>
      </c>
      <c r="H34" s="155">
        <f>IF($B34=" ","",IFERROR(INDEX(MMWR_RATING_RO_ROLLUP[],MATCH($B34,MMWR_RATING_RO_ROLLUP[MMWR_RATING_RO_ROLLUP],0),MATCH(H$9,MMWR_RATING_RO_ROLLUP[#Headers],0)),"ERROR"))</f>
        <v>102.4018241703</v>
      </c>
      <c r="I34" s="155">
        <f>IF($B34=" ","",IFERROR(INDEX(MMWR_RATING_RO_ROLLUP[],MATCH($B34,MMWR_RATING_RO_ROLLUP[MMWR_RATING_RO_ROLLUP],0),MATCH(I$9,MMWR_RATING_RO_ROLLUP[#Headers],0)),"ERROR"))</f>
        <v>98.979542964900006</v>
      </c>
      <c r="J34" s="42"/>
      <c r="K34" s="42"/>
      <c r="L34" s="42"/>
      <c r="M34" s="42"/>
      <c r="N34" s="28"/>
    </row>
    <row r="35" spans="1:14" x14ac:dyDescent="0.2">
      <c r="A35" s="43"/>
      <c r="B35" s="12" t="s">
        <v>209</v>
      </c>
      <c r="C35" s="154">
        <f>IF($B35=" ","",IFERROR(INDEX(MMWR_RATING_RO_ROLLUP[],MATCH($B35,MMWR_RATING_RO_ROLLUP[MMWR_RATING_RO_ROLLUP],0),MATCH(C$9,MMWR_RATING_RO_ROLLUP[#Headers],0)),"ERROR"))</f>
        <v>6145</v>
      </c>
      <c r="D35" s="155">
        <f>IF($B35=" ","",IFERROR(INDEX(MMWR_RATING_RO_ROLLUP[],MATCH($B35,MMWR_RATING_RO_ROLLUP[MMWR_RATING_RO_ROLLUP],0),MATCH(D$9,MMWR_RATING_RO_ROLLUP[#Headers],0)),"ERROR"))</f>
        <v>67.405207485800005</v>
      </c>
      <c r="E35" s="156">
        <f>IF($B35=" ","",IFERROR(INDEX(MMWR_RATING_RO_ROLLUP[],MATCH($B35,MMWR_RATING_RO_ROLLUP[MMWR_RATING_RO_ROLLUP],0),MATCH(E$9,MMWR_RATING_RO_ROLLUP[#Headers],0))/$C35,"ERROR"))</f>
        <v>0.12074857607811229</v>
      </c>
      <c r="F35" s="154">
        <f>IF($B35=" ","",IFERROR(INDEX(MMWR_RATING_RO_ROLLUP[],MATCH($B35,MMWR_RATING_RO_ROLLUP[MMWR_RATING_RO_ROLLUP],0),MATCH(F$9,MMWR_RATING_RO_ROLLUP[#Headers],0)),"ERROR"))</f>
        <v>2064</v>
      </c>
      <c r="G35" s="154">
        <f>IF($B35=" ","",IFERROR(INDEX(MMWR_RATING_RO_ROLLUP[],MATCH($B35,MMWR_RATING_RO_ROLLUP[MMWR_RATING_RO_ROLLUP],0),MATCH(G$9,MMWR_RATING_RO_ROLLUP[#Headers],0)),"ERROR"))</f>
        <v>33166</v>
      </c>
      <c r="H35" s="155">
        <f>IF($B35=" ","",IFERROR(INDEX(MMWR_RATING_RO_ROLLUP[],MATCH($B35,MMWR_RATING_RO_ROLLUP[MMWR_RATING_RO_ROLLUP],0),MATCH(H$9,MMWR_RATING_RO_ROLLUP[#Headers],0)),"ERROR"))</f>
        <v>73.774224806199996</v>
      </c>
      <c r="I35" s="155">
        <f>IF($B35=" ","",IFERROR(INDEX(MMWR_RATING_RO_ROLLUP[],MATCH($B35,MMWR_RATING_RO_ROLLUP[MMWR_RATING_RO_ROLLUP],0),MATCH(I$9,MMWR_RATING_RO_ROLLUP[#Headers],0)),"ERROR"))</f>
        <v>70.903756859400005</v>
      </c>
      <c r="J35" s="42"/>
      <c r="K35" s="42"/>
      <c r="L35" s="42"/>
      <c r="M35" s="42"/>
      <c r="N35" s="28"/>
    </row>
    <row r="36" spans="1:14" x14ac:dyDescent="0.2">
      <c r="A36" s="25"/>
      <c r="B36" s="12" t="s">
        <v>212</v>
      </c>
      <c r="C36" s="154">
        <f>IF($B36=" ","",IFERROR(INDEX(MMWR_RATING_RO_ROLLUP[],MATCH($B36,MMWR_RATING_RO_ROLLUP[MMWR_RATING_RO_ROLLUP],0),MATCH(C$9,MMWR_RATING_RO_ROLLUP[#Headers],0)),"ERROR"))</f>
        <v>7473</v>
      </c>
      <c r="D36" s="155">
        <f>IF($B36=" ","",IFERROR(INDEX(MMWR_RATING_RO_ROLLUP[],MATCH($B36,MMWR_RATING_RO_ROLLUP[MMWR_RATING_RO_ROLLUP],0),MATCH(D$9,MMWR_RATING_RO_ROLLUP[#Headers],0)),"ERROR"))</f>
        <v>61.892011240499997</v>
      </c>
      <c r="E36" s="156">
        <f>IF($B36=" ","",IFERROR(INDEX(MMWR_RATING_RO_ROLLUP[],MATCH($B36,MMWR_RATING_RO_ROLLUP[MMWR_RATING_RO_ROLLUP],0),MATCH(E$9,MMWR_RATING_RO_ROLLUP[#Headers],0))/$C36,"ERROR"))</f>
        <v>8.0958115883848519E-2</v>
      </c>
      <c r="F36" s="154">
        <f>IF($B36=" ","",IFERROR(INDEX(MMWR_RATING_RO_ROLLUP[],MATCH($B36,MMWR_RATING_RO_ROLLUP[MMWR_RATING_RO_ROLLUP],0),MATCH(F$9,MMWR_RATING_RO_ROLLUP[#Headers],0)),"ERROR"))</f>
        <v>3423</v>
      </c>
      <c r="G36" s="154">
        <f>IF($B36=" ","",IFERROR(INDEX(MMWR_RATING_RO_ROLLUP[],MATCH($B36,MMWR_RATING_RO_ROLLUP[MMWR_RATING_RO_ROLLUP],0),MATCH(G$9,MMWR_RATING_RO_ROLLUP[#Headers],0)),"ERROR"))</f>
        <v>42394</v>
      </c>
      <c r="H36" s="155">
        <f>IF($B36=" ","",IFERROR(INDEX(MMWR_RATING_RO_ROLLUP[],MATCH($B36,MMWR_RATING_RO_ROLLUP[MMWR_RATING_RO_ROLLUP],0),MATCH(H$9,MMWR_RATING_RO_ROLLUP[#Headers],0)),"ERROR"))</f>
        <v>71.896289804299997</v>
      </c>
      <c r="I36" s="155">
        <f>IF($B36=" ","",IFERROR(INDEX(MMWR_RATING_RO_ROLLUP[],MATCH($B36,MMWR_RATING_RO_ROLLUP[MMWR_RATING_RO_ROLLUP],0),MATCH(I$9,MMWR_RATING_RO_ROLLUP[#Headers],0)),"ERROR"))</f>
        <v>68.145468698399995</v>
      </c>
      <c r="J36" s="42"/>
      <c r="K36" s="42"/>
      <c r="L36" s="42"/>
      <c r="M36" s="42"/>
      <c r="N36" s="28"/>
    </row>
    <row r="37" spans="1:14" x14ac:dyDescent="0.2">
      <c r="A37" s="25"/>
      <c r="B37" s="13" t="s">
        <v>224</v>
      </c>
      <c r="C37" s="154">
        <f>IF($B37=" ","",IFERROR(INDEX(MMWR_RATING_RO_ROLLUP[],MATCH($B37,MMWR_RATING_RO_ROLLUP[MMWR_RATING_RO_ROLLUP],0),MATCH(C$9,MMWR_RATING_RO_ROLLUP[#Headers],0)),"ERROR"))</f>
        <v>865</v>
      </c>
      <c r="D37" s="155">
        <f>IF($B37=" ","",IFERROR(INDEX(MMWR_RATING_RO_ROLLUP[],MATCH($B37,MMWR_RATING_RO_ROLLUP[MMWR_RATING_RO_ROLLUP],0),MATCH(D$9,MMWR_RATING_RO_ROLLUP[#Headers],0)),"ERROR"))</f>
        <v>183.36069364159999</v>
      </c>
      <c r="E37" s="156">
        <f>IF($B37=" ","",IFERROR(INDEX(MMWR_RATING_RO_ROLLUP[],MATCH($B37,MMWR_RATING_RO_ROLLUP[MMWR_RATING_RO_ROLLUP],0),MATCH(E$9,MMWR_RATING_RO_ROLLUP[#Headers],0))/$C37,"ERROR"))</f>
        <v>0.49942196531791905</v>
      </c>
      <c r="F37" s="154">
        <f>IF($B37=" ","",IFERROR(INDEX(MMWR_RATING_RO_ROLLUP[],MATCH($B37,MMWR_RATING_RO_ROLLUP[MMWR_RATING_RO_ROLLUP],0),MATCH(F$9,MMWR_RATING_RO_ROLLUP[#Headers],0)),"ERROR"))</f>
        <v>344</v>
      </c>
      <c r="G37" s="154">
        <f>IF($B37=" ","",IFERROR(INDEX(MMWR_RATING_RO_ROLLUP[],MATCH($B37,MMWR_RATING_RO_ROLLUP[MMWR_RATING_RO_ROLLUP],0),MATCH(G$9,MMWR_RATING_RO_ROLLUP[#Headers],0)),"ERROR"))</f>
        <v>4364</v>
      </c>
      <c r="H37" s="155">
        <f>IF($B37=" ","",IFERROR(INDEX(MMWR_RATING_RO_ROLLUP[],MATCH($B37,MMWR_RATING_RO_ROLLUP[MMWR_RATING_RO_ROLLUP],0),MATCH(H$9,MMWR_RATING_RO_ROLLUP[#Headers],0)),"ERROR"))</f>
        <v>78.049418604699994</v>
      </c>
      <c r="I37" s="155">
        <f>IF($B37=" ","",IFERROR(INDEX(MMWR_RATING_RO_ROLLUP[],MATCH($B37,MMWR_RATING_RO_ROLLUP[MMWR_RATING_RO_ROLLUP],0),MATCH(I$9,MMWR_RATING_RO_ROLLUP[#Headers],0)),"ERROR"))</f>
        <v>61.756874427100001</v>
      </c>
      <c r="J37" s="42"/>
      <c r="K37" s="42"/>
      <c r="L37" s="42"/>
      <c r="M37" s="42"/>
      <c r="N37" s="28"/>
    </row>
    <row r="38" spans="1:14" x14ac:dyDescent="0.2">
      <c r="A38" s="25"/>
      <c r="B38" s="378" t="s">
        <v>915</v>
      </c>
      <c r="C38" s="379"/>
      <c r="D38" s="379"/>
      <c r="E38" s="379"/>
      <c r="F38" s="379"/>
      <c r="G38" s="379"/>
      <c r="H38" s="379"/>
      <c r="I38" s="379"/>
      <c r="J38" s="379"/>
      <c r="K38" s="379"/>
      <c r="L38" s="379"/>
      <c r="M38" s="388"/>
      <c r="N38" s="28"/>
    </row>
    <row r="39" spans="1:14" x14ac:dyDescent="0.2">
      <c r="A39" s="25"/>
      <c r="B39" s="44" t="s">
        <v>696</v>
      </c>
      <c r="C39" s="154">
        <f>IF($B39=" ","",IFERROR(INDEX(MMWR_RATING_RO_ROLLUP[],MATCH($B39,MMWR_RATING_RO_ROLLUP[MMWR_RATING_RO_ROLLUP],0),MATCH(C$9,MMWR_RATING_RO_ROLLUP[#Headers],0)),"ERROR"))</f>
        <v>7627</v>
      </c>
      <c r="D39" s="155">
        <f>IF($B39=" ","",IFERROR(INDEX(MMWR_RATING_RO_ROLLUP[],MATCH($B39,MMWR_RATING_RO_ROLLUP[MMWR_RATING_RO_ROLLUP],0),MATCH(D$9,MMWR_RATING_RO_ROLLUP[#Headers],0)),"ERROR"))</f>
        <v>69.450898125099997</v>
      </c>
      <c r="E39" s="156">
        <f>IF($B39=" ","",IFERROR(INDEX(MMWR_RATING_RO_ROLLUP[],MATCH($B39,MMWR_RATING_RO_ROLLUP[MMWR_RATING_RO_ROLLUP],0),MATCH(E$9,MMWR_RATING_RO_ROLLUP[#Headers],0))/$C39,"ERROR"))</f>
        <v>0.12940867969057296</v>
      </c>
      <c r="F39" s="154">
        <f>IF($B39=" ","",IFERROR(INDEX(MMWR_RATING_RO_ROLLUP[],MATCH($B39,MMWR_RATING_RO_ROLLUP[MMWR_RATING_RO_ROLLUP],0),MATCH(F$9,MMWR_RATING_RO_ROLLUP[#Headers],0)),"ERROR"))</f>
        <v>1517</v>
      </c>
      <c r="G39" s="154">
        <f>IF($B39=" ","",IFERROR(INDEX(MMWR_RATING_RO_ROLLUP[],MATCH($B39,MMWR_RATING_RO_ROLLUP[MMWR_RATING_RO_ROLLUP],0),MATCH(G$9,MMWR_RATING_RO_ROLLUP[#Headers],0)),"ERROR"))</f>
        <v>20739</v>
      </c>
      <c r="H39" s="155">
        <f>IF($B39=" ","",IFERROR(INDEX(MMWR_RATING_RO_ROLLUP[],MATCH($B39,MMWR_RATING_RO_ROLLUP[MMWR_RATING_RO_ROLLUP],0),MATCH(H$9,MMWR_RATING_RO_ROLLUP[#Headers],0)),"ERROR"))</f>
        <v>119.551087673</v>
      </c>
      <c r="I39" s="155">
        <f>IF($B39=" ","",IFERROR(INDEX(MMWR_RATING_RO_ROLLUP[],MATCH($B39,MMWR_RATING_RO_ROLLUP[MMWR_RATING_RO_ROLLUP],0),MATCH(I$9,MMWR_RATING_RO_ROLLUP[#Headers],0)),"ERROR"))</f>
        <v>138.77626693670001</v>
      </c>
      <c r="J39" s="42"/>
      <c r="K39" s="42"/>
      <c r="L39" s="42"/>
      <c r="M39" s="42"/>
      <c r="N39" s="28"/>
    </row>
    <row r="40" spans="1:14" x14ac:dyDescent="0.2">
      <c r="A40" s="25"/>
      <c r="B40" s="53" t="s">
        <v>955</v>
      </c>
      <c r="C40" s="154">
        <f>IF($B40=" ","",IFERROR(INDEX(MMWR_RATING_RO_ROLLUP[],MATCH($B40,MMWR_RATING_RO_ROLLUP[MMWR_RATING_RO_ROLLUP],0),MATCH(C$9,MMWR_RATING_RO_ROLLUP[#Headers],0)),"ERROR"))</f>
        <v>1335</v>
      </c>
      <c r="D40" s="155">
        <f>IF($B40=" ","",IFERROR(INDEX(MMWR_RATING_RO_ROLLUP[],MATCH($B40,MMWR_RATING_RO_ROLLUP[MMWR_RATING_RO_ROLLUP],0),MATCH(D$9,MMWR_RATING_RO_ROLLUP[#Headers],0)),"ERROR"))</f>
        <v>60.794756554300001</v>
      </c>
      <c r="E40" s="156">
        <f>IF($B40=" ","",IFERROR(INDEX(MMWR_RATING_RO_ROLLUP[],MATCH($B40,MMWR_RATING_RO_ROLLUP[MMWR_RATING_RO_ROLLUP],0),MATCH(E$9,MMWR_RATING_RO_ROLLUP[#Headers],0))/$C40,"ERROR"))</f>
        <v>9.8876404494382023E-2</v>
      </c>
      <c r="F40" s="154">
        <f>IF($B40=" ","",IFERROR(INDEX(MMWR_RATING_RO_ROLLUP[],MATCH($B40,MMWR_RATING_RO_ROLLUP[MMWR_RATING_RO_ROLLUP],0),MATCH(F$9,MMWR_RATING_RO_ROLLUP[#Headers],0)),"ERROR"))</f>
        <v>205</v>
      </c>
      <c r="G40" s="154">
        <f>IF($B40=" ","",IFERROR(INDEX(MMWR_RATING_RO_ROLLUP[],MATCH($B40,MMWR_RATING_RO_ROLLUP[MMWR_RATING_RO_ROLLUP],0),MATCH(G$9,MMWR_RATING_RO_ROLLUP[#Headers],0)),"ERROR"))</f>
        <v>3830</v>
      </c>
      <c r="H40" s="155">
        <f>IF($B40=" ","",IFERROR(INDEX(MMWR_RATING_RO_ROLLUP[],MATCH($B40,MMWR_RATING_RO_ROLLUP[MMWR_RATING_RO_ROLLUP],0),MATCH(H$9,MMWR_RATING_RO_ROLLUP[#Headers],0)),"ERROR"))</f>
        <v>111.1804878049</v>
      </c>
      <c r="I40" s="155">
        <f>IF($B40=" ","",IFERROR(INDEX(MMWR_RATING_RO_ROLLUP[],MATCH($B40,MMWR_RATING_RO_ROLLUP[MMWR_RATING_RO_ROLLUP],0),MATCH(I$9,MMWR_RATING_RO_ROLLUP[#Headers],0)),"ERROR"))</f>
        <v>124.5352480418</v>
      </c>
      <c r="J40" s="42"/>
      <c r="K40" s="42"/>
      <c r="L40" s="42"/>
      <c r="M40" s="42"/>
      <c r="N40" s="28"/>
    </row>
    <row r="41" spans="1:14" x14ac:dyDescent="0.2">
      <c r="A41" s="25"/>
      <c r="B41" s="53" t="s">
        <v>956</v>
      </c>
      <c r="C41" s="154">
        <f>IF($B41=" ","",IFERROR(INDEX(MMWR_RATING_RO_ROLLUP[],MATCH($B41,MMWR_RATING_RO_ROLLUP[MMWR_RATING_RO_ROLLUP],0),MATCH(C$9,MMWR_RATING_RO_ROLLUP[#Headers],0)),"ERROR"))</f>
        <v>1141</v>
      </c>
      <c r="D41" s="155">
        <f>IF($B41=" ","",IFERROR(INDEX(MMWR_RATING_RO_ROLLUP[],MATCH($B41,MMWR_RATING_RO_ROLLUP[MMWR_RATING_RO_ROLLUP],0),MATCH(D$9,MMWR_RATING_RO_ROLLUP[#Headers],0)),"ERROR"))</f>
        <v>64.232252410200005</v>
      </c>
      <c r="E41" s="156">
        <f>IF($B41=" ","",IFERROR(INDEX(MMWR_RATING_RO_ROLLUP[],MATCH($B41,MMWR_RATING_RO_ROLLUP[MMWR_RATING_RO_ROLLUP],0),MATCH(E$9,MMWR_RATING_RO_ROLLUP[#Headers],0))/$C41,"ERROR"))</f>
        <v>0.11218229623137599</v>
      </c>
      <c r="F41" s="154">
        <f>IF($B41=" ","",IFERROR(INDEX(MMWR_RATING_RO_ROLLUP[],MATCH($B41,MMWR_RATING_RO_ROLLUP[MMWR_RATING_RO_ROLLUP],0),MATCH(F$9,MMWR_RATING_RO_ROLLUP[#Headers],0)),"ERROR"))</f>
        <v>235</v>
      </c>
      <c r="G41" s="154">
        <f>IF($B41=" ","",IFERROR(INDEX(MMWR_RATING_RO_ROLLUP[],MATCH($B41,MMWR_RATING_RO_ROLLUP[MMWR_RATING_RO_ROLLUP],0),MATCH(G$9,MMWR_RATING_RO_ROLLUP[#Headers],0)),"ERROR"))</f>
        <v>3309</v>
      </c>
      <c r="H41" s="155">
        <f>IF($B41=" ","",IFERROR(INDEX(MMWR_RATING_RO_ROLLUP[],MATCH($B41,MMWR_RATING_RO_ROLLUP[MMWR_RATING_RO_ROLLUP],0),MATCH(H$9,MMWR_RATING_RO_ROLLUP[#Headers],0)),"ERROR"))</f>
        <v>119.09361702130001</v>
      </c>
      <c r="I41" s="155">
        <f>IF($B41=" ","",IFERROR(INDEX(MMWR_RATING_RO_ROLLUP[],MATCH($B41,MMWR_RATING_RO_ROLLUP[MMWR_RATING_RO_ROLLUP],0),MATCH(I$9,MMWR_RATING_RO_ROLLUP[#Headers],0)),"ERROR"))</f>
        <v>149.98458748869999</v>
      </c>
      <c r="J41" s="42"/>
      <c r="K41" s="42"/>
      <c r="L41" s="42"/>
      <c r="M41" s="42"/>
      <c r="N41" s="28"/>
    </row>
    <row r="42" spans="1:14" x14ac:dyDescent="0.2">
      <c r="A42" s="25"/>
      <c r="B42" s="46" t="s">
        <v>307</v>
      </c>
      <c r="C42" s="154">
        <f>IF($B42=" ","",IFERROR(INDEX(MMWR_RATING_RO_ROLLUP[],MATCH($B42,MMWR_RATING_RO_ROLLUP[MMWR_RATING_RO_ROLLUP],0),MATCH(C$9,MMWR_RATING_RO_ROLLUP[#Headers],0)),"ERROR"))</f>
        <v>5151</v>
      </c>
      <c r="D42" s="155">
        <f>IF($B42=" ","",IFERROR(INDEX(MMWR_RATING_RO_ROLLUP[],MATCH($B42,MMWR_RATING_RO_ROLLUP[MMWR_RATING_RO_ROLLUP],0),MATCH(D$9,MMWR_RATING_RO_ROLLUP[#Headers],0)),"ERROR"))</f>
        <v>72.850320326200006</v>
      </c>
      <c r="E42" s="156">
        <f>IF($B42=" ","",IFERROR(INDEX(MMWR_RATING_RO_ROLLUP[],MATCH($B42,MMWR_RATING_RO_ROLLUP[MMWR_RATING_RO_ROLLUP],0),MATCH(E$9,MMWR_RATING_RO_ROLLUP[#Headers],0))/$C42,"ERROR"))</f>
        <v>0.14113764317608232</v>
      </c>
      <c r="F42" s="154">
        <f>IF($B42=" ","",IFERROR(INDEX(MMWR_RATING_RO_ROLLUP[],MATCH($B42,MMWR_RATING_RO_ROLLUP[MMWR_RATING_RO_ROLLUP],0),MATCH(F$9,MMWR_RATING_RO_ROLLUP[#Headers],0)),"ERROR"))</f>
        <v>1077</v>
      </c>
      <c r="G42" s="154">
        <f>IF($B42=" ","",IFERROR(INDEX(MMWR_RATING_RO_ROLLUP[],MATCH($B42,MMWR_RATING_RO_ROLLUP[MMWR_RATING_RO_ROLLUP],0),MATCH(G$9,MMWR_RATING_RO_ROLLUP[#Headers],0)),"ERROR"))</f>
        <v>13600</v>
      </c>
      <c r="H42" s="155">
        <f>IF($B42=" ","",IFERROR(INDEX(MMWR_RATING_RO_ROLLUP[],MATCH($B42,MMWR_RATING_RO_ROLLUP[MMWR_RATING_RO_ROLLUP],0),MATCH(H$9,MMWR_RATING_RO_ROLLUP[#Headers],0)),"ERROR"))</f>
        <v>121.2441968431</v>
      </c>
      <c r="I42" s="155">
        <f>IF($B42=" ","",IFERROR(INDEX(MMWR_RATING_RO_ROLLUP[],MATCH($B42,MMWR_RATING_RO_ROLLUP[MMWR_RATING_RO_ROLLUP],0),MATCH(I$9,MMWR_RATING_RO_ROLLUP[#Headers],0)),"ERROR"))</f>
        <v>140.05970588240001</v>
      </c>
      <c r="J42" s="42"/>
      <c r="K42" s="42"/>
      <c r="L42" s="42"/>
      <c r="M42" s="42"/>
      <c r="N42" s="28"/>
    </row>
    <row r="43" spans="1:14" x14ac:dyDescent="0.2">
      <c r="A43" s="25"/>
      <c r="B43" s="378" t="s">
        <v>733</v>
      </c>
      <c r="C43" s="379"/>
      <c r="D43" s="379"/>
      <c r="E43" s="379"/>
      <c r="F43" s="379"/>
      <c r="G43" s="379"/>
      <c r="H43" s="379"/>
      <c r="I43" s="379"/>
      <c r="J43" s="379"/>
      <c r="K43" s="379"/>
      <c r="L43" s="379"/>
      <c r="M43" s="388"/>
      <c r="N43" s="28"/>
    </row>
    <row r="44" spans="1:14" x14ac:dyDescent="0.2">
      <c r="A44" s="25"/>
      <c r="B44" s="44" t="s">
        <v>694</v>
      </c>
      <c r="C44" s="154">
        <f>IF($B44=" ","",IFERROR(INDEX(MMWR_RATING_RO_ROLLUP[],MATCH($B44,MMWR_RATING_RO_ROLLUP[MMWR_RATING_RO_ROLLUP],0),MATCH(C$9,MMWR_RATING_RO_ROLLUP[#Headers],0)),"ERROR"))</f>
        <v>7746</v>
      </c>
      <c r="D44" s="155">
        <f>IF($B44=" ","",IFERROR(INDEX(MMWR_RATING_RO_ROLLUP[],MATCH($B44,MMWR_RATING_RO_ROLLUP[MMWR_RATING_RO_ROLLUP],0),MATCH(D$9,MMWR_RATING_RO_ROLLUP[#Headers],0)),"ERROR"))</f>
        <v>67.789052414099999</v>
      </c>
      <c r="E44" s="156">
        <f>IF($B44=" ","",IFERROR(INDEX(MMWR_RATING_RO_ROLLUP[],MATCH($B44,MMWR_RATING_RO_ROLLUP[MMWR_RATING_RO_ROLLUP],0),MATCH(E$9,MMWR_RATING_RO_ROLLUP[#Headers],0))/$C44,"ERROR"))</f>
        <v>0.12483862638781307</v>
      </c>
      <c r="F44" s="154">
        <f>IF($B44=" ","",IFERROR(INDEX(MMWR_RATING_RO_ROLLUP[],MATCH($B44,MMWR_RATING_RO_ROLLUP[MMWR_RATING_RO_ROLLUP],0),MATCH(F$9,MMWR_RATING_RO_ROLLUP[#Headers],0)),"ERROR"))</f>
        <v>1443</v>
      </c>
      <c r="G44" s="154">
        <f>IF($B44=" ","",IFERROR(INDEX(MMWR_RATING_RO_ROLLUP[],MATCH($B44,MMWR_RATING_RO_ROLLUP[MMWR_RATING_RO_ROLLUP],0),MATCH(G$9,MMWR_RATING_RO_ROLLUP[#Headers],0)),"ERROR"))</f>
        <v>23688</v>
      </c>
      <c r="H44" s="155">
        <f>IF($B44=" ","",IFERROR(INDEX(MMWR_RATING_RO_ROLLUP[],MATCH($B44,MMWR_RATING_RO_ROLLUP[MMWR_RATING_RO_ROLLUP],0),MATCH(H$9,MMWR_RATING_RO_ROLLUP[#Headers],0)),"ERROR"))</f>
        <v>116.4913374913</v>
      </c>
      <c r="I44" s="155">
        <f>IF($B44=" ","",IFERROR(INDEX(MMWR_RATING_RO_ROLLUP[],MATCH($B44,MMWR_RATING_RO_ROLLUP[MMWR_RATING_RO_ROLLUP],0),MATCH(I$9,MMWR_RATING_RO_ROLLUP[#Headers],0)),"ERROR"))</f>
        <v>131.4363390746</v>
      </c>
      <c r="J44" s="42"/>
      <c r="K44" s="42"/>
      <c r="L44" s="42"/>
      <c r="M44" s="42"/>
      <c r="N44" s="28"/>
    </row>
    <row r="45" spans="1:14" x14ac:dyDescent="0.2">
      <c r="A45" s="25"/>
      <c r="B45" s="45" t="s">
        <v>211</v>
      </c>
      <c r="C45" s="154">
        <f>IF($B45=" ","",IFERROR(INDEX(MMWR_RATING_RO_ROLLUP[],MATCH($B45,MMWR_RATING_RO_ROLLUP[MMWR_RATING_RO_ROLLUP],0),MATCH(C$9,MMWR_RATING_RO_ROLLUP[#Headers],0)),"ERROR"))</f>
        <v>54</v>
      </c>
      <c r="D45" s="155">
        <f>IF($B45=" ","",IFERROR(INDEX(MMWR_RATING_RO_ROLLUP[],MATCH($B45,MMWR_RATING_RO_ROLLUP[MMWR_RATING_RO_ROLLUP],0),MATCH(D$9,MMWR_RATING_RO_ROLLUP[#Headers],0)),"ERROR"))</f>
        <v>71.833333333300004</v>
      </c>
      <c r="E45" s="156">
        <f>IF($B45=" ","",IFERROR(INDEX(MMWR_RATING_RO_ROLLUP[],MATCH($B45,MMWR_RATING_RO_ROLLUP[MMWR_RATING_RO_ROLLUP],0),MATCH(E$9,MMWR_RATING_RO_ROLLUP[#Headers],0))/$C45,"ERROR"))</f>
        <v>0.16666666666666666</v>
      </c>
      <c r="F45" s="154">
        <f>IF($B45=" ","",IFERROR(INDEX(MMWR_RATING_RO_ROLLUP[],MATCH($B45,MMWR_RATING_RO_ROLLUP[MMWR_RATING_RO_ROLLUP],0),MATCH(F$9,MMWR_RATING_RO_ROLLUP[#Headers],0)),"ERROR"))</f>
        <v>11</v>
      </c>
      <c r="G45" s="154">
        <f>IF($B45=" ","",IFERROR(INDEX(MMWR_RATING_RO_ROLLUP[],MATCH($B45,MMWR_RATING_RO_ROLLUP[MMWR_RATING_RO_ROLLUP],0),MATCH(G$9,MMWR_RATING_RO_ROLLUP[#Headers],0)),"ERROR"))</f>
        <v>180</v>
      </c>
      <c r="H45" s="155">
        <f>IF($B45=" ","",IFERROR(INDEX(MMWR_RATING_RO_ROLLUP[],MATCH($B45,MMWR_RATING_RO_ROLLUP[MMWR_RATING_RO_ROLLUP],0),MATCH(H$9,MMWR_RATING_RO_ROLLUP[#Headers],0)),"ERROR"))</f>
        <v>128.54545454550001</v>
      </c>
      <c r="I45" s="155">
        <f>IF($B45=" ","",IFERROR(INDEX(MMWR_RATING_RO_ROLLUP[],MATCH($B45,MMWR_RATING_RO_ROLLUP[MMWR_RATING_RO_ROLLUP],0),MATCH(I$9,MMWR_RATING_RO_ROLLUP[#Headers],0)),"ERROR"))</f>
        <v>129.55000000000001</v>
      </c>
      <c r="J45" s="42"/>
      <c r="K45" s="42"/>
      <c r="L45" s="42"/>
      <c r="M45" s="42"/>
      <c r="N45" s="28"/>
    </row>
    <row r="46" spans="1:14" x14ac:dyDescent="0.2">
      <c r="A46" s="25"/>
      <c r="B46" s="45" t="s">
        <v>213</v>
      </c>
      <c r="C46" s="154">
        <f>IF($B46=" ","",IFERROR(INDEX(MMWR_RATING_RO_ROLLUP[],MATCH($B46,MMWR_RATING_RO_ROLLUP[MMWR_RATING_RO_ROLLUP],0),MATCH(C$9,MMWR_RATING_RO_ROLLUP[#Headers],0)),"ERROR"))</f>
        <v>1028</v>
      </c>
      <c r="D46" s="155">
        <f>IF($B46=" ","",IFERROR(INDEX(MMWR_RATING_RO_ROLLUP[],MATCH($B46,MMWR_RATING_RO_ROLLUP[MMWR_RATING_RO_ROLLUP],0),MATCH(D$9,MMWR_RATING_RO_ROLLUP[#Headers],0)),"ERROR"))</f>
        <v>63.571011673199997</v>
      </c>
      <c r="E46" s="156">
        <f>IF($B46=" ","",IFERROR(INDEX(MMWR_RATING_RO_ROLLUP[],MATCH($B46,MMWR_RATING_RO_ROLLUP[MMWR_RATING_RO_ROLLUP],0),MATCH(E$9,MMWR_RATING_RO_ROLLUP[#Headers],0))/$C46,"ERROR"))</f>
        <v>0.11867704280155641</v>
      </c>
      <c r="F46" s="154">
        <f>IF($B46=" ","",IFERROR(INDEX(MMWR_RATING_RO_ROLLUP[],MATCH($B46,MMWR_RATING_RO_ROLLUP[MMWR_RATING_RO_ROLLUP],0),MATCH(F$9,MMWR_RATING_RO_ROLLUP[#Headers],0)),"ERROR"))</f>
        <v>190</v>
      </c>
      <c r="G46" s="154">
        <f>IF($B46=" ","",IFERROR(INDEX(MMWR_RATING_RO_ROLLUP[],MATCH($B46,MMWR_RATING_RO_ROLLUP[MMWR_RATING_RO_ROLLUP],0),MATCH(G$9,MMWR_RATING_RO_ROLLUP[#Headers],0)),"ERROR"))</f>
        <v>3764</v>
      </c>
      <c r="H46" s="155">
        <f>IF($B46=" ","",IFERROR(INDEX(MMWR_RATING_RO_ROLLUP[],MATCH($B46,MMWR_RATING_RO_ROLLUP[MMWR_RATING_RO_ROLLUP],0),MATCH(H$9,MMWR_RATING_RO_ROLLUP[#Headers],0)),"ERROR"))</f>
        <v>120.2842105263</v>
      </c>
      <c r="I46" s="155">
        <f>IF($B46=" ","",IFERROR(INDEX(MMWR_RATING_RO_ROLLUP[],MATCH($B46,MMWR_RATING_RO_ROLLUP[MMWR_RATING_RO_ROLLUP],0),MATCH(I$9,MMWR_RATING_RO_ROLLUP[#Headers],0)),"ERROR"))</f>
        <v>142.5536663124</v>
      </c>
      <c r="J46" s="42"/>
      <c r="K46" s="42"/>
      <c r="L46" s="42"/>
      <c r="M46" s="42"/>
      <c r="N46" s="28"/>
    </row>
    <row r="47" spans="1:14" x14ac:dyDescent="0.2">
      <c r="A47" s="25"/>
      <c r="B47" s="47" t="s">
        <v>308</v>
      </c>
      <c r="C47" s="154">
        <f>IF($B47=" ","",IFERROR(INDEX(MMWR_RATING_RO_ROLLUP[],MATCH($B47,MMWR_RATING_RO_ROLLUP[MMWR_RATING_RO_ROLLUP],0),MATCH(C$9,MMWR_RATING_RO_ROLLUP[#Headers],0)),"ERROR"))</f>
        <v>6664</v>
      </c>
      <c r="D47" s="155">
        <f>IF($B47=" ","",IFERROR(INDEX(MMWR_RATING_RO_ROLLUP[],MATCH($B47,MMWR_RATING_RO_ROLLUP[MMWR_RATING_RO_ROLLUP],0),MATCH(D$9,MMWR_RATING_RO_ROLLUP[#Headers],0)),"ERROR"))</f>
        <v>68.406962785100006</v>
      </c>
      <c r="E47" s="156">
        <f>IF($B47=" ","",IFERROR(INDEX(MMWR_RATING_RO_ROLLUP[],MATCH($B47,MMWR_RATING_RO_ROLLUP[MMWR_RATING_RO_ROLLUP],0),MATCH(E$9,MMWR_RATING_RO_ROLLUP[#Headers],0))/$C47,"ERROR"))</f>
        <v>0.12545018007202882</v>
      </c>
      <c r="F47" s="154">
        <f>IF($B47=" ","",IFERROR(INDEX(MMWR_RATING_RO_ROLLUP[],MATCH($B47,MMWR_RATING_RO_ROLLUP[MMWR_RATING_RO_ROLLUP],0),MATCH(F$9,MMWR_RATING_RO_ROLLUP[#Headers],0)),"ERROR"))</f>
        <v>1242</v>
      </c>
      <c r="G47" s="154">
        <f>IF($B47=" ","",IFERROR(INDEX(MMWR_RATING_RO_ROLLUP[],MATCH($B47,MMWR_RATING_RO_ROLLUP[MMWR_RATING_RO_ROLLUP],0),MATCH(G$9,MMWR_RATING_RO_ROLLUP[#Headers],0)),"ERROR"))</f>
        <v>19744</v>
      </c>
      <c r="H47" s="155">
        <f>IF($B47=" ","",IFERROR(INDEX(MMWR_RATING_RO_ROLLUP[],MATCH($B47,MMWR_RATING_RO_ROLLUP[MMWR_RATING_RO_ROLLUP],0),MATCH(H$9,MMWR_RATING_RO_ROLLUP[#Headers],0)),"ERROR"))</f>
        <v>115.8043478261</v>
      </c>
      <c r="I47" s="155">
        <f>IF($B47=" ","",IFERROR(INDEX(MMWR_RATING_RO_ROLLUP[],MATCH($B47,MMWR_RATING_RO_ROLLUP[MMWR_RATING_RO_ROLLUP],0),MATCH(I$9,MMWR_RATING_RO_ROLLUP[#Headers],0)),"ERROR"))</f>
        <v>129.33412682330001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0" t="s">
        <v>976</v>
      </c>
      <c r="D2" s="351"/>
      <c r="E2" s="351"/>
      <c r="F2" s="351"/>
      <c r="G2" s="351"/>
      <c r="H2" s="351"/>
      <c r="I2" s="351"/>
      <c r="J2" s="350" t="s">
        <v>300</v>
      </c>
      <c r="K2" s="351"/>
      <c r="L2" s="351"/>
      <c r="M2" s="352"/>
      <c r="N2" s="28"/>
    </row>
    <row r="3" spans="1:15" ht="24" customHeight="1" thickBot="1" x14ac:dyDescent="0.4">
      <c r="A3" s="25"/>
      <c r="B3" s="29"/>
      <c r="C3" s="353"/>
      <c r="D3" s="354"/>
      <c r="E3" s="354"/>
      <c r="F3" s="354"/>
      <c r="G3" s="354"/>
      <c r="H3" s="354"/>
      <c r="I3" s="354"/>
      <c r="J3" s="353" t="str">
        <f>Transformation!B4</f>
        <v>As of: July 23, 2016</v>
      </c>
      <c r="K3" s="354"/>
      <c r="L3" s="354"/>
      <c r="M3" s="355"/>
      <c r="N3" s="28"/>
    </row>
    <row r="4" spans="1:15" ht="51.75" customHeight="1" thickBot="1" x14ac:dyDescent="0.35">
      <c r="A4" s="30"/>
      <c r="B4" s="246" t="s">
        <v>454</v>
      </c>
      <c r="C4" s="356" t="s">
        <v>430</v>
      </c>
      <c r="D4" s="357"/>
      <c r="E4" s="357"/>
      <c r="F4" s="357"/>
      <c r="G4" s="357"/>
      <c r="H4" s="357"/>
      <c r="I4" s="357"/>
      <c r="J4" s="357"/>
      <c r="K4" s="357"/>
      <c r="L4" s="357"/>
      <c r="M4" s="358"/>
      <c r="N4" s="28"/>
    </row>
    <row r="5" spans="1:15" ht="27" customHeight="1" thickBot="1" x14ac:dyDescent="0.25">
      <c r="A5" s="30"/>
      <c r="B5" s="245" t="s">
        <v>368</v>
      </c>
      <c r="C5" s="359" t="s">
        <v>1040</v>
      </c>
      <c r="D5" s="360"/>
      <c r="E5" s="360"/>
      <c r="F5" s="360"/>
      <c r="G5" s="360"/>
      <c r="H5" s="360"/>
      <c r="I5" s="360"/>
      <c r="J5" s="360"/>
      <c r="K5" s="360"/>
      <c r="L5" s="360"/>
      <c r="M5" s="360"/>
      <c r="N5" s="360"/>
      <c r="O5" s="361"/>
    </row>
    <row r="6" spans="1:15" ht="55.5" customHeight="1" x14ac:dyDescent="0.2">
      <c r="A6" s="30"/>
      <c r="B6" s="31"/>
      <c r="C6" s="32" t="s">
        <v>190</v>
      </c>
      <c r="D6" s="362" t="s">
        <v>16</v>
      </c>
      <c r="E6" s="363"/>
      <c r="F6" s="33" t="s">
        <v>193</v>
      </c>
      <c r="G6" s="362" t="s">
        <v>198</v>
      </c>
      <c r="H6" s="364"/>
      <c r="I6" s="33" t="s">
        <v>196</v>
      </c>
      <c r="J6" s="49" t="s">
        <v>14</v>
      </c>
      <c r="K6" s="33" t="s">
        <v>201</v>
      </c>
      <c r="L6" s="368" t="s">
        <v>85</v>
      </c>
      <c r="M6" s="396"/>
      <c r="N6" s="28"/>
    </row>
    <row r="7" spans="1:15" ht="51.75" customHeight="1" x14ac:dyDescent="0.2">
      <c r="A7" s="30"/>
      <c r="B7" s="34"/>
      <c r="C7" s="35" t="s">
        <v>191</v>
      </c>
      <c r="D7" s="380" t="s">
        <v>0</v>
      </c>
      <c r="E7" s="381"/>
      <c r="F7" s="36" t="s">
        <v>194</v>
      </c>
      <c r="G7" s="382" t="s">
        <v>199</v>
      </c>
      <c r="H7" s="382"/>
      <c r="I7" s="36" t="s">
        <v>197</v>
      </c>
      <c r="J7" s="50" t="s">
        <v>19</v>
      </c>
      <c r="K7" s="36" t="s">
        <v>202</v>
      </c>
      <c r="L7" s="392" t="s">
        <v>87</v>
      </c>
      <c r="M7" s="393"/>
      <c r="N7" s="28"/>
    </row>
    <row r="8" spans="1:15" ht="51.75" customHeight="1" thickBot="1" x14ac:dyDescent="0.25">
      <c r="A8" s="25"/>
      <c r="B8" s="28"/>
      <c r="C8" s="37" t="s">
        <v>192</v>
      </c>
      <c r="D8" s="383" t="s">
        <v>18</v>
      </c>
      <c r="E8" s="384"/>
      <c r="F8" s="38" t="s">
        <v>195</v>
      </c>
      <c r="G8" s="385" t="s">
        <v>17</v>
      </c>
      <c r="H8" s="385"/>
      <c r="I8" s="38" t="s">
        <v>200</v>
      </c>
      <c r="J8" s="51" t="s">
        <v>84</v>
      </c>
      <c r="K8" s="38" t="s">
        <v>203</v>
      </c>
      <c r="L8" s="394" t="s">
        <v>86</v>
      </c>
      <c r="M8" s="395"/>
      <c r="N8" s="28"/>
    </row>
    <row r="9" spans="1:15" x14ac:dyDescent="0.2">
      <c r="A9" s="28"/>
      <c r="B9" s="39"/>
      <c r="C9" s="39" t="s">
        <v>713</v>
      </c>
      <c r="D9" s="39" t="s">
        <v>715</v>
      </c>
      <c r="E9" s="39" t="s">
        <v>714</v>
      </c>
      <c r="F9" s="39" t="s">
        <v>717</v>
      </c>
      <c r="G9" s="39" t="s">
        <v>716</v>
      </c>
      <c r="H9" s="39" t="s">
        <v>719</v>
      </c>
      <c r="I9" s="39" t="s">
        <v>718</v>
      </c>
      <c r="J9" s="39"/>
      <c r="K9" s="39"/>
      <c r="L9" s="39"/>
      <c r="M9" s="39"/>
      <c r="N9" s="39"/>
    </row>
    <row r="10" spans="1:15" ht="15.75" customHeight="1" x14ac:dyDescent="0.2">
      <c r="A10" s="25"/>
      <c r="B10" s="26"/>
      <c r="C10" s="386" t="s">
        <v>293</v>
      </c>
      <c r="D10" s="386"/>
      <c r="E10" s="386"/>
      <c r="F10" s="386"/>
      <c r="G10" s="386"/>
      <c r="H10" s="386"/>
      <c r="I10" s="386"/>
      <c r="J10" s="386"/>
      <c r="K10" s="386"/>
      <c r="L10" s="386"/>
      <c r="M10" s="387"/>
      <c r="N10" s="28"/>
    </row>
    <row r="11" spans="1:15" ht="63.75" customHeight="1" x14ac:dyDescent="0.2">
      <c r="A11" s="25"/>
      <c r="B11" s="26"/>
      <c r="C11" s="52" t="s">
        <v>226</v>
      </c>
      <c r="D11" s="52" t="s">
        <v>134</v>
      </c>
      <c r="E11" s="52" t="s">
        <v>227</v>
      </c>
      <c r="F11" s="52" t="s">
        <v>189</v>
      </c>
      <c r="G11" s="52" t="s">
        <v>204</v>
      </c>
      <c r="H11" s="52" t="s">
        <v>206</v>
      </c>
      <c r="I11" s="52" t="s">
        <v>207</v>
      </c>
      <c r="J11" s="389" t="s">
        <v>971</v>
      </c>
      <c r="K11" s="390"/>
      <c r="L11" s="390"/>
      <c r="M11" s="391"/>
      <c r="N11" s="28"/>
    </row>
    <row r="12" spans="1:15" x14ac:dyDescent="0.2">
      <c r="A12" s="25"/>
      <c r="B12" s="41" t="s">
        <v>728</v>
      </c>
      <c r="C12" s="154">
        <f>IF($B12=" ","",IFERROR(INDEX(MMWR_RATING_STATE_ROLLUP_VSC[],MATCH($B12,MMWR_RATING_STATE_ROLLUP_VSC[MMWR_RATING_STATE_ROLLUP_VSC],0),MATCH(C$9,MMWR_RATING_STATE_ROLLUP_VSC[#Headers],0)),"ERROR"))</f>
        <v>379516</v>
      </c>
      <c r="D12" s="155">
        <f>IF($B12=" ","",IFERROR(INDEX(MMWR_RATING_STATE_ROLLUP_VSC[],MATCH($B12,MMWR_RATING_STATE_ROLLUP_VSC[MMWR_RATING_STATE_ROLLUP_VSC],0),MATCH(D$9,MMWR_RATING_STATE_ROLLUP_VSC[#Headers],0)),"ERROR"))</f>
        <v>89.273759209100007</v>
      </c>
      <c r="E12" s="157">
        <f>IF($B12=" ","",IFERROR(INDEX(MMWR_RATING_STATE_ROLLUP_VSC[],MATCH($B12,MMWR_RATING_STATE_ROLLUP_VSC[MMWR_RATING_STATE_ROLLUP_VSC],0),MATCH(E$9,MMWR_RATING_STATE_ROLLUP_VSC[#Headers],0))/$C12,"ERROR"))</f>
        <v>0.20464749839268964</v>
      </c>
      <c r="F12" s="154">
        <f>IF($B12=" ","",IFERROR(INDEX(MMWR_RATING_STATE_ROLLUP_VSC[],MATCH($B12,MMWR_RATING_STATE_ROLLUP_VSC[MMWR_RATING_STATE_ROLLUP_VSC],0),MATCH(F$9,MMWR_RATING_STATE_ROLLUP_VSC[#Headers],0)),"ERROR"))</f>
        <v>73704</v>
      </c>
      <c r="G12" s="154">
        <f>IF($B12=" ","",IFERROR(INDEX(MMWR_RATING_STATE_ROLLUP_VSC[],MATCH($B12,MMWR_RATING_STATE_ROLLUP_VSC[MMWR_RATING_STATE_ROLLUP_VSC],0),MATCH(G$9,MMWR_RATING_STATE_ROLLUP_VSC[#Headers],0)),"ERROR"))</f>
        <v>1018350</v>
      </c>
      <c r="H12" s="155">
        <f>IF($B12=" ","",IFERROR(INDEX(MMWR_RATING_STATE_ROLLUP_VSC[],MATCH($B12,MMWR_RATING_STATE_ROLLUP_VSC[MMWR_RATING_STATE_ROLLUP_VSC],0),MATCH(H$9,MMWR_RATING_STATE_ROLLUP_VSC[#Headers],0)),"ERROR"))</f>
        <v>121.24401660700001</v>
      </c>
      <c r="I12" s="155">
        <f>IF($B12=" ","",IFERROR(INDEX(MMWR_RATING_STATE_ROLLUP_VSC[],MATCH($B12,MMWR_RATING_STATE_ROLLUP_VSC[MMWR_RATING_STATE_ROLLUP_VSC],0),MATCH(I$9,MMWR_RATING_STATE_ROLLUP_VSC[#Headers],0)),"ERROR"))</f>
        <v>123.22773702560001</v>
      </c>
      <c r="J12" s="42"/>
      <c r="K12" s="42"/>
      <c r="L12" s="42"/>
      <c r="M12" s="42"/>
      <c r="N12" s="28"/>
    </row>
    <row r="13" spans="1:15" x14ac:dyDescent="0.2">
      <c r="A13" s="25"/>
      <c r="B13" s="378" t="s">
        <v>957</v>
      </c>
      <c r="C13" s="379"/>
      <c r="D13" s="379"/>
      <c r="E13" s="379"/>
      <c r="F13" s="379"/>
      <c r="G13" s="379"/>
      <c r="H13" s="379"/>
      <c r="I13" s="379"/>
      <c r="J13" s="379"/>
      <c r="K13" s="379"/>
      <c r="L13" s="379"/>
      <c r="M13" s="388"/>
      <c r="N13" s="28"/>
    </row>
    <row r="14" spans="1:15" x14ac:dyDescent="0.2">
      <c r="A14" s="25"/>
      <c r="B14" s="41" t="s">
        <v>1034</v>
      </c>
      <c r="C14" s="154">
        <f>IF($B14=" ","",IFERROR(INDEX(MMWR_RATING_STATE_ROLLUP_VSC[],MATCH($B14,MMWR_RATING_STATE_ROLLUP_VSC[MMWR_RATING_STATE_ROLLUP_VSC],0),MATCH(C$9,MMWR_RATING_STATE_ROLLUP_VSC[#Headers],0)),"ERROR"))</f>
        <v>336722</v>
      </c>
      <c r="D14" s="155">
        <f>IF($B14=" ","",IFERROR(INDEX(MMWR_RATING_STATE_ROLLUP_VSC[],MATCH($B14,MMWR_RATING_STATE_ROLLUP_VSC[MMWR_RATING_STATE_ROLLUP_VSC],0),MATCH(D$9,MMWR_RATING_STATE_ROLLUP_VSC[#Headers],0)),"ERROR"))</f>
        <v>91.766543320599993</v>
      </c>
      <c r="E14" s="156">
        <f>IF($B14=" ","",IFERROR(INDEX(MMWR_RATING_STATE_ROLLUP_VSC[],MATCH($B14,MMWR_RATING_STATE_ROLLUP_VSC[MMWR_RATING_STATE_ROLLUP_VSC],0),MATCH(E$9,MMWR_RATING_STATE_ROLLUP_VSC[#Headers],0))/$C14,"ERROR"))</f>
        <v>0.21469639643385344</v>
      </c>
      <c r="F14" s="154">
        <f>IF($B14=" ","",IFERROR(INDEX(MMWR_RATING_STATE_ROLLUP_VSC[],MATCH($B14,MMWR_RATING_STATE_ROLLUP_VSC[MMWR_RATING_STATE_ROLLUP_VSC],0),MATCH(F$9,MMWR_RATING_STATE_ROLLUP_VSC[#Headers],0)),"ERROR"))</f>
        <v>60966</v>
      </c>
      <c r="G14" s="154">
        <f>IF($B14=" ","",IFERROR(INDEX(MMWR_RATING_STATE_ROLLUP_VSC[],MATCH($B14,MMWR_RATING_STATE_ROLLUP_VSC[MMWR_RATING_STATE_ROLLUP_VSC],0),MATCH(G$9,MMWR_RATING_STATE_ROLLUP_VSC[#Headers],0)),"ERROR"))</f>
        <v>854746</v>
      </c>
      <c r="H14" s="155">
        <f>IF($B14=" ","",IFERROR(INDEX(MMWR_RATING_STATE_ROLLUP_VSC[],MATCH($B14,MMWR_RATING_STATE_ROLLUP_VSC[MMWR_RATING_STATE_ROLLUP_VSC],0),MATCH(H$9,MMWR_RATING_STATE_ROLLUP_VSC[#Headers],0)),"ERROR"))</f>
        <v>127.2399862218</v>
      </c>
      <c r="I14" s="155">
        <f>IF($B14=" ","",IFERROR(INDEX(MMWR_RATING_STATE_ROLLUP_VSC[],MATCH($B14,MMWR_RATING_STATE_ROLLUP_VSC[MMWR_RATING_STATE_ROLLUP_VSC],0),MATCH(I$9,MMWR_RATING_STATE_ROLLUP_VSC[#Headers],0)),"ERROR"))</f>
        <v>128.81267300459999</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72039</v>
      </c>
      <c r="D15" s="155">
        <f>IF($B15=" ","",IFERROR(INDEX(MMWR_RATING_STATE_ROLLUP_VSC[],MATCH($B15,MMWR_RATING_STATE_ROLLUP_VSC[MMWR_RATING_STATE_ROLLUP_VSC],0),MATCH(D$9,MMWR_RATING_STATE_ROLLUP_VSC[#Headers],0)),"ERROR"))</f>
        <v>94.734615971899998</v>
      </c>
      <c r="E15" s="156">
        <f>IF($B15=" ","",IFERROR(INDEX(MMWR_RATING_STATE_ROLLUP_VSC[],MATCH($B15,MMWR_RATING_STATE_ROLLUP_VSC[MMWR_RATING_STATE_ROLLUP_VSC],0),MATCH(E$9,MMWR_RATING_STATE_ROLLUP_VSC[#Headers],0))/$C15,"ERROR"))</f>
        <v>0.22573883590832744</v>
      </c>
      <c r="F15" s="154">
        <f>IF($B15=" ","",IFERROR(INDEX(MMWR_RATING_STATE_ROLLUP_VSC[],MATCH($B15,MMWR_RATING_STATE_ROLLUP_VSC[MMWR_RATING_STATE_ROLLUP_VSC],0),MATCH(F$9,MMWR_RATING_STATE_ROLLUP_VSC[#Headers],0)),"ERROR"))</f>
        <v>13559</v>
      </c>
      <c r="G15" s="154">
        <f>IF($B15=" ","",IFERROR(INDEX(MMWR_RATING_STATE_ROLLUP_VSC[],MATCH($B15,MMWR_RATING_STATE_ROLLUP_VSC[MMWR_RATING_STATE_ROLLUP_VSC],0),MATCH(G$9,MMWR_RATING_STATE_ROLLUP_VSC[#Headers],0)),"ERROR"))</f>
        <v>180168</v>
      </c>
      <c r="H15" s="155">
        <f>IF($B15=" ","",IFERROR(INDEX(MMWR_RATING_STATE_ROLLUP_VSC[],MATCH($B15,MMWR_RATING_STATE_ROLLUP_VSC[MMWR_RATING_STATE_ROLLUP_VSC],0),MATCH(H$9,MMWR_RATING_STATE_ROLLUP_VSC[#Headers],0)),"ERROR"))</f>
        <v>129.18504314480001</v>
      </c>
      <c r="I15" s="155">
        <f>IF($B15=" ","",IFERROR(INDEX(MMWR_RATING_STATE_ROLLUP_VSC[],MATCH($B15,MMWR_RATING_STATE_ROLLUP_VSC[MMWR_RATING_STATE_ROLLUP_VSC],0),MATCH(I$9,MMWR_RATING_STATE_ROLLUP_VSC[#Headers],0)),"ERROR"))</f>
        <v>131.5534723147</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1926</v>
      </c>
      <c r="D16" s="155">
        <f>IF($B16=" ","",IFERROR(INDEX(MMWR_RATING_STATE_ROLLUP_VSC[],MATCH($B16,MMWR_RATING_STATE_ROLLUP_VSC[MMWR_RATING_STATE_ROLLUP_VSC],0),MATCH(D$9,MMWR_RATING_STATE_ROLLUP_VSC[#Headers],0)),"ERROR"))</f>
        <v>80.3909657321</v>
      </c>
      <c r="E16" s="156">
        <f>IF($B16=" ","",IFERROR(INDEX(MMWR_RATING_STATE_ROLLUP_VSC[],MATCH($B16,MMWR_RATING_STATE_ROLLUP_VSC[MMWR_RATING_STATE_ROLLUP_VSC],0),MATCH(E$9,MMWR_RATING_STATE_ROLLUP_VSC[#Headers],0))/$C16,"ERROR"))</f>
        <v>0.15109034267912771</v>
      </c>
      <c r="F16" s="154">
        <f>IF($B16=" ","",IFERROR(INDEX(MMWR_RATING_STATE_ROLLUP_VSC[],MATCH($B16,MMWR_RATING_STATE_ROLLUP_VSC[MMWR_RATING_STATE_ROLLUP_VSC],0),MATCH(F$9,MMWR_RATING_STATE_ROLLUP_VSC[#Headers],0)),"ERROR"))</f>
        <v>372</v>
      </c>
      <c r="G16" s="154">
        <f>IF($B16=" ","",IFERROR(INDEX(MMWR_RATING_STATE_ROLLUP_VSC[],MATCH($B16,MMWR_RATING_STATE_ROLLUP_VSC[MMWR_RATING_STATE_ROLLUP_VSC],0),MATCH(G$9,MMWR_RATING_STATE_ROLLUP_VSC[#Headers],0)),"ERROR"))</f>
        <v>5417</v>
      </c>
      <c r="H16" s="155">
        <f>IF($B16=" ","",IFERROR(INDEX(MMWR_RATING_STATE_ROLLUP_VSC[],MATCH($B16,MMWR_RATING_STATE_ROLLUP_VSC[MMWR_RATING_STATE_ROLLUP_VSC],0),MATCH(H$9,MMWR_RATING_STATE_ROLLUP_VSC[#Headers],0)),"ERROR"))</f>
        <v>105.9516129032</v>
      </c>
      <c r="I16" s="155">
        <f>IF($B16=" ","",IFERROR(INDEX(MMWR_RATING_STATE_ROLLUP_VSC[],MATCH($B16,MMWR_RATING_STATE_ROLLUP_VSC[MMWR_RATING_STATE_ROLLUP_VSC],0),MATCH(I$9,MMWR_RATING_STATE_ROLLUP_VSC[#Headers],0)),"ERROR"))</f>
        <v>113.0284290198</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1012</v>
      </c>
      <c r="D17" s="155">
        <f>IF($B17=" ","",IFERROR(INDEX(MMWR_RATING_STATE_ROLLUP_VSC[],MATCH($B17,MMWR_RATING_STATE_ROLLUP_VSC[MMWR_RATING_STATE_ROLLUP_VSC],0),MATCH(D$9,MMWR_RATING_STATE_ROLLUP_VSC[#Headers],0)),"ERROR"))</f>
        <v>100.56916996050001</v>
      </c>
      <c r="E17" s="156">
        <f>IF($B17=" ","",IFERROR(INDEX(MMWR_RATING_STATE_ROLLUP_VSC[],MATCH($B17,MMWR_RATING_STATE_ROLLUP_VSC[MMWR_RATING_STATE_ROLLUP_VSC],0),MATCH(E$9,MMWR_RATING_STATE_ROLLUP_VSC[#Headers],0))/$C17,"ERROR"))</f>
        <v>0.23023715415019763</v>
      </c>
      <c r="F17" s="154">
        <f>IF($B17=" ","",IFERROR(INDEX(MMWR_RATING_STATE_ROLLUP_VSC[],MATCH($B17,MMWR_RATING_STATE_ROLLUP_VSC[MMWR_RATING_STATE_ROLLUP_VSC],0),MATCH(F$9,MMWR_RATING_STATE_ROLLUP_VSC[#Headers],0)),"ERROR"))</f>
        <v>162</v>
      </c>
      <c r="G17" s="154">
        <f>IF($B17=" ","",IFERROR(INDEX(MMWR_RATING_STATE_ROLLUP_VSC[],MATCH($B17,MMWR_RATING_STATE_ROLLUP_VSC[MMWR_RATING_STATE_ROLLUP_VSC],0),MATCH(G$9,MMWR_RATING_STATE_ROLLUP_VSC[#Headers],0)),"ERROR"))</f>
        <v>2386</v>
      </c>
      <c r="H17" s="155">
        <f>IF($B17=" ","",IFERROR(INDEX(MMWR_RATING_STATE_ROLLUP_VSC[],MATCH($B17,MMWR_RATING_STATE_ROLLUP_VSC[MMWR_RATING_STATE_ROLLUP_VSC],0),MATCH(H$9,MMWR_RATING_STATE_ROLLUP_VSC[#Headers],0)),"ERROR"))</f>
        <v>137.537037037</v>
      </c>
      <c r="I17" s="155">
        <f>IF($B17=" ","",IFERROR(INDEX(MMWR_RATING_STATE_ROLLUP_VSC[],MATCH($B17,MMWR_RATING_STATE_ROLLUP_VSC[MMWR_RATING_STATE_ROLLUP_VSC],0),MATCH(I$9,MMWR_RATING_STATE_ROLLUP_VSC[#Headers],0)),"ERROR"))</f>
        <v>136.23134953900001</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432</v>
      </c>
      <c r="D18" s="155">
        <f>IF($B18=" ","",IFERROR(INDEX(MMWR_RATING_STATE_ROLLUP_VSC[],MATCH($B18,MMWR_RATING_STATE_ROLLUP_VSC[MMWR_RATING_STATE_ROLLUP_VSC],0),MATCH(D$9,MMWR_RATING_STATE_ROLLUP_VSC[#Headers],0)),"ERROR"))</f>
        <v>96.460648148100006</v>
      </c>
      <c r="E18" s="156">
        <f>IF($B18=" ","",IFERROR(INDEX(MMWR_RATING_STATE_ROLLUP_VSC[],MATCH($B18,MMWR_RATING_STATE_ROLLUP_VSC[MMWR_RATING_STATE_ROLLUP_VSC],0),MATCH(E$9,MMWR_RATING_STATE_ROLLUP_VSC[#Headers],0))/$C18,"ERROR"))</f>
        <v>0.20601851851851852</v>
      </c>
      <c r="F18" s="154">
        <f>IF($B18=" ","",IFERROR(INDEX(MMWR_RATING_STATE_ROLLUP_VSC[],MATCH($B18,MMWR_RATING_STATE_ROLLUP_VSC[MMWR_RATING_STATE_ROLLUP_VSC],0),MATCH(F$9,MMWR_RATING_STATE_ROLLUP_VSC[#Headers],0)),"ERROR"))</f>
        <v>73</v>
      </c>
      <c r="G18" s="154">
        <f>IF($B18=" ","",IFERROR(INDEX(MMWR_RATING_STATE_ROLLUP_VSC[],MATCH($B18,MMWR_RATING_STATE_ROLLUP_VSC[MMWR_RATING_STATE_ROLLUP_VSC],0),MATCH(G$9,MMWR_RATING_STATE_ROLLUP_VSC[#Headers],0)),"ERROR"))</f>
        <v>1095</v>
      </c>
      <c r="H18" s="155">
        <f>IF($B18=" ","",IFERROR(INDEX(MMWR_RATING_STATE_ROLLUP_VSC[],MATCH($B18,MMWR_RATING_STATE_ROLLUP_VSC[MMWR_RATING_STATE_ROLLUP_VSC],0),MATCH(H$9,MMWR_RATING_STATE_ROLLUP_VSC[#Headers],0)),"ERROR"))</f>
        <v>173.0821917808</v>
      </c>
      <c r="I18" s="155">
        <f>IF($B18=" ","",IFERROR(INDEX(MMWR_RATING_STATE_ROLLUP_VSC[],MATCH($B18,MMWR_RATING_STATE_ROLLUP_VSC[MMWR_RATING_STATE_ROLLUP_VSC],0),MATCH(I$9,MMWR_RATING_STATE_ROLLUP_VSC[#Headers],0)),"ERROR"))</f>
        <v>140.78538812790001</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1239</v>
      </c>
      <c r="D19" s="155">
        <f>IF($B19=" ","",IFERROR(INDEX(MMWR_RATING_STATE_ROLLUP_VSC[],MATCH($B19,MMWR_RATING_STATE_ROLLUP_VSC[MMWR_RATING_STATE_ROLLUP_VSC],0),MATCH(D$9,MMWR_RATING_STATE_ROLLUP_VSC[#Headers],0)),"ERROR"))</f>
        <v>73.146085552900004</v>
      </c>
      <c r="E19" s="156">
        <f>IF($B19=" ","",IFERROR(INDEX(MMWR_RATING_STATE_ROLLUP_VSC[],MATCH($B19,MMWR_RATING_STATE_ROLLUP_VSC[MMWR_RATING_STATE_ROLLUP_VSC],0),MATCH(E$9,MMWR_RATING_STATE_ROLLUP_VSC[#Headers],0))/$C19,"ERROR"))</f>
        <v>0.13962873284907182</v>
      </c>
      <c r="F19" s="154">
        <f>IF($B19=" ","",IFERROR(INDEX(MMWR_RATING_STATE_ROLLUP_VSC[],MATCH($B19,MMWR_RATING_STATE_ROLLUP_VSC[MMWR_RATING_STATE_ROLLUP_VSC],0),MATCH(F$9,MMWR_RATING_STATE_ROLLUP_VSC[#Headers],0)),"ERROR"))</f>
        <v>338</v>
      </c>
      <c r="G19" s="154">
        <f>IF($B19=" ","",IFERROR(INDEX(MMWR_RATING_STATE_ROLLUP_VSC[],MATCH($B19,MMWR_RATING_STATE_ROLLUP_VSC[MMWR_RATING_STATE_ROLLUP_VSC],0),MATCH(G$9,MMWR_RATING_STATE_ROLLUP_VSC[#Headers],0)),"ERROR"))</f>
        <v>4278</v>
      </c>
      <c r="H19" s="155">
        <f>IF($B19=" ","",IFERROR(INDEX(MMWR_RATING_STATE_ROLLUP_VSC[],MATCH($B19,MMWR_RATING_STATE_ROLLUP_VSC[MMWR_RATING_STATE_ROLLUP_VSC],0),MATCH(H$9,MMWR_RATING_STATE_ROLLUP_VSC[#Headers],0)),"ERROR"))</f>
        <v>86.168639053299998</v>
      </c>
      <c r="I19" s="155">
        <f>IF($B19=" ","",IFERROR(INDEX(MMWR_RATING_STATE_ROLLUP_VSC[],MATCH($B19,MMWR_RATING_STATE_ROLLUP_VSC[MMWR_RATING_STATE_ROLLUP_VSC],0),MATCH(I$9,MMWR_RATING_STATE_ROLLUP_VSC[#Headers],0)),"ERROR"))</f>
        <v>103.0273492286</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6272</v>
      </c>
      <c r="D20" s="155">
        <f>IF($B20=" ","",IFERROR(INDEX(MMWR_RATING_STATE_ROLLUP_VSC[],MATCH($B20,MMWR_RATING_STATE_ROLLUP_VSC[MMWR_RATING_STATE_ROLLUP_VSC],0),MATCH(D$9,MMWR_RATING_STATE_ROLLUP_VSC[#Headers],0)),"ERROR"))</f>
        <v>95.494260204100001</v>
      </c>
      <c r="E20" s="156">
        <f>IF($B20=" ","",IFERROR(INDEX(MMWR_RATING_STATE_ROLLUP_VSC[],MATCH($B20,MMWR_RATING_STATE_ROLLUP_VSC[MMWR_RATING_STATE_ROLLUP_VSC],0),MATCH(E$9,MMWR_RATING_STATE_ROLLUP_VSC[#Headers],0))/$C20,"ERROR"))</f>
        <v>0.22991071428571427</v>
      </c>
      <c r="F20" s="154">
        <f>IF($B20=" ","",IFERROR(INDEX(MMWR_RATING_STATE_ROLLUP_VSC[],MATCH($B20,MMWR_RATING_STATE_ROLLUP_VSC[MMWR_RATING_STATE_ROLLUP_VSC],0),MATCH(F$9,MMWR_RATING_STATE_ROLLUP_VSC[#Headers],0)),"ERROR"))</f>
        <v>1216</v>
      </c>
      <c r="G20" s="154">
        <f>IF($B20=" ","",IFERROR(INDEX(MMWR_RATING_STATE_ROLLUP_VSC[],MATCH($B20,MMWR_RATING_STATE_ROLLUP_VSC[MMWR_RATING_STATE_ROLLUP_VSC],0),MATCH(G$9,MMWR_RATING_STATE_ROLLUP_VSC[#Headers],0)),"ERROR"))</f>
        <v>14430</v>
      </c>
      <c r="H20" s="155">
        <f>IF($B20=" ","",IFERROR(INDEX(MMWR_RATING_STATE_ROLLUP_VSC[],MATCH($B20,MMWR_RATING_STATE_ROLLUP_VSC[MMWR_RATING_STATE_ROLLUP_VSC],0),MATCH(H$9,MMWR_RATING_STATE_ROLLUP_VSC[#Headers],0)),"ERROR"))</f>
        <v>140.68503289469999</v>
      </c>
      <c r="I20" s="155">
        <f>IF($B20=" ","",IFERROR(INDEX(MMWR_RATING_STATE_ROLLUP_VSC[],MATCH($B20,MMWR_RATING_STATE_ROLLUP_VSC[MMWR_RATING_STATE_ROLLUP_VSC],0),MATCH(I$9,MMWR_RATING_STATE_ROLLUP_VSC[#Headers],0)),"ERROR"))</f>
        <v>136.70595980600001</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4336</v>
      </c>
      <c r="D21" s="155">
        <f>IF($B21=" ","",IFERROR(INDEX(MMWR_RATING_STATE_ROLLUP_VSC[],MATCH($B21,MMWR_RATING_STATE_ROLLUP_VSC[MMWR_RATING_STATE_ROLLUP_VSC],0),MATCH(D$9,MMWR_RATING_STATE_ROLLUP_VSC[#Headers],0)),"ERROR"))</f>
        <v>87.122232472299999</v>
      </c>
      <c r="E21" s="156">
        <f>IF($B21=" ","",IFERROR(INDEX(MMWR_RATING_STATE_ROLLUP_VSC[],MATCH($B21,MMWR_RATING_STATE_ROLLUP_VSC[MMWR_RATING_STATE_ROLLUP_VSC],0),MATCH(E$9,MMWR_RATING_STATE_ROLLUP_VSC[#Headers],0))/$C21,"ERROR"))</f>
        <v>0.19511070110701106</v>
      </c>
      <c r="F21" s="154">
        <f>IF($B21=" ","",IFERROR(INDEX(MMWR_RATING_STATE_ROLLUP_VSC[],MATCH($B21,MMWR_RATING_STATE_ROLLUP_VSC[MMWR_RATING_STATE_ROLLUP_VSC],0),MATCH(F$9,MMWR_RATING_STATE_ROLLUP_VSC[#Headers],0)),"ERROR"))</f>
        <v>742</v>
      </c>
      <c r="G21" s="154">
        <f>IF($B21=" ","",IFERROR(INDEX(MMWR_RATING_STATE_ROLLUP_VSC[],MATCH($B21,MMWR_RATING_STATE_ROLLUP_VSC[MMWR_RATING_STATE_ROLLUP_VSC],0),MATCH(G$9,MMWR_RATING_STATE_ROLLUP_VSC[#Headers],0)),"ERROR"))</f>
        <v>11423</v>
      </c>
      <c r="H21" s="155">
        <f>IF($B21=" ","",IFERROR(INDEX(MMWR_RATING_STATE_ROLLUP_VSC[],MATCH($B21,MMWR_RATING_STATE_ROLLUP_VSC[MMWR_RATING_STATE_ROLLUP_VSC],0),MATCH(H$9,MMWR_RATING_STATE_ROLLUP_VSC[#Headers],0)),"ERROR"))</f>
        <v>116.5997304582</v>
      </c>
      <c r="I21" s="155">
        <f>IF($B21=" ","",IFERROR(INDEX(MMWR_RATING_STATE_ROLLUP_VSC[],MATCH($B21,MMWR_RATING_STATE_ROLLUP_VSC[MMWR_RATING_STATE_ROLLUP_VSC],0),MATCH(I$9,MMWR_RATING_STATE_ROLLUP_VSC[#Headers],0)),"ERROR"))</f>
        <v>126.7868335814</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1359</v>
      </c>
      <c r="D22" s="155">
        <f>IF($B22=" ","",IFERROR(INDEX(MMWR_RATING_STATE_ROLLUP_VSC[],MATCH($B22,MMWR_RATING_STATE_ROLLUP_VSC[MMWR_RATING_STATE_ROLLUP_VSC],0),MATCH(D$9,MMWR_RATING_STATE_ROLLUP_VSC[#Headers],0)),"ERROR"))</f>
        <v>77.626195732200003</v>
      </c>
      <c r="E22" s="156">
        <f>IF($B22=" ","",IFERROR(INDEX(MMWR_RATING_STATE_ROLLUP_VSC[],MATCH($B22,MMWR_RATING_STATE_ROLLUP_VSC[MMWR_RATING_STATE_ROLLUP_VSC],0),MATCH(E$9,MMWR_RATING_STATE_ROLLUP_VSC[#Headers],0))/$C22,"ERROR"))</f>
        <v>0.14569536423841059</v>
      </c>
      <c r="F22" s="154">
        <f>IF($B22=" ","",IFERROR(INDEX(MMWR_RATING_STATE_ROLLUP_VSC[],MATCH($B22,MMWR_RATING_STATE_ROLLUP_VSC[MMWR_RATING_STATE_ROLLUP_VSC],0),MATCH(F$9,MMWR_RATING_STATE_ROLLUP_VSC[#Headers],0)),"ERROR"))</f>
        <v>261</v>
      </c>
      <c r="G22" s="154">
        <f>IF($B22=" ","",IFERROR(INDEX(MMWR_RATING_STATE_ROLLUP_VSC[],MATCH($B22,MMWR_RATING_STATE_ROLLUP_VSC[MMWR_RATING_STATE_ROLLUP_VSC],0),MATCH(G$9,MMWR_RATING_STATE_ROLLUP_VSC[#Headers],0)),"ERROR"))</f>
        <v>3390</v>
      </c>
      <c r="H22" s="155">
        <f>IF($B22=" ","",IFERROR(INDEX(MMWR_RATING_STATE_ROLLUP_VSC[],MATCH($B22,MMWR_RATING_STATE_ROLLUP_VSC[MMWR_RATING_STATE_ROLLUP_VSC],0),MATCH(H$9,MMWR_RATING_STATE_ROLLUP_VSC[#Headers],0)),"ERROR"))</f>
        <v>120.6360153257</v>
      </c>
      <c r="I22" s="155">
        <f>IF($B22=" ","",IFERROR(INDEX(MMWR_RATING_STATE_ROLLUP_VSC[],MATCH($B22,MMWR_RATING_STATE_ROLLUP_VSC[MMWR_RATING_STATE_ROLLUP_VSC],0),MATCH(I$9,MMWR_RATING_STATE_ROLLUP_VSC[#Headers],0)),"ERROR"))</f>
        <v>126.57345132739999</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4455</v>
      </c>
      <c r="D23" s="155">
        <f>IF($B23=" ","",IFERROR(INDEX(MMWR_RATING_STATE_ROLLUP_VSC[],MATCH($B23,MMWR_RATING_STATE_ROLLUP_VSC[MMWR_RATING_STATE_ROLLUP_VSC],0),MATCH(D$9,MMWR_RATING_STATE_ROLLUP_VSC[#Headers],0)),"ERROR"))</f>
        <v>107.806285073</v>
      </c>
      <c r="E23" s="156">
        <f>IF($B23=" ","",IFERROR(INDEX(MMWR_RATING_STATE_ROLLUP_VSC[],MATCH($B23,MMWR_RATING_STATE_ROLLUP_VSC[MMWR_RATING_STATE_ROLLUP_VSC],0),MATCH(E$9,MMWR_RATING_STATE_ROLLUP_VSC[#Headers],0))/$C23,"ERROR"))</f>
        <v>0.27946127946127947</v>
      </c>
      <c r="F23" s="154">
        <f>IF($B23=" ","",IFERROR(INDEX(MMWR_RATING_STATE_ROLLUP_VSC[],MATCH($B23,MMWR_RATING_STATE_ROLLUP_VSC[MMWR_RATING_STATE_ROLLUP_VSC],0),MATCH(F$9,MMWR_RATING_STATE_ROLLUP_VSC[#Headers],0)),"ERROR"))</f>
        <v>677</v>
      </c>
      <c r="G23" s="154">
        <f>IF($B23=" ","",IFERROR(INDEX(MMWR_RATING_STATE_ROLLUP_VSC[],MATCH($B23,MMWR_RATING_STATE_ROLLUP_VSC[MMWR_RATING_STATE_ROLLUP_VSC],0),MATCH(G$9,MMWR_RATING_STATE_ROLLUP_VSC[#Headers],0)),"ERROR"))</f>
        <v>9906</v>
      </c>
      <c r="H23" s="155">
        <f>IF($B23=" ","",IFERROR(INDEX(MMWR_RATING_STATE_ROLLUP_VSC[],MATCH($B23,MMWR_RATING_STATE_ROLLUP_VSC[MMWR_RATING_STATE_ROLLUP_VSC],0),MATCH(H$9,MMWR_RATING_STATE_ROLLUP_VSC[#Headers],0)),"ERROR"))</f>
        <v>142.88774002950001</v>
      </c>
      <c r="I23" s="155">
        <f>IF($B23=" ","",IFERROR(INDEX(MMWR_RATING_STATE_ROLLUP_VSC[],MATCH($B23,MMWR_RATING_STATE_ROLLUP_VSC[MMWR_RATING_STATE_ROLLUP_VSC],0),MATCH(I$9,MMWR_RATING_STATE_ROLLUP_VSC[#Headers],0)),"ERROR"))</f>
        <v>137.8483747224</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9267</v>
      </c>
      <c r="D24" s="155">
        <f>IF($B24=" ","",IFERROR(INDEX(MMWR_RATING_STATE_ROLLUP_VSC[],MATCH($B24,MMWR_RATING_STATE_ROLLUP_VSC[MMWR_RATING_STATE_ROLLUP_VSC],0),MATCH(D$9,MMWR_RATING_STATE_ROLLUP_VSC[#Headers],0)),"ERROR"))</f>
        <v>97.996223157399996</v>
      </c>
      <c r="E24" s="156">
        <f>IF($B24=" ","",IFERROR(INDEX(MMWR_RATING_STATE_ROLLUP_VSC[],MATCH($B24,MMWR_RATING_STATE_ROLLUP_VSC[MMWR_RATING_STATE_ROLLUP_VSC],0),MATCH(E$9,MMWR_RATING_STATE_ROLLUP_VSC[#Headers],0))/$C24,"ERROR"))</f>
        <v>0.23567497572029783</v>
      </c>
      <c r="F24" s="154">
        <f>IF($B24=" ","",IFERROR(INDEX(MMWR_RATING_STATE_ROLLUP_VSC[],MATCH($B24,MMWR_RATING_STATE_ROLLUP_VSC[MMWR_RATING_STATE_ROLLUP_VSC],0),MATCH(F$9,MMWR_RATING_STATE_ROLLUP_VSC[#Headers],0)),"ERROR"))</f>
        <v>1624</v>
      </c>
      <c r="G24" s="154">
        <f>IF($B24=" ","",IFERROR(INDEX(MMWR_RATING_STATE_ROLLUP_VSC[],MATCH($B24,MMWR_RATING_STATE_ROLLUP_VSC[MMWR_RATING_STATE_ROLLUP_VSC],0),MATCH(G$9,MMWR_RATING_STATE_ROLLUP_VSC[#Headers],0)),"ERROR"))</f>
        <v>22735</v>
      </c>
      <c r="H24" s="155">
        <f>IF($B24=" ","",IFERROR(INDEX(MMWR_RATING_STATE_ROLLUP_VSC[],MATCH($B24,MMWR_RATING_STATE_ROLLUP_VSC[MMWR_RATING_STATE_ROLLUP_VSC],0),MATCH(H$9,MMWR_RATING_STATE_ROLLUP_VSC[#Headers],0)),"ERROR"))</f>
        <v>128.30172413790001</v>
      </c>
      <c r="I24" s="155">
        <f>IF($B24=" ","",IFERROR(INDEX(MMWR_RATING_STATE_ROLLUP_VSC[],MATCH($B24,MMWR_RATING_STATE_ROLLUP_VSC[MMWR_RATING_STATE_ROLLUP_VSC],0),MATCH(I$9,MMWR_RATING_STATE_ROLLUP_VSC[#Headers],0)),"ERROR"))</f>
        <v>129.74554651419999</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17145</v>
      </c>
      <c r="D25" s="155">
        <f>IF($B25=" ","",IFERROR(INDEX(MMWR_RATING_STATE_ROLLUP_VSC[],MATCH($B25,MMWR_RATING_STATE_ROLLUP_VSC[MMWR_RATING_STATE_ROLLUP_VSC],0),MATCH(D$9,MMWR_RATING_STATE_ROLLUP_VSC[#Headers],0)),"ERROR"))</f>
        <v>93.413123359599993</v>
      </c>
      <c r="E25" s="156">
        <f>IF($B25=" ","",IFERROR(INDEX(MMWR_RATING_STATE_ROLLUP_VSC[],MATCH($B25,MMWR_RATING_STATE_ROLLUP_VSC[MMWR_RATING_STATE_ROLLUP_VSC],0),MATCH(E$9,MMWR_RATING_STATE_ROLLUP_VSC[#Headers],0))/$C25,"ERROR"))</f>
        <v>0.23674540682414699</v>
      </c>
      <c r="F25" s="154">
        <f>IF($B25=" ","",IFERROR(INDEX(MMWR_RATING_STATE_ROLLUP_VSC[],MATCH($B25,MMWR_RATING_STATE_ROLLUP_VSC[MMWR_RATING_STATE_ROLLUP_VSC],0),MATCH(F$9,MMWR_RATING_STATE_ROLLUP_VSC[#Headers],0)),"ERROR"))</f>
        <v>3209</v>
      </c>
      <c r="G25" s="154">
        <f>IF($B25=" ","",IFERROR(INDEX(MMWR_RATING_STATE_ROLLUP_VSC[],MATCH($B25,MMWR_RATING_STATE_ROLLUP_VSC[MMWR_RATING_STATE_ROLLUP_VSC],0),MATCH(G$9,MMWR_RATING_STATE_ROLLUP_VSC[#Headers],0)),"ERROR"))</f>
        <v>41236</v>
      </c>
      <c r="H25" s="155">
        <f>IF($B25=" ","",IFERROR(INDEX(MMWR_RATING_STATE_ROLLUP_VSC[],MATCH($B25,MMWR_RATING_STATE_ROLLUP_VSC[MMWR_RATING_STATE_ROLLUP_VSC],0),MATCH(H$9,MMWR_RATING_STATE_ROLLUP_VSC[#Headers],0)),"ERROR"))</f>
        <v>131.35431598630001</v>
      </c>
      <c r="I25" s="155">
        <f>IF($B25=" ","",IFERROR(INDEX(MMWR_RATING_STATE_ROLLUP_VSC[],MATCH($B25,MMWR_RATING_STATE_ROLLUP_VSC[MMWR_RATING_STATE_ROLLUP_VSC],0),MATCH(I$9,MMWR_RATING_STATE_ROLLUP_VSC[#Headers],0)),"ERROR"))</f>
        <v>136.011591813</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9782</v>
      </c>
      <c r="D26" s="155">
        <f>IF($B26=" ","",IFERROR(INDEX(MMWR_RATING_STATE_ROLLUP_VSC[],MATCH($B26,MMWR_RATING_STATE_ROLLUP_VSC[MMWR_RATING_STATE_ROLLUP_VSC],0),MATCH(D$9,MMWR_RATING_STATE_ROLLUP_VSC[#Headers],0)),"ERROR"))</f>
        <v>112.7428951135</v>
      </c>
      <c r="E26" s="156">
        <f>IF($B26=" ","",IFERROR(INDEX(MMWR_RATING_STATE_ROLLUP_VSC[],MATCH($B26,MMWR_RATING_STATE_ROLLUP_VSC[MMWR_RATING_STATE_ROLLUP_VSC],0),MATCH(E$9,MMWR_RATING_STATE_ROLLUP_VSC[#Headers],0))/$C26,"ERROR"))</f>
        <v>0.28869351870783072</v>
      </c>
      <c r="F26" s="154">
        <f>IF($B26=" ","",IFERROR(INDEX(MMWR_RATING_STATE_ROLLUP_VSC[],MATCH($B26,MMWR_RATING_STATE_ROLLUP_VSC[MMWR_RATING_STATE_ROLLUP_VSC],0),MATCH(F$9,MMWR_RATING_STATE_ROLLUP_VSC[#Headers],0)),"ERROR"))</f>
        <v>1678</v>
      </c>
      <c r="G26" s="154">
        <f>IF($B26=" ","",IFERROR(INDEX(MMWR_RATING_STATE_ROLLUP_VSC[],MATCH($B26,MMWR_RATING_STATE_ROLLUP_VSC[MMWR_RATING_STATE_ROLLUP_VSC],0),MATCH(G$9,MMWR_RATING_STATE_ROLLUP_VSC[#Headers],0)),"ERROR"))</f>
        <v>23063</v>
      </c>
      <c r="H26" s="155">
        <f>IF($B26=" ","",IFERROR(INDEX(MMWR_RATING_STATE_ROLLUP_VSC[],MATCH($B26,MMWR_RATING_STATE_ROLLUP_VSC[MMWR_RATING_STATE_ROLLUP_VSC],0),MATCH(H$9,MMWR_RATING_STATE_ROLLUP_VSC[#Headers],0)),"ERROR"))</f>
        <v>143.7973778308</v>
      </c>
      <c r="I26" s="155">
        <f>IF($B26=" ","",IFERROR(INDEX(MMWR_RATING_STATE_ROLLUP_VSC[],MATCH($B26,MMWR_RATING_STATE_ROLLUP_VSC[MMWR_RATING_STATE_ROLLUP_VSC],0),MATCH(I$9,MMWR_RATING_STATE_ROLLUP_VSC[#Headers],0)),"ERROR"))</f>
        <v>140.33876772319999</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904</v>
      </c>
      <c r="D27" s="155">
        <f>IF($B27=" ","",IFERROR(INDEX(MMWR_RATING_STATE_ROLLUP_VSC[],MATCH($B27,MMWR_RATING_STATE_ROLLUP_VSC[MMWR_RATING_STATE_ROLLUP_VSC],0),MATCH(D$9,MMWR_RATING_STATE_ROLLUP_VSC[#Headers],0)),"ERROR"))</f>
        <v>86.4900442478</v>
      </c>
      <c r="E27" s="156">
        <f>IF($B27=" ","",IFERROR(INDEX(MMWR_RATING_STATE_ROLLUP_VSC[],MATCH($B27,MMWR_RATING_STATE_ROLLUP_VSC[MMWR_RATING_STATE_ROLLUP_VSC],0),MATCH(E$9,MMWR_RATING_STATE_ROLLUP_VSC[#Headers],0))/$C27,"ERROR"))</f>
        <v>0.17367256637168141</v>
      </c>
      <c r="F27" s="154">
        <f>IF($B27=" ","",IFERROR(INDEX(MMWR_RATING_STATE_ROLLUP_VSC[],MATCH($B27,MMWR_RATING_STATE_ROLLUP_VSC[MMWR_RATING_STATE_ROLLUP_VSC],0),MATCH(F$9,MMWR_RATING_STATE_ROLLUP_VSC[#Headers],0)),"ERROR"))</f>
        <v>222</v>
      </c>
      <c r="G27" s="154">
        <f>IF($B27=" ","",IFERROR(INDEX(MMWR_RATING_STATE_ROLLUP_VSC[],MATCH($B27,MMWR_RATING_STATE_ROLLUP_VSC[MMWR_RATING_STATE_ROLLUP_VSC],0),MATCH(G$9,MMWR_RATING_STATE_ROLLUP_VSC[#Headers],0)),"ERROR"))</f>
        <v>2708</v>
      </c>
      <c r="H27" s="155">
        <f>IF($B27=" ","",IFERROR(INDEX(MMWR_RATING_STATE_ROLLUP_VSC[],MATCH($B27,MMWR_RATING_STATE_ROLLUP_VSC[MMWR_RATING_STATE_ROLLUP_VSC],0),MATCH(H$9,MMWR_RATING_STATE_ROLLUP_VSC[#Headers],0)),"ERROR"))</f>
        <v>102.1711711712</v>
      </c>
      <c r="I27" s="155">
        <f>IF($B27=" ","",IFERROR(INDEX(MMWR_RATING_STATE_ROLLUP_VSC[],MATCH($B27,MMWR_RATING_STATE_ROLLUP_VSC[MMWR_RATING_STATE_ROLLUP_VSC],0),MATCH(I$9,MMWR_RATING_STATE_ROLLUP_VSC[#Headers],0)),"ERROR"))</f>
        <v>106.82348596750001</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532</v>
      </c>
      <c r="D28" s="155">
        <f>IF($B28=" ","",IFERROR(INDEX(MMWR_RATING_STATE_ROLLUP_VSC[],MATCH($B28,MMWR_RATING_STATE_ROLLUP_VSC[MMWR_RATING_STATE_ROLLUP_VSC],0),MATCH(D$9,MMWR_RATING_STATE_ROLLUP_VSC[#Headers],0)),"ERROR"))</f>
        <v>95.054511278199996</v>
      </c>
      <c r="E28" s="156">
        <f>IF($B28=" ","",IFERROR(INDEX(MMWR_RATING_STATE_ROLLUP_VSC[],MATCH($B28,MMWR_RATING_STATE_ROLLUP_VSC[MMWR_RATING_STATE_ROLLUP_VSC],0),MATCH(E$9,MMWR_RATING_STATE_ROLLUP_VSC[#Headers],0))/$C28,"ERROR"))</f>
        <v>0.24812030075187969</v>
      </c>
      <c r="F28" s="154">
        <f>IF($B28=" ","",IFERROR(INDEX(MMWR_RATING_STATE_ROLLUP_VSC[],MATCH($B28,MMWR_RATING_STATE_ROLLUP_VSC[MMWR_RATING_STATE_ROLLUP_VSC],0),MATCH(F$9,MMWR_RATING_STATE_ROLLUP_VSC[#Headers],0)),"ERROR"))</f>
        <v>139</v>
      </c>
      <c r="G28" s="154">
        <f>IF($B28=" ","",IFERROR(INDEX(MMWR_RATING_STATE_ROLLUP_VSC[],MATCH($B28,MMWR_RATING_STATE_ROLLUP_VSC[MMWR_RATING_STATE_ROLLUP_VSC],0),MATCH(G$9,MMWR_RATING_STATE_ROLLUP_VSC[#Headers],0)),"ERROR"))</f>
        <v>1218</v>
      </c>
      <c r="H28" s="155">
        <f>IF($B28=" ","",IFERROR(INDEX(MMWR_RATING_STATE_ROLLUP_VSC[],MATCH($B28,MMWR_RATING_STATE_ROLLUP_VSC[MMWR_RATING_STATE_ROLLUP_VSC],0),MATCH(H$9,MMWR_RATING_STATE_ROLLUP_VSC[#Headers],0)),"ERROR"))</f>
        <v>136.48920863309999</v>
      </c>
      <c r="I28" s="155">
        <f>IF($B28=" ","",IFERROR(INDEX(MMWR_RATING_STATE_ROLLUP_VSC[],MATCH($B28,MMWR_RATING_STATE_ROLLUP_VSC[MMWR_RATING_STATE_ROLLUP_VSC],0),MATCH(I$9,MMWR_RATING_STATE_ROLLUP_VSC[#Headers],0)),"ERROR"))</f>
        <v>131.36945812810001</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10955</v>
      </c>
      <c r="D29" s="155">
        <f>IF($B29=" ","",IFERROR(INDEX(MMWR_RATING_STATE_ROLLUP_VSC[],MATCH($B29,MMWR_RATING_STATE_ROLLUP_VSC[MMWR_RATING_STATE_ROLLUP_VSC],0),MATCH(D$9,MMWR_RATING_STATE_ROLLUP_VSC[#Headers],0)),"ERROR"))</f>
        <v>84.609584664500005</v>
      </c>
      <c r="E29" s="156">
        <f>IF($B29=" ","",IFERROR(INDEX(MMWR_RATING_STATE_ROLLUP_VSC[],MATCH($B29,MMWR_RATING_STATE_ROLLUP_VSC[MMWR_RATING_STATE_ROLLUP_VSC],0),MATCH(E$9,MMWR_RATING_STATE_ROLLUP_VSC[#Headers],0))/$C29,"ERROR"))</f>
        <v>0.17736193518941124</v>
      </c>
      <c r="F29" s="154">
        <f>IF($B29=" ","",IFERROR(INDEX(MMWR_RATING_STATE_ROLLUP_VSC[],MATCH($B29,MMWR_RATING_STATE_ROLLUP_VSC[MMWR_RATING_STATE_ROLLUP_VSC],0),MATCH(F$9,MMWR_RATING_STATE_ROLLUP_VSC[#Headers],0)),"ERROR"))</f>
        <v>2169</v>
      </c>
      <c r="G29" s="154">
        <f>IF($B29=" ","",IFERROR(INDEX(MMWR_RATING_STATE_ROLLUP_VSC[],MATCH($B29,MMWR_RATING_STATE_ROLLUP_VSC[MMWR_RATING_STATE_ROLLUP_VSC],0),MATCH(G$9,MMWR_RATING_STATE_ROLLUP_VSC[#Headers],0)),"ERROR"))</f>
        <v>29213</v>
      </c>
      <c r="H29" s="155">
        <f>IF($B29=" ","",IFERROR(INDEX(MMWR_RATING_STATE_ROLLUP_VSC[],MATCH($B29,MMWR_RATING_STATE_ROLLUP_VSC[MMWR_RATING_STATE_ROLLUP_VSC],0),MATCH(H$9,MMWR_RATING_STATE_ROLLUP_VSC[#Headers],0)),"ERROR"))</f>
        <v>125.5440295067</v>
      </c>
      <c r="I29" s="155">
        <f>IF($B29=" ","",IFERROR(INDEX(MMWR_RATING_STATE_ROLLUP_VSC[],MATCH($B29,MMWR_RATING_STATE_ROLLUP_VSC[MMWR_RATING_STATE_ROLLUP_VSC],0),MATCH(I$9,MMWR_RATING_STATE_ROLLUP_VSC[#Headers],0)),"ERROR"))</f>
        <v>130.5350700031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2423</v>
      </c>
      <c r="D30" s="155">
        <f>IF($B30=" ","",IFERROR(INDEX(MMWR_RATING_STATE_ROLLUP_VSC[],MATCH($B30,MMWR_RATING_STATE_ROLLUP_VSC[MMWR_RATING_STATE_ROLLUP_VSC],0),MATCH(D$9,MMWR_RATING_STATE_ROLLUP_VSC[#Headers],0)),"ERROR"))</f>
        <v>84.606685926500006</v>
      </c>
      <c r="E30" s="156">
        <f>IF($B30=" ","",IFERROR(INDEX(MMWR_RATING_STATE_ROLLUP_VSC[],MATCH($B30,MMWR_RATING_STATE_ROLLUP_VSC[MMWR_RATING_STATE_ROLLUP_VSC],0),MATCH(E$9,MMWR_RATING_STATE_ROLLUP_VSC[#Headers],0))/$C30,"ERROR"))</f>
        <v>0.18406933553446142</v>
      </c>
      <c r="F30" s="154">
        <f>IF($B30=" ","",IFERROR(INDEX(MMWR_RATING_STATE_ROLLUP_VSC[],MATCH($B30,MMWR_RATING_STATE_ROLLUP_VSC[MMWR_RATING_STATE_ROLLUP_VSC],0),MATCH(F$9,MMWR_RATING_STATE_ROLLUP_VSC[#Headers],0)),"ERROR"))</f>
        <v>677</v>
      </c>
      <c r="G30" s="154">
        <f>IF($B30=" ","",IFERROR(INDEX(MMWR_RATING_STATE_ROLLUP_VSC[],MATCH($B30,MMWR_RATING_STATE_ROLLUP_VSC[MMWR_RATING_STATE_ROLLUP_VSC],0),MATCH(G$9,MMWR_RATING_STATE_ROLLUP_VSC[#Headers],0)),"ERROR"))</f>
        <v>7670</v>
      </c>
      <c r="H30" s="155">
        <f>IF($B30=" ","",IFERROR(INDEX(MMWR_RATING_STATE_ROLLUP_VSC[],MATCH($B30,MMWR_RATING_STATE_ROLLUP_VSC[MMWR_RATING_STATE_ROLLUP_VSC],0),MATCH(H$9,MMWR_RATING_STATE_ROLLUP_VSC[#Headers],0)),"ERROR"))</f>
        <v>114.0694239291</v>
      </c>
      <c r="I30" s="155">
        <f>IF($B30=" ","",IFERROR(INDEX(MMWR_RATING_STATE_ROLLUP_VSC[],MATCH($B30,MMWR_RATING_STATE_ROLLUP_VSC[MMWR_RATING_STATE_ROLLUP_VSC],0),MATCH(I$9,MMWR_RATING_STATE_ROLLUP_VSC[#Headers],0)),"ERROR"))</f>
        <v>116.8644067797</v>
      </c>
      <c r="J30" s="42"/>
      <c r="K30" s="42"/>
      <c r="L30" s="42"/>
      <c r="M30" s="42"/>
      <c r="N30" s="28"/>
    </row>
    <row r="31" spans="1:14" x14ac:dyDescent="0.2">
      <c r="A31" s="25"/>
      <c r="B31" s="378" t="s">
        <v>958</v>
      </c>
      <c r="C31" s="379"/>
      <c r="D31" s="379"/>
      <c r="E31" s="379"/>
      <c r="F31" s="379"/>
      <c r="G31" s="379"/>
      <c r="H31" s="379"/>
      <c r="I31" s="379"/>
      <c r="J31" s="379"/>
      <c r="K31" s="379"/>
      <c r="L31" s="379"/>
      <c r="M31" s="388"/>
      <c r="N31" s="28"/>
    </row>
    <row r="32" spans="1:14" x14ac:dyDescent="0.2">
      <c r="A32" s="25"/>
      <c r="B32" s="41" t="s">
        <v>1036</v>
      </c>
      <c r="C32" s="154">
        <f>IF($B32=" ","",IFERROR(INDEX(MMWR_RATING_STATE_ROLLUP_PMC[],MATCH($B32,MMWR_RATING_STATE_ROLLUP_PMC[MMWR_RATING_STATE_ROLLUP_PMC],0),MATCH(C$9,MMWR_RATING_STATE_ROLLUP_PMC[#Headers],0)),"ERROR"))</f>
        <v>27421</v>
      </c>
      <c r="D32" s="155">
        <f>IF($B32=" ","",IFERROR(INDEX(MMWR_RATING_STATE_ROLLUP_PMC[],MATCH($B32,MMWR_RATING_STATE_ROLLUP_PMC[MMWR_RATING_STATE_ROLLUP_PMC],0),MATCH(D$9,MMWR_RATING_STATE_ROLLUP_PMC[#Headers],0)),"ERROR"))</f>
        <v>70.245797016899999</v>
      </c>
      <c r="E32" s="156">
        <f>IF($B32=" ","",IFERROR(INDEX(MMWR_RATING_STATE_ROLLUP_PMC[],MATCH($B32,MMWR_RATING_STATE_ROLLUP_PMC[MMWR_RATING_STATE_ROLLUP_PMC],0),MATCH(E$9,MMWR_RATING_STATE_ROLLUP_PMC[#Headers],0))/$C32,"ERROR"))</f>
        <v>0.12472192844899894</v>
      </c>
      <c r="F32" s="154">
        <f>IF($B32=" ","",IFERROR(INDEX(MMWR_RATING_STATE_ROLLUP_PMC[],MATCH($B32,MMWR_RATING_STATE_ROLLUP_PMC[MMWR_RATING_STATE_ROLLUP_PMC],0),MATCH(F$9,MMWR_RATING_STATE_ROLLUP_PMC[#Headers],0)),"ERROR"))</f>
        <v>9778</v>
      </c>
      <c r="G32" s="154">
        <f>IF($B32=" ","",IFERROR(INDEX(MMWR_RATING_STATE_ROLLUP_PMC[],MATCH($B32,MMWR_RATING_STATE_ROLLUP_PMC[MMWR_RATING_STATE_ROLLUP_PMC],0),MATCH(G$9,MMWR_RATING_STATE_ROLLUP_PMC[#Headers],0)),"ERROR"))</f>
        <v>119177</v>
      </c>
      <c r="H32" s="155">
        <f>IF($B32=" ","",IFERROR(INDEX(MMWR_RATING_STATE_ROLLUP_PMC[],MATCH($B32,MMWR_RATING_STATE_ROLLUP_PMC[MMWR_RATING_STATE_ROLLUP_PMC],0),MATCH(H$9,MMWR_RATING_STATE_ROLLUP_PMC[#Headers],0)),"ERROR"))</f>
        <v>84.823072202899993</v>
      </c>
      <c r="I32" s="155">
        <f>IF($B32=" ","",IFERROR(INDEX(MMWR_RATING_STATE_ROLLUP_PMC[],MATCH($B32,MMWR_RATING_STATE_ROLLUP_PMC[MMWR_RATING_STATE_ROLLUP_PMC],0),MATCH(I$9,MMWR_RATING_STATE_ROLLUP_PMC[#Headers],0)),"ERROR"))</f>
        <v>78.834875856899998</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7560</v>
      </c>
      <c r="D33" s="155">
        <f>IF($B33=" ","",IFERROR(INDEX(MMWR_RATING_STATE_ROLLUP_PMC[],MATCH($B33,MMWR_RATING_STATE_ROLLUP_PMC[MMWR_RATING_STATE_ROLLUP_PMC],0),MATCH(D$9,MMWR_RATING_STATE_ROLLUP_PMC[#Headers],0)),"ERROR"))</f>
        <v>73.186640211599993</v>
      </c>
      <c r="E33" s="156">
        <f>IF($B33=" ","",IFERROR(INDEX(MMWR_RATING_STATE_ROLLUP_PMC[],MATCH($B33,MMWR_RATING_STATE_ROLLUP_PMC[MMWR_RATING_STATE_ROLLUP_PMC],0),MATCH(E$9,MMWR_RATING_STATE_ROLLUP_PMC[#Headers],0))/$C33,"ERROR"))</f>
        <v>0.13928571428571429</v>
      </c>
      <c r="F33" s="154">
        <f>IF($B33=" ","",IFERROR(INDEX(MMWR_RATING_STATE_ROLLUP_PMC[],MATCH($B33,MMWR_RATING_STATE_ROLLUP_PMC[MMWR_RATING_STATE_ROLLUP_PMC],0),MATCH(F$9,MMWR_RATING_STATE_ROLLUP_PMC[#Headers],0)),"ERROR"))</f>
        <v>2443</v>
      </c>
      <c r="G33" s="154">
        <f>IF($B33=" ","",IFERROR(INDEX(MMWR_RATING_STATE_ROLLUP_PMC[],MATCH($B33,MMWR_RATING_STATE_ROLLUP_PMC[MMWR_RATING_STATE_ROLLUP_PMC],0),MATCH(G$9,MMWR_RATING_STATE_ROLLUP_PMC[#Headers],0)),"ERROR"))</f>
        <v>24090</v>
      </c>
      <c r="H33" s="155">
        <f>IF($B33=" ","",IFERROR(INDEX(MMWR_RATING_STATE_ROLLUP_PMC[],MATCH($B33,MMWR_RATING_STATE_ROLLUP_PMC[MMWR_RATING_STATE_ROLLUP_PMC],0),MATCH(H$9,MMWR_RATING_STATE_ROLLUP_PMC[#Headers],0)),"ERROR"))</f>
        <v>100.41588211219999</v>
      </c>
      <c r="I33" s="155">
        <f>IF($B33=" ","",IFERROR(INDEX(MMWR_RATING_STATE_ROLLUP_PMC[],MATCH($B33,MMWR_RATING_STATE_ROLLUP_PMC[MMWR_RATING_STATE_ROLLUP_PMC],0),MATCH(I$9,MMWR_RATING_STATE_ROLLUP_PMC[#Headers],0)),"ERROR"))</f>
        <v>97.843752594400001</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264</v>
      </c>
      <c r="D34" s="155">
        <f>IF($B34=" ","",IFERROR(INDEX(MMWR_RATING_STATE_ROLLUP_PMC[],MATCH($B34,MMWR_RATING_STATE_ROLLUP_PMC[MMWR_RATING_STATE_ROLLUP_PMC],0),MATCH(D$9,MMWR_RATING_STATE_ROLLUP_PMC[#Headers],0)),"ERROR"))</f>
        <v>66.753787878799997</v>
      </c>
      <c r="E34" s="156">
        <f>IF($B34=" ","",IFERROR(INDEX(MMWR_RATING_STATE_ROLLUP_PMC[],MATCH($B34,MMWR_RATING_STATE_ROLLUP_PMC[MMWR_RATING_STATE_ROLLUP_PMC],0),MATCH(E$9,MMWR_RATING_STATE_ROLLUP_PMC[#Headers],0))/$C34,"ERROR"))</f>
        <v>0.10227272727272728</v>
      </c>
      <c r="F34" s="154">
        <f>IF($B34=" ","",IFERROR(INDEX(MMWR_RATING_STATE_ROLLUP_PMC[],MATCH($B34,MMWR_RATING_STATE_ROLLUP_PMC[MMWR_RATING_STATE_ROLLUP_PMC],0),MATCH(F$9,MMWR_RATING_STATE_ROLLUP_PMC[#Headers],0)),"ERROR"))</f>
        <v>79</v>
      </c>
      <c r="G34" s="154">
        <f>IF($B34=" ","",IFERROR(INDEX(MMWR_RATING_STATE_ROLLUP_PMC[],MATCH($B34,MMWR_RATING_STATE_ROLLUP_PMC[MMWR_RATING_STATE_ROLLUP_PMC],0),MATCH(G$9,MMWR_RATING_STATE_ROLLUP_PMC[#Headers],0)),"ERROR"))</f>
        <v>714</v>
      </c>
      <c r="H34" s="155">
        <f>IF($B34=" ","",IFERROR(INDEX(MMWR_RATING_STATE_ROLLUP_PMC[],MATCH($B34,MMWR_RATING_STATE_ROLLUP_PMC[MMWR_RATING_STATE_ROLLUP_PMC],0),MATCH(H$9,MMWR_RATING_STATE_ROLLUP_PMC[#Headers],0)),"ERROR"))</f>
        <v>92.291139240500002</v>
      </c>
      <c r="I34" s="155">
        <f>IF($B34=" ","",IFERROR(INDEX(MMWR_RATING_STATE_ROLLUP_PMC[],MATCH($B34,MMWR_RATING_STATE_ROLLUP_PMC[MMWR_RATING_STATE_ROLLUP_PMC],0),MATCH(I$9,MMWR_RATING_STATE_ROLLUP_PMC[#Headers],0)),"ERROR"))</f>
        <v>97.648459383800002</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86</v>
      </c>
      <c r="D35" s="155">
        <f>IF($B35=" ","",IFERROR(INDEX(MMWR_RATING_STATE_ROLLUP_PMC[],MATCH($B35,MMWR_RATING_STATE_ROLLUP_PMC[MMWR_RATING_STATE_ROLLUP_PMC],0),MATCH(D$9,MMWR_RATING_STATE_ROLLUP_PMC[#Headers],0)),"ERROR"))</f>
        <v>68.406976744199994</v>
      </c>
      <c r="E35" s="156">
        <f>IF($B35=" ","",IFERROR(INDEX(MMWR_RATING_STATE_ROLLUP_PMC[],MATCH($B35,MMWR_RATING_STATE_ROLLUP_PMC[MMWR_RATING_STATE_ROLLUP_PMC],0),MATCH(E$9,MMWR_RATING_STATE_ROLLUP_PMC[#Headers],0))/$C35,"ERROR"))</f>
        <v>0.15116279069767441</v>
      </c>
      <c r="F35" s="154">
        <f>IF($B35=" ","",IFERROR(INDEX(MMWR_RATING_STATE_ROLLUP_PMC[],MATCH($B35,MMWR_RATING_STATE_ROLLUP_PMC[MMWR_RATING_STATE_ROLLUP_PMC],0),MATCH(F$9,MMWR_RATING_STATE_ROLLUP_PMC[#Headers],0)),"ERROR"))</f>
        <v>24</v>
      </c>
      <c r="G35" s="154">
        <f>IF($B35=" ","",IFERROR(INDEX(MMWR_RATING_STATE_ROLLUP_PMC[],MATCH($B35,MMWR_RATING_STATE_ROLLUP_PMC[MMWR_RATING_STATE_ROLLUP_PMC],0),MATCH(G$9,MMWR_RATING_STATE_ROLLUP_PMC[#Headers],0)),"ERROR"))</f>
        <v>244</v>
      </c>
      <c r="H35" s="155">
        <f>IF($B35=" ","",IFERROR(INDEX(MMWR_RATING_STATE_ROLLUP_PMC[],MATCH($B35,MMWR_RATING_STATE_ROLLUP_PMC[MMWR_RATING_STATE_ROLLUP_PMC],0),MATCH(H$9,MMWR_RATING_STATE_ROLLUP_PMC[#Headers],0)),"ERROR"))</f>
        <v>107.9166666667</v>
      </c>
      <c r="I35" s="155">
        <f>IF($B35=" ","",IFERROR(INDEX(MMWR_RATING_STATE_ROLLUP_PMC[],MATCH($B35,MMWR_RATING_STATE_ROLLUP_PMC[MMWR_RATING_STATE_ROLLUP_PMC],0),MATCH(I$9,MMWR_RATING_STATE_ROLLUP_PMC[#Headers],0)),"ERROR"))</f>
        <v>100.0327868852</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53</v>
      </c>
      <c r="D36" s="155">
        <f>IF($B36=" ","",IFERROR(INDEX(MMWR_RATING_STATE_ROLLUP_PMC[],MATCH($B36,MMWR_RATING_STATE_ROLLUP_PMC[MMWR_RATING_STATE_ROLLUP_PMC],0),MATCH(D$9,MMWR_RATING_STATE_ROLLUP_PMC[#Headers],0)),"ERROR"))</f>
        <v>91.283018867899997</v>
      </c>
      <c r="E36" s="156">
        <f>IF($B36=" ","",IFERROR(INDEX(MMWR_RATING_STATE_ROLLUP_PMC[],MATCH($B36,MMWR_RATING_STATE_ROLLUP_PMC[MMWR_RATING_STATE_ROLLUP_PMC],0),MATCH(E$9,MMWR_RATING_STATE_ROLLUP_PMC[#Headers],0))/$C36,"ERROR"))</f>
        <v>0.16981132075471697</v>
      </c>
      <c r="F36" s="154">
        <f>IF($B36=" ","",IFERROR(INDEX(MMWR_RATING_STATE_ROLLUP_PMC[],MATCH($B36,MMWR_RATING_STATE_ROLLUP_PMC[MMWR_RATING_STATE_ROLLUP_PMC],0),MATCH(F$9,MMWR_RATING_STATE_ROLLUP_PMC[#Headers],0)),"ERROR"))</f>
        <v>13</v>
      </c>
      <c r="G36" s="154">
        <f>IF($B36=" ","",IFERROR(INDEX(MMWR_RATING_STATE_ROLLUP_PMC[],MATCH($B36,MMWR_RATING_STATE_ROLLUP_PMC[MMWR_RATING_STATE_ROLLUP_PMC],0),MATCH(G$9,MMWR_RATING_STATE_ROLLUP_PMC[#Headers],0)),"ERROR"))</f>
        <v>205</v>
      </c>
      <c r="H36" s="155">
        <f>IF($B36=" ","",IFERROR(INDEX(MMWR_RATING_STATE_ROLLUP_PMC[],MATCH($B36,MMWR_RATING_STATE_ROLLUP_PMC[MMWR_RATING_STATE_ROLLUP_PMC],0),MATCH(H$9,MMWR_RATING_STATE_ROLLUP_PMC[#Headers],0)),"ERROR"))</f>
        <v>83.923076923099998</v>
      </c>
      <c r="I36" s="155">
        <f>IF($B36=" ","",IFERROR(INDEX(MMWR_RATING_STATE_ROLLUP_PMC[],MATCH($B36,MMWR_RATING_STATE_ROLLUP_PMC[MMWR_RATING_STATE_ROLLUP_PMC],0),MATCH(I$9,MMWR_RATING_STATE_ROLLUP_PMC[#Headers],0)),"ERROR"))</f>
        <v>107.0292682927</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124</v>
      </c>
      <c r="D37" s="155">
        <f>IF($B37=" ","",IFERROR(INDEX(MMWR_RATING_STATE_ROLLUP_PMC[],MATCH($B37,MMWR_RATING_STATE_ROLLUP_PMC[MMWR_RATING_STATE_ROLLUP_PMC],0),MATCH(D$9,MMWR_RATING_STATE_ROLLUP_PMC[#Headers],0)),"ERROR"))</f>
        <v>66.645161290299995</v>
      </c>
      <c r="E37" s="156">
        <f>IF($B37=" ","",IFERROR(INDEX(MMWR_RATING_STATE_ROLLUP_PMC[],MATCH($B37,MMWR_RATING_STATE_ROLLUP_PMC[MMWR_RATING_STATE_ROLLUP_PMC],0),MATCH(E$9,MMWR_RATING_STATE_ROLLUP_PMC[#Headers],0))/$C37,"ERROR"))</f>
        <v>0.10483870967741936</v>
      </c>
      <c r="F37" s="154">
        <f>IF($B37=" ","",IFERROR(INDEX(MMWR_RATING_STATE_ROLLUP_PMC[],MATCH($B37,MMWR_RATING_STATE_ROLLUP_PMC[MMWR_RATING_STATE_ROLLUP_PMC],0),MATCH(F$9,MMWR_RATING_STATE_ROLLUP_PMC[#Headers],0)),"ERROR"))</f>
        <v>36</v>
      </c>
      <c r="G37" s="154">
        <f>IF($B37=" ","",IFERROR(INDEX(MMWR_RATING_STATE_ROLLUP_PMC[],MATCH($B37,MMWR_RATING_STATE_ROLLUP_PMC[MMWR_RATING_STATE_ROLLUP_PMC],0),MATCH(G$9,MMWR_RATING_STATE_ROLLUP_PMC[#Headers],0)),"ERROR"))</f>
        <v>456</v>
      </c>
      <c r="H37" s="155">
        <f>IF($B37=" ","",IFERROR(INDEX(MMWR_RATING_STATE_ROLLUP_PMC[],MATCH($B37,MMWR_RATING_STATE_ROLLUP_PMC[MMWR_RATING_STATE_ROLLUP_PMC],0),MATCH(H$9,MMWR_RATING_STATE_ROLLUP_PMC[#Headers],0)),"ERROR"))</f>
        <v>90.055555555599994</v>
      </c>
      <c r="I37" s="155">
        <f>IF($B37=" ","",IFERROR(INDEX(MMWR_RATING_STATE_ROLLUP_PMC[],MATCH($B37,MMWR_RATING_STATE_ROLLUP_PMC[MMWR_RATING_STATE_ROLLUP_PMC],0),MATCH(I$9,MMWR_RATING_STATE_ROLLUP_PMC[#Headers],0)),"ERROR"))</f>
        <v>87.736842105299999</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488</v>
      </c>
      <c r="D38" s="155">
        <f>IF($B38=" ","",IFERROR(INDEX(MMWR_RATING_STATE_ROLLUP_PMC[],MATCH($B38,MMWR_RATING_STATE_ROLLUP_PMC[MMWR_RATING_STATE_ROLLUP_PMC],0),MATCH(D$9,MMWR_RATING_STATE_ROLLUP_PMC[#Headers],0)),"ERROR"))</f>
        <v>77.002049180300006</v>
      </c>
      <c r="E38" s="156">
        <f>IF($B38=" ","",IFERROR(INDEX(MMWR_RATING_STATE_ROLLUP_PMC[],MATCH($B38,MMWR_RATING_STATE_ROLLUP_PMC[MMWR_RATING_STATE_ROLLUP_PMC],0),MATCH(E$9,MMWR_RATING_STATE_ROLLUP_PMC[#Headers],0))/$C38,"ERROR"))</f>
        <v>0.14754098360655737</v>
      </c>
      <c r="F38" s="154">
        <f>IF($B38=" ","",IFERROR(INDEX(MMWR_RATING_STATE_ROLLUP_PMC[],MATCH($B38,MMWR_RATING_STATE_ROLLUP_PMC[MMWR_RATING_STATE_ROLLUP_PMC],0),MATCH(F$9,MMWR_RATING_STATE_ROLLUP_PMC[#Headers],0)),"ERROR"))</f>
        <v>179</v>
      </c>
      <c r="G38" s="154">
        <f>IF($B38=" ","",IFERROR(INDEX(MMWR_RATING_STATE_ROLLUP_PMC[],MATCH($B38,MMWR_RATING_STATE_ROLLUP_PMC[MMWR_RATING_STATE_ROLLUP_PMC],0),MATCH(G$9,MMWR_RATING_STATE_ROLLUP_PMC[#Headers],0)),"ERROR"))</f>
        <v>1572</v>
      </c>
      <c r="H38" s="155">
        <f>IF($B38=" ","",IFERROR(INDEX(MMWR_RATING_STATE_ROLLUP_PMC[],MATCH($B38,MMWR_RATING_STATE_ROLLUP_PMC[MMWR_RATING_STATE_ROLLUP_PMC],0),MATCH(H$9,MMWR_RATING_STATE_ROLLUP_PMC[#Headers],0)),"ERROR"))</f>
        <v>98.201117318399994</v>
      </c>
      <c r="I38" s="155">
        <f>IF($B38=" ","",IFERROR(INDEX(MMWR_RATING_STATE_ROLLUP_PMC[],MATCH($B38,MMWR_RATING_STATE_ROLLUP_PMC[MMWR_RATING_STATE_ROLLUP_PMC],0),MATCH(I$9,MMWR_RATING_STATE_ROLLUP_PMC[#Headers],0)),"ERROR"))</f>
        <v>101.010178117</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450</v>
      </c>
      <c r="D39" s="155">
        <f>IF($B39=" ","",IFERROR(INDEX(MMWR_RATING_STATE_ROLLUP_PMC[],MATCH($B39,MMWR_RATING_STATE_ROLLUP_PMC[MMWR_RATING_STATE_ROLLUP_PMC],0),MATCH(D$9,MMWR_RATING_STATE_ROLLUP_PMC[#Headers],0)),"ERROR"))</f>
        <v>73.397777777800002</v>
      </c>
      <c r="E39" s="156">
        <f>IF($B39=" ","",IFERROR(INDEX(MMWR_RATING_STATE_ROLLUP_PMC[],MATCH($B39,MMWR_RATING_STATE_ROLLUP_PMC[MMWR_RATING_STATE_ROLLUP_PMC],0),MATCH(E$9,MMWR_RATING_STATE_ROLLUP_PMC[#Headers],0))/$C39,"ERROR"))</f>
        <v>0.14444444444444443</v>
      </c>
      <c r="F39" s="154">
        <f>IF($B39=" ","",IFERROR(INDEX(MMWR_RATING_STATE_ROLLUP_PMC[],MATCH($B39,MMWR_RATING_STATE_ROLLUP_PMC[MMWR_RATING_STATE_ROLLUP_PMC],0),MATCH(F$9,MMWR_RATING_STATE_ROLLUP_PMC[#Headers],0)),"ERROR"))</f>
        <v>130</v>
      </c>
      <c r="G39" s="154">
        <f>IF($B39=" ","",IFERROR(INDEX(MMWR_RATING_STATE_ROLLUP_PMC[],MATCH($B39,MMWR_RATING_STATE_ROLLUP_PMC[MMWR_RATING_STATE_ROLLUP_PMC],0),MATCH(G$9,MMWR_RATING_STATE_ROLLUP_PMC[#Headers],0)),"ERROR"))</f>
        <v>1508</v>
      </c>
      <c r="H39" s="155">
        <f>IF($B39=" ","",IFERROR(INDEX(MMWR_RATING_STATE_ROLLUP_PMC[],MATCH($B39,MMWR_RATING_STATE_ROLLUP_PMC[MMWR_RATING_STATE_ROLLUP_PMC],0),MATCH(H$9,MMWR_RATING_STATE_ROLLUP_PMC[#Headers],0)),"ERROR"))</f>
        <v>111.68461538459999</v>
      </c>
      <c r="I39" s="155">
        <f>IF($B39=" ","",IFERROR(INDEX(MMWR_RATING_STATE_ROLLUP_PMC[],MATCH($B39,MMWR_RATING_STATE_ROLLUP_PMC[MMWR_RATING_STATE_ROLLUP_PMC],0),MATCH(I$9,MMWR_RATING_STATE_ROLLUP_PMC[#Headers],0)),"ERROR"))</f>
        <v>93.794429708199999</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120</v>
      </c>
      <c r="D40" s="155">
        <f>IF($B40=" ","",IFERROR(INDEX(MMWR_RATING_STATE_ROLLUP_PMC[],MATCH($B40,MMWR_RATING_STATE_ROLLUP_PMC[MMWR_RATING_STATE_ROLLUP_PMC],0),MATCH(D$9,MMWR_RATING_STATE_ROLLUP_PMC[#Headers],0)),"ERROR"))</f>
        <v>64.883333333300001</v>
      </c>
      <c r="E40" s="156">
        <f>IF($B40=" ","",IFERROR(INDEX(MMWR_RATING_STATE_ROLLUP_PMC[],MATCH($B40,MMWR_RATING_STATE_ROLLUP_PMC[MMWR_RATING_STATE_ROLLUP_PMC],0),MATCH(E$9,MMWR_RATING_STATE_ROLLUP_PMC[#Headers],0))/$C40,"ERROR"))</f>
        <v>0.14166666666666666</v>
      </c>
      <c r="F40" s="154">
        <f>IF($B40=" ","",IFERROR(INDEX(MMWR_RATING_STATE_ROLLUP_PMC[],MATCH($B40,MMWR_RATING_STATE_ROLLUP_PMC[MMWR_RATING_STATE_ROLLUP_PMC],0),MATCH(F$9,MMWR_RATING_STATE_ROLLUP_PMC[#Headers],0)),"ERROR"))</f>
        <v>43</v>
      </c>
      <c r="G40" s="154">
        <f>IF($B40=" ","",IFERROR(INDEX(MMWR_RATING_STATE_ROLLUP_PMC[],MATCH($B40,MMWR_RATING_STATE_ROLLUP_PMC[MMWR_RATING_STATE_ROLLUP_PMC],0),MATCH(G$9,MMWR_RATING_STATE_ROLLUP_PMC[#Headers],0)),"ERROR"))</f>
        <v>376</v>
      </c>
      <c r="H40" s="155">
        <f>IF($B40=" ","",IFERROR(INDEX(MMWR_RATING_STATE_ROLLUP_PMC[],MATCH($B40,MMWR_RATING_STATE_ROLLUP_PMC[MMWR_RATING_STATE_ROLLUP_PMC],0),MATCH(H$9,MMWR_RATING_STATE_ROLLUP_PMC[#Headers],0)),"ERROR"))</f>
        <v>83.046511627900003</v>
      </c>
      <c r="I40" s="155">
        <f>IF($B40=" ","",IFERROR(INDEX(MMWR_RATING_STATE_ROLLUP_PMC[],MATCH($B40,MMWR_RATING_STATE_ROLLUP_PMC[MMWR_RATING_STATE_ROLLUP_PMC],0),MATCH(I$9,MMWR_RATING_STATE_ROLLUP_PMC[#Headers],0)),"ERROR"))</f>
        <v>93.462765957399995</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530</v>
      </c>
      <c r="D41" s="155">
        <f>IF($B41=" ","",IFERROR(INDEX(MMWR_RATING_STATE_ROLLUP_PMC[],MATCH($B41,MMWR_RATING_STATE_ROLLUP_PMC[MMWR_RATING_STATE_ROLLUP_PMC],0),MATCH(D$9,MMWR_RATING_STATE_ROLLUP_PMC[#Headers],0)),"ERROR"))</f>
        <v>73.988679245300006</v>
      </c>
      <c r="E41" s="156">
        <f>IF($B41=" ","",IFERROR(INDEX(MMWR_RATING_STATE_ROLLUP_PMC[],MATCH($B41,MMWR_RATING_STATE_ROLLUP_PMC[MMWR_RATING_STATE_ROLLUP_PMC],0),MATCH(E$9,MMWR_RATING_STATE_ROLLUP_PMC[#Headers],0))/$C41,"ERROR"))</f>
        <v>0.15283018867924528</v>
      </c>
      <c r="F41" s="154">
        <f>IF($B41=" ","",IFERROR(INDEX(MMWR_RATING_STATE_ROLLUP_PMC[],MATCH($B41,MMWR_RATING_STATE_ROLLUP_PMC[MMWR_RATING_STATE_ROLLUP_PMC],0),MATCH(F$9,MMWR_RATING_STATE_ROLLUP_PMC[#Headers],0)),"ERROR"))</f>
        <v>158</v>
      </c>
      <c r="G41" s="154">
        <f>IF($B41=" ","",IFERROR(INDEX(MMWR_RATING_STATE_ROLLUP_PMC[],MATCH($B41,MMWR_RATING_STATE_ROLLUP_PMC[MMWR_RATING_STATE_ROLLUP_PMC],0),MATCH(G$9,MMWR_RATING_STATE_ROLLUP_PMC[#Headers],0)),"ERROR"))</f>
        <v>1630</v>
      </c>
      <c r="H41" s="155">
        <f>IF($B41=" ","",IFERROR(INDEX(MMWR_RATING_STATE_ROLLUP_PMC[],MATCH($B41,MMWR_RATING_STATE_ROLLUP_PMC[MMWR_RATING_STATE_ROLLUP_PMC],0),MATCH(H$9,MMWR_RATING_STATE_ROLLUP_PMC[#Headers],0)),"ERROR"))</f>
        <v>98.658227848099997</v>
      </c>
      <c r="I41" s="155">
        <f>IF($B41=" ","",IFERROR(INDEX(MMWR_RATING_STATE_ROLLUP_PMC[],MATCH($B41,MMWR_RATING_STATE_ROLLUP_PMC[MMWR_RATING_STATE_ROLLUP_PMC],0),MATCH(I$9,MMWR_RATING_STATE_ROLLUP_PMC[#Headers],0)),"ERROR"))</f>
        <v>96.773619631900004</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1220</v>
      </c>
      <c r="D42" s="155">
        <f>IF($B42=" ","",IFERROR(INDEX(MMWR_RATING_STATE_ROLLUP_PMC[],MATCH($B42,MMWR_RATING_STATE_ROLLUP_PMC[MMWR_RATING_STATE_ROLLUP_PMC],0),MATCH(D$9,MMWR_RATING_STATE_ROLLUP_PMC[#Headers],0)),"ERROR"))</f>
        <v>72.816393442600003</v>
      </c>
      <c r="E42" s="156">
        <f>IF($B42=" ","",IFERROR(INDEX(MMWR_RATING_STATE_ROLLUP_PMC[],MATCH($B42,MMWR_RATING_STATE_ROLLUP_PMC[MMWR_RATING_STATE_ROLLUP_PMC],0),MATCH(E$9,MMWR_RATING_STATE_ROLLUP_PMC[#Headers],0))/$C42,"ERROR"))</f>
        <v>0.13524590163934427</v>
      </c>
      <c r="F42" s="154">
        <f>IF($B42=" ","",IFERROR(INDEX(MMWR_RATING_STATE_ROLLUP_PMC[],MATCH($B42,MMWR_RATING_STATE_ROLLUP_PMC[MMWR_RATING_STATE_ROLLUP_PMC],0),MATCH(F$9,MMWR_RATING_STATE_ROLLUP_PMC[#Headers],0)),"ERROR"))</f>
        <v>462</v>
      </c>
      <c r="G42" s="154">
        <f>IF($B42=" ","",IFERROR(INDEX(MMWR_RATING_STATE_ROLLUP_PMC[],MATCH($B42,MMWR_RATING_STATE_ROLLUP_PMC[MMWR_RATING_STATE_ROLLUP_PMC],0),MATCH(G$9,MMWR_RATING_STATE_ROLLUP_PMC[#Headers],0)),"ERROR"))</f>
        <v>4190</v>
      </c>
      <c r="H42" s="155">
        <f>IF($B42=" ","",IFERROR(INDEX(MMWR_RATING_STATE_ROLLUP_PMC[],MATCH($B42,MMWR_RATING_STATE_ROLLUP_PMC[MMWR_RATING_STATE_ROLLUP_PMC],0),MATCH(H$9,MMWR_RATING_STATE_ROLLUP_PMC[#Headers],0)),"ERROR"))</f>
        <v>102.91341991340001</v>
      </c>
      <c r="I42" s="155">
        <f>IF($B42=" ","",IFERROR(INDEX(MMWR_RATING_STATE_ROLLUP_PMC[],MATCH($B42,MMWR_RATING_STATE_ROLLUP_PMC[MMWR_RATING_STATE_ROLLUP_PMC],0),MATCH(I$9,MMWR_RATING_STATE_ROLLUP_PMC[#Headers],0)),"ERROR"))</f>
        <v>99.300954653900007</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1356</v>
      </c>
      <c r="D43" s="155">
        <f>IF($B43=" ","",IFERROR(INDEX(MMWR_RATING_STATE_ROLLUP_PMC[],MATCH($B43,MMWR_RATING_STATE_ROLLUP_PMC[MMWR_RATING_STATE_ROLLUP_PMC],0),MATCH(D$9,MMWR_RATING_STATE_ROLLUP_PMC[#Headers],0)),"ERROR"))</f>
        <v>76.389380531</v>
      </c>
      <c r="E43" s="156">
        <f>IF($B43=" ","",IFERROR(INDEX(MMWR_RATING_STATE_ROLLUP_PMC[],MATCH($B43,MMWR_RATING_STATE_ROLLUP_PMC[MMWR_RATING_STATE_ROLLUP_PMC],0),MATCH(E$9,MMWR_RATING_STATE_ROLLUP_PMC[#Headers],0))/$C43,"ERROR"))</f>
        <v>0.16224188790560473</v>
      </c>
      <c r="F43" s="154">
        <f>IF($B43=" ","",IFERROR(INDEX(MMWR_RATING_STATE_ROLLUP_PMC[],MATCH($B43,MMWR_RATING_STATE_ROLLUP_PMC[MMWR_RATING_STATE_ROLLUP_PMC],0),MATCH(F$9,MMWR_RATING_STATE_ROLLUP_PMC[#Headers],0)),"ERROR"))</f>
        <v>447</v>
      </c>
      <c r="G43" s="154">
        <f>IF($B43=" ","",IFERROR(INDEX(MMWR_RATING_STATE_ROLLUP_PMC[],MATCH($B43,MMWR_RATING_STATE_ROLLUP_PMC[MMWR_RATING_STATE_ROLLUP_PMC],0),MATCH(G$9,MMWR_RATING_STATE_ROLLUP_PMC[#Headers],0)),"ERROR"))</f>
        <v>4239</v>
      </c>
      <c r="H43" s="155">
        <f>IF($B43=" ","",IFERROR(INDEX(MMWR_RATING_STATE_ROLLUP_PMC[],MATCH($B43,MMWR_RATING_STATE_ROLLUP_PMC[MMWR_RATING_STATE_ROLLUP_PMC],0),MATCH(H$9,MMWR_RATING_STATE_ROLLUP_PMC[#Headers],0)),"ERROR"))</f>
        <v>98.738255033599998</v>
      </c>
      <c r="I43" s="155">
        <f>IF($B43=" ","",IFERROR(INDEX(MMWR_RATING_STATE_ROLLUP_PMC[],MATCH($B43,MMWR_RATING_STATE_ROLLUP_PMC[MMWR_RATING_STATE_ROLLUP_PMC],0),MATCH(I$9,MMWR_RATING_STATE_ROLLUP_PMC[#Headers],0)),"ERROR"))</f>
        <v>97.085633404099994</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1546</v>
      </c>
      <c r="D44" s="155">
        <f>IF($B44=" ","",IFERROR(INDEX(MMWR_RATING_STATE_ROLLUP_PMC[],MATCH($B44,MMWR_RATING_STATE_ROLLUP_PMC[MMWR_RATING_STATE_ROLLUP_PMC],0),MATCH(D$9,MMWR_RATING_STATE_ROLLUP_PMC[#Headers],0)),"ERROR"))</f>
        <v>72.5937904269</v>
      </c>
      <c r="E44" s="156">
        <f>IF($B44=" ","",IFERROR(INDEX(MMWR_RATING_STATE_ROLLUP_PMC[],MATCH($B44,MMWR_RATING_STATE_ROLLUP_PMC[MMWR_RATING_STATE_ROLLUP_PMC],0),MATCH(E$9,MMWR_RATING_STATE_ROLLUP_PMC[#Headers],0))/$C44,"ERROR"))</f>
        <v>0.12677878395860284</v>
      </c>
      <c r="F44" s="154">
        <f>IF($B44=" ","",IFERROR(INDEX(MMWR_RATING_STATE_ROLLUP_PMC[],MATCH($B44,MMWR_RATING_STATE_ROLLUP_PMC[MMWR_RATING_STATE_ROLLUP_PMC],0),MATCH(F$9,MMWR_RATING_STATE_ROLLUP_PMC[#Headers],0)),"ERROR"))</f>
        <v>482</v>
      </c>
      <c r="G44" s="154">
        <f>IF($B44=" ","",IFERROR(INDEX(MMWR_RATING_STATE_ROLLUP_PMC[],MATCH($B44,MMWR_RATING_STATE_ROLLUP_PMC[MMWR_RATING_STATE_ROLLUP_PMC],0),MATCH(G$9,MMWR_RATING_STATE_ROLLUP_PMC[#Headers],0)),"ERROR"))</f>
        <v>4918</v>
      </c>
      <c r="H44" s="155">
        <f>IF($B44=" ","",IFERROR(INDEX(MMWR_RATING_STATE_ROLLUP_PMC[],MATCH($B44,MMWR_RATING_STATE_ROLLUP_PMC[MMWR_RATING_STATE_ROLLUP_PMC],0),MATCH(H$9,MMWR_RATING_STATE_ROLLUP_PMC[#Headers],0)),"ERROR"))</f>
        <v>100.80705394189999</v>
      </c>
      <c r="I44" s="155">
        <f>IF($B44=" ","",IFERROR(INDEX(MMWR_RATING_STATE_ROLLUP_PMC[],MATCH($B44,MMWR_RATING_STATE_ROLLUP_PMC[MMWR_RATING_STATE_ROLLUP_PMC],0),MATCH(I$9,MMWR_RATING_STATE_ROLLUP_PMC[#Headers],0)),"ERROR"))</f>
        <v>96.437982919899994</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104</v>
      </c>
      <c r="D45" s="155">
        <f>IF($B45=" ","",IFERROR(INDEX(MMWR_RATING_STATE_ROLLUP_PMC[],MATCH($B45,MMWR_RATING_STATE_ROLLUP_PMC[MMWR_RATING_STATE_ROLLUP_PMC],0),MATCH(D$9,MMWR_RATING_STATE_ROLLUP_PMC[#Headers],0)),"ERROR"))</f>
        <v>68.730769230799993</v>
      </c>
      <c r="E45" s="156">
        <f>IF($B45=" ","",IFERROR(INDEX(MMWR_RATING_STATE_ROLLUP_PMC[],MATCH($B45,MMWR_RATING_STATE_ROLLUP_PMC[MMWR_RATING_STATE_ROLLUP_PMC],0),MATCH(E$9,MMWR_RATING_STATE_ROLLUP_PMC[#Headers],0))/$C45,"ERROR"))</f>
        <v>8.6538461538461536E-2</v>
      </c>
      <c r="F45" s="154">
        <f>IF($B45=" ","",IFERROR(INDEX(MMWR_RATING_STATE_ROLLUP_PMC[],MATCH($B45,MMWR_RATING_STATE_ROLLUP_PMC[MMWR_RATING_STATE_ROLLUP_PMC],0),MATCH(F$9,MMWR_RATING_STATE_ROLLUP_PMC[#Headers],0)),"ERROR"))</f>
        <v>39</v>
      </c>
      <c r="G45" s="154">
        <f>IF($B45=" ","",IFERROR(INDEX(MMWR_RATING_STATE_ROLLUP_PMC[],MATCH($B45,MMWR_RATING_STATE_ROLLUP_PMC[MMWR_RATING_STATE_ROLLUP_PMC],0),MATCH(G$9,MMWR_RATING_STATE_ROLLUP_PMC[#Headers],0)),"ERROR"))</f>
        <v>380</v>
      </c>
      <c r="H45" s="155">
        <f>IF($B45=" ","",IFERROR(INDEX(MMWR_RATING_STATE_ROLLUP_PMC[],MATCH($B45,MMWR_RATING_STATE_ROLLUP_PMC[MMWR_RATING_STATE_ROLLUP_PMC],0),MATCH(H$9,MMWR_RATING_STATE_ROLLUP_PMC[#Headers],0)),"ERROR"))</f>
        <v>123.4358974359</v>
      </c>
      <c r="I45" s="155">
        <f>IF($B45=" ","",IFERROR(INDEX(MMWR_RATING_STATE_ROLLUP_PMC[],MATCH($B45,MMWR_RATING_STATE_ROLLUP_PMC[MMWR_RATING_STATE_ROLLUP_PMC],0),MATCH(I$9,MMWR_RATING_STATE_ROLLUP_PMC[#Headers],0)),"ERROR"))</f>
        <v>98</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42</v>
      </c>
      <c r="D46" s="155">
        <f>IF($B46=" ","",IFERROR(INDEX(MMWR_RATING_STATE_ROLLUP_PMC[],MATCH($B46,MMWR_RATING_STATE_ROLLUP_PMC[MMWR_RATING_STATE_ROLLUP_PMC],0),MATCH(D$9,MMWR_RATING_STATE_ROLLUP_PMC[#Headers],0)),"ERROR"))</f>
        <v>67.166666666699996</v>
      </c>
      <c r="E46" s="156">
        <f>IF($B46=" ","",IFERROR(INDEX(MMWR_RATING_STATE_ROLLUP_PMC[],MATCH($B46,MMWR_RATING_STATE_ROLLUP_PMC[MMWR_RATING_STATE_ROLLUP_PMC],0),MATCH(E$9,MMWR_RATING_STATE_ROLLUP_PMC[#Headers],0))/$C46,"ERROR"))</f>
        <v>0.14285714285714285</v>
      </c>
      <c r="F46" s="154">
        <f>IF($B46=" ","",IFERROR(INDEX(MMWR_RATING_STATE_ROLLUP_PMC[],MATCH($B46,MMWR_RATING_STATE_ROLLUP_PMC[MMWR_RATING_STATE_ROLLUP_PMC],0),MATCH(F$9,MMWR_RATING_STATE_ROLLUP_PMC[#Headers],0)),"ERROR"))</f>
        <v>7</v>
      </c>
      <c r="G46" s="154">
        <f>IF($B46=" ","",IFERROR(INDEX(MMWR_RATING_STATE_ROLLUP_PMC[],MATCH($B46,MMWR_RATING_STATE_ROLLUP_PMC[MMWR_RATING_STATE_ROLLUP_PMC],0),MATCH(G$9,MMWR_RATING_STATE_ROLLUP_PMC[#Headers],0)),"ERROR"))</f>
        <v>135</v>
      </c>
      <c r="H46" s="155">
        <f>IF($B46=" ","",IFERROR(INDEX(MMWR_RATING_STATE_ROLLUP_PMC[],MATCH($B46,MMWR_RATING_STATE_ROLLUP_PMC[MMWR_RATING_STATE_ROLLUP_PMC],0),MATCH(H$9,MMWR_RATING_STATE_ROLLUP_PMC[#Headers],0)),"ERROR"))</f>
        <v>91.857142857100001</v>
      </c>
      <c r="I46" s="155">
        <f>IF($B46=" ","",IFERROR(INDEX(MMWR_RATING_STATE_ROLLUP_PMC[],MATCH($B46,MMWR_RATING_STATE_ROLLUP_PMC[MMWR_RATING_STATE_ROLLUP_PMC],0),MATCH(I$9,MMWR_RATING_STATE_ROLLUP_PMC[#Headers],0)),"ERROR"))</f>
        <v>101.2666666667</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928</v>
      </c>
      <c r="D47" s="155">
        <f>IF($B47=" ","",IFERROR(INDEX(MMWR_RATING_STATE_ROLLUP_PMC[],MATCH($B47,MMWR_RATING_STATE_ROLLUP_PMC[MMWR_RATING_STATE_ROLLUP_PMC],0),MATCH(D$9,MMWR_RATING_STATE_ROLLUP_PMC[#Headers],0)),"ERROR"))</f>
        <v>72.828663793100006</v>
      </c>
      <c r="E47" s="156">
        <f>IF($B47=" ","",IFERROR(INDEX(MMWR_RATING_STATE_ROLLUP_PMC[],MATCH($B47,MMWR_RATING_STATE_ROLLUP_PMC[MMWR_RATING_STATE_ROLLUP_PMC],0),MATCH(E$9,MMWR_RATING_STATE_ROLLUP_PMC[#Headers],0))/$C47,"ERROR"))</f>
        <v>0.14331896551724138</v>
      </c>
      <c r="F47" s="154">
        <f>IF($B47=" ","",IFERROR(INDEX(MMWR_RATING_STATE_ROLLUP_PMC[],MATCH($B47,MMWR_RATING_STATE_ROLLUP_PMC[MMWR_RATING_STATE_ROLLUP_PMC],0),MATCH(F$9,MMWR_RATING_STATE_ROLLUP_PMC[#Headers],0)),"ERROR"))</f>
        <v>266</v>
      </c>
      <c r="G47" s="154">
        <f>IF($B47=" ","",IFERROR(INDEX(MMWR_RATING_STATE_ROLLUP_PMC[],MATCH($B47,MMWR_RATING_STATE_ROLLUP_PMC[MMWR_RATING_STATE_ROLLUP_PMC],0),MATCH(G$9,MMWR_RATING_STATE_ROLLUP_PMC[#Headers],0)),"ERROR"))</f>
        <v>2649</v>
      </c>
      <c r="H47" s="155">
        <f>IF($B47=" ","",IFERROR(INDEX(MMWR_RATING_STATE_ROLLUP_PMC[],MATCH($B47,MMWR_RATING_STATE_ROLLUP_PMC[MMWR_RATING_STATE_ROLLUP_PMC],0),MATCH(H$9,MMWR_RATING_STATE_ROLLUP_PMC[#Headers],0)),"ERROR"))</f>
        <v>97.680451127799998</v>
      </c>
      <c r="I47" s="155">
        <f>IF($B47=" ","",IFERROR(INDEX(MMWR_RATING_STATE_ROLLUP_PMC[],MATCH($B47,MMWR_RATING_STATE_ROLLUP_PMC[MMWR_RATING_STATE_ROLLUP_PMC],0),MATCH(I$9,MMWR_RATING_STATE_ROLLUP_PMC[#Headers],0)),"ERROR"))</f>
        <v>101.3125707814</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249</v>
      </c>
      <c r="D48" s="155">
        <f>IF($B48=" ","",IFERROR(INDEX(MMWR_RATING_STATE_ROLLUP_PMC[],MATCH($B48,MMWR_RATING_STATE_ROLLUP_PMC[MMWR_RATING_STATE_ROLLUP_PMC],0),MATCH(D$9,MMWR_RATING_STATE_ROLLUP_PMC[#Headers],0)),"ERROR"))</f>
        <v>67.763052208800005</v>
      </c>
      <c r="E48" s="156">
        <f>IF($B48=" ","",IFERROR(INDEX(MMWR_RATING_STATE_ROLLUP_PMC[],MATCH($B48,MMWR_RATING_STATE_ROLLUP_PMC[MMWR_RATING_STATE_ROLLUP_PMC],0),MATCH(E$9,MMWR_RATING_STATE_ROLLUP_PMC[#Headers],0))/$C48,"ERROR"))</f>
        <v>0.10843373493975904</v>
      </c>
      <c r="F48" s="154">
        <f>IF($B48=" ","",IFERROR(INDEX(MMWR_RATING_STATE_ROLLUP_PMC[],MATCH($B48,MMWR_RATING_STATE_ROLLUP_PMC[MMWR_RATING_STATE_ROLLUP_PMC],0),MATCH(F$9,MMWR_RATING_STATE_ROLLUP_PMC[#Headers],0)),"ERROR"))</f>
        <v>78</v>
      </c>
      <c r="G48" s="154">
        <f>IF($B48=" ","",IFERROR(INDEX(MMWR_RATING_STATE_ROLLUP_PMC[],MATCH($B48,MMWR_RATING_STATE_ROLLUP_PMC[MMWR_RATING_STATE_ROLLUP_PMC],0),MATCH(G$9,MMWR_RATING_STATE_ROLLUP_PMC[#Headers],0)),"ERROR"))</f>
        <v>874</v>
      </c>
      <c r="H48" s="155">
        <f>IF($B48=" ","",IFERROR(INDEX(MMWR_RATING_STATE_ROLLUP_PMC[],MATCH($B48,MMWR_RATING_STATE_ROLLUP_PMC[MMWR_RATING_STATE_ROLLUP_PMC],0),MATCH(H$9,MMWR_RATING_STATE_ROLLUP_PMC[#Headers],0)),"ERROR"))</f>
        <v>104.2948717949</v>
      </c>
      <c r="I48" s="155">
        <f>IF($B48=" ","",IFERROR(INDEX(MMWR_RATING_STATE_ROLLUP_PMC[],MATCH($B48,MMWR_RATING_STATE_ROLLUP_PMC[MMWR_RATING_STATE_ROLLUP_PMC],0),MATCH(I$9,MMWR_RATING_STATE_ROLLUP_PMC[#Headers],0)),"ERROR"))</f>
        <v>99.173913043499994</v>
      </c>
      <c r="J48" s="42"/>
      <c r="K48" s="42"/>
      <c r="L48" s="42"/>
      <c r="M48" s="42"/>
      <c r="N48" s="28"/>
    </row>
    <row r="49" spans="1:14" x14ac:dyDescent="0.2">
      <c r="A49" s="25"/>
      <c r="B49" s="378" t="s">
        <v>1038</v>
      </c>
      <c r="C49" s="379"/>
      <c r="D49" s="379"/>
      <c r="E49" s="379"/>
      <c r="F49" s="379"/>
      <c r="G49" s="379"/>
      <c r="H49" s="379"/>
      <c r="I49" s="379"/>
      <c r="J49" s="379"/>
      <c r="K49" s="379"/>
      <c r="L49" s="379"/>
      <c r="M49" s="388"/>
      <c r="N49" s="28"/>
    </row>
    <row r="50" spans="1:14" x14ac:dyDescent="0.2">
      <c r="A50" s="25"/>
      <c r="B50" s="41" t="s">
        <v>1037</v>
      </c>
      <c r="C50" s="154">
        <f>IF($B50=" ","",IFERROR(INDEX(MMWR_RATING_STATE_ROLLUP_QST[],MATCH($B50,MMWR_RATING_STATE_ROLLUP_QST[MMWR_RATING_STATE_ROLLUP_QST],0),MATCH(C$9,MMWR_RATING_STATE_ROLLUP_QST[#Headers],0)),"ERROR"))</f>
        <v>7627</v>
      </c>
      <c r="D50" s="155">
        <f>IF($B50=" ","",IFERROR(INDEX(MMWR_RATING_STATE_ROLLUP_QST[],MATCH($B50,MMWR_RATING_STATE_ROLLUP_QST[MMWR_RATING_STATE_ROLLUP_QST],0),MATCH(D$9,MMWR_RATING_STATE_ROLLUP_QST[#Headers],0)),"ERROR"))</f>
        <v>69.450898125099997</v>
      </c>
      <c r="E50" s="156">
        <f>IF($B50=" ","",IFERROR(INDEX(MMWR_RATING_STATE_ROLLUP_QST[],MATCH($B50,MMWR_RATING_STATE_ROLLUP_QST[MMWR_RATING_STATE_ROLLUP_QST],0),MATCH(E$9,MMWR_RATING_STATE_ROLLUP_QST[#Headers],0))/$C50,"ERROR"))</f>
        <v>0.12940867969057296</v>
      </c>
      <c r="F50" s="154">
        <f>IF($B50=" ","",IFERROR(INDEX(MMWR_RATING_STATE_ROLLUP_QST[],MATCH($B50,MMWR_RATING_STATE_ROLLUP_QST[MMWR_RATING_STATE_ROLLUP_QST],0),MATCH(F$9,MMWR_RATING_STATE_ROLLUP_QST[#Headers],0)),"ERROR"))</f>
        <v>1517</v>
      </c>
      <c r="G50" s="154">
        <f>IF($B50=" ","",IFERROR(INDEX(MMWR_RATING_STATE_ROLLUP_QST[],MATCH($B50,MMWR_RATING_STATE_ROLLUP_QST[MMWR_RATING_STATE_ROLLUP_QST],0),MATCH(G$9,MMWR_RATING_STATE_ROLLUP_QST[#Headers],0)),"ERROR"))</f>
        <v>20739</v>
      </c>
      <c r="H50" s="155">
        <f>IF($B50=" ","",IFERROR(INDEX(MMWR_RATING_STATE_ROLLUP_QST[],MATCH($B50,MMWR_RATING_STATE_ROLLUP_QST[MMWR_RATING_STATE_ROLLUP_QST],0),MATCH(H$9,MMWR_RATING_STATE_ROLLUP_QST[#Headers],0)),"ERROR"))</f>
        <v>119.551087673</v>
      </c>
      <c r="I50" s="155">
        <f>IF($B50=" ","",IFERROR(INDEX(MMWR_RATING_STATE_ROLLUP_QST[],MATCH($B50,MMWR_RATING_STATE_ROLLUP_QST[MMWR_RATING_STATE_ROLLUP_QST],0),MATCH(I$9,MMWR_RATING_STATE_ROLLUP_QST[#Headers],0)),"ERROR"))</f>
        <v>138.77626693670001</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1795</v>
      </c>
      <c r="D51" s="155">
        <f>IF($B51=" ","",IFERROR(INDEX(MMWR_RATING_STATE_ROLLUP_QST[],MATCH($B51,MMWR_RATING_STATE_ROLLUP_QST[MMWR_RATING_STATE_ROLLUP_QST],0),MATCH(D$9,MMWR_RATING_STATE_ROLLUP_QST[#Headers],0)),"ERROR"))</f>
        <v>70.132590529200002</v>
      </c>
      <c r="E51" s="156">
        <f>IF($B51=" ","",IFERROR(INDEX(MMWR_RATING_STATE_ROLLUP_QST[],MATCH($B51,MMWR_RATING_STATE_ROLLUP_QST[MMWR_RATING_STATE_ROLLUP_QST],0),MATCH(E$9,MMWR_RATING_STATE_ROLLUP_QST[#Headers],0))/$C51,"ERROR"))</f>
        <v>0.11866295264623955</v>
      </c>
      <c r="F51" s="154">
        <f>IF($B51=" ","",IFERROR(INDEX(MMWR_RATING_STATE_ROLLUP_QST[],MATCH($B51,MMWR_RATING_STATE_ROLLUP_QST[MMWR_RATING_STATE_ROLLUP_QST],0),MATCH(F$9,MMWR_RATING_STATE_ROLLUP_QST[#Headers],0)),"ERROR"))</f>
        <v>356</v>
      </c>
      <c r="G51" s="154">
        <f>IF($B51=" ","",IFERROR(INDEX(MMWR_RATING_STATE_ROLLUP_QST[],MATCH($B51,MMWR_RATING_STATE_ROLLUP_QST[MMWR_RATING_STATE_ROLLUP_QST],0),MATCH(G$9,MMWR_RATING_STATE_ROLLUP_QST[#Headers],0)),"ERROR"))</f>
        <v>4585</v>
      </c>
      <c r="H51" s="155">
        <f>IF($B51=" ","",IFERROR(INDEX(MMWR_RATING_STATE_ROLLUP_QST[],MATCH($B51,MMWR_RATING_STATE_ROLLUP_QST[MMWR_RATING_STATE_ROLLUP_QST],0),MATCH(H$9,MMWR_RATING_STATE_ROLLUP_QST[#Headers],0)),"ERROR"))</f>
        <v>117.845505618</v>
      </c>
      <c r="I51" s="155">
        <f>IF($B51=" ","",IFERROR(INDEX(MMWR_RATING_STATE_ROLLUP_QST[],MATCH($B51,MMWR_RATING_STATE_ROLLUP_QST[MMWR_RATING_STATE_ROLLUP_QST],0),MATCH(I$9,MMWR_RATING_STATE_ROLLUP_QST[#Headers],0)),"ERROR"))</f>
        <v>147.61112322790001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50</v>
      </c>
      <c r="D52" s="155">
        <f>IF($B52=" ","",IFERROR(INDEX(MMWR_RATING_STATE_ROLLUP_QST[],MATCH($B52,MMWR_RATING_STATE_ROLLUP_QST[MMWR_RATING_STATE_ROLLUP_QST],0),MATCH(D$9,MMWR_RATING_STATE_ROLLUP_QST[#Headers],0)),"ERROR"))</f>
        <v>62.5</v>
      </c>
      <c r="E52" s="156">
        <f>IF($B52=" ","",IFERROR(INDEX(MMWR_RATING_STATE_ROLLUP_QST[],MATCH($B52,MMWR_RATING_STATE_ROLLUP_QST[MMWR_RATING_STATE_ROLLUP_QST],0),MATCH(E$9,MMWR_RATING_STATE_ROLLUP_QST[#Headers],0))/$C52,"ERROR"))</f>
        <v>0.08</v>
      </c>
      <c r="F52" s="154">
        <f>IF($B52=" ","",IFERROR(INDEX(MMWR_RATING_STATE_ROLLUP_QST[],MATCH($B52,MMWR_RATING_STATE_ROLLUP_QST[MMWR_RATING_STATE_ROLLUP_QST],0),MATCH(F$9,MMWR_RATING_STATE_ROLLUP_QST[#Headers],0)),"ERROR"))</f>
        <v>10</v>
      </c>
      <c r="G52" s="154">
        <f>IF($B52=" ","",IFERROR(INDEX(MMWR_RATING_STATE_ROLLUP_QST[],MATCH($B52,MMWR_RATING_STATE_ROLLUP_QST[MMWR_RATING_STATE_ROLLUP_QST],0),MATCH(G$9,MMWR_RATING_STATE_ROLLUP_QST[#Headers],0)),"ERROR"))</f>
        <v>118</v>
      </c>
      <c r="H52" s="155">
        <f>IF($B52=" ","",IFERROR(INDEX(MMWR_RATING_STATE_ROLLUP_QST[],MATCH($B52,MMWR_RATING_STATE_ROLLUP_QST[MMWR_RATING_STATE_ROLLUP_QST],0),MATCH(H$9,MMWR_RATING_STATE_ROLLUP_QST[#Headers],0)),"ERROR"))</f>
        <v>84.7</v>
      </c>
      <c r="I52" s="155">
        <f>IF($B52=" ","",IFERROR(INDEX(MMWR_RATING_STATE_ROLLUP_QST[],MATCH($B52,MMWR_RATING_STATE_ROLLUP_QST[MMWR_RATING_STATE_ROLLUP_QST],0),MATCH(I$9,MMWR_RATING_STATE_ROLLUP_QST[#Headers],0)),"ERROR"))</f>
        <v>136.23728813560001</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14</v>
      </c>
      <c r="D53" s="155">
        <f>IF($B53=" ","",IFERROR(INDEX(MMWR_RATING_STATE_ROLLUP_QST[],MATCH($B53,MMWR_RATING_STATE_ROLLUP_QST[MMWR_RATING_STATE_ROLLUP_QST],0),MATCH(D$9,MMWR_RATING_STATE_ROLLUP_QST[#Headers],0)),"ERROR"))</f>
        <v>66.285714285699996</v>
      </c>
      <c r="E53" s="156">
        <f>IF($B53=" ","",IFERROR(INDEX(MMWR_RATING_STATE_ROLLUP_QST[],MATCH($B53,MMWR_RATING_STATE_ROLLUP_QST[MMWR_RATING_STATE_ROLLUP_QST],0),MATCH(E$9,MMWR_RATING_STATE_ROLLUP_QST[#Headers],0))/$C53,"ERROR"))</f>
        <v>0.21428571428571427</v>
      </c>
      <c r="F53" s="154">
        <f>IF($B53=" ","",IFERROR(INDEX(MMWR_RATING_STATE_ROLLUP_QST[],MATCH($B53,MMWR_RATING_STATE_ROLLUP_QST[MMWR_RATING_STATE_ROLLUP_QST],0),MATCH(F$9,MMWR_RATING_STATE_ROLLUP_QST[#Headers],0)),"ERROR"))</f>
        <v>7</v>
      </c>
      <c r="G53" s="154">
        <f>IF($B53=" ","",IFERROR(INDEX(MMWR_RATING_STATE_ROLLUP_QST[],MATCH($B53,MMWR_RATING_STATE_ROLLUP_QST[MMWR_RATING_STATE_ROLLUP_QST],0),MATCH(G$9,MMWR_RATING_STATE_ROLLUP_QST[#Headers],0)),"ERROR"))</f>
        <v>38</v>
      </c>
      <c r="H53" s="155">
        <f>IF($B53=" ","",IFERROR(INDEX(MMWR_RATING_STATE_ROLLUP_QST[],MATCH($B53,MMWR_RATING_STATE_ROLLUP_QST[MMWR_RATING_STATE_ROLLUP_QST],0),MATCH(H$9,MMWR_RATING_STATE_ROLLUP_QST[#Headers],0)),"ERROR"))</f>
        <v>155.57142857139999</v>
      </c>
      <c r="I53" s="155">
        <f>IF($B53=" ","",IFERROR(INDEX(MMWR_RATING_STATE_ROLLUP_QST[],MATCH($B53,MMWR_RATING_STATE_ROLLUP_QST[MMWR_RATING_STATE_ROLLUP_QST],0),MATCH(I$9,MMWR_RATING_STATE_ROLLUP_QST[#Headers],0)),"ERROR"))</f>
        <v>156.15789473679999</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9</v>
      </c>
      <c r="D54" s="155">
        <f>IF($B54=" ","",IFERROR(INDEX(MMWR_RATING_STATE_ROLLUP_QST[],MATCH($B54,MMWR_RATING_STATE_ROLLUP_QST[MMWR_RATING_STATE_ROLLUP_QST],0),MATCH(D$9,MMWR_RATING_STATE_ROLLUP_QST[#Headers],0)),"ERROR"))</f>
        <v>41.222222222200003</v>
      </c>
      <c r="E54" s="156">
        <f>IF($B54=" ","",IFERROR(INDEX(MMWR_RATING_STATE_ROLLUP_QST[],MATCH($B54,MMWR_RATING_STATE_ROLLUP_QST[MMWR_RATING_STATE_ROLLUP_QST],0),MATCH(E$9,MMWR_RATING_STATE_ROLLUP_QST[#Headers],0))/$C54,"ERROR"))</f>
        <v>0</v>
      </c>
      <c r="F54" s="154">
        <f>IF($B54=" ","",IFERROR(INDEX(MMWR_RATING_STATE_ROLLUP_QST[],MATCH($B54,MMWR_RATING_STATE_ROLLUP_QST[MMWR_RATING_STATE_ROLLUP_QST],0),MATCH(F$9,MMWR_RATING_STATE_ROLLUP_QST[#Headers],0)),"ERROR"))</f>
        <v>5</v>
      </c>
      <c r="G54" s="154">
        <f>IF($B54=" ","",IFERROR(INDEX(MMWR_RATING_STATE_ROLLUP_QST[],MATCH($B54,MMWR_RATING_STATE_ROLLUP_QST[MMWR_RATING_STATE_ROLLUP_QST],0),MATCH(G$9,MMWR_RATING_STATE_ROLLUP_QST[#Headers],0)),"ERROR"))</f>
        <v>38</v>
      </c>
      <c r="H54" s="155">
        <f>IF($B54=" ","",IFERROR(INDEX(MMWR_RATING_STATE_ROLLUP_QST[],MATCH($B54,MMWR_RATING_STATE_ROLLUP_QST[MMWR_RATING_STATE_ROLLUP_QST],0),MATCH(H$9,MMWR_RATING_STATE_ROLLUP_QST[#Headers],0)),"ERROR"))</f>
        <v>128</v>
      </c>
      <c r="I54" s="155">
        <f>IF($B54=" ","",IFERROR(INDEX(MMWR_RATING_STATE_ROLLUP_QST[],MATCH($B54,MMWR_RATING_STATE_ROLLUP_QST[MMWR_RATING_STATE_ROLLUP_QST],0),MATCH(I$9,MMWR_RATING_STATE_ROLLUP_QST[#Headers],0)),"ERROR"))</f>
        <v>155.13157894739999</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10</v>
      </c>
      <c r="D55" s="155">
        <f>IF($B55=" ","",IFERROR(INDEX(MMWR_RATING_STATE_ROLLUP_QST[],MATCH($B55,MMWR_RATING_STATE_ROLLUP_QST[MMWR_RATING_STATE_ROLLUP_QST],0),MATCH(D$9,MMWR_RATING_STATE_ROLLUP_QST[#Headers],0)),"ERROR"))</f>
        <v>75.2</v>
      </c>
      <c r="E55" s="156">
        <f>IF($B55=" ","",IFERROR(INDEX(MMWR_RATING_STATE_ROLLUP_QST[],MATCH($B55,MMWR_RATING_STATE_ROLLUP_QST[MMWR_RATING_STATE_ROLLUP_QST],0),MATCH(E$9,MMWR_RATING_STATE_ROLLUP_QST[#Headers],0))/$C55,"ERROR"))</f>
        <v>0.1</v>
      </c>
      <c r="F55" s="154">
        <f>IF($B55=" ","",IFERROR(INDEX(MMWR_RATING_STATE_ROLLUP_QST[],MATCH($B55,MMWR_RATING_STATE_ROLLUP_QST[MMWR_RATING_STATE_ROLLUP_QST],0),MATCH(F$9,MMWR_RATING_STATE_ROLLUP_QST[#Headers],0)),"ERROR"))</f>
        <v>3</v>
      </c>
      <c r="G55" s="154">
        <f>IF($B55=" ","",IFERROR(INDEX(MMWR_RATING_STATE_ROLLUP_QST[],MATCH($B55,MMWR_RATING_STATE_ROLLUP_QST[MMWR_RATING_STATE_ROLLUP_QST],0),MATCH(G$9,MMWR_RATING_STATE_ROLLUP_QST[#Headers],0)),"ERROR"))</f>
        <v>49</v>
      </c>
      <c r="H55" s="155">
        <f>IF($B55=" ","",IFERROR(INDEX(MMWR_RATING_STATE_ROLLUP_QST[],MATCH($B55,MMWR_RATING_STATE_ROLLUP_QST[MMWR_RATING_STATE_ROLLUP_QST],0),MATCH(H$9,MMWR_RATING_STATE_ROLLUP_QST[#Headers],0)),"ERROR"))</f>
        <v>131.6666666667</v>
      </c>
      <c r="I55" s="155">
        <f>IF($B55=" ","",IFERROR(INDEX(MMWR_RATING_STATE_ROLLUP_QST[],MATCH($B55,MMWR_RATING_STATE_ROLLUP_QST[MMWR_RATING_STATE_ROLLUP_QST],0),MATCH(I$9,MMWR_RATING_STATE_ROLLUP_QST[#Headers],0)),"ERROR"))</f>
        <v>145.73469387759999</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152</v>
      </c>
      <c r="D56" s="155">
        <f>IF($B56=" ","",IFERROR(INDEX(MMWR_RATING_STATE_ROLLUP_QST[],MATCH($B56,MMWR_RATING_STATE_ROLLUP_QST[MMWR_RATING_STATE_ROLLUP_QST],0),MATCH(D$9,MMWR_RATING_STATE_ROLLUP_QST[#Headers],0)),"ERROR"))</f>
        <v>74.861842105299999</v>
      </c>
      <c r="E56" s="156">
        <f>IF($B56=" ","",IFERROR(INDEX(MMWR_RATING_STATE_ROLLUP_QST[],MATCH($B56,MMWR_RATING_STATE_ROLLUP_QST[MMWR_RATING_STATE_ROLLUP_QST],0),MATCH(E$9,MMWR_RATING_STATE_ROLLUP_QST[#Headers],0))/$C56,"ERROR"))</f>
        <v>0.13815789473684212</v>
      </c>
      <c r="F56" s="154">
        <f>IF($B56=" ","",IFERROR(INDEX(MMWR_RATING_STATE_ROLLUP_QST[],MATCH($B56,MMWR_RATING_STATE_ROLLUP_QST[MMWR_RATING_STATE_ROLLUP_QST],0),MATCH(F$9,MMWR_RATING_STATE_ROLLUP_QST[#Headers],0)),"ERROR"))</f>
        <v>32</v>
      </c>
      <c r="G56" s="154">
        <f>IF($B56=" ","",IFERROR(INDEX(MMWR_RATING_STATE_ROLLUP_QST[],MATCH($B56,MMWR_RATING_STATE_ROLLUP_QST[MMWR_RATING_STATE_ROLLUP_QST],0),MATCH(G$9,MMWR_RATING_STATE_ROLLUP_QST[#Headers],0)),"ERROR"))</f>
        <v>493</v>
      </c>
      <c r="H56" s="155">
        <f>IF($B56=" ","",IFERROR(INDEX(MMWR_RATING_STATE_ROLLUP_QST[],MATCH($B56,MMWR_RATING_STATE_ROLLUP_QST[MMWR_RATING_STATE_ROLLUP_QST],0),MATCH(H$9,MMWR_RATING_STATE_ROLLUP_QST[#Headers],0)),"ERROR"))</f>
        <v>112.34375</v>
      </c>
      <c r="I56" s="155">
        <f>IF($B56=" ","",IFERROR(INDEX(MMWR_RATING_STATE_ROLLUP_QST[],MATCH($B56,MMWR_RATING_STATE_ROLLUP_QST[MMWR_RATING_STATE_ROLLUP_QST],0),MATCH(I$9,MMWR_RATING_STATE_ROLLUP_QST[#Headers],0)),"ERROR"))</f>
        <v>146.53144016229999</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67</v>
      </c>
      <c r="D57" s="155">
        <f>IF($B57=" ","",IFERROR(INDEX(MMWR_RATING_STATE_ROLLUP_QST[],MATCH($B57,MMWR_RATING_STATE_ROLLUP_QST[MMWR_RATING_STATE_ROLLUP_QST],0),MATCH(D$9,MMWR_RATING_STATE_ROLLUP_QST[#Headers],0)),"ERROR"))</f>
        <v>63.298507462700002</v>
      </c>
      <c r="E57" s="156">
        <f>IF($B57=" ","",IFERROR(INDEX(MMWR_RATING_STATE_ROLLUP_QST[],MATCH($B57,MMWR_RATING_STATE_ROLLUP_QST[MMWR_RATING_STATE_ROLLUP_QST],0),MATCH(E$9,MMWR_RATING_STATE_ROLLUP_QST[#Headers],0))/$C57,"ERROR"))</f>
        <v>8.9552238805970144E-2</v>
      </c>
      <c r="F57" s="154">
        <f>IF($B57=" ","",IFERROR(INDEX(MMWR_RATING_STATE_ROLLUP_QST[],MATCH($B57,MMWR_RATING_STATE_ROLLUP_QST[MMWR_RATING_STATE_ROLLUP_QST],0),MATCH(F$9,MMWR_RATING_STATE_ROLLUP_QST[#Headers],0)),"ERROR"))</f>
        <v>15</v>
      </c>
      <c r="G57" s="154">
        <f>IF($B57=" ","",IFERROR(INDEX(MMWR_RATING_STATE_ROLLUP_QST[],MATCH($B57,MMWR_RATING_STATE_ROLLUP_QST[MMWR_RATING_STATE_ROLLUP_QST],0),MATCH(G$9,MMWR_RATING_STATE_ROLLUP_QST[#Headers],0)),"ERROR"))</f>
        <v>189</v>
      </c>
      <c r="H57" s="155">
        <f>IF($B57=" ","",IFERROR(INDEX(MMWR_RATING_STATE_ROLLUP_QST[],MATCH($B57,MMWR_RATING_STATE_ROLLUP_QST[MMWR_RATING_STATE_ROLLUP_QST],0),MATCH(H$9,MMWR_RATING_STATE_ROLLUP_QST[#Headers],0)),"ERROR"))</f>
        <v>86.066666666700002</v>
      </c>
      <c r="I57" s="155">
        <f>IF($B57=" ","",IFERROR(INDEX(MMWR_RATING_STATE_ROLLUP_QST[],MATCH($B57,MMWR_RATING_STATE_ROLLUP_QST[MMWR_RATING_STATE_ROLLUP_QST],0),MATCH(I$9,MMWR_RATING_STATE_ROLLUP_QST[#Headers],0)),"ERROR"))</f>
        <v>137.7724867725</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23</v>
      </c>
      <c r="D58" s="155">
        <f>IF($B58=" ","",IFERROR(INDEX(MMWR_RATING_STATE_ROLLUP_QST[],MATCH($B58,MMWR_RATING_STATE_ROLLUP_QST[MMWR_RATING_STATE_ROLLUP_QST],0),MATCH(D$9,MMWR_RATING_STATE_ROLLUP_QST[#Headers],0)),"ERROR"))</f>
        <v>66.304347826099999</v>
      </c>
      <c r="E58" s="156">
        <f>IF($B58=" ","",IFERROR(INDEX(MMWR_RATING_STATE_ROLLUP_QST[],MATCH($B58,MMWR_RATING_STATE_ROLLUP_QST[MMWR_RATING_STATE_ROLLUP_QST],0),MATCH(E$9,MMWR_RATING_STATE_ROLLUP_QST[#Headers],0))/$C58,"ERROR"))</f>
        <v>0.13043478260869565</v>
      </c>
      <c r="F58" s="154">
        <f>IF($B58=" ","",IFERROR(INDEX(MMWR_RATING_STATE_ROLLUP_QST[],MATCH($B58,MMWR_RATING_STATE_ROLLUP_QST[MMWR_RATING_STATE_ROLLUP_QST],0),MATCH(F$9,MMWR_RATING_STATE_ROLLUP_QST[#Headers],0)),"ERROR"))</f>
        <v>4</v>
      </c>
      <c r="G58" s="154">
        <f>IF($B58=" ","",IFERROR(INDEX(MMWR_RATING_STATE_ROLLUP_QST[],MATCH($B58,MMWR_RATING_STATE_ROLLUP_QST[MMWR_RATING_STATE_ROLLUP_QST],0),MATCH(G$9,MMWR_RATING_STATE_ROLLUP_QST[#Headers],0)),"ERROR"))</f>
        <v>50</v>
      </c>
      <c r="H58" s="155">
        <f>IF($B58=" ","",IFERROR(INDEX(MMWR_RATING_STATE_ROLLUP_QST[],MATCH($B58,MMWR_RATING_STATE_ROLLUP_QST[MMWR_RATING_STATE_ROLLUP_QST],0),MATCH(H$9,MMWR_RATING_STATE_ROLLUP_QST[#Headers],0)),"ERROR"))</f>
        <v>82.75</v>
      </c>
      <c r="I58" s="155">
        <f>IF($B58=" ","",IFERROR(INDEX(MMWR_RATING_STATE_ROLLUP_QST[],MATCH($B58,MMWR_RATING_STATE_ROLLUP_QST[MMWR_RATING_STATE_ROLLUP_QST],0),MATCH(I$9,MMWR_RATING_STATE_ROLLUP_QST[#Headers],0)),"ERROR"))</f>
        <v>145.46</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82</v>
      </c>
      <c r="D59" s="155">
        <f>IF($B59=" ","",IFERROR(INDEX(MMWR_RATING_STATE_ROLLUP_QST[],MATCH($B59,MMWR_RATING_STATE_ROLLUP_QST[MMWR_RATING_STATE_ROLLUP_QST],0),MATCH(D$9,MMWR_RATING_STATE_ROLLUP_QST[#Headers],0)),"ERROR"))</f>
        <v>67.573170731700003</v>
      </c>
      <c r="E59" s="156">
        <f>IF($B59=" ","",IFERROR(INDEX(MMWR_RATING_STATE_ROLLUP_QST[],MATCH($B59,MMWR_RATING_STATE_ROLLUP_QST[MMWR_RATING_STATE_ROLLUP_QST],0),MATCH(E$9,MMWR_RATING_STATE_ROLLUP_QST[#Headers],0))/$C59,"ERROR"))</f>
        <v>0.14634146341463414</v>
      </c>
      <c r="F59" s="154">
        <f>IF($B59=" ","",IFERROR(INDEX(MMWR_RATING_STATE_ROLLUP_QST[],MATCH($B59,MMWR_RATING_STATE_ROLLUP_QST[MMWR_RATING_STATE_ROLLUP_QST],0),MATCH(F$9,MMWR_RATING_STATE_ROLLUP_QST[#Headers],0)),"ERROR"))</f>
        <v>22</v>
      </c>
      <c r="G59" s="154">
        <f>IF($B59=" ","",IFERROR(INDEX(MMWR_RATING_STATE_ROLLUP_QST[],MATCH($B59,MMWR_RATING_STATE_ROLLUP_QST[MMWR_RATING_STATE_ROLLUP_QST],0),MATCH(G$9,MMWR_RATING_STATE_ROLLUP_QST[#Headers],0)),"ERROR"))</f>
        <v>224</v>
      </c>
      <c r="H59" s="155">
        <f>IF($B59=" ","",IFERROR(INDEX(MMWR_RATING_STATE_ROLLUP_QST[],MATCH($B59,MMWR_RATING_STATE_ROLLUP_QST[MMWR_RATING_STATE_ROLLUP_QST],0),MATCH(H$9,MMWR_RATING_STATE_ROLLUP_QST[#Headers],0)),"ERROR"))</f>
        <v>114.7272727273</v>
      </c>
      <c r="I59" s="155">
        <f>IF($B59=" ","",IFERROR(INDEX(MMWR_RATING_STATE_ROLLUP_QST[],MATCH($B59,MMWR_RATING_STATE_ROLLUP_QST[MMWR_RATING_STATE_ROLLUP_QST],0),MATCH(I$9,MMWR_RATING_STATE_ROLLUP_QST[#Headers],0)),"ERROR"))</f>
        <v>144.9508928571</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213</v>
      </c>
      <c r="D60" s="155">
        <f>IF($B60=" ","",IFERROR(INDEX(MMWR_RATING_STATE_ROLLUP_QST[],MATCH($B60,MMWR_RATING_STATE_ROLLUP_QST[MMWR_RATING_STATE_ROLLUP_QST],0),MATCH(D$9,MMWR_RATING_STATE_ROLLUP_QST[#Headers],0)),"ERROR"))</f>
        <v>65.408450704200007</v>
      </c>
      <c r="E60" s="156">
        <f>IF($B60=" ","",IFERROR(INDEX(MMWR_RATING_STATE_ROLLUP_QST[],MATCH($B60,MMWR_RATING_STATE_ROLLUP_QST[MMWR_RATING_STATE_ROLLUP_QST],0),MATCH(E$9,MMWR_RATING_STATE_ROLLUP_QST[#Headers],0))/$C60,"ERROR"))</f>
        <v>8.4507042253521125E-2</v>
      </c>
      <c r="F60" s="154">
        <f>IF($B60=" ","",IFERROR(INDEX(MMWR_RATING_STATE_ROLLUP_QST[],MATCH($B60,MMWR_RATING_STATE_ROLLUP_QST[MMWR_RATING_STATE_ROLLUP_QST],0),MATCH(F$9,MMWR_RATING_STATE_ROLLUP_QST[#Headers],0)),"ERROR"))</f>
        <v>44</v>
      </c>
      <c r="G60" s="154">
        <f>IF($B60=" ","",IFERROR(INDEX(MMWR_RATING_STATE_ROLLUP_QST[],MATCH($B60,MMWR_RATING_STATE_ROLLUP_QST[MMWR_RATING_STATE_ROLLUP_QST],0),MATCH(G$9,MMWR_RATING_STATE_ROLLUP_QST[#Headers],0)),"ERROR"))</f>
        <v>499</v>
      </c>
      <c r="H60" s="155">
        <f>IF($B60=" ","",IFERROR(INDEX(MMWR_RATING_STATE_ROLLUP_QST[],MATCH($B60,MMWR_RATING_STATE_ROLLUP_QST[MMWR_RATING_STATE_ROLLUP_QST],0),MATCH(H$9,MMWR_RATING_STATE_ROLLUP_QST[#Headers],0)),"ERROR"))</f>
        <v>110.6590909091</v>
      </c>
      <c r="I60" s="155">
        <f>IF($B60=" ","",IFERROR(INDEX(MMWR_RATING_STATE_ROLLUP_QST[],MATCH($B60,MMWR_RATING_STATE_ROLLUP_QST[MMWR_RATING_STATE_ROLLUP_QST],0),MATCH(I$9,MMWR_RATING_STATE_ROLLUP_QST[#Headers],0)),"ERROR"))</f>
        <v>138.7875751503</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470</v>
      </c>
      <c r="D61" s="155">
        <f>IF($B61=" ","",IFERROR(INDEX(MMWR_RATING_STATE_ROLLUP_QST[],MATCH($B61,MMWR_RATING_STATE_ROLLUP_QST[MMWR_RATING_STATE_ROLLUP_QST],0),MATCH(D$9,MMWR_RATING_STATE_ROLLUP_QST[#Headers],0)),"ERROR"))</f>
        <v>71.514893616999998</v>
      </c>
      <c r="E61" s="156">
        <f>IF($B61=" ","",IFERROR(INDEX(MMWR_RATING_STATE_ROLLUP_QST[],MATCH($B61,MMWR_RATING_STATE_ROLLUP_QST[MMWR_RATING_STATE_ROLLUP_QST],0),MATCH(E$9,MMWR_RATING_STATE_ROLLUP_QST[#Headers],0))/$C61,"ERROR"))</f>
        <v>0.1276595744680851</v>
      </c>
      <c r="F61" s="154">
        <f>IF($B61=" ","",IFERROR(INDEX(MMWR_RATING_STATE_ROLLUP_QST[],MATCH($B61,MMWR_RATING_STATE_ROLLUP_QST[MMWR_RATING_STATE_ROLLUP_QST],0),MATCH(F$9,MMWR_RATING_STATE_ROLLUP_QST[#Headers],0)),"ERROR"))</f>
        <v>71</v>
      </c>
      <c r="G61" s="154">
        <f>IF($B61=" ","",IFERROR(INDEX(MMWR_RATING_STATE_ROLLUP_QST[],MATCH($B61,MMWR_RATING_STATE_ROLLUP_QST[MMWR_RATING_STATE_ROLLUP_QST],0),MATCH(G$9,MMWR_RATING_STATE_ROLLUP_QST[#Headers],0)),"ERROR"))</f>
        <v>1110</v>
      </c>
      <c r="H61" s="155">
        <f>IF($B61=" ","",IFERROR(INDEX(MMWR_RATING_STATE_ROLLUP_QST[],MATCH($B61,MMWR_RATING_STATE_ROLLUP_QST[MMWR_RATING_STATE_ROLLUP_QST],0),MATCH(H$9,MMWR_RATING_STATE_ROLLUP_QST[#Headers],0)),"ERROR"))</f>
        <v>122.6901408451</v>
      </c>
      <c r="I61" s="155">
        <f>IF($B61=" ","",IFERROR(INDEX(MMWR_RATING_STATE_ROLLUP_QST[],MATCH($B61,MMWR_RATING_STATE_ROLLUP_QST[MMWR_RATING_STATE_ROLLUP_QST],0),MATCH(I$9,MMWR_RATING_STATE_ROLLUP_QST[#Headers],0)),"ERROR"))</f>
        <v>150.32612612610001</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160</v>
      </c>
      <c r="D62" s="155">
        <f>IF($B62=" ","",IFERROR(INDEX(MMWR_RATING_STATE_ROLLUP_QST[],MATCH($B62,MMWR_RATING_STATE_ROLLUP_QST[MMWR_RATING_STATE_ROLLUP_QST],0),MATCH(D$9,MMWR_RATING_STATE_ROLLUP_QST[#Headers],0)),"ERROR"))</f>
        <v>68.337500000000006</v>
      </c>
      <c r="E62" s="156">
        <f>IF($B62=" ","",IFERROR(INDEX(MMWR_RATING_STATE_ROLLUP_QST[],MATCH($B62,MMWR_RATING_STATE_ROLLUP_QST[MMWR_RATING_STATE_ROLLUP_QST],0),MATCH(E$9,MMWR_RATING_STATE_ROLLUP_QST[#Headers],0))/$C62,"ERROR"))</f>
        <v>0.125</v>
      </c>
      <c r="F62" s="154">
        <f>IF($B62=" ","",IFERROR(INDEX(MMWR_RATING_STATE_ROLLUP_QST[],MATCH($B62,MMWR_RATING_STATE_ROLLUP_QST[MMWR_RATING_STATE_ROLLUP_QST],0),MATCH(F$9,MMWR_RATING_STATE_ROLLUP_QST[#Headers],0)),"ERROR"))</f>
        <v>30</v>
      </c>
      <c r="G62" s="154">
        <f>IF($B62=" ","",IFERROR(INDEX(MMWR_RATING_STATE_ROLLUP_QST[],MATCH($B62,MMWR_RATING_STATE_ROLLUP_QST[MMWR_RATING_STATE_ROLLUP_QST],0),MATCH(G$9,MMWR_RATING_STATE_ROLLUP_QST[#Headers],0)),"ERROR"))</f>
        <v>409</v>
      </c>
      <c r="H62" s="155">
        <f>IF($B62=" ","",IFERROR(INDEX(MMWR_RATING_STATE_ROLLUP_QST[],MATCH($B62,MMWR_RATING_STATE_ROLLUP_QST[MMWR_RATING_STATE_ROLLUP_QST],0),MATCH(H$9,MMWR_RATING_STATE_ROLLUP_QST[#Headers],0)),"ERROR"))</f>
        <v>111.6666666667</v>
      </c>
      <c r="I62" s="155">
        <f>IF($B62=" ","",IFERROR(INDEX(MMWR_RATING_STATE_ROLLUP_QST[],MATCH($B62,MMWR_RATING_STATE_ROLLUP_QST[MMWR_RATING_STATE_ROLLUP_QST],0),MATCH(I$9,MMWR_RATING_STATE_ROLLUP_QST[#Headers],0)),"ERROR"))</f>
        <v>141.26650366749999</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5</v>
      </c>
      <c r="D63" s="155">
        <f>IF($B63=" ","",IFERROR(INDEX(MMWR_RATING_STATE_ROLLUP_QST[],MATCH($B63,MMWR_RATING_STATE_ROLLUP_QST[MMWR_RATING_STATE_ROLLUP_QST],0),MATCH(D$9,MMWR_RATING_STATE_ROLLUP_QST[#Headers],0)),"ERROR"))</f>
        <v>59.2</v>
      </c>
      <c r="E63" s="156">
        <f>IF($B63=" ","",IFERROR(INDEX(MMWR_RATING_STATE_ROLLUP_QST[],MATCH($B63,MMWR_RATING_STATE_ROLLUP_QST[MMWR_RATING_STATE_ROLLUP_QST],0),MATCH(E$9,MMWR_RATING_STATE_ROLLUP_QST[#Headers],0))/$C63,"ERROR"))</f>
        <v>0</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27</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156.6296296296</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8</v>
      </c>
      <c r="D64" s="155">
        <f>IF($B64=" ","",IFERROR(INDEX(MMWR_RATING_STATE_ROLLUP_QST[],MATCH($B64,MMWR_RATING_STATE_ROLLUP_QST[MMWR_RATING_STATE_ROLLUP_QST],0),MATCH(D$9,MMWR_RATING_STATE_ROLLUP_QST[#Headers],0)),"ERROR"))</f>
        <v>60.75</v>
      </c>
      <c r="E64" s="156">
        <f>IF($B64=" ","",IFERROR(INDEX(MMWR_RATING_STATE_ROLLUP_QST[],MATCH($B64,MMWR_RATING_STATE_ROLLUP_QST[MMWR_RATING_STATE_ROLLUP_QST],0),MATCH(E$9,MMWR_RATING_STATE_ROLLUP_QST[#Headers],0))/$C64,"ERROR"))</f>
        <v>0.125</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12</v>
      </c>
      <c r="H64" s="155">
        <f>IF($B64=" ","",IFERROR(INDEX(MMWR_RATING_STATE_ROLLUP_QST[],MATCH($B64,MMWR_RATING_STATE_ROLLUP_QST[MMWR_RATING_STATE_ROLLUP_QST],0),MATCH(H$9,MMWR_RATING_STATE_ROLLUP_QST[#Headers],0)),"ERROR"))</f>
        <v>78</v>
      </c>
      <c r="I64" s="155">
        <f>IF($B64=" ","",IFERROR(INDEX(MMWR_RATING_STATE_ROLLUP_QST[],MATCH($B64,MMWR_RATING_STATE_ROLLUP_QST[MMWR_RATING_STATE_ROLLUP_QST],0),MATCH(I$9,MMWR_RATING_STATE_ROLLUP_QST[#Headers],0)),"ERROR"))</f>
        <v>138.9166666667</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510</v>
      </c>
      <c r="D65" s="155">
        <f>IF($B65=" ","",IFERROR(INDEX(MMWR_RATING_STATE_ROLLUP_QST[],MATCH($B65,MMWR_RATING_STATE_ROLLUP_QST[MMWR_RATING_STATE_ROLLUP_QST],0),MATCH(D$9,MMWR_RATING_STATE_ROLLUP_QST[#Headers],0)),"ERROR"))</f>
        <v>73.339215686299994</v>
      </c>
      <c r="E65" s="156">
        <f>IF($B65=" ","",IFERROR(INDEX(MMWR_RATING_STATE_ROLLUP_QST[],MATCH($B65,MMWR_RATING_STATE_ROLLUP_QST[MMWR_RATING_STATE_ROLLUP_QST],0),MATCH(E$9,MMWR_RATING_STATE_ROLLUP_QST[#Headers],0))/$C65,"ERROR"))</f>
        <v>0.12156862745098039</v>
      </c>
      <c r="F65" s="154">
        <f>IF($B65=" ","",IFERROR(INDEX(MMWR_RATING_STATE_ROLLUP_QST[],MATCH($B65,MMWR_RATING_STATE_ROLLUP_QST[MMWR_RATING_STATE_ROLLUP_QST],0),MATCH(F$9,MMWR_RATING_STATE_ROLLUP_QST[#Headers],0)),"ERROR"))</f>
        <v>109</v>
      </c>
      <c r="G65" s="154">
        <f>IF($B65=" ","",IFERROR(INDEX(MMWR_RATING_STATE_ROLLUP_QST[],MATCH($B65,MMWR_RATING_STATE_ROLLUP_QST[MMWR_RATING_STATE_ROLLUP_QST],0),MATCH(G$9,MMWR_RATING_STATE_ROLLUP_QST[#Headers],0)),"ERROR"))</f>
        <v>1285</v>
      </c>
      <c r="H65" s="155">
        <f>IF($B65=" ","",IFERROR(INDEX(MMWR_RATING_STATE_ROLLUP_QST[],MATCH($B65,MMWR_RATING_STATE_ROLLUP_QST[MMWR_RATING_STATE_ROLLUP_QST],0),MATCH(H$9,MMWR_RATING_STATE_ROLLUP_QST[#Headers],0)),"ERROR"))</f>
        <v>127.47706422020001</v>
      </c>
      <c r="I65" s="155">
        <f>IF($B65=" ","",IFERROR(INDEX(MMWR_RATING_STATE_ROLLUP_QST[],MATCH($B65,MMWR_RATING_STATE_ROLLUP_QST[MMWR_RATING_STATE_ROLLUP_QST],0),MATCH(I$9,MMWR_RATING_STATE_ROLLUP_QST[#Headers],0)),"ERROR"))</f>
        <v>153.79455252919999</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22</v>
      </c>
      <c r="D66" s="155">
        <f>IF($B66=" ","",IFERROR(INDEX(MMWR_RATING_STATE_ROLLUP_QST[],MATCH($B66,MMWR_RATING_STATE_ROLLUP_QST[MMWR_RATING_STATE_ROLLUP_QST],0),MATCH(D$9,MMWR_RATING_STATE_ROLLUP_QST[#Headers],0)),"ERROR"))</f>
        <v>61.9545454545</v>
      </c>
      <c r="E66" s="156">
        <f>IF($B66=" ","",IFERROR(INDEX(MMWR_RATING_STATE_ROLLUP_QST[],MATCH($B66,MMWR_RATING_STATE_ROLLUP_QST[MMWR_RATING_STATE_ROLLUP_QST],0),MATCH(E$9,MMWR_RATING_STATE_ROLLUP_QST[#Headers],0))/$C66,"ERROR"))</f>
        <v>9.0909090909090912E-2</v>
      </c>
      <c r="F66" s="154">
        <f>IF($B66=" ","",IFERROR(INDEX(MMWR_RATING_STATE_ROLLUP_QST[],MATCH($B66,MMWR_RATING_STATE_ROLLUP_QST[MMWR_RATING_STATE_ROLLUP_QST],0),MATCH(F$9,MMWR_RATING_STATE_ROLLUP_QST[#Headers],0)),"ERROR"))</f>
        <v>3</v>
      </c>
      <c r="G66" s="154">
        <f>IF($B66=" ","",IFERROR(INDEX(MMWR_RATING_STATE_ROLLUP_QST[],MATCH($B66,MMWR_RATING_STATE_ROLLUP_QST[MMWR_RATING_STATE_ROLLUP_QST],0),MATCH(G$9,MMWR_RATING_STATE_ROLLUP_QST[#Headers],0)),"ERROR"))</f>
        <v>44</v>
      </c>
      <c r="H66" s="155">
        <f>IF($B66=" ","",IFERROR(INDEX(MMWR_RATING_STATE_ROLLUP_QST[],MATCH($B66,MMWR_RATING_STATE_ROLLUP_QST[MMWR_RATING_STATE_ROLLUP_QST],0),MATCH(H$9,MMWR_RATING_STATE_ROLLUP_QST[#Headers],0)),"ERROR"))</f>
        <v>112.6666666667</v>
      </c>
      <c r="I66" s="155">
        <f>IF($B66=" ","",IFERROR(INDEX(MMWR_RATING_STATE_ROLLUP_QST[],MATCH($B66,MMWR_RATING_STATE_ROLLUP_QST[MMWR_RATING_STATE_ROLLUP_QST],0),MATCH(I$9,MMWR_RATING_STATE_ROLLUP_QST[#Headers],0)),"ERROR"))</f>
        <v>143.4772727273</v>
      </c>
      <c r="J66" s="42"/>
      <c r="K66" s="42"/>
      <c r="L66" s="42"/>
      <c r="M66" s="42"/>
      <c r="N66" s="28"/>
    </row>
    <row r="67" spans="1:14" x14ac:dyDescent="0.2">
      <c r="A67" s="25"/>
      <c r="B67" s="378" t="s">
        <v>1039</v>
      </c>
      <c r="C67" s="379"/>
      <c r="D67" s="379"/>
      <c r="E67" s="379"/>
      <c r="F67" s="379"/>
      <c r="G67" s="379"/>
      <c r="H67" s="379"/>
      <c r="I67" s="379"/>
      <c r="J67" s="379"/>
      <c r="K67" s="379"/>
      <c r="L67" s="379"/>
      <c r="M67" s="388"/>
      <c r="N67" s="28"/>
    </row>
    <row r="68" spans="1:14" ht="25.5" x14ac:dyDescent="0.2">
      <c r="A68" s="25"/>
      <c r="B68" s="250" t="s">
        <v>1035</v>
      </c>
      <c r="C68" s="154">
        <f>IF($B68=" ","",IFERROR(INDEX(MMWR_RATING_STATE_ROLLUP_BDD[],MATCH($B68,MMWR_RATING_STATE_ROLLUP_BDD[MMWR_RATING_STATE_ROLLUP_BDD],0),MATCH(C$9,MMWR_RATING_STATE_ROLLUP_BDD[#Headers],0)),"ERROR"))</f>
        <v>7746</v>
      </c>
      <c r="D68" s="155">
        <f>IF($B68=" ","",IFERROR(INDEX(MMWR_RATING_STATE_ROLLUP_BDD[],MATCH($B68,MMWR_RATING_STATE_ROLLUP_BDD[MMWR_RATING_STATE_ROLLUP_BDD],0),MATCH(D$9,MMWR_RATING_STATE_ROLLUP_BDD[#Headers],0)),"ERROR"))</f>
        <v>67.789052414099999</v>
      </c>
      <c r="E68" s="156">
        <f>IF($B68=" ","",IFERROR(INDEX(MMWR_RATING_STATE_ROLLUP_BDD[],MATCH($B68,MMWR_RATING_STATE_ROLLUP_BDD[MMWR_RATING_STATE_ROLLUP_BDD],0),MATCH(E$9,MMWR_RATING_STATE_ROLLUP_BDD[#Headers],0))/$C68,"ERROR"))</f>
        <v>0.12483862638781307</v>
      </c>
      <c r="F68" s="154">
        <f>IF($B68=" ","",IFERROR(INDEX(MMWR_RATING_STATE_ROLLUP_BDD[],MATCH($B68,MMWR_RATING_STATE_ROLLUP_BDD[MMWR_RATING_STATE_ROLLUP_BDD],0),MATCH(F$9,MMWR_RATING_STATE_ROLLUP_BDD[#Headers],0)),"ERROR"))</f>
        <v>1443</v>
      </c>
      <c r="G68" s="154">
        <f>IF($B68=" ","",IFERROR(INDEX(MMWR_RATING_STATE_ROLLUP_BDD[],MATCH($B68,MMWR_RATING_STATE_ROLLUP_BDD[MMWR_RATING_STATE_ROLLUP_BDD],0),MATCH(G$9,MMWR_RATING_STATE_ROLLUP_BDD[#Headers],0)),"ERROR"))</f>
        <v>23688</v>
      </c>
      <c r="H68" s="155">
        <f>IF($B68=" ","",IFERROR(INDEX(MMWR_RATING_STATE_ROLLUP_BDD[],MATCH($B68,MMWR_RATING_STATE_ROLLUP_BDD[MMWR_RATING_STATE_ROLLUP_BDD],0),MATCH(H$9,MMWR_RATING_STATE_ROLLUP_BDD[#Headers],0)),"ERROR"))</f>
        <v>116.4913374913</v>
      </c>
      <c r="I68" s="155">
        <f>IF($B68=" ","",IFERROR(INDEX(MMWR_RATING_STATE_ROLLUP_BDD[],MATCH($B68,MMWR_RATING_STATE_ROLLUP_BDD[MMWR_RATING_STATE_ROLLUP_BDD],0),MATCH(I$9,MMWR_RATING_STATE_ROLLUP_BDD[#Headers],0)),"ERROR"))</f>
        <v>131.4363390746</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2043</v>
      </c>
      <c r="D69" s="155">
        <f>IF($B69=" ","",IFERROR(INDEX(MMWR_RATING_STATE_ROLLUP_BDD[],MATCH($B69,MMWR_RATING_STATE_ROLLUP_BDD[MMWR_RATING_STATE_ROLLUP_BDD],0),MATCH(D$9,MMWR_RATING_STATE_ROLLUP_BDD[#Headers],0)),"ERROR"))</f>
        <v>64.925599608400006</v>
      </c>
      <c r="E69" s="156">
        <f>IF($B69=" ","",IFERROR(INDEX(MMWR_RATING_STATE_ROLLUP_BDD[],MATCH($B69,MMWR_RATING_STATE_ROLLUP_BDD[MMWR_RATING_STATE_ROLLUP_BDD],0),MATCH(E$9,MMWR_RATING_STATE_ROLLUP_BDD[#Headers],0))/$C69,"ERROR"))</f>
        <v>0.11600587371512482</v>
      </c>
      <c r="F69" s="154">
        <f>IF($B69=" ","",IFERROR(INDEX(MMWR_RATING_STATE_ROLLUP_BDD[],MATCH($B69,MMWR_RATING_STATE_ROLLUP_BDD[MMWR_RATING_STATE_ROLLUP_BDD],0),MATCH(F$9,MMWR_RATING_STATE_ROLLUP_BDD[#Headers],0)),"ERROR"))</f>
        <v>387</v>
      </c>
      <c r="G69" s="154">
        <f>IF($B69=" ","",IFERROR(INDEX(MMWR_RATING_STATE_ROLLUP_BDD[],MATCH($B69,MMWR_RATING_STATE_ROLLUP_BDD[MMWR_RATING_STATE_ROLLUP_BDD],0),MATCH(G$9,MMWR_RATING_STATE_ROLLUP_BDD[#Headers],0)),"ERROR"))</f>
        <v>6268</v>
      </c>
      <c r="H69" s="155">
        <f>IF($B69=" ","",IFERROR(INDEX(MMWR_RATING_STATE_ROLLUP_BDD[],MATCH($B69,MMWR_RATING_STATE_ROLLUP_BDD[MMWR_RATING_STATE_ROLLUP_BDD],0),MATCH(H$9,MMWR_RATING_STATE_ROLLUP_BDD[#Headers],0)),"ERROR"))</f>
        <v>121.4728682171</v>
      </c>
      <c r="I69" s="155">
        <f>IF($B69=" ","",IFERROR(INDEX(MMWR_RATING_STATE_ROLLUP_BDD[],MATCH($B69,MMWR_RATING_STATE_ROLLUP_BDD[MMWR_RATING_STATE_ROLLUP_BDD],0),MATCH(I$9,MMWR_RATING_STATE_ROLLUP_BDD[#Headers],0)),"ERROR"))</f>
        <v>141.5536056158</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28</v>
      </c>
      <c r="D70" s="155">
        <f>IF($B70=" ","",IFERROR(INDEX(MMWR_RATING_STATE_ROLLUP_BDD[],MATCH($B70,MMWR_RATING_STATE_ROLLUP_BDD[MMWR_RATING_STATE_ROLLUP_BDD],0),MATCH(D$9,MMWR_RATING_STATE_ROLLUP_BDD[#Headers],0)),"ERROR"))</f>
        <v>57.642857142899999</v>
      </c>
      <c r="E70" s="156">
        <f>IF($B70=" ","",IFERROR(INDEX(MMWR_RATING_STATE_ROLLUP_BDD[],MATCH($B70,MMWR_RATING_STATE_ROLLUP_BDD[MMWR_RATING_STATE_ROLLUP_BDD],0),MATCH(E$9,MMWR_RATING_STATE_ROLLUP_BDD[#Headers],0))/$C70,"ERROR"))</f>
        <v>3.5714285714285712E-2</v>
      </c>
      <c r="F70" s="154">
        <f>IF($B70=" ","",IFERROR(INDEX(MMWR_RATING_STATE_ROLLUP_BDD[],MATCH($B70,MMWR_RATING_STATE_ROLLUP_BDD[MMWR_RATING_STATE_ROLLUP_BDD],0),MATCH(F$9,MMWR_RATING_STATE_ROLLUP_BDD[#Headers],0)),"ERROR"))</f>
        <v>6</v>
      </c>
      <c r="G70" s="154">
        <f>IF($B70=" ","",IFERROR(INDEX(MMWR_RATING_STATE_ROLLUP_BDD[],MATCH($B70,MMWR_RATING_STATE_ROLLUP_BDD[MMWR_RATING_STATE_ROLLUP_BDD],0),MATCH(G$9,MMWR_RATING_STATE_ROLLUP_BDD[#Headers],0)),"ERROR"))</f>
        <v>133</v>
      </c>
      <c r="H70" s="155">
        <f>IF($B70=" ","",IFERROR(INDEX(MMWR_RATING_STATE_ROLLUP_BDD[],MATCH($B70,MMWR_RATING_STATE_ROLLUP_BDD[MMWR_RATING_STATE_ROLLUP_BDD],0),MATCH(H$9,MMWR_RATING_STATE_ROLLUP_BDD[#Headers],0)),"ERROR"))</f>
        <v>141.3333333333</v>
      </c>
      <c r="I70" s="155">
        <f>IF($B70=" ","",IFERROR(INDEX(MMWR_RATING_STATE_ROLLUP_BDD[],MATCH($B70,MMWR_RATING_STATE_ROLLUP_BDD[MMWR_RATING_STATE_ROLLUP_BDD],0),MATCH(I$9,MMWR_RATING_STATE_ROLLUP_BDD[#Headers],0)),"ERROR"))</f>
        <v>134.69924812030001</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18</v>
      </c>
      <c r="D71" s="155">
        <f>IF($B71=" ","",IFERROR(INDEX(MMWR_RATING_STATE_ROLLUP_BDD[],MATCH($B71,MMWR_RATING_STATE_ROLLUP_BDD[MMWR_RATING_STATE_ROLLUP_BDD],0),MATCH(D$9,MMWR_RATING_STATE_ROLLUP_BDD[#Headers],0)),"ERROR"))</f>
        <v>80.333333333300004</v>
      </c>
      <c r="E71" s="156">
        <f>IF($B71=" ","",IFERROR(INDEX(MMWR_RATING_STATE_ROLLUP_BDD[],MATCH($B71,MMWR_RATING_STATE_ROLLUP_BDD[MMWR_RATING_STATE_ROLLUP_BDD],0),MATCH(E$9,MMWR_RATING_STATE_ROLLUP_BDD[#Headers],0))/$C71,"ERROR"))</f>
        <v>0.22222222222222221</v>
      </c>
      <c r="F71" s="154">
        <f>IF($B71=" ","",IFERROR(INDEX(MMWR_RATING_STATE_ROLLUP_BDD[],MATCH($B71,MMWR_RATING_STATE_ROLLUP_BDD[MMWR_RATING_STATE_ROLLUP_BDD],0),MATCH(F$9,MMWR_RATING_STATE_ROLLUP_BDD[#Headers],0)),"ERROR"))</f>
        <v>4</v>
      </c>
      <c r="G71" s="154">
        <f>IF($B71=" ","",IFERROR(INDEX(MMWR_RATING_STATE_ROLLUP_BDD[],MATCH($B71,MMWR_RATING_STATE_ROLLUP_BDD[MMWR_RATING_STATE_ROLLUP_BDD],0),MATCH(G$9,MMWR_RATING_STATE_ROLLUP_BDD[#Headers],0)),"ERROR"))</f>
        <v>51</v>
      </c>
      <c r="H71" s="155">
        <f>IF($B71=" ","",IFERROR(INDEX(MMWR_RATING_STATE_ROLLUP_BDD[],MATCH($B71,MMWR_RATING_STATE_ROLLUP_BDD[MMWR_RATING_STATE_ROLLUP_BDD],0),MATCH(H$9,MMWR_RATING_STATE_ROLLUP_BDD[#Headers],0)),"ERROR"))</f>
        <v>128.25</v>
      </c>
      <c r="I71" s="155">
        <f>IF($B71=" ","",IFERROR(INDEX(MMWR_RATING_STATE_ROLLUP_BDD[],MATCH($B71,MMWR_RATING_STATE_ROLLUP_BDD[MMWR_RATING_STATE_ROLLUP_BDD],0),MATCH(I$9,MMWR_RATING_STATE_ROLLUP_BDD[#Headers],0)),"ERROR"))</f>
        <v>150.70588235290001</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12</v>
      </c>
      <c r="D72" s="155">
        <f>IF($B72=" ","",IFERROR(INDEX(MMWR_RATING_STATE_ROLLUP_BDD[],MATCH($B72,MMWR_RATING_STATE_ROLLUP_BDD[MMWR_RATING_STATE_ROLLUP_BDD],0),MATCH(D$9,MMWR_RATING_STATE_ROLLUP_BDD[#Headers],0)),"ERROR"))</f>
        <v>47.416666666700003</v>
      </c>
      <c r="E72" s="156">
        <f>IF($B72=" ","",IFERROR(INDEX(MMWR_RATING_STATE_ROLLUP_BDD[],MATCH($B72,MMWR_RATING_STATE_ROLLUP_BDD[MMWR_RATING_STATE_ROLLUP_BDD],0),MATCH(E$9,MMWR_RATING_STATE_ROLLUP_BDD[#Headers],0))/$C72,"ERROR"))</f>
        <v>0</v>
      </c>
      <c r="F72" s="154">
        <f>IF($B72=" ","",IFERROR(INDEX(MMWR_RATING_STATE_ROLLUP_BDD[],MATCH($B72,MMWR_RATING_STATE_ROLLUP_BDD[MMWR_RATING_STATE_ROLLUP_BDD],0),MATCH(F$9,MMWR_RATING_STATE_ROLLUP_BDD[#Headers],0)),"ERROR"))</f>
        <v>6</v>
      </c>
      <c r="G72" s="154">
        <f>IF($B72=" ","",IFERROR(INDEX(MMWR_RATING_STATE_ROLLUP_BDD[],MATCH($B72,MMWR_RATING_STATE_ROLLUP_BDD[MMWR_RATING_STATE_ROLLUP_BDD],0),MATCH(G$9,MMWR_RATING_STATE_ROLLUP_BDD[#Headers],0)),"ERROR"))</f>
        <v>54</v>
      </c>
      <c r="H72" s="155">
        <f>IF($B72=" ","",IFERROR(INDEX(MMWR_RATING_STATE_ROLLUP_BDD[],MATCH($B72,MMWR_RATING_STATE_ROLLUP_BDD[MMWR_RATING_STATE_ROLLUP_BDD],0),MATCH(H$9,MMWR_RATING_STATE_ROLLUP_BDD[#Headers],0)),"ERROR"))</f>
        <v>86.666666666699996</v>
      </c>
      <c r="I72" s="155">
        <f>IF($B72=" ","",IFERROR(INDEX(MMWR_RATING_STATE_ROLLUP_BDD[],MATCH($B72,MMWR_RATING_STATE_ROLLUP_BDD[MMWR_RATING_STATE_ROLLUP_BDD],0),MATCH(I$9,MMWR_RATING_STATE_ROLLUP_BDD[#Headers],0)),"ERROR"))</f>
        <v>131.0185185185</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11</v>
      </c>
      <c r="D73" s="155">
        <f>IF($B73=" ","",IFERROR(INDEX(MMWR_RATING_STATE_ROLLUP_BDD[],MATCH($B73,MMWR_RATING_STATE_ROLLUP_BDD[MMWR_RATING_STATE_ROLLUP_BDD],0),MATCH(D$9,MMWR_RATING_STATE_ROLLUP_BDD[#Headers],0)),"ERROR"))</f>
        <v>32</v>
      </c>
      <c r="E73" s="156">
        <f>IF($B73=" ","",IFERROR(INDEX(MMWR_RATING_STATE_ROLLUP_BDD[],MATCH($B73,MMWR_RATING_STATE_ROLLUP_BDD[MMWR_RATING_STATE_ROLLUP_BDD],0),MATCH(E$9,MMWR_RATING_STATE_ROLLUP_BDD[#Headers],0))/$C73,"ERROR"))</f>
        <v>0</v>
      </c>
      <c r="F73" s="154">
        <f>IF($B73=" ","",IFERROR(INDEX(MMWR_RATING_STATE_ROLLUP_BDD[],MATCH($B73,MMWR_RATING_STATE_ROLLUP_BDD[MMWR_RATING_STATE_ROLLUP_BDD],0),MATCH(F$9,MMWR_RATING_STATE_ROLLUP_BDD[#Headers],0)),"ERROR"))</f>
        <v>3</v>
      </c>
      <c r="G73" s="154">
        <f>IF($B73=" ","",IFERROR(INDEX(MMWR_RATING_STATE_ROLLUP_BDD[],MATCH($B73,MMWR_RATING_STATE_ROLLUP_BDD[MMWR_RATING_STATE_ROLLUP_BDD],0),MATCH(G$9,MMWR_RATING_STATE_ROLLUP_BDD[#Headers],0)),"ERROR"))</f>
        <v>52</v>
      </c>
      <c r="H73" s="155">
        <f>IF($B73=" ","",IFERROR(INDEX(MMWR_RATING_STATE_ROLLUP_BDD[],MATCH($B73,MMWR_RATING_STATE_ROLLUP_BDD[MMWR_RATING_STATE_ROLLUP_BDD],0),MATCH(H$9,MMWR_RATING_STATE_ROLLUP_BDD[#Headers],0)),"ERROR"))</f>
        <v>36</v>
      </c>
      <c r="I73" s="155">
        <f>IF($B73=" ","",IFERROR(INDEX(MMWR_RATING_STATE_ROLLUP_BDD[],MATCH($B73,MMWR_RATING_STATE_ROLLUP_BDD[MMWR_RATING_STATE_ROLLUP_BDD],0),MATCH(I$9,MMWR_RATING_STATE_ROLLUP_BDD[#Headers],0)),"ERROR"))</f>
        <v>132.05769230769999</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186</v>
      </c>
      <c r="D74" s="155">
        <f>IF($B74=" ","",IFERROR(INDEX(MMWR_RATING_STATE_ROLLUP_BDD[],MATCH($B74,MMWR_RATING_STATE_ROLLUP_BDD[MMWR_RATING_STATE_ROLLUP_BDD],0),MATCH(D$9,MMWR_RATING_STATE_ROLLUP_BDD[#Headers],0)),"ERROR"))</f>
        <v>68.736559139799994</v>
      </c>
      <c r="E74" s="156">
        <f>IF($B74=" ","",IFERROR(INDEX(MMWR_RATING_STATE_ROLLUP_BDD[],MATCH($B74,MMWR_RATING_STATE_ROLLUP_BDD[MMWR_RATING_STATE_ROLLUP_BDD],0),MATCH(E$9,MMWR_RATING_STATE_ROLLUP_BDD[#Headers],0))/$C74,"ERROR"))</f>
        <v>0.11290322580645161</v>
      </c>
      <c r="F74" s="154">
        <f>IF($B74=" ","",IFERROR(INDEX(MMWR_RATING_STATE_ROLLUP_BDD[],MATCH($B74,MMWR_RATING_STATE_ROLLUP_BDD[MMWR_RATING_STATE_ROLLUP_BDD],0),MATCH(F$9,MMWR_RATING_STATE_ROLLUP_BDD[#Headers],0)),"ERROR"))</f>
        <v>52</v>
      </c>
      <c r="G74" s="154">
        <f>IF($B74=" ","",IFERROR(INDEX(MMWR_RATING_STATE_ROLLUP_BDD[],MATCH($B74,MMWR_RATING_STATE_ROLLUP_BDD[MMWR_RATING_STATE_ROLLUP_BDD],0),MATCH(G$9,MMWR_RATING_STATE_ROLLUP_BDD[#Headers],0)),"ERROR"))</f>
        <v>689</v>
      </c>
      <c r="H74" s="155">
        <f>IF($B74=" ","",IFERROR(INDEX(MMWR_RATING_STATE_ROLLUP_BDD[],MATCH($B74,MMWR_RATING_STATE_ROLLUP_BDD[MMWR_RATING_STATE_ROLLUP_BDD],0),MATCH(H$9,MMWR_RATING_STATE_ROLLUP_BDD[#Headers],0)),"ERROR"))</f>
        <v>121.1538461538</v>
      </c>
      <c r="I74" s="155">
        <f>IF($B74=" ","",IFERROR(INDEX(MMWR_RATING_STATE_ROLLUP_BDD[],MATCH($B74,MMWR_RATING_STATE_ROLLUP_BDD[MMWR_RATING_STATE_ROLLUP_BDD],0),MATCH(I$9,MMWR_RATING_STATE_ROLLUP_BDD[#Headers],0)),"ERROR"))</f>
        <v>143.07982583450001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53</v>
      </c>
      <c r="D75" s="155">
        <f>IF($B75=" ","",IFERROR(INDEX(MMWR_RATING_STATE_ROLLUP_BDD[],MATCH($B75,MMWR_RATING_STATE_ROLLUP_BDD[MMWR_RATING_STATE_ROLLUP_BDD],0),MATCH(D$9,MMWR_RATING_STATE_ROLLUP_BDD[#Headers],0)),"ERROR"))</f>
        <v>55.471698113199999</v>
      </c>
      <c r="E75" s="156">
        <f>IF($B75=" ","",IFERROR(INDEX(MMWR_RATING_STATE_ROLLUP_BDD[],MATCH($B75,MMWR_RATING_STATE_ROLLUP_BDD[MMWR_RATING_STATE_ROLLUP_BDD],0),MATCH(E$9,MMWR_RATING_STATE_ROLLUP_BDD[#Headers],0))/$C75,"ERROR"))</f>
        <v>1.8867924528301886E-2</v>
      </c>
      <c r="F75" s="154">
        <f>IF($B75=" ","",IFERROR(INDEX(MMWR_RATING_STATE_ROLLUP_BDD[],MATCH($B75,MMWR_RATING_STATE_ROLLUP_BDD[MMWR_RATING_STATE_ROLLUP_BDD],0),MATCH(F$9,MMWR_RATING_STATE_ROLLUP_BDD[#Headers],0)),"ERROR"))</f>
        <v>6</v>
      </c>
      <c r="G75" s="154">
        <f>IF($B75=" ","",IFERROR(INDEX(MMWR_RATING_STATE_ROLLUP_BDD[],MATCH($B75,MMWR_RATING_STATE_ROLLUP_BDD[MMWR_RATING_STATE_ROLLUP_BDD],0),MATCH(G$9,MMWR_RATING_STATE_ROLLUP_BDD[#Headers],0)),"ERROR"))</f>
        <v>112</v>
      </c>
      <c r="H75" s="155">
        <f>IF($B75=" ","",IFERROR(INDEX(MMWR_RATING_STATE_ROLLUP_BDD[],MATCH($B75,MMWR_RATING_STATE_ROLLUP_BDD[MMWR_RATING_STATE_ROLLUP_BDD],0),MATCH(H$9,MMWR_RATING_STATE_ROLLUP_BDD[#Headers],0)),"ERROR"))</f>
        <v>78.666666666699996</v>
      </c>
      <c r="I75" s="155">
        <f>IF($B75=" ","",IFERROR(INDEX(MMWR_RATING_STATE_ROLLUP_BDD[],MATCH($B75,MMWR_RATING_STATE_ROLLUP_BDD[MMWR_RATING_STATE_ROLLUP_BDD],0),MATCH(I$9,MMWR_RATING_STATE_ROLLUP_BDD[#Headers],0)),"ERROR"))</f>
        <v>126.75</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7</v>
      </c>
      <c r="D76" s="155">
        <f>IF($B76=" ","",IFERROR(INDEX(MMWR_RATING_STATE_ROLLUP_BDD[],MATCH($B76,MMWR_RATING_STATE_ROLLUP_BDD[MMWR_RATING_STATE_ROLLUP_BDD],0),MATCH(D$9,MMWR_RATING_STATE_ROLLUP_BDD[#Headers],0)),"ERROR"))</f>
        <v>72.285714285699996</v>
      </c>
      <c r="E76" s="156">
        <f>IF($B76=" ","",IFERROR(INDEX(MMWR_RATING_STATE_ROLLUP_BDD[],MATCH($B76,MMWR_RATING_STATE_ROLLUP_BDD[MMWR_RATING_STATE_ROLLUP_BDD],0),MATCH(E$9,MMWR_RATING_STATE_ROLLUP_BDD[#Headers],0))/$C76,"ERROR"))</f>
        <v>0.2857142857142857</v>
      </c>
      <c r="F76" s="154">
        <f>IF($B76=" ","",IFERROR(INDEX(MMWR_RATING_STATE_ROLLUP_BDD[],MATCH($B76,MMWR_RATING_STATE_ROLLUP_BDD[MMWR_RATING_STATE_ROLLUP_BDD],0),MATCH(F$9,MMWR_RATING_STATE_ROLLUP_BDD[#Headers],0)),"ERROR"))</f>
        <v>2</v>
      </c>
      <c r="G76" s="154">
        <f>IF($B76=" ","",IFERROR(INDEX(MMWR_RATING_STATE_ROLLUP_BDD[],MATCH($B76,MMWR_RATING_STATE_ROLLUP_BDD[MMWR_RATING_STATE_ROLLUP_BDD],0),MATCH(G$9,MMWR_RATING_STATE_ROLLUP_BDD[#Headers],0)),"ERROR"))</f>
        <v>49</v>
      </c>
      <c r="H76" s="155">
        <f>IF($B76=" ","",IFERROR(INDEX(MMWR_RATING_STATE_ROLLUP_BDD[],MATCH($B76,MMWR_RATING_STATE_ROLLUP_BDD[MMWR_RATING_STATE_ROLLUP_BDD],0),MATCH(H$9,MMWR_RATING_STATE_ROLLUP_BDD[#Headers],0)),"ERROR"))</f>
        <v>219.5</v>
      </c>
      <c r="I76" s="155">
        <f>IF($B76=" ","",IFERROR(INDEX(MMWR_RATING_STATE_ROLLUP_BDD[],MATCH($B76,MMWR_RATING_STATE_ROLLUP_BDD[MMWR_RATING_STATE_ROLLUP_BDD],0),MATCH(I$9,MMWR_RATING_STATE_ROLLUP_BDD[#Headers],0)),"ERROR"))</f>
        <v>136.26530612240001</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72</v>
      </c>
      <c r="D77" s="155">
        <f>IF($B77=" ","",IFERROR(INDEX(MMWR_RATING_STATE_ROLLUP_BDD[],MATCH($B77,MMWR_RATING_STATE_ROLLUP_BDD[MMWR_RATING_STATE_ROLLUP_BDD],0),MATCH(D$9,MMWR_RATING_STATE_ROLLUP_BDD[#Headers],0)),"ERROR"))</f>
        <v>71.541666666699996</v>
      </c>
      <c r="E77" s="156">
        <f>IF($B77=" ","",IFERROR(INDEX(MMWR_RATING_STATE_ROLLUP_BDD[],MATCH($B77,MMWR_RATING_STATE_ROLLUP_BDD[MMWR_RATING_STATE_ROLLUP_BDD],0),MATCH(E$9,MMWR_RATING_STATE_ROLLUP_BDD[#Headers],0))/$C77,"ERROR"))</f>
        <v>0.16666666666666666</v>
      </c>
      <c r="F77" s="154">
        <f>IF($B77=" ","",IFERROR(INDEX(MMWR_RATING_STATE_ROLLUP_BDD[],MATCH($B77,MMWR_RATING_STATE_ROLLUP_BDD[MMWR_RATING_STATE_ROLLUP_BDD],0),MATCH(F$9,MMWR_RATING_STATE_ROLLUP_BDD[#Headers],0)),"ERROR"))</f>
        <v>10</v>
      </c>
      <c r="G77" s="154">
        <f>IF($B77=" ","",IFERROR(INDEX(MMWR_RATING_STATE_ROLLUP_BDD[],MATCH($B77,MMWR_RATING_STATE_ROLLUP_BDD[MMWR_RATING_STATE_ROLLUP_BDD],0),MATCH(G$9,MMWR_RATING_STATE_ROLLUP_BDD[#Headers],0)),"ERROR"))</f>
        <v>168</v>
      </c>
      <c r="H77" s="155">
        <f>IF($B77=" ","",IFERROR(INDEX(MMWR_RATING_STATE_ROLLUP_BDD[],MATCH($B77,MMWR_RATING_STATE_ROLLUP_BDD[MMWR_RATING_STATE_ROLLUP_BDD],0),MATCH(H$9,MMWR_RATING_STATE_ROLLUP_BDD[#Headers],0)),"ERROR"))</f>
        <v>116.1</v>
      </c>
      <c r="I77" s="155">
        <f>IF($B77=" ","",IFERROR(INDEX(MMWR_RATING_STATE_ROLLUP_BDD[],MATCH($B77,MMWR_RATING_STATE_ROLLUP_BDD[MMWR_RATING_STATE_ROLLUP_BDD],0),MATCH(I$9,MMWR_RATING_STATE_ROLLUP_BDD[#Headers],0)),"ERROR"))</f>
        <v>135.7678571429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131</v>
      </c>
      <c r="D78" s="155">
        <f>IF($B78=" ","",IFERROR(INDEX(MMWR_RATING_STATE_ROLLUP_BDD[],MATCH($B78,MMWR_RATING_STATE_ROLLUP_BDD[MMWR_RATING_STATE_ROLLUP_BDD],0),MATCH(D$9,MMWR_RATING_STATE_ROLLUP_BDD[#Headers],0)),"ERROR"))</f>
        <v>66.351145038200002</v>
      </c>
      <c r="E78" s="156">
        <f>IF($B78=" ","",IFERROR(INDEX(MMWR_RATING_STATE_ROLLUP_BDD[],MATCH($B78,MMWR_RATING_STATE_ROLLUP_BDD[MMWR_RATING_STATE_ROLLUP_BDD],0),MATCH(E$9,MMWR_RATING_STATE_ROLLUP_BDD[#Headers],0))/$C78,"ERROR"))</f>
        <v>0.13740458015267176</v>
      </c>
      <c r="F78" s="154">
        <f>IF($B78=" ","",IFERROR(INDEX(MMWR_RATING_STATE_ROLLUP_BDD[],MATCH($B78,MMWR_RATING_STATE_ROLLUP_BDD[MMWR_RATING_STATE_ROLLUP_BDD],0),MATCH(F$9,MMWR_RATING_STATE_ROLLUP_BDD[#Headers],0)),"ERROR"))</f>
        <v>33</v>
      </c>
      <c r="G78" s="154">
        <f>IF($B78=" ","",IFERROR(INDEX(MMWR_RATING_STATE_ROLLUP_BDD[],MATCH($B78,MMWR_RATING_STATE_ROLLUP_BDD[MMWR_RATING_STATE_ROLLUP_BDD],0),MATCH(G$9,MMWR_RATING_STATE_ROLLUP_BDD[#Headers],0)),"ERROR"))</f>
        <v>369</v>
      </c>
      <c r="H78" s="155">
        <f>IF($B78=" ","",IFERROR(INDEX(MMWR_RATING_STATE_ROLLUP_BDD[],MATCH($B78,MMWR_RATING_STATE_ROLLUP_BDD[MMWR_RATING_STATE_ROLLUP_BDD],0),MATCH(H$9,MMWR_RATING_STATE_ROLLUP_BDD[#Headers],0)),"ERROR"))</f>
        <v>106.06060606059999</v>
      </c>
      <c r="I78" s="155">
        <f>IF($B78=" ","",IFERROR(INDEX(MMWR_RATING_STATE_ROLLUP_BDD[],MATCH($B78,MMWR_RATING_STATE_ROLLUP_BDD[MMWR_RATING_STATE_ROLLUP_BDD],0),MATCH(I$9,MMWR_RATING_STATE_ROLLUP_BDD[#Headers],0)),"ERROR"))</f>
        <v>129.9241192412</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708</v>
      </c>
      <c r="D79" s="155">
        <f>IF($B79=" ","",IFERROR(INDEX(MMWR_RATING_STATE_ROLLUP_BDD[],MATCH($B79,MMWR_RATING_STATE_ROLLUP_BDD[MMWR_RATING_STATE_ROLLUP_BDD],0),MATCH(D$9,MMWR_RATING_STATE_ROLLUP_BDD[#Headers],0)),"ERROR"))</f>
        <v>59.807909604499997</v>
      </c>
      <c r="E79" s="156">
        <f>IF($B79=" ","",IFERROR(INDEX(MMWR_RATING_STATE_ROLLUP_BDD[],MATCH($B79,MMWR_RATING_STATE_ROLLUP_BDD[MMWR_RATING_STATE_ROLLUP_BDD],0),MATCH(E$9,MMWR_RATING_STATE_ROLLUP_BDD[#Headers],0))/$C79,"ERROR"))</f>
        <v>9.7457627118644072E-2</v>
      </c>
      <c r="F79" s="154">
        <f>IF($B79=" ","",IFERROR(INDEX(MMWR_RATING_STATE_ROLLUP_BDD[],MATCH($B79,MMWR_RATING_STATE_ROLLUP_BDD[MMWR_RATING_STATE_ROLLUP_BDD],0),MATCH(F$9,MMWR_RATING_STATE_ROLLUP_BDD[#Headers],0)),"ERROR"))</f>
        <v>116</v>
      </c>
      <c r="G79" s="154">
        <f>IF($B79=" ","",IFERROR(INDEX(MMWR_RATING_STATE_ROLLUP_BDD[],MATCH($B79,MMWR_RATING_STATE_ROLLUP_BDD[MMWR_RATING_STATE_ROLLUP_BDD],0),MATCH(G$9,MMWR_RATING_STATE_ROLLUP_BDD[#Headers],0)),"ERROR"))</f>
        <v>1989</v>
      </c>
      <c r="H79" s="155">
        <f>IF($B79=" ","",IFERROR(INDEX(MMWR_RATING_STATE_ROLLUP_BDD[],MATCH($B79,MMWR_RATING_STATE_ROLLUP_BDD[MMWR_RATING_STATE_ROLLUP_BDD],0),MATCH(H$9,MMWR_RATING_STATE_ROLLUP_BDD[#Headers],0)),"ERROR"))</f>
        <v>120.8793103448</v>
      </c>
      <c r="I79" s="155">
        <f>IF($B79=" ","",IFERROR(INDEX(MMWR_RATING_STATE_ROLLUP_BDD[],MATCH($B79,MMWR_RATING_STATE_ROLLUP_BDD[MMWR_RATING_STATE_ROLLUP_BDD],0),MATCH(I$9,MMWR_RATING_STATE_ROLLUP_BDD[#Headers],0)),"ERROR"))</f>
        <v>141.23730517850001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110</v>
      </c>
      <c r="D80" s="155">
        <f>IF($B80=" ","",IFERROR(INDEX(MMWR_RATING_STATE_ROLLUP_BDD[],MATCH($B80,MMWR_RATING_STATE_ROLLUP_BDD[MMWR_RATING_STATE_ROLLUP_BDD],0),MATCH(D$9,MMWR_RATING_STATE_ROLLUP_BDD[#Headers],0)),"ERROR"))</f>
        <v>76.7</v>
      </c>
      <c r="E80" s="156">
        <f>IF($B80=" ","",IFERROR(INDEX(MMWR_RATING_STATE_ROLLUP_BDD[],MATCH($B80,MMWR_RATING_STATE_ROLLUP_BDD[MMWR_RATING_STATE_ROLLUP_BDD],0),MATCH(E$9,MMWR_RATING_STATE_ROLLUP_BDD[#Headers],0))/$C80,"ERROR"))</f>
        <v>0.16363636363636364</v>
      </c>
      <c r="F80" s="154">
        <f>IF($B80=" ","",IFERROR(INDEX(MMWR_RATING_STATE_ROLLUP_BDD[],MATCH($B80,MMWR_RATING_STATE_ROLLUP_BDD[MMWR_RATING_STATE_ROLLUP_BDD],0),MATCH(F$9,MMWR_RATING_STATE_ROLLUP_BDD[#Headers],0)),"ERROR"))</f>
        <v>19</v>
      </c>
      <c r="G80" s="154">
        <f>IF($B80=" ","",IFERROR(INDEX(MMWR_RATING_STATE_ROLLUP_BDD[],MATCH($B80,MMWR_RATING_STATE_ROLLUP_BDD[MMWR_RATING_STATE_ROLLUP_BDD],0),MATCH(G$9,MMWR_RATING_STATE_ROLLUP_BDD[#Headers],0)),"ERROR"))</f>
        <v>337</v>
      </c>
      <c r="H80" s="155">
        <f>IF($B80=" ","",IFERROR(INDEX(MMWR_RATING_STATE_ROLLUP_BDD[],MATCH($B80,MMWR_RATING_STATE_ROLLUP_BDD[MMWR_RATING_STATE_ROLLUP_BDD],0),MATCH(H$9,MMWR_RATING_STATE_ROLLUP_BDD[#Headers],0)),"ERROR"))</f>
        <v>145</v>
      </c>
      <c r="I80" s="155">
        <f>IF($B80=" ","",IFERROR(INDEX(MMWR_RATING_STATE_ROLLUP_BDD[],MATCH($B80,MMWR_RATING_STATE_ROLLUP_BDD[MMWR_RATING_STATE_ROLLUP_BDD],0),MATCH(I$9,MMWR_RATING_STATE_ROLLUP_BDD[#Headers],0)),"ERROR"))</f>
        <v>131.4955489614</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8</v>
      </c>
      <c r="D81" s="155">
        <f>IF($B81=" ","",IFERROR(INDEX(MMWR_RATING_STATE_ROLLUP_BDD[],MATCH($B81,MMWR_RATING_STATE_ROLLUP_BDD[MMWR_RATING_STATE_ROLLUP_BDD],0),MATCH(D$9,MMWR_RATING_STATE_ROLLUP_BDD[#Headers],0)),"ERROR"))</f>
        <v>72.5</v>
      </c>
      <c r="E81" s="156">
        <f>IF($B81=" ","",IFERROR(INDEX(MMWR_RATING_STATE_ROLLUP_BDD[],MATCH($B81,MMWR_RATING_STATE_ROLLUP_BDD[MMWR_RATING_STATE_ROLLUP_BDD],0),MATCH(E$9,MMWR_RATING_STATE_ROLLUP_BDD[#Headers],0))/$C81,"ERROR"))</f>
        <v>0.125</v>
      </c>
      <c r="F81" s="154">
        <f>IF($B81=" ","",IFERROR(INDEX(MMWR_RATING_STATE_ROLLUP_BDD[],MATCH($B81,MMWR_RATING_STATE_ROLLUP_BDD[MMWR_RATING_STATE_ROLLUP_BDD],0),MATCH(F$9,MMWR_RATING_STATE_ROLLUP_BDD[#Headers],0)),"ERROR"))</f>
        <v>2</v>
      </c>
      <c r="G81" s="154">
        <f>IF($B81=" ","",IFERROR(INDEX(MMWR_RATING_STATE_ROLLUP_BDD[],MATCH($B81,MMWR_RATING_STATE_ROLLUP_BDD[MMWR_RATING_STATE_ROLLUP_BDD],0),MATCH(G$9,MMWR_RATING_STATE_ROLLUP_BDD[#Headers],0)),"ERROR"))</f>
        <v>23</v>
      </c>
      <c r="H81" s="155">
        <f>IF($B81=" ","",IFERROR(INDEX(MMWR_RATING_STATE_ROLLUP_BDD[],MATCH($B81,MMWR_RATING_STATE_ROLLUP_BDD[MMWR_RATING_STATE_ROLLUP_BDD],0),MATCH(H$9,MMWR_RATING_STATE_ROLLUP_BDD[#Headers],0)),"ERROR"))</f>
        <v>71</v>
      </c>
      <c r="I81" s="155">
        <f>IF($B81=" ","",IFERROR(INDEX(MMWR_RATING_STATE_ROLLUP_BDD[],MATCH($B81,MMWR_RATING_STATE_ROLLUP_BDD[MMWR_RATING_STATE_ROLLUP_BDD],0),MATCH(I$9,MMWR_RATING_STATE_ROLLUP_BDD[#Headers],0)),"ERROR"))</f>
        <v>124.9565217391</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6</v>
      </c>
      <c r="D82" s="155">
        <f>IF($B82=" ","",IFERROR(INDEX(MMWR_RATING_STATE_ROLLUP_BDD[],MATCH($B82,MMWR_RATING_STATE_ROLLUP_BDD[MMWR_RATING_STATE_ROLLUP_BDD],0),MATCH(D$9,MMWR_RATING_STATE_ROLLUP_BDD[#Headers],0)),"ERROR"))</f>
        <v>82.666666666699996</v>
      </c>
      <c r="E82" s="156">
        <f>IF($B82=" ","",IFERROR(INDEX(MMWR_RATING_STATE_ROLLUP_BDD[],MATCH($B82,MMWR_RATING_STATE_ROLLUP_BDD[MMWR_RATING_STATE_ROLLUP_BDD],0),MATCH(E$9,MMWR_RATING_STATE_ROLLUP_BDD[#Headers],0))/$C82,"ERROR"))</f>
        <v>0.16666666666666666</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12</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115.4166666667</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679</v>
      </c>
      <c r="D83" s="155">
        <f>IF($B83=" ","",IFERROR(INDEX(MMWR_RATING_STATE_ROLLUP_BDD[],MATCH($B83,MMWR_RATING_STATE_ROLLUP_BDD[MMWR_RATING_STATE_ROLLUP_BDD],0),MATCH(D$9,MMWR_RATING_STATE_ROLLUP_BDD[#Headers],0)),"ERROR"))</f>
        <v>67.368188512499998</v>
      </c>
      <c r="E83" s="156">
        <f>IF($B83=" ","",IFERROR(INDEX(MMWR_RATING_STATE_ROLLUP_BDD[],MATCH($B83,MMWR_RATING_STATE_ROLLUP_BDD[MMWR_RATING_STATE_ROLLUP_BDD],0),MATCH(E$9,MMWR_RATING_STATE_ROLLUP_BDD[#Headers],0))/$C83,"ERROR"))</f>
        <v>0.13107511045655376</v>
      </c>
      <c r="F83" s="154">
        <f>IF($B83=" ","",IFERROR(INDEX(MMWR_RATING_STATE_ROLLUP_BDD[],MATCH($B83,MMWR_RATING_STATE_ROLLUP_BDD[MMWR_RATING_STATE_ROLLUP_BDD],0),MATCH(F$9,MMWR_RATING_STATE_ROLLUP_BDD[#Headers],0)),"ERROR"))</f>
        <v>126</v>
      </c>
      <c r="G83" s="154">
        <f>IF($B83=" ","",IFERROR(INDEX(MMWR_RATING_STATE_ROLLUP_BDD[],MATCH($B83,MMWR_RATING_STATE_ROLLUP_BDD[MMWR_RATING_STATE_ROLLUP_BDD],0),MATCH(G$9,MMWR_RATING_STATE_ROLLUP_BDD[#Headers],0)),"ERROR"))</f>
        <v>2156</v>
      </c>
      <c r="H83" s="155">
        <f>IF($B83=" ","",IFERROR(INDEX(MMWR_RATING_STATE_ROLLUP_BDD[],MATCH($B83,MMWR_RATING_STATE_ROLLUP_BDD[MMWR_RATING_STATE_ROLLUP_BDD],0),MATCH(H$9,MMWR_RATING_STATE_ROLLUP_BDD[#Headers],0)),"ERROR"))</f>
        <v>128.46825396829999</v>
      </c>
      <c r="I83" s="155">
        <f>IF($B83=" ","",IFERROR(INDEX(MMWR_RATING_STATE_ROLLUP_BDD[],MATCH($B83,MMWR_RATING_STATE_ROLLUP_BDD[MMWR_RATING_STATE_ROLLUP_BDD],0),MATCH(I$9,MMWR_RATING_STATE_ROLLUP_BDD[#Headers],0)),"ERROR"))</f>
        <v>147.82421150280001</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14</v>
      </c>
      <c r="D84" s="155">
        <f>IF($B84=" ","",IFERROR(INDEX(MMWR_RATING_STATE_ROLLUP_BDD[],MATCH($B84,MMWR_RATING_STATE_ROLLUP_BDD[MMWR_RATING_STATE_ROLLUP_BDD],0),MATCH(D$9,MMWR_RATING_STATE_ROLLUP_BDD[#Headers],0)),"ERROR"))</f>
        <v>70.571428571400006</v>
      </c>
      <c r="E84" s="156">
        <f>IF($B84=" ","",IFERROR(INDEX(MMWR_RATING_STATE_ROLLUP_BDD[],MATCH($B84,MMWR_RATING_STATE_ROLLUP_BDD[MMWR_RATING_STATE_ROLLUP_BDD],0),MATCH(E$9,MMWR_RATING_STATE_ROLLUP_BDD[#Headers],0))/$C84,"ERROR"))</f>
        <v>0</v>
      </c>
      <c r="F84" s="154">
        <f>IF($B84=" ","",IFERROR(INDEX(MMWR_RATING_STATE_ROLLUP_BDD[],MATCH($B84,MMWR_RATING_STATE_ROLLUP_BDD[MMWR_RATING_STATE_ROLLUP_BDD],0),MATCH(F$9,MMWR_RATING_STATE_ROLLUP_BDD[#Headers],0)),"ERROR"))</f>
        <v>2</v>
      </c>
      <c r="G84" s="154">
        <f>IF($B84=" ","",IFERROR(INDEX(MMWR_RATING_STATE_ROLLUP_BDD[],MATCH($B84,MMWR_RATING_STATE_ROLLUP_BDD[MMWR_RATING_STATE_ROLLUP_BDD],0),MATCH(G$9,MMWR_RATING_STATE_ROLLUP_BDD[#Headers],0)),"ERROR"))</f>
        <v>74</v>
      </c>
      <c r="H84" s="155">
        <f>IF($B84=" ","",IFERROR(INDEX(MMWR_RATING_STATE_ROLLUP_BDD[],MATCH($B84,MMWR_RATING_STATE_ROLLUP_BDD[MMWR_RATING_STATE_ROLLUP_BDD],0),MATCH(H$9,MMWR_RATING_STATE_ROLLUP_BDD[#Headers],0)),"ERROR"))</f>
        <v>21.5</v>
      </c>
      <c r="I84" s="155">
        <f>IF($B84=" ","",IFERROR(INDEX(MMWR_RATING_STATE_ROLLUP_BDD[],MATCH($B84,MMWR_RATING_STATE_ROLLUP_BDD[MMWR_RATING_STATE_ROLLUP_BDD],0),MATCH(I$9,MMWR_RATING_STATE_ROLLUP_BDD[#Headers],0)),"ERROR"))</f>
        <v>125.7567567568</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6" t="s">
        <v>296</v>
      </c>
      <c r="C2" s="417"/>
      <c r="D2" s="417"/>
      <c r="E2" s="417"/>
      <c r="F2" s="417"/>
      <c r="G2" s="417"/>
      <c r="H2" s="417"/>
      <c r="I2" s="417"/>
      <c r="J2" s="417"/>
      <c r="K2" s="417"/>
      <c r="L2" s="417"/>
      <c r="M2" s="417"/>
      <c r="N2" s="417"/>
      <c r="O2" s="417"/>
      <c r="P2" s="417"/>
      <c r="Q2" s="417"/>
      <c r="R2" s="417"/>
      <c r="S2" s="417"/>
      <c r="T2" s="417"/>
      <c r="U2" s="418"/>
      <c r="V2" s="25"/>
    </row>
    <row r="3" spans="1:22" s="1" customFormat="1" ht="63" customHeight="1" thickBot="1" x14ac:dyDescent="0.25">
      <c r="A3" s="25"/>
      <c r="B3" s="425" t="s">
        <v>311</v>
      </c>
      <c r="C3" s="426"/>
      <c r="D3" s="426"/>
      <c r="E3" s="426"/>
      <c r="F3" s="426"/>
      <c r="G3" s="426"/>
      <c r="H3" s="426"/>
      <c r="I3" s="426"/>
      <c r="J3" s="426"/>
      <c r="K3" s="426"/>
      <c r="L3" s="426"/>
      <c r="M3" s="426"/>
      <c r="N3" s="426"/>
      <c r="O3" s="426"/>
      <c r="P3" s="426"/>
      <c r="Q3" s="426"/>
      <c r="R3" s="426"/>
      <c r="S3" s="426"/>
      <c r="T3" s="426"/>
      <c r="U3" s="427"/>
      <c r="V3" s="25"/>
    </row>
    <row r="4" spans="1:22" s="1" customFormat="1" ht="32.25" customHeight="1" thickBot="1" x14ac:dyDescent="0.25">
      <c r="A4" s="25"/>
      <c r="B4" s="422" t="str">
        <f>Transformation!B4</f>
        <v>As of: July 23, 2016</v>
      </c>
      <c r="C4" s="423"/>
      <c r="D4" s="423"/>
      <c r="E4" s="423"/>
      <c r="F4" s="423"/>
      <c r="G4" s="423"/>
      <c r="H4" s="423"/>
      <c r="I4" s="423"/>
      <c r="J4" s="423"/>
      <c r="K4" s="423"/>
      <c r="L4" s="423"/>
      <c r="M4" s="423"/>
      <c r="N4" s="423"/>
      <c r="O4" s="423"/>
      <c r="P4" s="423"/>
      <c r="Q4" s="423"/>
      <c r="R4" s="423"/>
      <c r="S4" s="423"/>
      <c r="T4" s="423"/>
      <c r="U4" s="424"/>
      <c r="V4" s="25"/>
    </row>
    <row r="5" spans="1:22" s="1" customFormat="1" ht="27" customHeight="1" thickBot="1" x14ac:dyDescent="0.45">
      <c r="A5" s="25"/>
      <c r="B5" s="429" t="s">
        <v>239</v>
      </c>
      <c r="C5" s="430"/>
      <c r="D5" s="430"/>
      <c r="E5" s="430"/>
      <c r="F5" s="430"/>
      <c r="G5" s="430"/>
      <c r="H5" s="431"/>
      <c r="I5" s="55"/>
      <c r="J5" s="429" t="s">
        <v>236</v>
      </c>
      <c r="K5" s="430"/>
      <c r="L5" s="430"/>
      <c r="M5" s="430"/>
      <c r="N5" s="431"/>
      <c r="O5" s="56"/>
      <c r="P5" s="432" t="s">
        <v>11</v>
      </c>
      <c r="Q5" s="433"/>
      <c r="R5" s="433"/>
      <c r="S5" s="433"/>
      <c r="T5" s="433"/>
      <c r="U5" s="434"/>
      <c r="V5" s="25"/>
    </row>
    <row r="6" spans="1:22" s="1" customFormat="1" ht="65.25" customHeight="1" thickBot="1" x14ac:dyDescent="0.25">
      <c r="A6" s="25"/>
      <c r="B6" s="419" t="s">
        <v>279</v>
      </c>
      <c r="C6" s="420"/>
      <c r="D6" s="420"/>
      <c r="E6" s="421"/>
      <c r="F6" s="57" t="s">
        <v>12</v>
      </c>
      <c r="G6" s="58" t="s">
        <v>3</v>
      </c>
      <c r="H6" s="59" t="s">
        <v>4</v>
      </c>
      <c r="I6" s="25"/>
      <c r="J6" s="408" t="s">
        <v>279</v>
      </c>
      <c r="K6" s="409"/>
      <c r="L6" s="60" t="s">
        <v>12</v>
      </c>
      <c r="M6" s="61" t="s">
        <v>3</v>
      </c>
      <c r="N6" s="62" t="s">
        <v>4</v>
      </c>
      <c r="O6" s="63"/>
      <c r="P6" s="435" t="s">
        <v>279</v>
      </c>
      <c r="Q6" s="436"/>
      <c r="R6" s="64" t="s">
        <v>487</v>
      </c>
      <c r="S6" s="437" t="s">
        <v>279</v>
      </c>
      <c r="T6" s="438"/>
      <c r="U6" s="65" t="s">
        <v>134</v>
      </c>
      <c r="V6" s="25"/>
    </row>
    <row r="7" spans="1:22" s="1" customFormat="1" ht="32.25" customHeight="1" thickBot="1" x14ac:dyDescent="0.25">
      <c r="A7" s="25"/>
      <c r="B7" s="402" t="s">
        <v>298</v>
      </c>
      <c r="C7" s="403"/>
      <c r="D7" s="403"/>
      <c r="E7" s="403"/>
      <c r="F7" s="166">
        <f>SUM(F8:F10)</f>
        <v>118320</v>
      </c>
      <c r="G7" s="167">
        <f>SUM(G8:G10)</f>
        <v>29469</v>
      </c>
      <c r="H7" s="168">
        <f t="shared" ref="H7:H44" si="0">IF(G7="--", 0, G7/F7)</f>
        <v>0.24906186612576064</v>
      </c>
      <c r="I7" s="25"/>
      <c r="J7" s="402" t="s">
        <v>264</v>
      </c>
      <c r="K7" s="403"/>
      <c r="L7" s="167">
        <f>SUM(L8:L10)</f>
        <v>30838</v>
      </c>
      <c r="M7" s="167">
        <f>SUM(M8:M10)</f>
        <v>4430</v>
      </c>
      <c r="N7" s="178">
        <f>IF(M7="--", 0, M7/L7)</f>
        <v>0.14365393345871977</v>
      </c>
      <c r="O7" s="66"/>
      <c r="P7" s="402" t="s">
        <v>965</v>
      </c>
      <c r="Q7" s="403"/>
      <c r="R7" s="179">
        <f>R8+R9+R10+R11+R12</f>
        <v>318660</v>
      </c>
      <c r="S7" s="402"/>
      <c r="T7" s="403"/>
      <c r="U7" s="67"/>
      <c r="V7" s="25"/>
    </row>
    <row r="8" spans="1:22" s="1" customFormat="1" ht="51" customHeight="1" x14ac:dyDescent="0.2">
      <c r="A8" s="25"/>
      <c r="B8" s="286" t="s">
        <v>249</v>
      </c>
      <c r="C8" s="287"/>
      <c r="D8" s="287"/>
      <c r="E8" s="428"/>
      <c r="F8" s="169">
        <f>IFERROR(VLOOKUP(MID(B8,4,3),MMWR_TRAD_AGG_NATIONAL[],2,0),"--")</f>
        <v>305</v>
      </c>
      <c r="G8" s="170">
        <f>IFERROR(VLOOKUP(MID(B8,4,3),MMWR_TRAD_AGG_NATIONAL[],3,0),"--")</f>
        <v>165</v>
      </c>
      <c r="H8" s="171">
        <f t="shared" si="0"/>
        <v>0.54098360655737709</v>
      </c>
      <c r="I8" s="25"/>
      <c r="J8" s="404" t="s">
        <v>266</v>
      </c>
      <c r="K8" s="405"/>
      <c r="L8" s="169">
        <f>IFERROR(VLOOKUP(MID(J8,4,3),MMWR_TRAD_AGG_NATIONAL[],2,0),"--")</f>
        <v>7142</v>
      </c>
      <c r="M8" s="170">
        <f>IFERROR(VLOOKUP(MID(J8,4,3),MMWR_TRAD_AGG_NATIONAL[],3,0),"--")</f>
        <v>562</v>
      </c>
      <c r="N8" s="171">
        <f>IF(M8="--", 0, M8/L8)</f>
        <v>7.8689442733127973E-2</v>
      </c>
      <c r="O8" s="68" t="s">
        <v>310</v>
      </c>
      <c r="P8" s="439" t="s">
        <v>240</v>
      </c>
      <c r="Q8" s="440"/>
      <c r="R8" s="180">
        <f>VLOOKUP(P8,MMWR_APP_NATIONAL[],2,0)</f>
        <v>232530</v>
      </c>
      <c r="S8" s="407" t="s">
        <v>229</v>
      </c>
      <c r="T8" s="406"/>
      <c r="U8" s="181">
        <f>VLOOKUP(P8,MMWR_APP_NATIONAL[],3,0)</f>
        <v>409.13774981400002</v>
      </c>
      <c r="V8" s="25"/>
    </row>
    <row r="9" spans="1:22" s="1" customFormat="1" ht="45" customHeight="1" x14ac:dyDescent="0.2">
      <c r="A9" s="25"/>
      <c r="B9" s="286" t="s">
        <v>247</v>
      </c>
      <c r="C9" s="287"/>
      <c r="D9" s="287"/>
      <c r="E9" s="428"/>
      <c r="F9" s="169">
        <f>IFERROR(VLOOKUP(MID(B9,4,3),MMWR_TRAD_AGG_NATIONAL[],2,0),"--")</f>
        <v>34786</v>
      </c>
      <c r="G9" s="170">
        <f>IFERROR(VLOOKUP(MID(B9,4,3),MMWR_TRAD_AGG_NATIONAL[],3,0),"--")</f>
        <v>9816</v>
      </c>
      <c r="H9" s="171">
        <f t="shared" si="0"/>
        <v>0.28218248720749728</v>
      </c>
      <c r="I9" s="68" t="s">
        <v>310</v>
      </c>
      <c r="J9" s="286" t="s">
        <v>265</v>
      </c>
      <c r="K9" s="287"/>
      <c r="L9" s="169">
        <f>IFERROR(VLOOKUP(MID(J9,4,3),MMWR_TRAD_AGG_NATIONAL[],2,0),"--")</f>
        <v>7940</v>
      </c>
      <c r="M9" s="170">
        <f>IFERROR(VLOOKUP(MID(J9,4,3),MMWR_TRAD_AGG_NATIONAL[],3,0),"--")</f>
        <v>548</v>
      </c>
      <c r="N9" s="171">
        <f>IF(M9="--", 0, M9/L9)</f>
        <v>6.9017632241813606E-2</v>
      </c>
      <c r="O9" s="68" t="s">
        <v>310</v>
      </c>
      <c r="P9" s="450" t="s">
        <v>241</v>
      </c>
      <c r="Q9" s="451"/>
      <c r="R9" s="182">
        <f>VLOOKUP(P9,MMWR_APP_NATIONAL[],2,0)</f>
        <v>51809</v>
      </c>
      <c r="S9" s="452" t="s">
        <v>230</v>
      </c>
      <c r="T9" s="397"/>
      <c r="U9" s="183">
        <f>VLOOKUP(P9,MMWR_APP_NATIONAL[],3,0)</f>
        <v>531.71665154699997</v>
      </c>
      <c r="V9" s="25"/>
    </row>
    <row r="10" spans="1:22" s="1" customFormat="1" ht="63" customHeight="1" thickBot="1" x14ac:dyDescent="0.25">
      <c r="A10" s="25"/>
      <c r="B10" s="286" t="s">
        <v>248</v>
      </c>
      <c r="C10" s="287"/>
      <c r="D10" s="287"/>
      <c r="E10" s="428"/>
      <c r="F10" s="169">
        <f>IFERROR(VLOOKUP(MID(B10,4,3),MMWR_TRAD_AGG_NATIONAL[],2,0),"--")</f>
        <v>83229</v>
      </c>
      <c r="G10" s="170">
        <f>IFERROR(VLOOKUP(MID(B10,4,3),MMWR_TRAD_AGG_NATIONAL[],3,0),"--")</f>
        <v>19488</v>
      </c>
      <c r="H10" s="171">
        <f t="shared" si="0"/>
        <v>0.23414915474173664</v>
      </c>
      <c r="I10" s="68" t="s">
        <v>310</v>
      </c>
      <c r="J10" s="288" t="s">
        <v>267</v>
      </c>
      <c r="K10" s="289"/>
      <c r="L10" s="169">
        <f>IFERROR(VLOOKUP(MID(J10,4,3),MMWR_TRAD_AGG_NATIONAL[],2,0),"--")</f>
        <v>15756</v>
      </c>
      <c r="M10" s="170">
        <f>IFERROR(VLOOKUP(MID(J10,4,3),MMWR_TRAD_AGG_NATIONAL[],3,0),"--")</f>
        <v>3320</v>
      </c>
      <c r="N10" s="171">
        <f>IF(M10="--", 0, M10/L10)</f>
        <v>0.2107133790302107</v>
      </c>
      <c r="O10" s="69"/>
      <c r="P10" s="450" t="s">
        <v>242</v>
      </c>
      <c r="Q10" s="451"/>
      <c r="R10" s="182">
        <f>VLOOKUP(P10,MMWR_APP_NATIONAL[],2,0)</f>
        <v>22463</v>
      </c>
      <c r="S10" s="452" t="s">
        <v>231</v>
      </c>
      <c r="T10" s="397"/>
      <c r="U10" s="183">
        <f>VLOOKUP(P10,MMWR_APP_NATIONAL[],3,0)</f>
        <v>506.71854820750002</v>
      </c>
      <c r="V10" s="25"/>
    </row>
    <row r="11" spans="1:22" s="1" customFormat="1" ht="45" customHeight="1" thickBot="1" x14ac:dyDescent="0.25">
      <c r="A11" s="25"/>
      <c r="B11" s="402" t="s">
        <v>299</v>
      </c>
      <c r="C11" s="403"/>
      <c r="D11" s="403"/>
      <c r="E11" s="403"/>
      <c r="F11" s="166">
        <f>SUM(F12:F13)</f>
        <v>11479</v>
      </c>
      <c r="G11" s="167">
        <f>SUM(G12:G13)</f>
        <v>2700</v>
      </c>
      <c r="H11" s="168">
        <f t="shared" si="0"/>
        <v>0.23521212649185469</v>
      </c>
      <c r="I11" s="25"/>
      <c r="J11" s="402" t="s">
        <v>237</v>
      </c>
      <c r="K11" s="403"/>
      <c r="L11" s="166">
        <f>SUM(L12:L17)</f>
        <v>34381</v>
      </c>
      <c r="M11" s="166">
        <f>SUM(M12:M17)</f>
        <v>8634</v>
      </c>
      <c r="N11" s="159">
        <f>IF(M11="--", 0, M11/L11)</f>
        <v>0.25112707600127976</v>
      </c>
      <c r="O11" s="69"/>
      <c r="P11" s="450" t="s">
        <v>966</v>
      </c>
      <c r="Q11" s="451"/>
      <c r="R11" s="182">
        <f>VLOOKUP(P11,MMWR_APP_NATIONAL[],2,0)</f>
        <v>11262</v>
      </c>
      <c r="S11" s="452" t="s">
        <v>232</v>
      </c>
      <c r="T11" s="397"/>
      <c r="U11" s="183">
        <f>VLOOKUP(P11,MMWR_APP_NATIONAL[],3,0)</f>
        <v>177.0403161353</v>
      </c>
      <c r="V11" s="25"/>
    </row>
    <row r="12" spans="1:22" s="1" customFormat="1" ht="46.5" customHeight="1" thickBot="1" x14ac:dyDescent="0.25">
      <c r="A12" s="25"/>
      <c r="B12" s="398" t="s">
        <v>269</v>
      </c>
      <c r="C12" s="399"/>
      <c r="D12" s="399"/>
      <c r="E12" s="400"/>
      <c r="F12" s="169">
        <f>IFERROR(VLOOKUP(MID(B12,4,3),MMWR_TRAD_AGG_NATIONAL[],2,0),"--")</f>
        <v>10316</v>
      </c>
      <c r="G12" s="170">
        <f>IFERROR(VLOOKUP(MID(B12,4,3),MMWR_TRAD_AGG_NATIONAL[],3,0),"--")</f>
        <v>1991</v>
      </c>
      <c r="H12" s="171">
        <f t="shared" si="0"/>
        <v>0.19300116324156649</v>
      </c>
      <c r="I12" s="68" t="s">
        <v>310</v>
      </c>
      <c r="J12" s="288" t="s">
        <v>259</v>
      </c>
      <c r="K12" s="397"/>
      <c r="L12" s="169">
        <f>IFERROR(VLOOKUP(MID(J12,4,3)&amp;"p",MMWR_TRAD_AGG_NATIONAL[],2,0),"--")</f>
        <v>1045</v>
      </c>
      <c r="M12" s="170">
        <f>IFERROR(VLOOKUP(MID(J12,4,3)&amp;"p",MMWR_TRAD_AGG_NATIONAL[],3,0),"--")</f>
        <v>49</v>
      </c>
      <c r="N12" s="171">
        <f t="shared" ref="N12:N17" si="1">IF(L12="--", 0,M12/L12)</f>
        <v>4.6889952153110051E-2</v>
      </c>
      <c r="O12" s="69"/>
      <c r="P12" s="450" t="s">
        <v>947</v>
      </c>
      <c r="Q12" s="451"/>
      <c r="R12" s="182">
        <f>VLOOKUP(P12,MMWR_APP_NATIONAL[],2,0)</f>
        <v>596</v>
      </c>
      <c r="S12" s="453" t="s">
        <v>964</v>
      </c>
      <c r="T12" s="401"/>
      <c r="U12" s="183">
        <f>VLOOKUP(P12,MMWR_APP_NATIONAL[],3,0)</f>
        <v>455.25503355699999</v>
      </c>
      <c r="V12" s="25"/>
    </row>
    <row r="13" spans="1:22" s="1" customFormat="1" ht="49.5" customHeight="1" thickBot="1" x14ac:dyDescent="0.25">
      <c r="A13" s="25"/>
      <c r="B13" s="398" t="s">
        <v>1056</v>
      </c>
      <c r="C13" s="399"/>
      <c r="D13" s="399"/>
      <c r="E13" s="400"/>
      <c r="F13" s="169">
        <f>IFERROR(VLOOKUP(MID(B13,4,3),MMWR_TRAD_AGG_NATIONAL[],2,0),"--")</f>
        <v>1163</v>
      </c>
      <c r="G13" s="170">
        <f>IFERROR(VLOOKUP(MID(B13,4,3),MMWR_TRAD_AGG_NATIONAL[],3,0),"--")</f>
        <v>709</v>
      </c>
      <c r="H13" s="171">
        <f t="shared" si="0"/>
        <v>0.60963026655202068</v>
      </c>
      <c r="I13" s="25"/>
      <c r="J13" s="288" t="s">
        <v>268</v>
      </c>
      <c r="K13" s="397"/>
      <c r="L13" s="169">
        <f>IFERROR(VLOOKUP(MID(J13,4,3),MMWR_TRAD_AGG_NATIONAL[],2,0),"--")</f>
        <v>5491</v>
      </c>
      <c r="M13" s="170">
        <f>IFERROR(VLOOKUP(MID(J13,4,3),MMWR_TRAD_AGG_NATIONAL[],3,0),"--")</f>
        <v>1122</v>
      </c>
      <c r="N13" s="171">
        <f t="shared" si="1"/>
        <v>0.2043343653250774</v>
      </c>
      <c r="O13" s="69"/>
      <c r="P13" s="402" t="s">
        <v>975</v>
      </c>
      <c r="Q13" s="403"/>
      <c r="R13" s="446"/>
      <c r="S13" s="447">
        <f>VLOOKUP(P13,MMWR_APP_NATIONAL[],2,0)</f>
        <v>29755</v>
      </c>
      <c r="T13" s="448"/>
      <c r="U13" s="449"/>
      <c r="V13" s="25"/>
    </row>
    <row r="14" spans="1:22" s="1" customFormat="1" ht="45" customHeight="1" thickBot="1" x14ac:dyDescent="0.25">
      <c r="A14" s="25"/>
      <c r="B14" s="402" t="s">
        <v>1</v>
      </c>
      <c r="C14" s="403"/>
      <c r="D14" s="403"/>
      <c r="E14" s="403"/>
      <c r="F14" s="166">
        <f>SUM(F15:F21)</f>
        <v>214026</v>
      </c>
      <c r="G14" s="167">
        <f>SUM(G15:G21)</f>
        <v>41479</v>
      </c>
      <c r="H14" s="168">
        <f t="shared" si="0"/>
        <v>0.19380355657723827</v>
      </c>
      <c r="I14" s="25"/>
      <c r="J14" s="288" t="s">
        <v>270</v>
      </c>
      <c r="K14" s="397"/>
      <c r="L14" s="169">
        <f>IFERROR(VLOOKUP(MID(J14,4,3),MMWR_TRAD_AGG_NATIONAL[],2,0),"--")</f>
        <v>15673</v>
      </c>
      <c r="M14" s="170">
        <f>IFERROR(VLOOKUP(MID(J14,4,3),MMWR_TRAD_AGG_NATIONAL[],3,0),"--")</f>
        <v>5327</v>
      </c>
      <c r="N14" s="171">
        <f t="shared" si="1"/>
        <v>0.33988387673068332</v>
      </c>
      <c r="O14" s="69"/>
      <c r="P14" s="21"/>
      <c r="Q14" s="21"/>
      <c r="R14" s="21"/>
      <c r="S14" s="28"/>
      <c r="T14" s="28"/>
      <c r="U14" s="70"/>
      <c r="V14" s="25"/>
    </row>
    <row r="15" spans="1:22" s="1" customFormat="1" ht="44.25" customHeight="1" thickBot="1" x14ac:dyDescent="0.25">
      <c r="A15" s="25"/>
      <c r="B15" s="286" t="s">
        <v>250</v>
      </c>
      <c r="C15" s="287"/>
      <c r="D15" s="287"/>
      <c r="E15" s="428"/>
      <c r="F15" s="169">
        <f>IFERROR(VLOOKUP(MID(B15,4,3),MMWR_TRAD_AGG_NATIONAL[],2,0),"--")</f>
        <v>213116</v>
      </c>
      <c r="G15" s="170">
        <f>IFERROR(VLOOKUP(MID(B15,4,3),MMWR_TRAD_AGG_NATIONAL[],3,0),"--")</f>
        <v>41216</v>
      </c>
      <c r="H15" s="171">
        <f t="shared" si="0"/>
        <v>0.19339702321740274</v>
      </c>
      <c r="I15" s="68" t="s">
        <v>310</v>
      </c>
      <c r="J15" s="288" t="s">
        <v>271</v>
      </c>
      <c r="K15" s="397"/>
      <c r="L15" s="169" t="str">
        <f>IFERROR(VLOOKUP(MID(J15,4,3),MMWR_TRAD_AGG_NATIONAL[],2,0),"--")</f>
        <v>--</v>
      </c>
      <c r="M15" s="170" t="str">
        <f>IFERROR(VLOOKUP(MID(J15,4,3),MMWR_TRAD_AGG_NATIONAL[],3,0),"--")</f>
        <v>--</v>
      </c>
      <c r="N15" s="171">
        <f t="shared" si="1"/>
        <v>0</v>
      </c>
      <c r="O15" s="69"/>
      <c r="P15" s="25"/>
      <c r="Q15" s="25"/>
      <c r="R15" s="25"/>
      <c r="S15" s="25"/>
      <c r="T15" s="28"/>
      <c r="U15" s="71"/>
      <c r="V15" s="25"/>
    </row>
    <row r="16" spans="1:22" s="1" customFormat="1" ht="57.75" customHeight="1" thickBot="1" x14ac:dyDescent="0.25">
      <c r="A16" s="25"/>
      <c r="B16" s="288" t="s">
        <v>251</v>
      </c>
      <c r="C16" s="289"/>
      <c r="D16" s="289"/>
      <c r="E16" s="397"/>
      <c r="F16" s="169">
        <f>IFERROR(VLOOKUP(MID(B16,4,3),MMWR_TRAD_AGG_NATIONAL[],2,0),"--")</f>
        <v>430</v>
      </c>
      <c r="G16" s="170">
        <f>IFERROR(VLOOKUP(MID(B16,4,3),MMWR_TRAD_AGG_NATIONAL[],3,0),"--")</f>
        <v>42</v>
      </c>
      <c r="H16" s="171">
        <f t="shared" si="0"/>
        <v>9.7674418604651161E-2</v>
      </c>
      <c r="I16" s="68" t="s">
        <v>310</v>
      </c>
      <c r="J16" s="288" t="s">
        <v>272</v>
      </c>
      <c r="K16" s="397"/>
      <c r="L16" s="169">
        <f>IFERROR(VLOOKUP(MID(J16,4,3),MMWR_TRAD_AGG_NATIONAL[],2,0),"--")</f>
        <v>6273</v>
      </c>
      <c r="M16" s="170">
        <f>IFERROR(VLOOKUP(MID(J16,4,3),MMWR_TRAD_AGG_NATIONAL[],3,0),"--")</f>
        <v>1751</v>
      </c>
      <c r="N16" s="171">
        <f t="shared" si="1"/>
        <v>0.2791327913279133</v>
      </c>
      <c r="O16" s="69"/>
      <c r="P16" s="432" t="s">
        <v>948</v>
      </c>
      <c r="Q16" s="433"/>
      <c r="R16" s="433"/>
      <c r="S16" s="434"/>
      <c r="T16" s="28"/>
      <c r="U16" s="71"/>
      <c r="V16" s="25"/>
    </row>
    <row r="17" spans="1:22" s="1" customFormat="1" ht="31.5" customHeight="1" thickBot="1" x14ac:dyDescent="0.25">
      <c r="A17" s="25"/>
      <c r="B17" s="288" t="s">
        <v>252</v>
      </c>
      <c r="C17" s="289"/>
      <c r="D17" s="289"/>
      <c r="E17" s="397"/>
      <c r="F17" s="169">
        <f>IFERROR(VLOOKUP(MID(B17,4,3),MMWR_TRAD_AGG_NATIONAL[],2,0),"--")</f>
        <v>218</v>
      </c>
      <c r="G17" s="170">
        <f>IFERROR(VLOOKUP(MID(B17,4,3),MMWR_TRAD_AGG_NATIONAL[],3,0),"--")</f>
        <v>140</v>
      </c>
      <c r="H17" s="171">
        <f t="shared" si="0"/>
        <v>0.64220183486238536</v>
      </c>
      <c r="I17" s="25"/>
      <c r="J17" s="288" t="s">
        <v>273</v>
      </c>
      <c r="K17" s="397"/>
      <c r="L17" s="169">
        <f>IFERROR(VLOOKUP(MID(J17,4,3),MMWR_TRAD_AGG_NATIONAL[],2,0),"--")</f>
        <v>5899</v>
      </c>
      <c r="M17" s="170">
        <f>IFERROR(VLOOKUP(MID(J17,4,3),MMWR_TRAD_AGG_NATIONAL[],3,0),"--")</f>
        <v>385</v>
      </c>
      <c r="N17" s="171">
        <f t="shared" si="1"/>
        <v>6.5265299203254787E-2</v>
      </c>
      <c r="O17" s="72"/>
      <c r="P17" s="441" t="s">
        <v>245</v>
      </c>
      <c r="Q17" s="442"/>
      <c r="R17" s="442"/>
      <c r="S17" s="184">
        <f>IFERROR(VLOOKUP("160",MMWR_TRAD_AGG_NATIONAL[],2,0),"--")</f>
        <v>36071</v>
      </c>
      <c r="T17" s="28"/>
      <c r="U17" s="71"/>
      <c r="V17" s="25"/>
    </row>
    <row r="18" spans="1:22" s="1" customFormat="1" ht="32.25" customHeight="1" thickBot="1" x14ac:dyDescent="0.25">
      <c r="A18" s="25"/>
      <c r="B18" s="288" t="s">
        <v>253</v>
      </c>
      <c r="C18" s="289"/>
      <c r="D18" s="289"/>
      <c r="E18" s="397"/>
      <c r="F18" s="169">
        <f>IFERROR(VLOOKUP(MID(B18,4,3),MMWR_TRAD_AGG_NATIONAL[],2,0),"--")</f>
        <v>5</v>
      </c>
      <c r="G18" s="170">
        <f>IFERROR(VLOOKUP(MID(B18,4,3),MMWR_TRAD_AGG_NATIONAL[],3,0),"--")</f>
        <v>2</v>
      </c>
      <c r="H18" s="171">
        <f t="shared" si="0"/>
        <v>0.4</v>
      </c>
      <c r="I18" s="68" t="s">
        <v>310</v>
      </c>
      <c r="J18" s="402" t="s">
        <v>15</v>
      </c>
      <c r="K18" s="403"/>
      <c r="L18" s="166">
        <f>SUM(L19:L21)</f>
        <v>257</v>
      </c>
      <c r="M18" s="166">
        <f>SUM(M19:M21)</f>
        <v>244</v>
      </c>
      <c r="N18" s="159">
        <f t="shared" ref="N18:N26" si="2">IF(M18="--", 0, M18/L18)</f>
        <v>0.94941634241245132</v>
      </c>
      <c r="O18" s="73"/>
      <c r="P18" s="443" t="s">
        <v>246</v>
      </c>
      <c r="Q18" s="444"/>
      <c r="R18" s="444"/>
      <c r="S18" s="185">
        <f>IFERROR(VLOOKUP("165",MMWR_TRAD_AGG_NATIONAL[],2,0),"--")</f>
        <v>10393</v>
      </c>
      <c r="T18" s="28"/>
      <c r="U18" s="71"/>
      <c r="V18" s="25"/>
    </row>
    <row r="19" spans="1:22" s="1" customFormat="1" ht="41.25" customHeight="1" x14ac:dyDescent="0.4">
      <c r="A19" s="25"/>
      <c r="B19" s="288" t="s">
        <v>254</v>
      </c>
      <c r="C19" s="289"/>
      <c r="D19" s="289"/>
      <c r="E19" s="397"/>
      <c r="F19" s="169" t="str">
        <f>IFERROR(VLOOKUP(MID(B19,4,3),MMWR_TRAD_AGG_NATIONAL[],2,0),"--")</f>
        <v>--</v>
      </c>
      <c r="G19" s="170" t="str">
        <f>IFERROR(VLOOKUP(MID(B19,4,3),MMWR_TRAD_AGG_NATIONAL[],3,0),"--")</f>
        <v>--</v>
      </c>
      <c r="H19" s="171">
        <f t="shared" si="0"/>
        <v>0</v>
      </c>
      <c r="I19" s="68" t="s">
        <v>310</v>
      </c>
      <c r="J19" s="288" t="s">
        <v>274</v>
      </c>
      <c r="K19" s="397"/>
      <c r="L19" s="169">
        <f>IFERROR(VLOOKUP(MID(J19,4,3),MMWR_TRAD_AGG_NATIONAL[],2,0),"--")</f>
        <v>190</v>
      </c>
      <c r="M19" s="170">
        <f>IFERROR(VLOOKUP(MID(J19,4,3),MMWR_TRAD_AGG_NATIONAL[],3,0),"--")</f>
        <v>190</v>
      </c>
      <c r="N19" s="171">
        <f t="shared" si="2"/>
        <v>1</v>
      </c>
      <c r="O19" s="56"/>
      <c r="P19" s="25"/>
      <c r="Q19" s="25"/>
      <c r="R19" s="25"/>
      <c r="S19" s="25"/>
      <c r="T19" s="28"/>
      <c r="U19" s="71"/>
      <c r="V19" s="25"/>
    </row>
    <row r="20" spans="1:22" s="1" customFormat="1" ht="40.5" customHeight="1" x14ac:dyDescent="0.4">
      <c r="A20" s="25"/>
      <c r="B20" s="288" t="s">
        <v>255</v>
      </c>
      <c r="C20" s="289"/>
      <c r="D20" s="289"/>
      <c r="E20" s="397"/>
      <c r="F20" s="169">
        <f>IFERROR(VLOOKUP(MID(B20,4,3),MMWR_TRAD_AGG_NATIONAL[],2,0),"--")</f>
        <v>7</v>
      </c>
      <c r="G20" s="170">
        <f>IFERROR(VLOOKUP(MID(B20,4,3),MMWR_TRAD_AGG_NATIONAL[],3,0),"--")</f>
        <v>1</v>
      </c>
      <c r="H20" s="171">
        <f t="shared" si="0"/>
        <v>0.14285714285714285</v>
      </c>
      <c r="I20" s="68" t="s">
        <v>310</v>
      </c>
      <c r="J20" s="288" t="s">
        <v>297</v>
      </c>
      <c r="K20" s="397"/>
      <c r="L20" s="169">
        <f>IFERROR(VLOOKUP(MID(J20,4,3),MMWR_TRAD_AGG_NATIONAL[],2,0),"--")</f>
        <v>39</v>
      </c>
      <c r="M20" s="170">
        <f>IFERROR(VLOOKUP(MID(J20,4,3),MMWR_TRAD_AGG_NATIONAL[],3,0),"--")</f>
        <v>34</v>
      </c>
      <c r="N20" s="171">
        <f t="shared" si="2"/>
        <v>0.87179487179487181</v>
      </c>
      <c r="O20" s="56"/>
      <c r="P20" s="56"/>
      <c r="Q20" s="56"/>
      <c r="R20" s="56"/>
      <c r="S20" s="56"/>
      <c r="T20" s="56"/>
      <c r="U20" s="74"/>
      <c r="V20" s="25"/>
    </row>
    <row r="21" spans="1:22" s="1" customFormat="1" ht="39" customHeight="1" thickBot="1" x14ac:dyDescent="0.45">
      <c r="A21" s="25"/>
      <c r="B21" s="288" t="s">
        <v>256</v>
      </c>
      <c r="C21" s="289"/>
      <c r="D21" s="289"/>
      <c r="E21" s="397"/>
      <c r="F21" s="169">
        <f>IFERROR(VLOOKUP(MID(B21,4,3),MMWR_TRAD_AGG_NATIONAL[],2,0),"--")</f>
        <v>250</v>
      </c>
      <c r="G21" s="170">
        <f>IFERROR(VLOOKUP(MID(B21,4,3),MMWR_TRAD_AGG_NATIONAL[],3,0),"--")</f>
        <v>78</v>
      </c>
      <c r="H21" s="171">
        <f t="shared" si="0"/>
        <v>0.312</v>
      </c>
      <c r="I21" s="68" t="s">
        <v>310</v>
      </c>
      <c r="J21" s="288" t="s">
        <v>275</v>
      </c>
      <c r="K21" s="397"/>
      <c r="L21" s="169">
        <f>IFERROR(VLOOKUP(MID(J21,4,3),MMWR_TRAD_AGG_NATIONAL[],2,0),"--")</f>
        <v>28</v>
      </c>
      <c r="M21" s="170">
        <f>IFERROR(VLOOKUP(MID(J21,4,3),MMWR_TRAD_AGG_NATIONAL[],3,0),"--")</f>
        <v>20</v>
      </c>
      <c r="N21" s="171">
        <f t="shared" si="2"/>
        <v>0.7142857142857143</v>
      </c>
      <c r="O21" s="56"/>
      <c r="P21" s="56"/>
      <c r="Q21" s="56"/>
      <c r="R21" s="56"/>
      <c r="S21" s="56"/>
      <c r="T21" s="56"/>
      <c r="U21" s="74"/>
      <c r="V21" s="25"/>
    </row>
    <row r="22" spans="1:22" s="1" customFormat="1" ht="32.25" customHeight="1" thickBot="1" x14ac:dyDescent="0.45">
      <c r="A22" s="25"/>
      <c r="B22" s="402" t="s">
        <v>13</v>
      </c>
      <c r="C22" s="403"/>
      <c r="D22" s="403"/>
      <c r="E22" s="403"/>
      <c r="F22" s="166">
        <f>SUM(F23:F29)</f>
        <v>451289</v>
      </c>
      <c r="G22" s="167">
        <f>SUM(G23:G29)</f>
        <v>225539</v>
      </c>
      <c r="H22" s="168">
        <f t="shared" si="0"/>
        <v>0.49976622519050984</v>
      </c>
      <c r="I22" s="25"/>
      <c r="J22" s="402" t="s">
        <v>224</v>
      </c>
      <c r="K22" s="403"/>
      <c r="L22" s="166">
        <f>SUM(L23:L26)</f>
        <v>1674</v>
      </c>
      <c r="M22" s="166">
        <f>SUM(M23:M26)</f>
        <v>529</v>
      </c>
      <c r="N22" s="159">
        <f t="shared" si="2"/>
        <v>0.31600955794504182</v>
      </c>
      <c r="O22" s="56"/>
      <c r="P22" s="25"/>
      <c r="Q22" s="25"/>
      <c r="R22" s="25"/>
      <c r="S22" s="25"/>
      <c r="T22" s="56"/>
      <c r="U22" s="74"/>
      <c r="V22" s="25"/>
    </row>
    <row r="23" spans="1:22" s="1" customFormat="1" ht="26.25" customHeight="1" x14ac:dyDescent="0.4">
      <c r="A23" s="25"/>
      <c r="B23" s="398" t="s">
        <v>257</v>
      </c>
      <c r="C23" s="399"/>
      <c r="D23" s="399"/>
      <c r="E23" s="400"/>
      <c r="F23" s="169">
        <f>IFERROR(VLOOKUP(MID(B23,4,3),MMWR_TRAD_AGG_NATIONAL[],2,0),"--")</f>
        <v>137861</v>
      </c>
      <c r="G23" s="170">
        <f>IFERROR(VLOOKUP(MID(B23,4,3),MMWR_TRAD_AGG_NATIONAL[],3,0),"--")</f>
        <v>88086</v>
      </c>
      <c r="H23" s="171">
        <f t="shared" si="0"/>
        <v>0.63894792580932969</v>
      </c>
      <c r="I23" s="25"/>
      <c r="J23" s="404" t="s">
        <v>278</v>
      </c>
      <c r="K23" s="406"/>
      <c r="L23" s="172">
        <f>IFERROR(VLOOKUP(MID(J23,4,3),MMWR_TRAD_AGG_NATIONAL[],2,0),"--")</f>
        <v>225</v>
      </c>
      <c r="M23" s="173">
        <f>IFERROR(VLOOKUP(MID(J23,4,3),MMWR_TRAD_AGG_NATIONAL[],3,0),"--")</f>
        <v>91</v>
      </c>
      <c r="N23" s="174">
        <f t="shared" si="2"/>
        <v>0.40444444444444444</v>
      </c>
      <c r="O23" s="56"/>
      <c r="P23" s="25"/>
      <c r="Q23" s="25"/>
      <c r="R23" s="25"/>
      <c r="S23" s="25"/>
      <c r="T23" s="56"/>
      <c r="U23" s="74"/>
      <c r="V23" s="25"/>
    </row>
    <row r="24" spans="1:22" s="1" customFormat="1" ht="39.75" customHeight="1" x14ac:dyDescent="0.4">
      <c r="A24" s="25"/>
      <c r="B24" s="398" t="s">
        <v>258</v>
      </c>
      <c r="C24" s="399"/>
      <c r="D24" s="399"/>
      <c r="E24" s="400"/>
      <c r="F24" s="169">
        <f>IFERROR(VLOOKUP(MID(B24,4,3),MMWR_TRAD_AGG_NATIONAL[],2,0),"--")</f>
        <v>119</v>
      </c>
      <c r="G24" s="170">
        <f>IFERROR(VLOOKUP(MID(B24,4,3),MMWR_TRAD_AGG_NATIONAL[],3,0),"--")</f>
        <v>79</v>
      </c>
      <c r="H24" s="171">
        <f t="shared" si="0"/>
        <v>0.66386554621848737</v>
      </c>
      <c r="I24" s="25"/>
      <c r="J24" s="288" t="s">
        <v>277</v>
      </c>
      <c r="K24" s="397"/>
      <c r="L24" s="169">
        <f>IFERROR(VLOOKUP(MID(J24,4,3),MMWR_TRAD_AGG_NATIONAL[],2,0),"--")</f>
        <v>528</v>
      </c>
      <c r="M24" s="170">
        <f>IFERROR(VLOOKUP(MID(J24,4,3),MMWR_TRAD_AGG_NATIONAL[],3,0),"--")</f>
        <v>23</v>
      </c>
      <c r="N24" s="171">
        <f t="shared" si="2"/>
        <v>4.3560606060606064E-2</v>
      </c>
      <c r="O24" s="56"/>
      <c r="P24" s="25"/>
      <c r="Q24" s="25"/>
      <c r="R24" s="25"/>
      <c r="S24" s="25"/>
      <c r="T24" s="56"/>
      <c r="U24" s="74"/>
      <c r="V24" s="25"/>
    </row>
    <row r="25" spans="1:22" s="1" customFormat="1" ht="37.5" customHeight="1" x14ac:dyDescent="0.4">
      <c r="A25" s="25"/>
      <c r="B25" s="398" t="s">
        <v>259</v>
      </c>
      <c r="C25" s="399"/>
      <c r="D25" s="399"/>
      <c r="E25" s="400"/>
      <c r="F25" s="169">
        <f>IFERROR(VLOOKUP(MID(B25,4,3),MMWR_TRAD_AGG_NATIONAL[],2,0),"--")</f>
        <v>338</v>
      </c>
      <c r="G25" s="170">
        <f>IFERROR(VLOOKUP(MID(B25,4,3),MMWR_TRAD_AGG_NATIONAL[],3,0),"--")</f>
        <v>263</v>
      </c>
      <c r="H25" s="171">
        <f t="shared" si="0"/>
        <v>0.77810650887573962</v>
      </c>
      <c r="I25" s="25"/>
      <c r="J25" s="288" t="s">
        <v>276</v>
      </c>
      <c r="K25" s="397"/>
      <c r="L25" s="169">
        <f>IFERROR(VLOOKUP(MID(J25,4,3),MMWR_TRAD_AGG_NATIONAL[],2,0),"--")</f>
        <v>879</v>
      </c>
      <c r="M25" s="170">
        <f>IFERROR(VLOOKUP(MID(J25,4,3),MMWR_TRAD_AGG_NATIONAL[],3,0),"--")</f>
        <v>385</v>
      </c>
      <c r="N25" s="171">
        <f t="shared" si="2"/>
        <v>0.43799772468714449</v>
      </c>
      <c r="O25" s="56"/>
      <c r="P25" s="56"/>
      <c r="Q25" s="56"/>
      <c r="R25" s="56"/>
      <c r="S25" s="56"/>
      <c r="T25" s="56"/>
      <c r="U25" s="74"/>
      <c r="V25" s="25"/>
    </row>
    <row r="26" spans="1:22" s="1" customFormat="1" ht="37.5" customHeight="1" thickBot="1" x14ac:dyDescent="0.45">
      <c r="A26" s="25"/>
      <c r="B26" s="398" t="s">
        <v>260</v>
      </c>
      <c r="C26" s="399"/>
      <c r="D26" s="399"/>
      <c r="E26" s="400"/>
      <c r="F26" s="169">
        <f>IFERROR(VLOOKUP(MID(B26,4,3),MMWR_TRAD_AGG_NATIONAL[],2,0),"--")</f>
        <v>96409</v>
      </c>
      <c r="G26" s="170">
        <f>IFERROR(VLOOKUP(MID(B26,4,3),MMWR_TRAD_AGG_NATIONAL[],3,0),"--")</f>
        <v>73200</v>
      </c>
      <c r="H26" s="171">
        <f t="shared" si="0"/>
        <v>0.75926521382858447</v>
      </c>
      <c r="I26" s="56"/>
      <c r="J26" s="293" t="s">
        <v>313</v>
      </c>
      <c r="K26" s="401"/>
      <c r="L26" s="175">
        <f>IFERROR(VLOOKUP(MID(J26,4,3),MMWR_TRAD_AGG_NATIONAL[],2,0),"--")</f>
        <v>42</v>
      </c>
      <c r="M26" s="176">
        <f>IFERROR(VLOOKUP(MID(J26,4,3),MMWR_TRAD_AGG_NATIONAL[],3,0),"--")</f>
        <v>30</v>
      </c>
      <c r="N26" s="177">
        <f t="shared" si="2"/>
        <v>0.7142857142857143</v>
      </c>
      <c r="O26" s="56"/>
      <c r="P26" s="56"/>
      <c r="Q26" s="56"/>
      <c r="R26" s="56"/>
      <c r="S26" s="56"/>
      <c r="T26" s="56"/>
      <c r="U26" s="74"/>
      <c r="V26" s="25"/>
    </row>
    <row r="27" spans="1:22" s="1" customFormat="1" ht="26.25" customHeight="1" thickBot="1" x14ac:dyDescent="0.45">
      <c r="A27" s="25"/>
      <c r="B27" s="398" t="s">
        <v>261</v>
      </c>
      <c r="C27" s="399"/>
      <c r="D27" s="399"/>
      <c r="E27" s="400"/>
      <c r="F27" s="169">
        <f>IFERROR(VLOOKUP(MID(B27,4,3),MMWR_TRAD_AGG_NATIONAL[],2,0),"--")</f>
        <v>231</v>
      </c>
      <c r="G27" s="170">
        <f>IFERROR(VLOOKUP(MID(B27,4,3),MMWR_TRAD_AGG_NATIONAL[],3,0),"--")</f>
        <v>196</v>
      </c>
      <c r="H27" s="171">
        <f t="shared" si="0"/>
        <v>0.84848484848484851</v>
      </c>
      <c r="I27" s="56"/>
      <c r="J27" s="56"/>
      <c r="K27" s="56"/>
      <c r="L27" s="56"/>
      <c r="M27" s="56"/>
      <c r="N27" s="56"/>
      <c r="O27" s="56"/>
      <c r="P27" s="56"/>
      <c r="Q27" s="56"/>
      <c r="R27" s="56"/>
      <c r="S27" s="56"/>
      <c r="T27" s="56"/>
      <c r="U27" s="74"/>
      <c r="V27" s="25"/>
    </row>
    <row r="28" spans="1:22" s="1" customFormat="1" ht="32.25" customHeight="1" x14ac:dyDescent="0.4">
      <c r="A28" s="25"/>
      <c r="B28" s="398" t="s">
        <v>262</v>
      </c>
      <c r="C28" s="399"/>
      <c r="D28" s="399"/>
      <c r="E28" s="400"/>
      <c r="F28" s="169">
        <f>IFERROR(VLOOKUP(MID(B28,4,3),MMWR_TRAD_AGG_NATIONAL[],2,0),"--")</f>
        <v>22295</v>
      </c>
      <c r="G28" s="170">
        <f>IFERROR(VLOOKUP(MID(B28,4,3),MMWR_TRAD_AGG_NATIONAL[],3,0),"--")</f>
        <v>3923</v>
      </c>
      <c r="H28" s="171">
        <f t="shared" si="0"/>
        <v>0.17595873514240862</v>
      </c>
      <c r="I28" s="68" t="s">
        <v>310</v>
      </c>
      <c r="J28" s="410" t="s">
        <v>312</v>
      </c>
      <c r="K28" s="411"/>
      <c r="L28" s="411"/>
      <c r="M28" s="411"/>
      <c r="N28" s="412"/>
      <c r="O28" s="445" t="s">
        <v>310</v>
      </c>
      <c r="P28" s="75"/>
      <c r="Q28" s="56"/>
      <c r="R28" s="56"/>
      <c r="S28" s="56"/>
      <c r="T28" s="56"/>
      <c r="U28" s="74"/>
      <c r="V28" s="25"/>
    </row>
    <row r="29" spans="1:22" s="1" customFormat="1" ht="27" customHeight="1" thickBot="1" x14ac:dyDescent="0.45">
      <c r="A29" s="25"/>
      <c r="B29" s="398" t="s">
        <v>263</v>
      </c>
      <c r="C29" s="399"/>
      <c r="D29" s="399"/>
      <c r="E29" s="400"/>
      <c r="F29" s="169">
        <f>IFERROR(VLOOKUP(MID(B29,4,3),MMWR_TRAD_AGG_NATIONAL[],2,0),"--")</f>
        <v>194036</v>
      </c>
      <c r="G29" s="170">
        <f>IFERROR(VLOOKUP(MID(B29,4,3),MMWR_TRAD_AGG_NATIONAL[],3,0),"--")</f>
        <v>59792</v>
      </c>
      <c r="H29" s="171">
        <f t="shared" si="0"/>
        <v>0.30814900327774225</v>
      </c>
      <c r="I29" s="56"/>
      <c r="J29" s="413"/>
      <c r="K29" s="414"/>
      <c r="L29" s="414"/>
      <c r="M29" s="414"/>
      <c r="N29" s="415"/>
      <c r="O29" s="445"/>
      <c r="P29" s="76"/>
      <c r="Q29" s="56"/>
      <c r="R29" s="56"/>
      <c r="S29" s="56"/>
      <c r="T29" s="56"/>
      <c r="U29" s="74"/>
      <c r="V29" s="25"/>
    </row>
    <row r="30" spans="1:22" s="1" customFormat="1" ht="32.25" customHeight="1" thickBot="1" x14ac:dyDescent="0.45">
      <c r="A30" s="25"/>
      <c r="B30" s="402" t="s">
        <v>29</v>
      </c>
      <c r="C30" s="403"/>
      <c r="D30" s="403"/>
      <c r="E30" s="403"/>
      <c r="F30" s="167">
        <f>SUM(F31:F37)</f>
        <v>125821</v>
      </c>
      <c r="G30" s="167">
        <f>SUM(G31:G37)</f>
        <v>97366</v>
      </c>
      <c r="H30" s="159">
        <f t="shared" si="0"/>
        <v>0.77384538352103382</v>
      </c>
      <c r="I30" s="56"/>
      <c r="J30" s="28"/>
      <c r="K30" s="28"/>
      <c r="L30" s="28"/>
      <c r="M30" s="28"/>
      <c r="N30" s="28"/>
      <c r="O30" s="28"/>
      <c r="P30" s="56"/>
      <c r="Q30" s="56"/>
      <c r="R30" s="56"/>
      <c r="S30" s="56"/>
      <c r="T30" s="56"/>
      <c r="U30" s="74"/>
      <c r="V30" s="25"/>
    </row>
    <row r="31" spans="1:22" s="1" customFormat="1" ht="33.75" customHeight="1" x14ac:dyDescent="0.4">
      <c r="A31" s="25"/>
      <c r="B31" s="288" t="s">
        <v>280</v>
      </c>
      <c r="C31" s="289"/>
      <c r="D31" s="289"/>
      <c r="E31" s="397"/>
      <c r="F31" s="169">
        <f>IFERROR(VLOOKUP(MID(B31,4,3),MMWR_TRAD_AGG_NATIONAL[],2,0),"--")</f>
        <v>24</v>
      </c>
      <c r="G31" s="170">
        <f>IFERROR(VLOOKUP(MID(B31,4,3),MMWR_TRAD_AGG_NATIONAL[],3,0),"--")</f>
        <v>22</v>
      </c>
      <c r="H31" s="171">
        <f t="shared" si="0"/>
        <v>0.91666666666666663</v>
      </c>
      <c r="I31" s="56"/>
      <c r="J31" s="56"/>
      <c r="K31" s="56"/>
      <c r="L31" s="56"/>
      <c r="M31" s="56"/>
      <c r="N31" s="56"/>
      <c r="O31" s="56"/>
      <c r="P31" s="56"/>
      <c r="Q31" s="56"/>
      <c r="R31" s="56"/>
      <c r="S31" s="56"/>
      <c r="T31" s="56"/>
      <c r="U31" s="74"/>
      <c r="V31" s="25"/>
    </row>
    <row r="32" spans="1:22" s="1" customFormat="1" ht="32.25" customHeight="1" x14ac:dyDescent="0.4">
      <c r="A32" s="25"/>
      <c r="B32" s="288" t="s">
        <v>281</v>
      </c>
      <c r="C32" s="289"/>
      <c r="D32" s="289"/>
      <c r="E32" s="397"/>
      <c r="F32" s="169">
        <f>IFERROR(VLOOKUP(MID(B32,4,3),MMWR_TRAD_AGG_NATIONAL[],2,0),"--")</f>
        <v>34638</v>
      </c>
      <c r="G32" s="170">
        <f>IFERROR(VLOOKUP(MID(B32,4,3),MMWR_TRAD_AGG_NATIONAL[],3,0),"--")</f>
        <v>24130</v>
      </c>
      <c r="H32" s="171">
        <f t="shared" si="0"/>
        <v>0.69663375483572954</v>
      </c>
      <c r="I32" s="56"/>
      <c r="J32" s="56"/>
      <c r="K32" s="56"/>
      <c r="L32" s="56"/>
      <c r="M32" s="56"/>
      <c r="N32" s="56"/>
      <c r="O32" s="56"/>
      <c r="P32" s="56"/>
      <c r="Q32" s="56"/>
      <c r="R32" s="56"/>
      <c r="S32" s="56"/>
      <c r="T32" s="56"/>
      <c r="U32" s="74"/>
      <c r="V32" s="25"/>
    </row>
    <row r="33" spans="1:22" s="1" customFormat="1" ht="32.25" customHeight="1" x14ac:dyDescent="0.4">
      <c r="A33" s="25"/>
      <c r="B33" s="288" t="s">
        <v>282</v>
      </c>
      <c r="C33" s="289"/>
      <c r="D33" s="289"/>
      <c r="E33" s="397"/>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288" t="s">
        <v>283</v>
      </c>
      <c r="C34" s="289"/>
      <c r="D34" s="289"/>
      <c r="E34" s="397"/>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288" t="s">
        <v>284</v>
      </c>
      <c r="C35" s="289"/>
      <c r="D35" s="289"/>
      <c r="E35" s="397"/>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288" t="s">
        <v>285</v>
      </c>
      <c r="C36" s="289"/>
      <c r="D36" s="289"/>
      <c r="E36" s="397"/>
      <c r="F36" s="169">
        <f>IFERROR(VLOOKUP(MID(B36,4,3),MMWR_TRAD_AGG_NATIONAL[],2,0),"--")</f>
        <v>24383</v>
      </c>
      <c r="G36" s="170">
        <f>IFERROR(VLOOKUP(MID(B36,4,3),MMWR_TRAD_AGG_NATIONAL[],3,0),"--")</f>
        <v>16880</v>
      </c>
      <c r="H36" s="171">
        <f t="shared" si="0"/>
        <v>0.69228560882582124</v>
      </c>
      <c r="I36" s="56"/>
      <c r="J36" s="56"/>
      <c r="K36" s="56"/>
      <c r="L36" s="56"/>
      <c r="M36" s="56"/>
      <c r="N36" s="56"/>
      <c r="O36" s="56"/>
      <c r="P36" s="56"/>
      <c r="Q36" s="56"/>
      <c r="R36" s="56"/>
      <c r="S36" s="56"/>
      <c r="T36" s="56"/>
      <c r="U36" s="74"/>
      <c r="V36" s="25"/>
    </row>
    <row r="37" spans="1:22" s="1" customFormat="1" ht="27" customHeight="1" thickBot="1" x14ac:dyDescent="0.45">
      <c r="A37" s="25"/>
      <c r="B37" s="288" t="s">
        <v>286</v>
      </c>
      <c r="C37" s="289"/>
      <c r="D37" s="289"/>
      <c r="E37" s="397"/>
      <c r="F37" s="169">
        <f>IFERROR(VLOOKUP(MID(B37,4,3)&amp;"G",MMWR_TRAD_AGG_NATIONAL[],2,0),"--")</f>
        <v>66776</v>
      </c>
      <c r="G37" s="170">
        <f>IFERROR(VLOOKUP(MID(B37,4,3)&amp;"G",MMWR_TRAD_AGG_NATIONAL[],3,0),"--")</f>
        <v>56334</v>
      </c>
      <c r="H37" s="171">
        <f t="shared" si="0"/>
        <v>0.84362645261770697</v>
      </c>
      <c r="I37" s="56"/>
      <c r="J37" s="56"/>
      <c r="K37" s="56"/>
      <c r="L37" s="56"/>
      <c r="M37" s="56"/>
      <c r="N37" s="56"/>
      <c r="O37" s="56"/>
      <c r="P37" s="56"/>
      <c r="Q37" s="56"/>
      <c r="R37" s="56"/>
      <c r="S37" s="56"/>
      <c r="T37" s="56"/>
      <c r="U37" s="74"/>
      <c r="V37" s="25"/>
    </row>
    <row r="38" spans="1:22" s="1" customFormat="1" ht="32.25" customHeight="1" thickBot="1" x14ac:dyDescent="0.45">
      <c r="A38" s="25"/>
      <c r="B38" s="402" t="s">
        <v>238</v>
      </c>
      <c r="C38" s="403"/>
      <c r="D38" s="403"/>
      <c r="E38" s="403"/>
      <c r="F38" s="166">
        <f>SUM(F39:F44)</f>
        <v>170349</v>
      </c>
      <c r="G38" s="167">
        <f>SUM(G39:G44)</f>
        <v>117109</v>
      </c>
      <c r="H38" s="168">
        <f t="shared" si="0"/>
        <v>0.68746514508450296</v>
      </c>
      <c r="I38" s="56"/>
      <c r="J38" s="56"/>
      <c r="K38" s="75"/>
      <c r="L38" s="75"/>
      <c r="M38" s="75"/>
      <c r="N38" s="75"/>
      <c r="O38" s="75"/>
      <c r="P38" s="56"/>
      <c r="Q38" s="56"/>
      <c r="R38" s="56"/>
      <c r="S38" s="56"/>
      <c r="T38" s="56"/>
      <c r="U38" s="74"/>
      <c r="V38" s="25"/>
    </row>
    <row r="39" spans="1:22" s="1" customFormat="1" ht="26.25" customHeight="1" x14ac:dyDescent="0.4">
      <c r="A39" s="25"/>
      <c r="B39" s="404" t="s">
        <v>287</v>
      </c>
      <c r="C39" s="405"/>
      <c r="D39" s="405"/>
      <c r="E39" s="406"/>
      <c r="F39" s="172">
        <f>IFERROR(VLOOKUP(MID(B39,4,3),MMWR_TRAD_AGG_NATIONAL[],2,0),"--")</f>
        <v>8274</v>
      </c>
      <c r="G39" s="173">
        <f>IFERROR(VLOOKUP(MID(B39,4,3),MMWR_TRAD_AGG_NATIONAL[],3,0),"--")</f>
        <v>6320</v>
      </c>
      <c r="H39" s="174">
        <f t="shared" si="0"/>
        <v>0.76383853033599225</v>
      </c>
      <c r="I39" s="56"/>
      <c r="J39" s="56"/>
      <c r="K39" s="75"/>
      <c r="L39" s="75"/>
      <c r="M39" s="75"/>
      <c r="N39" s="75"/>
      <c r="O39" s="75"/>
      <c r="P39" s="56"/>
      <c r="Q39" s="56"/>
      <c r="R39" s="56"/>
      <c r="S39" s="56"/>
      <c r="T39" s="56"/>
      <c r="U39" s="74"/>
      <c r="V39" s="25"/>
    </row>
    <row r="40" spans="1:22" s="1" customFormat="1" ht="26.25" customHeight="1" x14ac:dyDescent="0.4">
      <c r="A40" s="25"/>
      <c r="B40" s="288" t="s">
        <v>288</v>
      </c>
      <c r="C40" s="289"/>
      <c r="D40" s="289"/>
      <c r="E40" s="397"/>
      <c r="F40" s="169">
        <f>IFERROR(VLOOKUP(MID(B40,4,3),MMWR_TRAD_AGG_NATIONAL[],2,0),"--")</f>
        <v>64299</v>
      </c>
      <c r="G40" s="170">
        <f>IFERROR(VLOOKUP(MID(B40,4,3),MMWR_TRAD_AGG_NATIONAL[],3,0),"--")</f>
        <v>49156</v>
      </c>
      <c r="H40" s="171">
        <f t="shared" si="0"/>
        <v>0.76449089410410742</v>
      </c>
      <c r="I40" s="56"/>
      <c r="J40" s="56"/>
      <c r="K40" s="56"/>
      <c r="L40" s="56"/>
      <c r="M40" s="56"/>
      <c r="N40" s="56"/>
      <c r="O40" s="56"/>
      <c r="P40" s="56"/>
      <c r="Q40" s="56"/>
      <c r="R40" s="56"/>
      <c r="S40" s="56"/>
      <c r="T40" s="56"/>
      <c r="U40" s="74"/>
      <c r="V40" s="25"/>
    </row>
    <row r="41" spans="1:22" s="1" customFormat="1" ht="26.25" customHeight="1" x14ac:dyDescent="0.4">
      <c r="A41" s="25"/>
      <c r="B41" s="288" t="s">
        <v>289</v>
      </c>
      <c r="C41" s="289"/>
      <c r="D41" s="289"/>
      <c r="E41" s="397"/>
      <c r="F41" s="169">
        <f>IFERROR(VLOOKUP(MID(B41,4,3),MMWR_TRAD_AGG_NATIONAL[],2,0),"--")</f>
        <v>1044</v>
      </c>
      <c r="G41" s="170">
        <f>IFERROR(VLOOKUP(MID(B41,4,3),MMWR_TRAD_AGG_NATIONAL[],3,0),"--")</f>
        <v>353</v>
      </c>
      <c r="H41" s="171">
        <f t="shared" si="0"/>
        <v>0.3381226053639847</v>
      </c>
      <c r="I41" s="56"/>
      <c r="J41" s="56"/>
      <c r="K41" s="56"/>
      <c r="L41" s="56"/>
      <c r="M41" s="56"/>
      <c r="N41" s="56"/>
      <c r="O41" s="56"/>
      <c r="P41" s="56"/>
      <c r="Q41" s="56"/>
      <c r="R41" s="56"/>
      <c r="S41" s="56"/>
      <c r="T41" s="56"/>
      <c r="U41" s="74"/>
      <c r="V41" s="25"/>
    </row>
    <row r="42" spans="1:22" s="1" customFormat="1" ht="36" customHeight="1" x14ac:dyDescent="0.4">
      <c r="A42" s="25"/>
      <c r="B42" s="288" t="s">
        <v>290</v>
      </c>
      <c r="C42" s="289"/>
      <c r="D42" s="289"/>
      <c r="E42" s="397"/>
      <c r="F42" s="169">
        <f>IFERROR(VLOOKUP(MID(B42,4,3),MMWR_TRAD_AGG_NATIONAL[],2,0),"--")</f>
        <v>78966</v>
      </c>
      <c r="G42" s="170">
        <f>IFERROR(VLOOKUP(MID(B42,4,3),MMWR_TRAD_AGG_NATIONAL[],3,0),"--")</f>
        <v>46636</v>
      </c>
      <c r="H42" s="171">
        <f t="shared" si="0"/>
        <v>0.5905832890104602</v>
      </c>
      <c r="I42" s="56"/>
      <c r="J42" s="56"/>
      <c r="K42" s="56"/>
      <c r="L42" s="56"/>
      <c r="M42" s="56"/>
      <c r="N42" s="56"/>
      <c r="O42" s="56"/>
      <c r="P42" s="56"/>
      <c r="Q42" s="56"/>
      <c r="R42" s="56"/>
      <c r="S42" s="56"/>
      <c r="T42" s="56"/>
      <c r="U42" s="74"/>
      <c r="V42" s="25"/>
    </row>
    <row r="43" spans="1:22" s="1" customFormat="1" ht="33" customHeight="1" x14ac:dyDescent="0.4">
      <c r="A43" s="25"/>
      <c r="B43" s="288" t="s">
        <v>291</v>
      </c>
      <c r="C43" s="289"/>
      <c r="D43" s="289"/>
      <c r="E43" s="397"/>
      <c r="F43" s="169">
        <f>IFERROR(VLOOKUP(MID(B43,4,3),MMWR_TRAD_AGG_NATIONAL[],2,0),"--")</f>
        <v>17290</v>
      </c>
      <c r="G43" s="170">
        <f>IFERROR(VLOOKUP(MID(B43,4,3),MMWR_TRAD_AGG_NATIONAL[],3,0),"--")</f>
        <v>14259</v>
      </c>
      <c r="H43" s="171">
        <f t="shared" si="0"/>
        <v>0.82469635627530369</v>
      </c>
      <c r="I43" s="56"/>
      <c r="J43" s="56"/>
      <c r="K43" s="56"/>
      <c r="L43" s="56"/>
      <c r="M43" s="56"/>
      <c r="N43" s="56"/>
      <c r="O43" s="56"/>
      <c r="P43" s="56"/>
      <c r="Q43" s="56"/>
      <c r="R43" s="56"/>
      <c r="S43" s="56"/>
      <c r="T43" s="56"/>
      <c r="U43" s="74"/>
      <c r="V43" s="25"/>
    </row>
    <row r="44" spans="1:22" s="1" customFormat="1" ht="27" customHeight="1" thickBot="1" x14ac:dyDescent="0.45">
      <c r="A44" s="25"/>
      <c r="B44" s="293" t="s">
        <v>292</v>
      </c>
      <c r="C44" s="294"/>
      <c r="D44" s="294"/>
      <c r="E44" s="401"/>
      <c r="F44" s="175">
        <f>IFERROR(VLOOKUP(MID(B44,4,3),MMWR_TRAD_AGG_NATIONAL[],2,0),"--")</f>
        <v>476</v>
      </c>
      <c r="G44" s="176">
        <f>IFERROR(VLOOKUP(MID(B44,4,3),MMWR_TRAD_AGG_NATIONAL[],3,0),"--")</f>
        <v>385</v>
      </c>
      <c r="H44" s="177">
        <f t="shared" si="0"/>
        <v>0.80882352941176472</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JULY 23, 2016</v>
      </c>
      <c r="D2" s="455"/>
      <c r="E2" s="455"/>
      <c r="F2" s="455"/>
      <c r="G2" s="455"/>
      <c r="H2" s="455"/>
      <c r="I2" s="455"/>
      <c r="J2" s="455"/>
      <c r="K2" s="455"/>
      <c r="L2" s="455"/>
      <c r="M2" s="455"/>
      <c r="N2" s="455"/>
      <c r="O2" s="455"/>
      <c r="P2" s="455"/>
      <c r="Q2" s="455"/>
      <c r="R2" s="455"/>
      <c r="S2" s="456"/>
      <c r="T2" s="25"/>
    </row>
    <row r="3" spans="1:20" x14ac:dyDescent="0.2">
      <c r="A3" s="25"/>
      <c r="B3" s="26"/>
      <c r="C3" s="457" t="s">
        <v>225</v>
      </c>
      <c r="D3" s="458"/>
      <c r="E3" s="459" t="s">
        <v>205</v>
      </c>
      <c r="F3" s="460"/>
      <c r="G3" s="461"/>
      <c r="H3" s="459" t="s">
        <v>7</v>
      </c>
      <c r="I3" s="460"/>
      <c r="J3" s="461"/>
      <c r="K3" s="459" t="s">
        <v>30</v>
      </c>
      <c r="L3" s="460"/>
      <c r="M3" s="461"/>
      <c r="N3" s="459" t="s">
        <v>8</v>
      </c>
      <c r="O3" s="460"/>
      <c r="P3" s="461"/>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487</v>
      </c>
      <c r="T4" s="91"/>
    </row>
    <row r="5" spans="1:20" ht="26.25" x14ac:dyDescent="0.4">
      <c r="A5" s="25"/>
      <c r="B5" s="26"/>
      <c r="C5" s="454" t="s">
        <v>485</v>
      </c>
      <c r="D5" s="455"/>
      <c r="E5" s="455"/>
      <c r="F5" s="455"/>
      <c r="G5" s="455"/>
      <c r="H5" s="455"/>
      <c r="I5" s="455"/>
      <c r="J5" s="455"/>
      <c r="K5" s="455"/>
      <c r="L5" s="455"/>
      <c r="M5" s="455"/>
      <c r="N5" s="455"/>
      <c r="O5" s="455"/>
      <c r="P5" s="455"/>
      <c r="Q5" s="455"/>
      <c r="R5" s="455"/>
      <c r="S5" s="456"/>
      <c r="T5" s="25"/>
    </row>
    <row r="6" spans="1:20" x14ac:dyDescent="0.2">
      <c r="A6" s="92"/>
      <c r="B6" s="93" t="s">
        <v>460</v>
      </c>
      <c r="C6" s="208">
        <f>IFERROR(VLOOKUP($B6,MMWR_TRAD_AGG_DISTRICT_COMP[],C$1,0),"ERROR")</f>
        <v>237274</v>
      </c>
      <c r="D6" s="186">
        <f>IFERROR(VLOOKUP($B6,MMWR_TRAD_AGG_DISTRICT_COMP[],D$1,0),"ERROR")</f>
        <v>370.35640230280001</v>
      </c>
      <c r="E6" s="194">
        <f>IFERROR(VLOOKUP($B6,MMWR_TRAD_AGG_DISTRICT_COMP[],E$1,0),"ERROR")</f>
        <v>343825</v>
      </c>
      <c r="F6" s="188">
        <f>IFERROR(VLOOKUP($B6,MMWR_TRAD_AGG_DISTRICT_COMP[],F$1,0),"ERROR")</f>
        <v>73648</v>
      </c>
      <c r="G6" s="211">
        <f t="shared" ref="G6:G69" si="0">IFERROR(F6/E6,"0%")</f>
        <v>0.21420199229259071</v>
      </c>
      <c r="H6" s="187">
        <f>IFERROR(VLOOKUP($B6,MMWR_TRAD_AGG_DISTRICT_COMP[],H$1,0),"ERROR")</f>
        <v>451289</v>
      </c>
      <c r="I6" s="188">
        <f>IFERROR(VLOOKUP($B6,MMWR_TRAD_AGG_DISTRICT_COMP[],I$1,0),"ERROR")</f>
        <v>225539</v>
      </c>
      <c r="J6" s="211">
        <f t="shared" ref="J6:J69" si="1">IFERROR(I6/H6,"0%")</f>
        <v>0.49976622519050984</v>
      </c>
      <c r="K6" s="187">
        <f>IFERROR(VLOOKUP($B6,MMWR_TRAD_AGG_DISTRICT_COMP[],K$1,0),"ERROR")</f>
        <v>129562</v>
      </c>
      <c r="L6" s="188">
        <f>IFERROR(VLOOKUP($B6,MMWR_TRAD_AGG_DISTRICT_COMP[],L$1,0),"ERROR")</f>
        <v>100946</v>
      </c>
      <c r="M6" s="211">
        <f t="shared" ref="M6:M69" si="2">IFERROR(L6/K6,"0%")</f>
        <v>0.77913277041107731</v>
      </c>
      <c r="N6" s="187">
        <f>IFERROR(VLOOKUP($B6,MMWR_TRAD_AGG_DISTRICT_COMP[],N$1,0),"ERROR")</f>
        <v>171461</v>
      </c>
      <c r="O6" s="188">
        <f>IFERROR(VLOOKUP($B6,MMWR_TRAD_AGG_DISTRICT_COMP[],O$1,0),"ERROR")</f>
        <v>117744</v>
      </c>
      <c r="P6" s="211">
        <f t="shared" ref="P6:P69" si="3">IFERROR(O6/N6,"0%")</f>
        <v>0.68671009733991983</v>
      </c>
      <c r="Q6" s="200">
        <f>IFERROR(VLOOKUP($B6,MMWR_TRAD_AGG_DISTRICT_COMP[],Q$1,0),"ERROR")</f>
        <v>23942</v>
      </c>
      <c r="R6" s="200">
        <f>IFERROR(VLOOKUP($B6,MMWR_TRAD_AGG_DISTRICT_COMP[],R$1,0),"ERROR")</f>
        <v>4497</v>
      </c>
      <c r="S6" s="203">
        <f>S7+S25+S38+S49+S62+S70</f>
        <v>313442</v>
      </c>
      <c r="T6" s="25"/>
    </row>
    <row r="7" spans="1:20" x14ac:dyDescent="0.2">
      <c r="A7" s="92"/>
      <c r="B7" s="101" t="s">
        <v>368</v>
      </c>
      <c r="C7" s="212">
        <f>IFERROR(VLOOKUP($B7,MMWR_TRAD_AGG_DISTRICT_COMP[],C$1,0),"ERROR")</f>
        <v>65126</v>
      </c>
      <c r="D7" s="197">
        <f>IFERROR(VLOOKUP($B7,MMWR_TRAD_AGG_DISTRICT_COMP[],D$1,0),"ERROR")</f>
        <v>406.89699966220002</v>
      </c>
      <c r="E7" s="213">
        <f>IFERROR(VLOOKUP($B7,MMWR_TRAD_AGG_DISTRICT_COMP[],E$1,0),"ERROR")</f>
        <v>80043</v>
      </c>
      <c r="F7" s="212">
        <f>IFERROR(VLOOKUP($B7,MMWR_TRAD_AGG_DISTRICT_COMP[],F$1,0),"ERROR")</f>
        <v>18308</v>
      </c>
      <c r="G7" s="214">
        <f t="shared" si="0"/>
        <v>0.22872705920567696</v>
      </c>
      <c r="H7" s="212">
        <f>IFERROR(VLOOKUP($B7,MMWR_TRAD_AGG_DISTRICT_COMP[],H$1,0),"ERROR")</f>
        <v>112324</v>
      </c>
      <c r="I7" s="212">
        <f>IFERROR(VLOOKUP($B7,MMWR_TRAD_AGG_DISTRICT_COMP[],I$1,0),"ERROR")</f>
        <v>60789</v>
      </c>
      <c r="J7" s="214">
        <f t="shared" si="1"/>
        <v>0.54119333357074173</v>
      </c>
      <c r="K7" s="212">
        <f>IFERROR(VLOOKUP($B7,MMWR_TRAD_AGG_DISTRICT_COMP[],K$1,0),"ERROR")</f>
        <v>36909</v>
      </c>
      <c r="L7" s="212">
        <f>IFERROR(VLOOKUP($B7,MMWR_TRAD_AGG_DISTRICT_COMP[],L$1,0),"ERROR")</f>
        <v>29381</v>
      </c>
      <c r="M7" s="214">
        <f t="shared" si="2"/>
        <v>0.79603890649976972</v>
      </c>
      <c r="N7" s="212">
        <f>IFERROR(VLOOKUP($B7,MMWR_TRAD_AGG_DISTRICT_COMP[],N$1,0),"ERROR")</f>
        <v>28925</v>
      </c>
      <c r="O7" s="212">
        <f>IFERROR(VLOOKUP($B7,MMWR_TRAD_AGG_DISTRICT_COMP[],O$1,0),"ERROR")</f>
        <v>23319</v>
      </c>
      <c r="P7" s="214">
        <f t="shared" si="3"/>
        <v>0.80618841832324983</v>
      </c>
      <c r="Q7" s="212">
        <f>IFERROR(VLOOKUP($B7,MMWR_TRAD_AGG_DISTRICT_COMP[],Q$1,0),"ERROR")</f>
        <v>14020</v>
      </c>
      <c r="R7" s="215">
        <f>IFERROR(VLOOKUP($B7,MMWR_TRAD_AGG_DISTRICT_COMP[],R$1,0),"ERROR")</f>
        <v>50</v>
      </c>
      <c r="S7" s="215">
        <f>IFERROR(VLOOKUP($B7,MMWR_APP_RO[],S$1,0),"ERROR")</f>
        <v>57072</v>
      </c>
      <c r="T7" s="25"/>
    </row>
    <row r="8" spans="1:20" x14ac:dyDescent="0.2">
      <c r="A8" s="107"/>
      <c r="B8" s="108" t="s">
        <v>33</v>
      </c>
      <c r="C8" s="209">
        <f>IFERROR(VLOOKUP($B8,MMWR_TRAD_AGG_RO_COMP[],C$1,0),"ERROR")</f>
        <v>8024</v>
      </c>
      <c r="D8" s="198">
        <f>IFERROR(VLOOKUP($B8,MMWR_TRAD_AGG_RO_COMP[],D$1,0),"ERROR")</f>
        <v>703.29872881359995</v>
      </c>
      <c r="E8" s="195">
        <f>IFERROR(VLOOKUP($B8,MMWR_TRAD_AGG_RO_COMP[],E$1,0),"ERROR")</f>
        <v>5572</v>
      </c>
      <c r="F8" s="191">
        <f>IFERROR(VLOOKUP($B8,MMWR_TRAD_AGG_RO_COMP[],F$1,0),"ERROR")</f>
        <v>1280</v>
      </c>
      <c r="G8" s="216">
        <f t="shared" si="0"/>
        <v>0.22972002871500358</v>
      </c>
      <c r="H8" s="190">
        <f>IFERROR(VLOOKUP($B8,MMWR_TRAD_AGG_RO_COMP[],H$1,0),"ERROR")</f>
        <v>10956</v>
      </c>
      <c r="I8" s="191">
        <f>IFERROR(VLOOKUP($B8,MMWR_TRAD_AGG_RO_COMP[],I$1,0),"ERROR")</f>
        <v>7715</v>
      </c>
      <c r="J8" s="216">
        <f t="shared" si="1"/>
        <v>0.70418035779481558</v>
      </c>
      <c r="K8" s="204">
        <f>IFERROR(VLOOKUP($B8,MMWR_TRAD_AGG_RO_COMP[],K$1,0),"ERROR")</f>
        <v>3435</v>
      </c>
      <c r="L8" s="205">
        <f>IFERROR(VLOOKUP($B8,MMWR_TRAD_AGG_RO_COMP[],L$1,0),"ERROR")</f>
        <v>3073</v>
      </c>
      <c r="M8" s="216">
        <f t="shared" si="2"/>
        <v>0.89461426491994178</v>
      </c>
      <c r="N8" s="204">
        <f>IFERROR(VLOOKUP($B8,MMWR_TRAD_AGG_RO_COMP[],N$1,0),"ERROR")</f>
        <v>1522</v>
      </c>
      <c r="O8" s="205">
        <f>IFERROR(VLOOKUP($B8,MMWR_TRAD_AGG_RO_COMP[],O$1,0),"ERROR")</f>
        <v>1197</v>
      </c>
      <c r="P8" s="216">
        <f t="shared" si="3"/>
        <v>0.78646517739816035</v>
      </c>
      <c r="Q8" s="201">
        <f>IFERROR(VLOOKUP($B8,MMWR_TRAD_AGG_RO_COMP[],Q$1,0),"ERROR")</f>
        <v>0</v>
      </c>
      <c r="R8" s="201">
        <f>IFERROR(VLOOKUP($B8,MMWR_TRAD_AGG_RO_COMP[],R$1,0),"ERROR")</f>
        <v>7</v>
      </c>
      <c r="S8" s="201">
        <f>IFERROR(VLOOKUP($B8,MMWR_APP_RO[],S$1,0),"ERROR")</f>
        <v>4781</v>
      </c>
      <c r="T8" s="25"/>
    </row>
    <row r="9" spans="1:20" x14ac:dyDescent="0.2">
      <c r="A9" s="107"/>
      <c r="B9" s="108" t="s">
        <v>35</v>
      </c>
      <c r="C9" s="209">
        <f>IFERROR(VLOOKUP($B9,MMWR_TRAD_AGG_RO_COMP[],C$1,0),"ERROR")</f>
        <v>3400</v>
      </c>
      <c r="D9" s="198">
        <f>IFERROR(VLOOKUP($B9,MMWR_TRAD_AGG_RO_COMP[],D$1,0),"ERROR")</f>
        <v>598.95676470590001</v>
      </c>
      <c r="E9" s="195">
        <f>IFERROR(VLOOKUP($B9,MMWR_TRAD_AGG_RO_COMP[],E$1,0),"ERROR")</f>
        <v>3222</v>
      </c>
      <c r="F9" s="191">
        <f>IFERROR(VLOOKUP($B9,MMWR_TRAD_AGG_RO_COMP[],F$1,0),"ERROR")</f>
        <v>655</v>
      </c>
      <c r="G9" s="216">
        <f t="shared" si="0"/>
        <v>0.20328988206083179</v>
      </c>
      <c r="H9" s="190">
        <f>IFERROR(VLOOKUP($B9,MMWR_TRAD_AGG_RO_COMP[],H$1,0),"ERROR")</f>
        <v>6712</v>
      </c>
      <c r="I9" s="191">
        <f>IFERROR(VLOOKUP($B9,MMWR_TRAD_AGG_RO_COMP[],I$1,0),"ERROR")</f>
        <v>3621</v>
      </c>
      <c r="J9" s="216">
        <f t="shared" si="1"/>
        <v>0.53948152562574492</v>
      </c>
      <c r="K9" s="204">
        <f>IFERROR(VLOOKUP($B9,MMWR_TRAD_AGG_RO_COMP[],K$1,0),"ERROR")</f>
        <v>2550</v>
      </c>
      <c r="L9" s="205">
        <f>IFERROR(VLOOKUP($B9,MMWR_TRAD_AGG_RO_COMP[],L$1,0),"ERROR")</f>
        <v>2049</v>
      </c>
      <c r="M9" s="216">
        <f t="shared" si="2"/>
        <v>0.80352941176470594</v>
      </c>
      <c r="N9" s="204">
        <f>IFERROR(VLOOKUP($B9,MMWR_TRAD_AGG_RO_COMP[],N$1,0),"ERROR")</f>
        <v>627</v>
      </c>
      <c r="O9" s="205">
        <f>IFERROR(VLOOKUP($B9,MMWR_TRAD_AGG_RO_COMP[],O$1,0),"ERROR")</f>
        <v>567</v>
      </c>
      <c r="P9" s="216">
        <f t="shared" si="3"/>
        <v>0.90430622009569372</v>
      </c>
      <c r="Q9" s="201">
        <f>IFERROR(VLOOKUP($B9,MMWR_TRAD_AGG_RO_COMP[],Q$1,0),"ERROR")</f>
        <v>0</v>
      </c>
      <c r="R9" s="201">
        <f>IFERROR(VLOOKUP($B9,MMWR_TRAD_AGG_RO_COMP[],R$1,0),"ERROR")</f>
        <v>3</v>
      </c>
      <c r="S9" s="201">
        <f>IFERROR(VLOOKUP($B9,MMWR_APP_RO[],S$1,0),"ERROR")</f>
        <v>3211</v>
      </c>
      <c r="T9" s="25"/>
    </row>
    <row r="10" spans="1:20" x14ac:dyDescent="0.2">
      <c r="A10" s="107"/>
      <c r="B10" s="108" t="s">
        <v>24</v>
      </c>
      <c r="C10" s="209">
        <f>IFERROR(VLOOKUP($B10,MMWR_TRAD_AGG_RO_COMP[],C$1,0),"ERROR")</f>
        <v>569</v>
      </c>
      <c r="D10" s="198">
        <f>IFERROR(VLOOKUP($B10,MMWR_TRAD_AGG_RO_COMP[],D$1,0),"ERROR")</f>
        <v>192.76449912129999</v>
      </c>
      <c r="E10" s="195">
        <f>IFERROR(VLOOKUP($B10,MMWR_TRAD_AGG_RO_COMP[],E$1,0),"ERROR")</f>
        <v>3866</v>
      </c>
      <c r="F10" s="191">
        <f>IFERROR(VLOOKUP($B10,MMWR_TRAD_AGG_RO_COMP[],F$1,0),"ERROR")</f>
        <v>780</v>
      </c>
      <c r="G10" s="216">
        <f t="shared" si="0"/>
        <v>0.20175892395240558</v>
      </c>
      <c r="H10" s="190">
        <f>IFERROR(VLOOKUP($B10,MMWR_TRAD_AGG_RO_COMP[],H$1,0),"ERROR")</f>
        <v>2939</v>
      </c>
      <c r="I10" s="191">
        <f>IFERROR(VLOOKUP($B10,MMWR_TRAD_AGG_RO_COMP[],I$1,0),"ERROR")</f>
        <v>940</v>
      </c>
      <c r="J10" s="216">
        <f t="shared" si="1"/>
        <v>0.31983667914256547</v>
      </c>
      <c r="K10" s="204">
        <f>IFERROR(VLOOKUP($B10,MMWR_TRAD_AGG_RO_COMP[],K$1,0),"ERROR")</f>
        <v>981</v>
      </c>
      <c r="L10" s="205">
        <f>IFERROR(VLOOKUP($B10,MMWR_TRAD_AGG_RO_COMP[],L$1,0),"ERROR")</f>
        <v>667</v>
      </c>
      <c r="M10" s="216">
        <f t="shared" si="2"/>
        <v>0.67991845056065237</v>
      </c>
      <c r="N10" s="204">
        <f>IFERROR(VLOOKUP($B10,MMWR_TRAD_AGG_RO_COMP[],N$1,0),"ERROR")</f>
        <v>303</v>
      </c>
      <c r="O10" s="205">
        <f>IFERROR(VLOOKUP($B10,MMWR_TRAD_AGG_RO_COMP[],O$1,0),"ERROR")</f>
        <v>137</v>
      </c>
      <c r="P10" s="216">
        <f t="shared" si="3"/>
        <v>0.45214521452145212</v>
      </c>
      <c r="Q10" s="201">
        <f>IFERROR(VLOOKUP($B10,MMWR_TRAD_AGG_RO_COMP[],Q$1,0),"ERROR")</f>
        <v>0</v>
      </c>
      <c r="R10" s="201">
        <f>IFERROR(VLOOKUP($B10,MMWR_TRAD_AGG_RO_COMP[],R$1,0),"ERROR")</f>
        <v>0</v>
      </c>
      <c r="S10" s="201">
        <f>IFERROR(VLOOKUP($B10,MMWR_APP_RO[],S$1,0),"ERROR")</f>
        <v>2033</v>
      </c>
      <c r="T10" s="25"/>
    </row>
    <row r="11" spans="1:20" x14ac:dyDescent="0.2">
      <c r="A11" s="107"/>
      <c r="B11" s="108" t="s">
        <v>44</v>
      </c>
      <c r="C11" s="209">
        <f>IFERROR(VLOOKUP($B11,MMWR_TRAD_AGG_RO_COMP[],C$1,0),"ERROR")</f>
        <v>580</v>
      </c>
      <c r="D11" s="198">
        <f>IFERROR(VLOOKUP($B11,MMWR_TRAD_AGG_RO_COMP[],D$1,0),"ERROR")</f>
        <v>283.72758620690001</v>
      </c>
      <c r="E11" s="195">
        <f>IFERROR(VLOOKUP($B11,MMWR_TRAD_AGG_RO_COMP[],E$1,0),"ERROR")</f>
        <v>1805</v>
      </c>
      <c r="F11" s="191">
        <f>IFERROR(VLOOKUP($B11,MMWR_TRAD_AGG_RO_COMP[],F$1,0),"ERROR")</f>
        <v>335</v>
      </c>
      <c r="G11" s="216">
        <f t="shared" si="0"/>
        <v>0.18559556786703602</v>
      </c>
      <c r="H11" s="190">
        <f>IFERROR(VLOOKUP($B11,MMWR_TRAD_AGG_RO_COMP[],H$1,0),"ERROR")</f>
        <v>2491</v>
      </c>
      <c r="I11" s="191">
        <f>IFERROR(VLOOKUP($B11,MMWR_TRAD_AGG_RO_COMP[],I$1,0),"ERROR")</f>
        <v>711</v>
      </c>
      <c r="J11" s="216">
        <f t="shared" si="1"/>
        <v>0.28542753914090729</v>
      </c>
      <c r="K11" s="204">
        <f>IFERROR(VLOOKUP($B11,MMWR_TRAD_AGG_RO_COMP[],K$1,0),"ERROR")</f>
        <v>443</v>
      </c>
      <c r="L11" s="205">
        <f>IFERROR(VLOOKUP($B11,MMWR_TRAD_AGG_RO_COMP[],L$1,0),"ERROR")</f>
        <v>238</v>
      </c>
      <c r="M11" s="216">
        <f t="shared" si="2"/>
        <v>0.53724604966139955</v>
      </c>
      <c r="N11" s="204">
        <f>IFERROR(VLOOKUP($B11,MMWR_TRAD_AGG_RO_COMP[],N$1,0),"ERROR")</f>
        <v>819</v>
      </c>
      <c r="O11" s="205">
        <f>IFERROR(VLOOKUP($B11,MMWR_TRAD_AGG_RO_COMP[],O$1,0),"ERROR")</f>
        <v>682</v>
      </c>
      <c r="P11" s="216">
        <f t="shared" si="3"/>
        <v>0.83272283272283276</v>
      </c>
      <c r="Q11" s="201">
        <f>IFERROR(VLOOKUP($B11,MMWR_TRAD_AGG_RO_COMP[],Q$1,0),"ERROR")</f>
        <v>0</v>
      </c>
      <c r="R11" s="201">
        <f>IFERROR(VLOOKUP($B11,MMWR_TRAD_AGG_RO_COMP[],R$1,0),"ERROR")</f>
        <v>5</v>
      </c>
      <c r="S11" s="201">
        <f>IFERROR(VLOOKUP($B11,MMWR_APP_RO[],S$1,0),"ERROR")</f>
        <v>1415</v>
      </c>
      <c r="T11" s="25"/>
    </row>
    <row r="12" spans="1:20" x14ac:dyDescent="0.2">
      <c r="A12" s="107"/>
      <c r="B12" s="108" t="s">
        <v>47</v>
      </c>
      <c r="C12" s="209">
        <f>IFERROR(VLOOKUP($B12,MMWR_TRAD_AGG_RO_COMP[],C$1,0),"ERROR")</f>
        <v>1953</v>
      </c>
      <c r="D12" s="198">
        <f>IFERROR(VLOOKUP($B12,MMWR_TRAD_AGG_RO_COMP[],D$1,0),"ERROR")</f>
        <v>255.6559139785</v>
      </c>
      <c r="E12" s="195">
        <f>IFERROR(VLOOKUP($B12,MMWR_TRAD_AGG_RO_COMP[],E$1,0),"ERROR")</f>
        <v>2232</v>
      </c>
      <c r="F12" s="191">
        <f>IFERROR(VLOOKUP($B12,MMWR_TRAD_AGG_RO_COMP[],F$1,0),"ERROR")</f>
        <v>410</v>
      </c>
      <c r="G12" s="216">
        <f t="shared" si="0"/>
        <v>0.18369175627240145</v>
      </c>
      <c r="H12" s="190">
        <f>IFERROR(VLOOKUP($B12,MMWR_TRAD_AGG_RO_COMP[],H$1,0),"ERROR")</f>
        <v>3617</v>
      </c>
      <c r="I12" s="191">
        <f>IFERROR(VLOOKUP($B12,MMWR_TRAD_AGG_RO_COMP[],I$1,0),"ERROR")</f>
        <v>1883</v>
      </c>
      <c r="J12" s="216">
        <f t="shared" si="1"/>
        <v>0.52059717998341171</v>
      </c>
      <c r="K12" s="204">
        <f>IFERROR(VLOOKUP($B12,MMWR_TRAD_AGG_RO_COMP[],K$1,0),"ERROR")</f>
        <v>459</v>
      </c>
      <c r="L12" s="205">
        <f>IFERROR(VLOOKUP($B12,MMWR_TRAD_AGG_RO_COMP[],L$1,0),"ERROR")</f>
        <v>365</v>
      </c>
      <c r="M12" s="216">
        <f t="shared" si="2"/>
        <v>0.79520697167755994</v>
      </c>
      <c r="N12" s="204">
        <f>IFERROR(VLOOKUP($B12,MMWR_TRAD_AGG_RO_COMP[],N$1,0),"ERROR")</f>
        <v>1281</v>
      </c>
      <c r="O12" s="205">
        <f>IFERROR(VLOOKUP($B12,MMWR_TRAD_AGG_RO_COMP[],O$1,0),"ERROR")</f>
        <v>947</v>
      </c>
      <c r="P12" s="216">
        <f t="shared" si="3"/>
        <v>0.73926619828259177</v>
      </c>
      <c r="Q12" s="201">
        <f>IFERROR(VLOOKUP($B12,MMWR_TRAD_AGG_RO_COMP[],Q$1,0),"ERROR")</f>
        <v>0</v>
      </c>
      <c r="R12" s="201">
        <f>IFERROR(VLOOKUP($B12,MMWR_TRAD_AGG_RO_COMP[],R$1,0),"ERROR")</f>
        <v>6</v>
      </c>
      <c r="S12" s="201">
        <f>IFERROR(VLOOKUP($B12,MMWR_APP_RO[],S$1,0),"ERROR")</f>
        <v>2599</v>
      </c>
      <c r="T12" s="25"/>
    </row>
    <row r="13" spans="1:20" x14ac:dyDescent="0.2">
      <c r="A13" s="107"/>
      <c r="B13" s="108" t="s">
        <v>54</v>
      </c>
      <c r="C13" s="209">
        <f>IFERROR(VLOOKUP($B13,MMWR_TRAD_AGG_RO_COMP[],C$1,0),"ERROR")</f>
        <v>958</v>
      </c>
      <c r="D13" s="198">
        <f>IFERROR(VLOOKUP($B13,MMWR_TRAD_AGG_RO_COMP[],D$1,0),"ERROR")</f>
        <v>263.13048016699997</v>
      </c>
      <c r="E13" s="195">
        <f>IFERROR(VLOOKUP($B13,MMWR_TRAD_AGG_RO_COMP[],E$1,0),"ERROR")</f>
        <v>1227</v>
      </c>
      <c r="F13" s="191">
        <f>IFERROR(VLOOKUP($B13,MMWR_TRAD_AGG_RO_COMP[],F$1,0),"ERROR")</f>
        <v>178</v>
      </c>
      <c r="G13" s="216">
        <f t="shared" si="0"/>
        <v>0.14506927465362673</v>
      </c>
      <c r="H13" s="190">
        <f>IFERROR(VLOOKUP($B13,MMWR_TRAD_AGG_RO_COMP[],H$1,0),"ERROR")</f>
        <v>1803</v>
      </c>
      <c r="I13" s="191">
        <f>IFERROR(VLOOKUP($B13,MMWR_TRAD_AGG_RO_COMP[],I$1,0),"ERROR")</f>
        <v>769</v>
      </c>
      <c r="J13" s="216">
        <f t="shared" si="1"/>
        <v>0.42651136993899058</v>
      </c>
      <c r="K13" s="204">
        <f>IFERROR(VLOOKUP($B13,MMWR_TRAD_AGG_RO_COMP[],K$1,0),"ERROR")</f>
        <v>213</v>
      </c>
      <c r="L13" s="205">
        <f>IFERROR(VLOOKUP($B13,MMWR_TRAD_AGG_RO_COMP[],L$1,0),"ERROR")</f>
        <v>139</v>
      </c>
      <c r="M13" s="216">
        <f t="shared" si="2"/>
        <v>0.65258215962441313</v>
      </c>
      <c r="N13" s="204">
        <f>IFERROR(VLOOKUP($B13,MMWR_TRAD_AGG_RO_COMP[],N$1,0),"ERROR")</f>
        <v>141</v>
      </c>
      <c r="O13" s="205">
        <f>IFERROR(VLOOKUP($B13,MMWR_TRAD_AGG_RO_COMP[],O$1,0),"ERROR")</f>
        <v>48</v>
      </c>
      <c r="P13" s="216">
        <f t="shared" si="3"/>
        <v>0.34042553191489361</v>
      </c>
      <c r="Q13" s="201">
        <f>IFERROR(VLOOKUP($B13,MMWR_TRAD_AGG_RO_COMP[],Q$1,0),"ERROR")</f>
        <v>0</v>
      </c>
      <c r="R13" s="201">
        <f>IFERROR(VLOOKUP($B13,MMWR_TRAD_AGG_RO_COMP[],R$1,0),"ERROR")</f>
        <v>1</v>
      </c>
      <c r="S13" s="201">
        <f>IFERROR(VLOOKUP($B13,MMWR_APP_RO[],S$1,0),"ERROR")</f>
        <v>595</v>
      </c>
      <c r="T13" s="25"/>
    </row>
    <row r="14" spans="1:20" x14ac:dyDescent="0.2">
      <c r="A14" s="107"/>
      <c r="B14" s="108" t="s">
        <v>60</v>
      </c>
      <c r="C14" s="209">
        <f>IFERROR(VLOOKUP($B14,MMWR_TRAD_AGG_RO_COMP[],C$1,0),"ERROR")</f>
        <v>2338</v>
      </c>
      <c r="D14" s="198">
        <f>IFERROR(VLOOKUP($B14,MMWR_TRAD_AGG_RO_COMP[],D$1,0),"ERROR")</f>
        <v>306.3609923011</v>
      </c>
      <c r="E14" s="195">
        <f>IFERROR(VLOOKUP($B14,MMWR_TRAD_AGG_RO_COMP[],E$1,0),"ERROR")</f>
        <v>4739</v>
      </c>
      <c r="F14" s="191">
        <f>IFERROR(VLOOKUP($B14,MMWR_TRAD_AGG_RO_COMP[],F$1,0),"ERROR")</f>
        <v>1378</v>
      </c>
      <c r="G14" s="216">
        <f t="shared" si="0"/>
        <v>0.29077864528381514</v>
      </c>
      <c r="H14" s="190">
        <f>IFERROR(VLOOKUP($B14,MMWR_TRAD_AGG_RO_COMP[],H$1,0),"ERROR")</f>
        <v>5220</v>
      </c>
      <c r="I14" s="191">
        <f>IFERROR(VLOOKUP($B14,MMWR_TRAD_AGG_RO_COMP[],I$1,0),"ERROR")</f>
        <v>2064</v>
      </c>
      <c r="J14" s="216">
        <f t="shared" si="1"/>
        <v>0.39540229885057471</v>
      </c>
      <c r="K14" s="204">
        <f>IFERROR(VLOOKUP($B14,MMWR_TRAD_AGG_RO_COMP[],K$1,0),"ERROR")</f>
        <v>2047</v>
      </c>
      <c r="L14" s="205">
        <f>IFERROR(VLOOKUP($B14,MMWR_TRAD_AGG_RO_COMP[],L$1,0),"ERROR")</f>
        <v>1773</v>
      </c>
      <c r="M14" s="216">
        <f t="shared" si="2"/>
        <v>0.86614557889594523</v>
      </c>
      <c r="N14" s="204">
        <f>IFERROR(VLOOKUP($B14,MMWR_TRAD_AGG_RO_COMP[],N$1,0),"ERROR")</f>
        <v>3963</v>
      </c>
      <c r="O14" s="205">
        <f>IFERROR(VLOOKUP($B14,MMWR_TRAD_AGG_RO_COMP[],O$1,0),"ERROR")</f>
        <v>2687</v>
      </c>
      <c r="P14" s="216">
        <f t="shared" si="3"/>
        <v>0.67802170073176882</v>
      </c>
      <c r="Q14" s="201">
        <f>IFERROR(VLOOKUP($B14,MMWR_TRAD_AGG_RO_COMP[],Q$1,0),"ERROR")</f>
        <v>0</v>
      </c>
      <c r="R14" s="201">
        <f>IFERROR(VLOOKUP($B14,MMWR_TRAD_AGG_RO_COMP[],R$1,0),"ERROR")</f>
        <v>1</v>
      </c>
      <c r="S14" s="201">
        <f>IFERROR(VLOOKUP($B14,MMWR_APP_RO[],S$1,0),"ERROR")</f>
        <v>3338</v>
      </c>
      <c r="T14" s="25"/>
    </row>
    <row r="15" spans="1:20" x14ac:dyDescent="0.2">
      <c r="A15" s="107"/>
      <c r="B15" s="108" t="s">
        <v>61</v>
      </c>
      <c r="C15" s="209">
        <f>IFERROR(VLOOKUP($B15,MMWR_TRAD_AGG_RO_COMP[],C$1,0),"ERROR")</f>
        <v>471</v>
      </c>
      <c r="D15" s="198">
        <f>IFERROR(VLOOKUP($B15,MMWR_TRAD_AGG_RO_COMP[],D$1,0),"ERROR")</f>
        <v>244.7558386412</v>
      </c>
      <c r="E15" s="195">
        <f>IFERROR(VLOOKUP($B15,MMWR_TRAD_AGG_RO_COMP[],E$1,0),"ERROR")</f>
        <v>2738</v>
      </c>
      <c r="F15" s="191">
        <f>IFERROR(VLOOKUP($B15,MMWR_TRAD_AGG_RO_COMP[],F$1,0),"ERROR")</f>
        <v>723</v>
      </c>
      <c r="G15" s="216">
        <f t="shared" si="0"/>
        <v>0.26406135865595326</v>
      </c>
      <c r="H15" s="190">
        <f>IFERROR(VLOOKUP($B15,MMWR_TRAD_AGG_RO_COMP[],H$1,0),"ERROR")</f>
        <v>1705</v>
      </c>
      <c r="I15" s="191">
        <f>IFERROR(VLOOKUP($B15,MMWR_TRAD_AGG_RO_COMP[],I$1,0),"ERROR")</f>
        <v>361</v>
      </c>
      <c r="J15" s="216">
        <f t="shared" si="1"/>
        <v>0.21173020527859238</v>
      </c>
      <c r="K15" s="204">
        <f>IFERROR(VLOOKUP($B15,MMWR_TRAD_AGG_RO_COMP[],K$1,0),"ERROR")</f>
        <v>526</v>
      </c>
      <c r="L15" s="205">
        <f>IFERROR(VLOOKUP($B15,MMWR_TRAD_AGG_RO_COMP[],L$1,0),"ERROR")</f>
        <v>490</v>
      </c>
      <c r="M15" s="216">
        <f t="shared" si="2"/>
        <v>0.9315589353612167</v>
      </c>
      <c r="N15" s="204">
        <f>IFERROR(VLOOKUP($B15,MMWR_TRAD_AGG_RO_COMP[],N$1,0),"ERROR")</f>
        <v>1445</v>
      </c>
      <c r="O15" s="205">
        <f>IFERROR(VLOOKUP($B15,MMWR_TRAD_AGG_RO_COMP[],O$1,0),"ERROR")</f>
        <v>1204</v>
      </c>
      <c r="P15" s="216">
        <f t="shared" si="3"/>
        <v>0.83321799307958477</v>
      </c>
      <c r="Q15" s="201">
        <f>IFERROR(VLOOKUP($B15,MMWR_TRAD_AGG_RO_COMP[],Q$1,0),"ERROR")</f>
        <v>0</v>
      </c>
      <c r="R15" s="201">
        <f>IFERROR(VLOOKUP($B15,MMWR_TRAD_AGG_RO_COMP[],R$1,0),"ERROR")</f>
        <v>1</v>
      </c>
      <c r="S15" s="201">
        <f>IFERROR(VLOOKUP($B15,MMWR_APP_RO[],S$1,0),"ERROR")</f>
        <v>2488</v>
      </c>
      <c r="T15" s="25"/>
    </row>
    <row r="16" spans="1:20" x14ac:dyDescent="0.2">
      <c r="A16" s="107"/>
      <c r="B16" s="108" t="s">
        <v>63</v>
      </c>
      <c r="C16" s="209">
        <f>IFERROR(VLOOKUP($B16,MMWR_TRAD_AGG_RO_COMP[],C$1,0),"ERROR")</f>
        <v>4253</v>
      </c>
      <c r="D16" s="198">
        <f>IFERROR(VLOOKUP($B16,MMWR_TRAD_AGG_RO_COMP[],D$1,0),"ERROR")</f>
        <v>431.53138960730001</v>
      </c>
      <c r="E16" s="195">
        <f>IFERROR(VLOOKUP($B16,MMWR_TRAD_AGG_RO_COMP[],E$1,0),"ERROR")</f>
        <v>14089</v>
      </c>
      <c r="F16" s="191">
        <f>IFERROR(VLOOKUP($B16,MMWR_TRAD_AGG_RO_COMP[],F$1,0),"ERROR")</f>
        <v>3685</v>
      </c>
      <c r="G16" s="216">
        <f t="shared" si="0"/>
        <v>0.26155156505074884</v>
      </c>
      <c r="H16" s="190">
        <f>IFERROR(VLOOKUP($B16,MMWR_TRAD_AGG_RO_COMP[],H$1,0),"ERROR")</f>
        <v>8470</v>
      </c>
      <c r="I16" s="191">
        <f>IFERROR(VLOOKUP($B16,MMWR_TRAD_AGG_RO_COMP[],I$1,0),"ERROR")</f>
        <v>4593</v>
      </c>
      <c r="J16" s="216">
        <f t="shared" si="1"/>
        <v>0.54226682408500593</v>
      </c>
      <c r="K16" s="204">
        <f>IFERROR(VLOOKUP($B16,MMWR_TRAD_AGG_RO_COMP[],K$1,0),"ERROR")</f>
        <v>1695</v>
      </c>
      <c r="L16" s="205">
        <f>IFERROR(VLOOKUP($B16,MMWR_TRAD_AGG_RO_COMP[],L$1,0),"ERROR")</f>
        <v>1459</v>
      </c>
      <c r="M16" s="216">
        <f t="shared" si="2"/>
        <v>0.86076696165191735</v>
      </c>
      <c r="N16" s="204">
        <f>IFERROR(VLOOKUP($B16,MMWR_TRAD_AGG_RO_COMP[],N$1,0),"ERROR")</f>
        <v>7024</v>
      </c>
      <c r="O16" s="205">
        <f>IFERROR(VLOOKUP($B16,MMWR_TRAD_AGG_RO_COMP[],O$1,0),"ERROR")</f>
        <v>6374</v>
      </c>
      <c r="P16" s="216">
        <f t="shared" si="3"/>
        <v>0.90746013667425973</v>
      </c>
      <c r="Q16" s="201">
        <f>IFERROR(VLOOKUP($B16,MMWR_TRAD_AGG_RO_COMP[],Q$1,0),"ERROR")</f>
        <v>14013</v>
      </c>
      <c r="R16" s="201">
        <f>IFERROR(VLOOKUP($B16,MMWR_TRAD_AGG_RO_COMP[],R$1,0),"ERROR")</f>
        <v>0</v>
      </c>
      <c r="S16" s="201">
        <f>IFERROR(VLOOKUP($B16,MMWR_APP_RO[],S$1,0),"ERROR")</f>
        <v>5810</v>
      </c>
      <c r="T16" s="25"/>
    </row>
    <row r="17" spans="1:20" x14ac:dyDescent="0.2">
      <c r="A17" s="107"/>
      <c r="B17" s="108" t="s">
        <v>65</v>
      </c>
      <c r="C17" s="209">
        <f>IFERROR(VLOOKUP($B17,MMWR_TRAD_AGG_RO_COMP[],C$1,0),"ERROR")</f>
        <v>3169</v>
      </c>
      <c r="D17" s="198">
        <f>IFERROR(VLOOKUP($B17,MMWR_TRAD_AGG_RO_COMP[],D$1,0),"ERROR")</f>
        <v>390.61754496690003</v>
      </c>
      <c r="E17" s="195">
        <f>IFERROR(VLOOKUP($B17,MMWR_TRAD_AGG_RO_COMP[],E$1,0),"ERROR")</f>
        <v>4929</v>
      </c>
      <c r="F17" s="191">
        <f>IFERROR(VLOOKUP($B17,MMWR_TRAD_AGG_RO_COMP[],F$1,0),"ERROR")</f>
        <v>1542</v>
      </c>
      <c r="G17" s="216">
        <f t="shared" si="0"/>
        <v>0.31284236153377964</v>
      </c>
      <c r="H17" s="190">
        <f>IFERROR(VLOOKUP($B17,MMWR_TRAD_AGG_RO_COMP[],H$1,0),"ERROR")</f>
        <v>5688</v>
      </c>
      <c r="I17" s="191">
        <f>IFERROR(VLOOKUP($B17,MMWR_TRAD_AGG_RO_COMP[],I$1,0),"ERROR")</f>
        <v>3184</v>
      </c>
      <c r="J17" s="216">
        <f t="shared" si="1"/>
        <v>0.55977496483825595</v>
      </c>
      <c r="K17" s="204">
        <f>IFERROR(VLOOKUP($B17,MMWR_TRAD_AGG_RO_COMP[],K$1,0),"ERROR")</f>
        <v>490</v>
      </c>
      <c r="L17" s="205">
        <f>IFERROR(VLOOKUP($B17,MMWR_TRAD_AGG_RO_COMP[],L$1,0),"ERROR")</f>
        <v>386</v>
      </c>
      <c r="M17" s="216">
        <f t="shared" si="2"/>
        <v>0.78775510204081634</v>
      </c>
      <c r="N17" s="204">
        <f>IFERROR(VLOOKUP($B17,MMWR_TRAD_AGG_RO_COMP[],N$1,0),"ERROR")</f>
        <v>801</v>
      </c>
      <c r="O17" s="205">
        <f>IFERROR(VLOOKUP($B17,MMWR_TRAD_AGG_RO_COMP[],O$1,0),"ERROR")</f>
        <v>583</v>
      </c>
      <c r="P17" s="216">
        <f t="shared" si="3"/>
        <v>0.72784019975031211</v>
      </c>
      <c r="Q17" s="201">
        <f>IFERROR(VLOOKUP($B17,MMWR_TRAD_AGG_RO_COMP[],Q$1,0),"ERROR")</f>
        <v>0</v>
      </c>
      <c r="R17" s="201">
        <f>IFERROR(VLOOKUP($B17,MMWR_TRAD_AGG_RO_COMP[],R$1,0),"ERROR")</f>
        <v>1</v>
      </c>
      <c r="S17" s="201">
        <f>IFERROR(VLOOKUP($B17,MMWR_APP_RO[],S$1,0),"ERROR")</f>
        <v>4956</v>
      </c>
      <c r="T17" s="25"/>
    </row>
    <row r="18" spans="1:20" x14ac:dyDescent="0.2">
      <c r="A18" s="107"/>
      <c r="B18" s="108" t="s">
        <v>67</v>
      </c>
      <c r="C18" s="209">
        <f>IFERROR(VLOOKUP($B18,MMWR_TRAD_AGG_RO_COMP[],C$1,0),"ERROR")</f>
        <v>810</v>
      </c>
      <c r="D18" s="198">
        <f>IFERROR(VLOOKUP($B18,MMWR_TRAD_AGG_RO_COMP[],D$1,0),"ERROR")</f>
        <v>294.72345679009999</v>
      </c>
      <c r="E18" s="195">
        <f>IFERROR(VLOOKUP($B18,MMWR_TRAD_AGG_RO_COMP[],E$1,0),"ERROR")</f>
        <v>2402</v>
      </c>
      <c r="F18" s="191">
        <f>IFERROR(VLOOKUP($B18,MMWR_TRAD_AGG_RO_COMP[],F$1,0),"ERROR")</f>
        <v>347</v>
      </c>
      <c r="G18" s="216">
        <f t="shared" si="0"/>
        <v>0.14446294754371358</v>
      </c>
      <c r="H18" s="190">
        <f>IFERROR(VLOOKUP($B18,MMWR_TRAD_AGG_RO_COMP[],H$1,0),"ERROR")</f>
        <v>3351</v>
      </c>
      <c r="I18" s="191">
        <f>IFERROR(VLOOKUP($B18,MMWR_TRAD_AGG_RO_COMP[],I$1,0),"ERROR")</f>
        <v>787</v>
      </c>
      <c r="J18" s="216">
        <f t="shared" si="1"/>
        <v>0.2348552670844524</v>
      </c>
      <c r="K18" s="204">
        <f>IFERROR(VLOOKUP($B18,MMWR_TRAD_AGG_RO_COMP[],K$1,0),"ERROR")</f>
        <v>1482</v>
      </c>
      <c r="L18" s="205">
        <f>IFERROR(VLOOKUP($B18,MMWR_TRAD_AGG_RO_COMP[],L$1,0),"ERROR")</f>
        <v>1374</v>
      </c>
      <c r="M18" s="216">
        <f t="shared" si="2"/>
        <v>0.92712550607287447</v>
      </c>
      <c r="N18" s="204">
        <f>IFERROR(VLOOKUP($B18,MMWR_TRAD_AGG_RO_COMP[],N$1,0),"ERROR")</f>
        <v>427</v>
      </c>
      <c r="O18" s="205">
        <f>IFERROR(VLOOKUP($B18,MMWR_TRAD_AGG_RO_COMP[],O$1,0),"ERROR")</f>
        <v>250</v>
      </c>
      <c r="P18" s="216">
        <f t="shared" si="3"/>
        <v>0.58548009367681497</v>
      </c>
      <c r="Q18" s="201">
        <f>IFERROR(VLOOKUP($B18,MMWR_TRAD_AGG_RO_COMP[],Q$1,0),"ERROR")</f>
        <v>0</v>
      </c>
      <c r="R18" s="201">
        <f>IFERROR(VLOOKUP($B18,MMWR_TRAD_AGG_RO_COMP[],R$1,0),"ERROR")</f>
        <v>1</v>
      </c>
      <c r="S18" s="201">
        <f>IFERROR(VLOOKUP($B18,MMWR_APP_RO[],S$1,0),"ERROR")</f>
        <v>1182</v>
      </c>
      <c r="T18" s="25"/>
    </row>
    <row r="19" spans="1:20" x14ac:dyDescent="0.2">
      <c r="A19" s="107"/>
      <c r="B19" s="108" t="s">
        <v>69</v>
      </c>
      <c r="C19" s="209">
        <f>IFERROR(VLOOKUP($B19,MMWR_TRAD_AGG_RO_COMP[],C$1,0),"ERROR")</f>
        <v>14803</v>
      </c>
      <c r="D19" s="198">
        <f>IFERROR(VLOOKUP($B19,MMWR_TRAD_AGG_RO_COMP[],D$1,0),"ERROR")</f>
        <v>344.0844423428</v>
      </c>
      <c r="E19" s="195">
        <f>IFERROR(VLOOKUP($B19,MMWR_TRAD_AGG_RO_COMP[],E$1,0),"ERROR")</f>
        <v>11422</v>
      </c>
      <c r="F19" s="191">
        <f>IFERROR(VLOOKUP($B19,MMWR_TRAD_AGG_RO_COMP[],F$1,0),"ERROR")</f>
        <v>2119</v>
      </c>
      <c r="G19" s="216">
        <f t="shared" si="0"/>
        <v>0.18551917352477676</v>
      </c>
      <c r="H19" s="190">
        <f>IFERROR(VLOOKUP($B19,MMWR_TRAD_AGG_RO_COMP[],H$1,0),"ERROR")</f>
        <v>20723</v>
      </c>
      <c r="I19" s="191">
        <f>IFERROR(VLOOKUP($B19,MMWR_TRAD_AGG_RO_COMP[],I$1,0),"ERROR")</f>
        <v>10916</v>
      </c>
      <c r="J19" s="216">
        <f t="shared" si="1"/>
        <v>0.52675770882594219</v>
      </c>
      <c r="K19" s="204">
        <f>IFERROR(VLOOKUP($B19,MMWR_TRAD_AGG_RO_COMP[],K$1,0),"ERROR")</f>
        <v>8084</v>
      </c>
      <c r="L19" s="205">
        <f>IFERROR(VLOOKUP($B19,MMWR_TRAD_AGG_RO_COMP[],L$1,0),"ERROR")</f>
        <v>6642</v>
      </c>
      <c r="M19" s="216">
        <f t="shared" si="2"/>
        <v>0.82162295893122217</v>
      </c>
      <c r="N19" s="204">
        <f>IFERROR(VLOOKUP($B19,MMWR_TRAD_AGG_RO_COMP[],N$1,0),"ERROR")</f>
        <v>4636</v>
      </c>
      <c r="O19" s="205">
        <f>IFERROR(VLOOKUP($B19,MMWR_TRAD_AGG_RO_COMP[],O$1,0),"ERROR")</f>
        <v>4025</v>
      </c>
      <c r="P19" s="216">
        <f t="shared" si="3"/>
        <v>0.86820534943917171</v>
      </c>
      <c r="Q19" s="201">
        <f>IFERROR(VLOOKUP($B19,MMWR_TRAD_AGG_RO_COMP[],Q$1,0),"ERROR")</f>
        <v>5</v>
      </c>
      <c r="R19" s="201">
        <f>IFERROR(VLOOKUP($B19,MMWR_TRAD_AGG_RO_COMP[],R$1,0),"ERROR")</f>
        <v>7</v>
      </c>
      <c r="S19" s="201">
        <f>IFERROR(VLOOKUP($B19,MMWR_APP_RO[],S$1,0),"ERROR")</f>
        <v>14723</v>
      </c>
      <c r="T19" s="25"/>
    </row>
    <row r="20" spans="1:20" x14ac:dyDescent="0.2">
      <c r="A20" s="107"/>
      <c r="B20" s="108" t="s">
        <v>78</v>
      </c>
      <c r="C20" s="209">
        <f>IFERROR(VLOOKUP($B20,MMWR_TRAD_AGG_RO_COMP[],C$1,0),"ERROR")</f>
        <v>1294</v>
      </c>
      <c r="D20" s="198">
        <f>IFERROR(VLOOKUP($B20,MMWR_TRAD_AGG_RO_COMP[],D$1,0),"ERROR")</f>
        <v>283.69319938180001</v>
      </c>
      <c r="E20" s="195">
        <f>IFERROR(VLOOKUP($B20,MMWR_TRAD_AGG_RO_COMP[],E$1,0),"ERROR")</f>
        <v>1465</v>
      </c>
      <c r="F20" s="191">
        <f>IFERROR(VLOOKUP($B20,MMWR_TRAD_AGG_RO_COMP[],F$1,0),"ERROR")</f>
        <v>167</v>
      </c>
      <c r="G20" s="216">
        <f t="shared" si="0"/>
        <v>0.11399317406143344</v>
      </c>
      <c r="H20" s="190">
        <f>IFERROR(VLOOKUP($B20,MMWR_TRAD_AGG_RO_COMP[],H$1,0),"ERROR")</f>
        <v>2457</v>
      </c>
      <c r="I20" s="191">
        <f>IFERROR(VLOOKUP($B20,MMWR_TRAD_AGG_RO_COMP[],I$1,0),"ERROR")</f>
        <v>1019</v>
      </c>
      <c r="J20" s="216">
        <f t="shared" si="1"/>
        <v>0.41473341473341474</v>
      </c>
      <c r="K20" s="204">
        <f>IFERROR(VLOOKUP($B20,MMWR_TRAD_AGG_RO_COMP[],K$1,0),"ERROR")</f>
        <v>858</v>
      </c>
      <c r="L20" s="205">
        <f>IFERROR(VLOOKUP($B20,MMWR_TRAD_AGG_RO_COMP[],L$1,0),"ERROR")</f>
        <v>640</v>
      </c>
      <c r="M20" s="216">
        <f t="shared" si="2"/>
        <v>0.74592074592074598</v>
      </c>
      <c r="N20" s="204">
        <f>IFERROR(VLOOKUP($B20,MMWR_TRAD_AGG_RO_COMP[],N$1,0),"ERROR")</f>
        <v>234</v>
      </c>
      <c r="O20" s="205">
        <f>IFERROR(VLOOKUP($B20,MMWR_TRAD_AGG_RO_COMP[],O$1,0),"ERROR")</f>
        <v>158</v>
      </c>
      <c r="P20" s="216">
        <f t="shared" si="3"/>
        <v>0.67521367521367526</v>
      </c>
      <c r="Q20" s="201">
        <f>IFERROR(VLOOKUP($B20,MMWR_TRAD_AGG_RO_COMP[],Q$1,0),"ERROR")</f>
        <v>1</v>
      </c>
      <c r="R20" s="201">
        <f>IFERROR(VLOOKUP($B20,MMWR_TRAD_AGG_RO_COMP[],R$1,0),"ERROR")</f>
        <v>0</v>
      </c>
      <c r="S20" s="201">
        <f>IFERROR(VLOOKUP($B20,MMWR_APP_RO[],S$1,0),"ERROR")</f>
        <v>1011</v>
      </c>
      <c r="T20" s="25"/>
    </row>
    <row r="21" spans="1:20" x14ac:dyDescent="0.2">
      <c r="A21" s="107"/>
      <c r="B21" s="108" t="s">
        <v>429</v>
      </c>
      <c r="C21" s="209">
        <f>IFERROR(VLOOKUP($B21,MMWR_TRAD_AGG_RO_COMP[],C$1,0),"ERROR")</f>
        <v>5227</v>
      </c>
      <c r="D21" s="198">
        <f>IFERROR(VLOOKUP($B21,MMWR_TRAD_AGG_RO_COMP[],D$1,0),"ERROR")</f>
        <v>518.06791658700001</v>
      </c>
      <c r="E21" s="195">
        <f>IFERROR(VLOOKUP($B21,MMWR_TRAD_AGG_RO_COMP[],E$1,0),"ERROR")</f>
        <v>733</v>
      </c>
      <c r="F21" s="191">
        <f>IFERROR(VLOOKUP($B21,MMWR_TRAD_AGG_RO_COMP[],F$1,0),"ERROR")</f>
        <v>122</v>
      </c>
      <c r="G21" s="216">
        <f t="shared" si="0"/>
        <v>0.16643929058663029</v>
      </c>
      <c r="H21" s="190">
        <f>IFERROR(VLOOKUP($B21,MMWR_TRAD_AGG_RO_COMP[],H$1,0),"ERROR")</f>
        <v>5633</v>
      </c>
      <c r="I21" s="191">
        <f>IFERROR(VLOOKUP($B21,MMWR_TRAD_AGG_RO_COMP[],I$1,0),"ERROR")</f>
        <v>4252</v>
      </c>
      <c r="J21" s="216">
        <f t="shared" si="1"/>
        <v>0.75483756435292026</v>
      </c>
      <c r="K21" s="204">
        <f>IFERROR(VLOOKUP($B21,MMWR_TRAD_AGG_RO_COMP[],K$1,0),"ERROR")</f>
        <v>1063</v>
      </c>
      <c r="L21" s="205">
        <f>IFERROR(VLOOKUP($B21,MMWR_TRAD_AGG_RO_COMP[],L$1,0),"ERROR")</f>
        <v>727</v>
      </c>
      <c r="M21" s="216">
        <f t="shared" si="2"/>
        <v>0.68391345249294455</v>
      </c>
      <c r="N21" s="204">
        <f>IFERROR(VLOOKUP($B21,MMWR_TRAD_AGG_RO_COMP[],N$1,0),"ERROR")</f>
        <v>1170</v>
      </c>
      <c r="O21" s="205">
        <f>IFERROR(VLOOKUP($B21,MMWR_TRAD_AGG_RO_COMP[],O$1,0),"ERROR")</f>
        <v>1154</v>
      </c>
      <c r="P21" s="216">
        <f t="shared" si="3"/>
        <v>0.98632478632478637</v>
      </c>
      <c r="Q21" s="201">
        <f>IFERROR(VLOOKUP($B21,MMWR_TRAD_AGG_RO_COMP[],Q$1,0),"ERROR")</f>
        <v>0</v>
      </c>
      <c r="R21" s="201">
        <f>IFERROR(VLOOKUP($B21,MMWR_TRAD_AGG_RO_COMP[],R$1,0),"ERROR")</f>
        <v>0</v>
      </c>
      <c r="S21" s="201">
        <f>IFERROR(VLOOKUP($B21,MMWR_APP_RO[],S$1,0),"ERROR")</f>
        <v>33</v>
      </c>
      <c r="T21" s="25"/>
    </row>
    <row r="22" spans="1:20" x14ac:dyDescent="0.2">
      <c r="A22" s="107"/>
      <c r="B22" s="108" t="s">
        <v>135</v>
      </c>
      <c r="C22" s="209">
        <f>IFERROR(VLOOKUP($B22,MMWR_TRAD_AGG_RO_COMP[],C$1,0),"ERROR")</f>
        <v>494</v>
      </c>
      <c r="D22" s="198">
        <f>IFERROR(VLOOKUP($B22,MMWR_TRAD_AGG_RO_COMP[],D$1,0),"ERROR")</f>
        <v>337.33198380570002</v>
      </c>
      <c r="E22" s="195">
        <f>IFERROR(VLOOKUP($B22,MMWR_TRAD_AGG_RO_COMP[],E$1,0),"ERROR")</f>
        <v>506</v>
      </c>
      <c r="F22" s="191">
        <f>IFERROR(VLOOKUP($B22,MMWR_TRAD_AGG_RO_COMP[],F$1,0),"ERROR")</f>
        <v>133</v>
      </c>
      <c r="G22" s="216">
        <f t="shared" si="0"/>
        <v>0.26284584980237152</v>
      </c>
      <c r="H22" s="190">
        <f>IFERROR(VLOOKUP($B22,MMWR_TRAD_AGG_RO_COMP[],H$1,0),"ERROR")</f>
        <v>1076</v>
      </c>
      <c r="I22" s="191">
        <f>IFERROR(VLOOKUP($B22,MMWR_TRAD_AGG_RO_COMP[],I$1,0),"ERROR")</f>
        <v>451</v>
      </c>
      <c r="J22" s="216">
        <f t="shared" si="1"/>
        <v>0.41914498141263939</v>
      </c>
      <c r="K22" s="204">
        <f>IFERROR(VLOOKUP($B22,MMWR_TRAD_AGG_RO_COMP[],K$1,0),"ERROR")</f>
        <v>150</v>
      </c>
      <c r="L22" s="205">
        <f>IFERROR(VLOOKUP($B22,MMWR_TRAD_AGG_RO_COMP[],L$1,0),"ERROR")</f>
        <v>120</v>
      </c>
      <c r="M22" s="216">
        <f t="shared" si="2"/>
        <v>0.8</v>
      </c>
      <c r="N22" s="204">
        <f>IFERROR(VLOOKUP($B22,MMWR_TRAD_AGG_RO_COMP[],N$1,0),"ERROR")</f>
        <v>180</v>
      </c>
      <c r="O22" s="205">
        <f>IFERROR(VLOOKUP($B22,MMWR_TRAD_AGG_RO_COMP[],O$1,0),"ERROR")</f>
        <v>100</v>
      </c>
      <c r="P22" s="216">
        <f t="shared" si="3"/>
        <v>0.55555555555555558</v>
      </c>
      <c r="Q22" s="201">
        <f>IFERROR(VLOOKUP($B22,MMWR_TRAD_AGG_RO_COMP[],Q$1,0),"ERROR")</f>
        <v>0</v>
      </c>
      <c r="R22" s="201">
        <f>IFERROR(VLOOKUP($B22,MMWR_TRAD_AGG_RO_COMP[],R$1,0),"ERROR")</f>
        <v>2</v>
      </c>
      <c r="S22" s="201">
        <f>IFERROR(VLOOKUP($B22,MMWR_APP_RO[],S$1,0),"ERROR")</f>
        <v>179</v>
      </c>
      <c r="T22" s="25"/>
    </row>
    <row r="23" spans="1:20" x14ac:dyDescent="0.2">
      <c r="A23" s="107"/>
      <c r="B23" s="108" t="s">
        <v>82</v>
      </c>
      <c r="C23" s="209">
        <f>IFERROR(VLOOKUP($B23,MMWR_TRAD_AGG_RO_COMP[],C$1,0),"ERROR")</f>
        <v>498</v>
      </c>
      <c r="D23" s="198">
        <f>IFERROR(VLOOKUP($B23,MMWR_TRAD_AGG_RO_COMP[],D$1,0),"ERROR")</f>
        <v>427.25702811240001</v>
      </c>
      <c r="E23" s="195">
        <f>IFERROR(VLOOKUP($B23,MMWR_TRAD_AGG_RO_COMP[],E$1,0),"ERROR")</f>
        <v>796</v>
      </c>
      <c r="F23" s="191">
        <f>IFERROR(VLOOKUP($B23,MMWR_TRAD_AGG_RO_COMP[],F$1,0),"ERROR")</f>
        <v>169</v>
      </c>
      <c r="G23" s="216">
        <f t="shared" si="0"/>
        <v>0.21231155778894473</v>
      </c>
      <c r="H23" s="190">
        <f>IFERROR(VLOOKUP($B23,MMWR_TRAD_AGG_RO_COMP[],H$1,0),"ERROR")</f>
        <v>850</v>
      </c>
      <c r="I23" s="191">
        <f>IFERROR(VLOOKUP($B23,MMWR_TRAD_AGG_RO_COMP[],I$1,0),"ERROR")</f>
        <v>425</v>
      </c>
      <c r="J23" s="216">
        <f t="shared" si="1"/>
        <v>0.5</v>
      </c>
      <c r="K23" s="204">
        <f>IFERROR(VLOOKUP($B23,MMWR_TRAD_AGG_RO_COMP[],K$1,0),"ERROR")</f>
        <v>49</v>
      </c>
      <c r="L23" s="205">
        <f>IFERROR(VLOOKUP($B23,MMWR_TRAD_AGG_RO_COMP[],L$1,0),"ERROR")</f>
        <v>46</v>
      </c>
      <c r="M23" s="216">
        <f t="shared" si="2"/>
        <v>0.93877551020408168</v>
      </c>
      <c r="N23" s="204">
        <f>IFERROR(VLOOKUP($B23,MMWR_TRAD_AGG_RO_COMP[],N$1,0),"ERROR")</f>
        <v>81</v>
      </c>
      <c r="O23" s="205">
        <f>IFERROR(VLOOKUP($B23,MMWR_TRAD_AGG_RO_COMP[],O$1,0),"ERROR")</f>
        <v>46</v>
      </c>
      <c r="P23" s="216">
        <f t="shared" si="3"/>
        <v>0.5679012345679012</v>
      </c>
      <c r="Q23" s="201">
        <f>IFERROR(VLOOKUP($B23,MMWR_TRAD_AGG_RO_COMP[],Q$1,0),"ERROR")</f>
        <v>0</v>
      </c>
      <c r="R23" s="201">
        <f>IFERROR(VLOOKUP($B23,MMWR_TRAD_AGG_RO_COMP[],R$1,0),"ERROR")</f>
        <v>0</v>
      </c>
      <c r="S23" s="201">
        <f>IFERROR(VLOOKUP($B23,MMWR_APP_RO[],S$1,0),"ERROR")</f>
        <v>155</v>
      </c>
      <c r="T23" s="25"/>
    </row>
    <row r="24" spans="1:20" x14ac:dyDescent="0.2">
      <c r="A24" s="92"/>
      <c r="B24" s="116" t="s">
        <v>83</v>
      </c>
      <c r="C24" s="210">
        <f>IFERROR(VLOOKUP($B24,MMWR_TRAD_AGG_RO_COMP[],C$1,0),"ERROR")</f>
        <v>16285</v>
      </c>
      <c r="D24" s="199">
        <f>IFERROR(VLOOKUP($B24,MMWR_TRAD_AGG_RO_COMP[],D$1,0),"ERROR")</f>
        <v>313.34639238559998</v>
      </c>
      <c r="E24" s="196">
        <f>IFERROR(VLOOKUP($B24,MMWR_TRAD_AGG_RO_COMP[],E$1,0),"ERROR")</f>
        <v>18300</v>
      </c>
      <c r="F24" s="193">
        <f>IFERROR(VLOOKUP($B24,MMWR_TRAD_AGG_RO_COMP[],F$1,0),"ERROR")</f>
        <v>4285</v>
      </c>
      <c r="G24" s="217">
        <f t="shared" si="0"/>
        <v>0.23415300546448087</v>
      </c>
      <c r="H24" s="192">
        <f>IFERROR(VLOOKUP($B24,MMWR_TRAD_AGG_RO_COMP[],H$1,0),"ERROR")</f>
        <v>28633</v>
      </c>
      <c r="I24" s="193">
        <f>IFERROR(VLOOKUP($B24,MMWR_TRAD_AGG_RO_COMP[],I$1,0),"ERROR")</f>
        <v>17098</v>
      </c>
      <c r="J24" s="217">
        <f t="shared" si="1"/>
        <v>0.59714315649774741</v>
      </c>
      <c r="K24" s="206">
        <f>IFERROR(VLOOKUP($B24,MMWR_TRAD_AGG_RO_COMP[],K$1,0),"ERROR")</f>
        <v>12384</v>
      </c>
      <c r="L24" s="207">
        <f>IFERROR(VLOOKUP($B24,MMWR_TRAD_AGG_RO_COMP[],L$1,0),"ERROR")</f>
        <v>9193</v>
      </c>
      <c r="M24" s="217">
        <f t="shared" si="2"/>
        <v>0.74232881136950901</v>
      </c>
      <c r="N24" s="206">
        <f>IFERROR(VLOOKUP($B24,MMWR_TRAD_AGG_RO_COMP[],N$1,0),"ERROR")</f>
        <v>4271</v>
      </c>
      <c r="O24" s="207">
        <f>IFERROR(VLOOKUP($B24,MMWR_TRAD_AGG_RO_COMP[],O$1,0),"ERROR")</f>
        <v>3160</v>
      </c>
      <c r="P24" s="217">
        <f t="shared" si="3"/>
        <v>0.73987356590962305</v>
      </c>
      <c r="Q24" s="202">
        <f>IFERROR(VLOOKUP($B24,MMWR_TRAD_AGG_RO_COMP[],Q$1,0),"ERROR")</f>
        <v>1</v>
      </c>
      <c r="R24" s="202">
        <f>IFERROR(VLOOKUP($B24,MMWR_TRAD_AGG_RO_COMP[],R$1,0),"ERROR")</f>
        <v>15</v>
      </c>
      <c r="S24" s="201">
        <f>IFERROR(VLOOKUP($B24,MMWR_APP_RO[],S$1,0),"ERROR")</f>
        <v>8563</v>
      </c>
      <c r="T24" s="25"/>
    </row>
    <row r="25" spans="1:20" x14ac:dyDescent="0.2">
      <c r="A25" s="107"/>
      <c r="B25" s="101" t="s">
        <v>389</v>
      </c>
      <c r="C25" s="212">
        <f>IFERROR(VLOOKUP($B25,MMWR_TRAD_AGG_DISTRICT_COMP[],C$1,0),"ERROR")</f>
        <v>32502</v>
      </c>
      <c r="D25" s="197">
        <f>IFERROR(VLOOKUP($B25,MMWR_TRAD_AGG_DISTRICT_COMP[],D$1,0),"ERROR")</f>
        <v>327.35154759710002</v>
      </c>
      <c r="E25" s="213">
        <f>IFERROR(VLOOKUP($B25,MMWR_TRAD_AGG_DISTRICT_COMP[],E$1,0),"ERROR")</f>
        <v>59716</v>
      </c>
      <c r="F25" s="218">
        <f>IFERROR(VLOOKUP($B25,MMWR_TRAD_AGG_DISTRICT_COMP[],F$1,0),"ERROR")</f>
        <v>11226</v>
      </c>
      <c r="G25" s="214">
        <f t="shared" si="0"/>
        <v>0.18798981847411078</v>
      </c>
      <c r="H25" s="218">
        <f>IFERROR(VLOOKUP($B25,MMWR_TRAD_AGG_DISTRICT_COMP[],H$1,0),"ERROR")</f>
        <v>74145</v>
      </c>
      <c r="I25" s="218">
        <f>IFERROR(VLOOKUP($B25,MMWR_TRAD_AGG_DISTRICT_COMP[],I$1,0),"ERROR")</f>
        <v>29648</v>
      </c>
      <c r="J25" s="214">
        <f t="shared" si="1"/>
        <v>0.39986512913884953</v>
      </c>
      <c r="K25" s="212">
        <f>IFERROR(VLOOKUP($B25,MMWR_TRAD_AGG_DISTRICT_COMP[],K$1,0),"ERROR")</f>
        <v>19430</v>
      </c>
      <c r="L25" s="212">
        <f>IFERROR(VLOOKUP($B25,MMWR_TRAD_AGG_DISTRICT_COMP[],L$1,0),"ERROR")</f>
        <v>15195</v>
      </c>
      <c r="M25" s="214">
        <f t="shared" si="2"/>
        <v>0.7820380854348945</v>
      </c>
      <c r="N25" s="212">
        <f>IFERROR(VLOOKUP($B25,MMWR_TRAD_AGG_DISTRICT_COMP[],N$1,0),"ERROR")</f>
        <v>12139</v>
      </c>
      <c r="O25" s="212">
        <f>IFERROR(VLOOKUP($B25,MMWR_TRAD_AGG_DISTRICT_COMP[],O$1,0),"ERROR")</f>
        <v>8459</v>
      </c>
      <c r="P25" s="214">
        <f t="shared" si="3"/>
        <v>0.69684488013839685</v>
      </c>
      <c r="Q25" s="212">
        <f>IFERROR(VLOOKUP($B25,MMWR_TRAD_AGG_DISTRICT_COMP[],Q$1,0),"ERROR")</f>
        <v>9229</v>
      </c>
      <c r="R25" s="215">
        <f>IFERROR(VLOOKUP($B25,MMWR_TRAD_AGG_DISTRICT_COMP[],R$1,0),"ERROR")</f>
        <v>1092</v>
      </c>
      <c r="S25" s="215">
        <f>IFERROR(VLOOKUP($B25,MMWR_APP_RO[],S$1,0),"ERROR")</f>
        <v>51262</v>
      </c>
      <c r="T25" s="25"/>
    </row>
    <row r="26" spans="1:20" x14ac:dyDescent="0.2">
      <c r="A26" s="107"/>
      <c r="B26" s="108" t="s">
        <v>37</v>
      </c>
      <c r="C26" s="209">
        <f>IFERROR(VLOOKUP($B26,MMWR_TRAD_AGG_RO_COMP[],C$1,0),"ERROR")</f>
        <v>4442</v>
      </c>
      <c r="D26" s="198">
        <f>IFERROR(VLOOKUP($B26,MMWR_TRAD_AGG_RO_COMP[],D$1,0),"ERROR")</f>
        <v>495.62989644300001</v>
      </c>
      <c r="E26" s="195">
        <f>IFERROR(VLOOKUP($B26,MMWR_TRAD_AGG_RO_COMP[],E$1,0),"ERROR")</f>
        <v>6536</v>
      </c>
      <c r="F26" s="191">
        <f>IFERROR(VLOOKUP($B26,MMWR_TRAD_AGG_RO_COMP[],F$1,0),"ERROR")</f>
        <v>1694</v>
      </c>
      <c r="G26" s="216">
        <f t="shared" si="0"/>
        <v>0.25917992656058753</v>
      </c>
      <c r="H26" s="190">
        <f>IFERROR(VLOOKUP($B26,MMWR_TRAD_AGG_RO_COMP[],H$1,0),"ERROR")</f>
        <v>7559</v>
      </c>
      <c r="I26" s="191">
        <f>IFERROR(VLOOKUP($B26,MMWR_TRAD_AGG_RO_COMP[],I$1,0),"ERROR")</f>
        <v>4458</v>
      </c>
      <c r="J26" s="216">
        <f t="shared" si="1"/>
        <v>0.5897605503373462</v>
      </c>
      <c r="K26" s="204">
        <f>IFERROR(VLOOKUP($B26,MMWR_TRAD_AGG_RO_COMP[],K$1,0),"ERROR")</f>
        <v>1744</v>
      </c>
      <c r="L26" s="205">
        <f>IFERROR(VLOOKUP($B26,MMWR_TRAD_AGG_RO_COMP[],L$1,0),"ERROR")</f>
        <v>1628</v>
      </c>
      <c r="M26" s="216">
        <f t="shared" si="2"/>
        <v>0.9334862385321101</v>
      </c>
      <c r="N26" s="204">
        <f>IFERROR(VLOOKUP($B26,MMWR_TRAD_AGG_RO_COMP[],N$1,0),"ERROR")</f>
        <v>1488</v>
      </c>
      <c r="O26" s="205">
        <f>IFERROR(VLOOKUP($B26,MMWR_TRAD_AGG_RO_COMP[],O$1,0),"ERROR")</f>
        <v>918</v>
      </c>
      <c r="P26" s="216">
        <f t="shared" si="3"/>
        <v>0.61693548387096775</v>
      </c>
      <c r="Q26" s="201">
        <f>IFERROR(VLOOKUP($B26,MMWR_TRAD_AGG_RO_COMP[],Q$1,0),"ERROR")</f>
        <v>1</v>
      </c>
      <c r="R26" s="201">
        <f>IFERROR(VLOOKUP($B26,MMWR_TRAD_AGG_RO_COMP[],R$1,0),"ERROR")</f>
        <v>219</v>
      </c>
      <c r="S26" s="201">
        <f>IFERROR(VLOOKUP($B26,MMWR_APP_RO[],S$1,0),"ERROR")</f>
        <v>8293</v>
      </c>
      <c r="T26" s="25"/>
    </row>
    <row r="27" spans="1:20" x14ac:dyDescent="0.2">
      <c r="A27" s="107"/>
      <c r="B27" s="108" t="s">
        <v>38</v>
      </c>
      <c r="C27" s="209">
        <f>IFERROR(VLOOKUP($B27,MMWR_TRAD_AGG_RO_COMP[],C$1,0),"ERROR")</f>
        <v>4185</v>
      </c>
      <c r="D27" s="198">
        <f>IFERROR(VLOOKUP($B27,MMWR_TRAD_AGG_RO_COMP[],D$1,0),"ERROR")</f>
        <v>403.22413381119998</v>
      </c>
      <c r="E27" s="195">
        <f>IFERROR(VLOOKUP($B27,MMWR_TRAD_AGG_RO_COMP[],E$1,0),"ERROR")</f>
        <v>7640</v>
      </c>
      <c r="F27" s="191">
        <f>IFERROR(VLOOKUP($B27,MMWR_TRAD_AGG_RO_COMP[],F$1,0),"ERROR")</f>
        <v>1379</v>
      </c>
      <c r="G27" s="216">
        <f t="shared" si="0"/>
        <v>0.18049738219895287</v>
      </c>
      <c r="H27" s="190">
        <f>IFERROR(VLOOKUP($B27,MMWR_TRAD_AGG_RO_COMP[],H$1,0),"ERROR")</f>
        <v>7962</v>
      </c>
      <c r="I27" s="191">
        <f>IFERROR(VLOOKUP($B27,MMWR_TRAD_AGG_RO_COMP[],I$1,0),"ERROR")</f>
        <v>3344</v>
      </c>
      <c r="J27" s="216">
        <f t="shared" si="1"/>
        <v>0.4199949761366491</v>
      </c>
      <c r="K27" s="204">
        <f>IFERROR(VLOOKUP($B27,MMWR_TRAD_AGG_RO_COMP[],K$1,0),"ERROR")</f>
        <v>1890</v>
      </c>
      <c r="L27" s="205">
        <f>IFERROR(VLOOKUP($B27,MMWR_TRAD_AGG_RO_COMP[],L$1,0),"ERROR")</f>
        <v>1700</v>
      </c>
      <c r="M27" s="216">
        <f t="shared" si="2"/>
        <v>0.89947089947089942</v>
      </c>
      <c r="N27" s="204">
        <f>IFERROR(VLOOKUP($B27,MMWR_TRAD_AGG_RO_COMP[],N$1,0),"ERROR")</f>
        <v>2911</v>
      </c>
      <c r="O27" s="205">
        <f>IFERROR(VLOOKUP($B27,MMWR_TRAD_AGG_RO_COMP[],O$1,0),"ERROR")</f>
        <v>2284</v>
      </c>
      <c r="P27" s="216">
        <f t="shared" si="3"/>
        <v>0.78461009962212303</v>
      </c>
      <c r="Q27" s="201">
        <f>IFERROR(VLOOKUP($B27,MMWR_TRAD_AGG_RO_COMP[],Q$1,0),"ERROR")</f>
        <v>1</v>
      </c>
      <c r="R27" s="201">
        <f>IFERROR(VLOOKUP($B27,MMWR_TRAD_AGG_RO_COMP[],R$1,0),"ERROR")</f>
        <v>330</v>
      </c>
      <c r="S27" s="201">
        <f>IFERROR(VLOOKUP($B27,MMWR_APP_RO[],S$1,0),"ERROR")</f>
        <v>12584</v>
      </c>
      <c r="T27" s="25"/>
    </row>
    <row r="28" spans="1:20" x14ac:dyDescent="0.2">
      <c r="A28" s="107"/>
      <c r="B28" s="108" t="s">
        <v>41</v>
      </c>
      <c r="C28" s="209">
        <f>IFERROR(VLOOKUP($B28,MMWR_TRAD_AGG_RO_COMP[],C$1,0),"ERROR")</f>
        <v>585</v>
      </c>
      <c r="D28" s="198">
        <f>IFERROR(VLOOKUP($B28,MMWR_TRAD_AGG_RO_COMP[],D$1,0),"ERROR")</f>
        <v>122.69230769230001</v>
      </c>
      <c r="E28" s="195">
        <f>IFERROR(VLOOKUP($B28,MMWR_TRAD_AGG_RO_COMP[],E$1,0),"ERROR")</f>
        <v>2418</v>
      </c>
      <c r="F28" s="191">
        <f>IFERROR(VLOOKUP($B28,MMWR_TRAD_AGG_RO_COMP[],F$1,0),"ERROR")</f>
        <v>349</v>
      </c>
      <c r="G28" s="216">
        <f t="shared" si="0"/>
        <v>0.14433416046319272</v>
      </c>
      <c r="H28" s="190">
        <f>IFERROR(VLOOKUP($B28,MMWR_TRAD_AGG_RO_COMP[],H$1,0),"ERROR")</f>
        <v>2028</v>
      </c>
      <c r="I28" s="191">
        <f>IFERROR(VLOOKUP($B28,MMWR_TRAD_AGG_RO_COMP[],I$1,0),"ERROR")</f>
        <v>262</v>
      </c>
      <c r="J28" s="216">
        <f t="shared" si="1"/>
        <v>0.1291913214990138</v>
      </c>
      <c r="K28" s="204">
        <f>IFERROR(VLOOKUP($B28,MMWR_TRAD_AGG_RO_COMP[],K$1,0),"ERROR")</f>
        <v>144</v>
      </c>
      <c r="L28" s="205">
        <f>IFERROR(VLOOKUP($B28,MMWR_TRAD_AGG_RO_COMP[],L$1,0),"ERROR")</f>
        <v>91</v>
      </c>
      <c r="M28" s="216">
        <f t="shared" si="2"/>
        <v>0.63194444444444442</v>
      </c>
      <c r="N28" s="204">
        <f>IFERROR(VLOOKUP($B28,MMWR_TRAD_AGG_RO_COMP[],N$1,0),"ERROR")</f>
        <v>210</v>
      </c>
      <c r="O28" s="205">
        <f>IFERROR(VLOOKUP($B28,MMWR_TRAD_AGG_RO_COMP[],O$1,0),"ERROR")</f>
        <v>100</v>
      </c>
      <c r="P28" s="216">
        <f t="shared" si="3"/>
        <v>0.47619047619047616</v>
      </c>
      <c r="Q28" s="201">
        <f>IFERROR(VLOOKUP($B28,MMWR_TRAD_AGG_RO_COMP[],Q$1,0),"ERROR")</f>
        <v>0</v>
      </c>
      <c r="R28" s="201">
        <f>IFERROR(VLOOKUP($B28,MMWR_TRAD_AGG_RO_COMP[],R$1,0),"ERROR")</f>
        <v>9</v>
      </c>
      <c r="S28" s="201">
        <f>IFERROR(VLOOKUP($B28,MMWR_APP_RO[],S$1,0),"ERROR")</f>
        <v>1488</v>
      </c>
      <c r="T28" s="25"/>
    </row>
    <row r="29" spans="1:20" x14ac:dyDescent="0.2">
      <c r="A29" s="107"/>
      <c r="B29" s="108" t="s">
        <v>42</v>
      </c>
      <c r="C29" s="209">
        <f>IFERROR(VLOOKUP($B29,MMWR_TRAD_AGG_RO_COMP[],C$1,0),"ERROR")</f>
        <v>2707</v>
      </c>
      <c r="D29" s="198">
        <f>IFERROR(VLOOKUP($B29,MMWR_TRAD_AGG_RO_COMP[],D$1,0),"ERROR")</f>
        <v>371.75581824900001</v>
      </c>
      <c r="E29" s="195">
        <f>IFERROR(VLOOKUP($B29,MMWR_TRAD_AGG_RO_COMP[],E$1,0),"ERROR")</f>
        <v>7466</v>
      </c>
      <c r="F29" s="191">
        <f>IFERROR(VLOOKUP($B29,MMWR_TRAD_AGG_RO_COMP[],F$1,0),"ERROR")</f>
        <v>1786</v>
      </c>
      <c r="G29" s="216">
        <f t="shared" si="0"/>
        <v>0.23921778730243773</v>
      </c>
      <c r="H29" s="190">
        <f>IFERROR(VLOOKUP($B29,MMWR_TRAD_AGG_RO_COMP[],H$1,0),"ERROR")</f>
        <v>8392</v>
      </c>
      <c r="I29" s="191">
        <f>IFERROR(VLOOKUP($B29,MMWR_TRAD_AGG_RO_COMP[],I$1,0),"ERROR")</f>
        <v>3765</v>
      </c>
      <c r="J29" s="216">
        <f t="shared" si="1"/>
        <v>0.44864156339370831</v>
      </c>
      <c r="K29" s="204">
        <f>IFERROR(VLOOKUP($B29,MMWR_TRAD_AGG_RO_COMP[],K$1,0),"ERROR")</f>
        <v>2782</v>
      </c>
      <c r="L29" s="205">
        <f>IFERROR(VLOOKUP($B29,MMWR_TRAD_AGG_RO_COMP[],L$1,0),"ERROR")</f>
        <v>2504</v>
      </c>
      <c r="M29" s="216">
        <f t="shared" si="2"/>
        <v>0.90007189072609628</v>
      </c>
      <c r="N29" s="204">
        <f>IFERROR(VLOOKUP($B29,MMWR_TRAD_AGG_RO_COMP[],N$1,0),"ERROR")</f>
        <v>1088</v>
      </c>
      <c r="O29" s="205">
        <f>IFERROR(VLOOKUP($B29,MMWR_TRAD_AGG_RO_COMP[],O$1,0),"ERROR")</f>
        <v>530</v>
      </c>
      <c r="P29" s="216">
        <f t="shared" si="3"/>
        <v>0.48713235294117646</v>
      </c>
      <c r="Q29" s="201">
        <f>IFERROR(VLOOKUP($B29,MMWR_TRAD_AGG_RO_COMP[],Q$1,0),"ERROR")</f>
        <v>1</v>
      </c>
      <c r="R29" s="201">
        <f>IFERROR(VLOOKUP($B29,MMWR_TRAD_AGG_RO_COMP[],R$1,0),"ERROR")</f>
        <v>225</v>
      </c>
      <c r="S29" s="201">
        <f>IFERROR(VLOOKUP($B29,MMWR_APP_RO[],S$1,0),"ERROR")</f>
        <v>4968</v>
      </c>
      <c r="T29" s="25"/>
    </row>
    <row r="30" spans="1:20" x14ac:dyDescent="0.2">
      <c r="A30" s="107"/>
      <c r="B30" s="108" t="s">
        <v>43</v>
      </c>
      <c r="C30" s="209">
        <f>IFERROR(VLOOKUP($B30,MMWR_TRAD_AGG_RO_COMP[],C$1,0),"ERROR")</f>
        <v>226</v>
      </c>
      <c r="D30" s="198">
        <f>IFERROR(VLOOKUP($B30,MMWR_TRAD_AGG_RO_COMP[],D$1,0),"ERROR")</f>
        <v>91.1238938053</v>
      </c>
      <c r="E30" s="195">
        <f>IFERROR(VLOOKUP($B30,MMWR_TRAD_AGG_RO_COMP[],E$1,0),"ERROR")</f>
        <v>1075</v>
      </c>
      <c r="F30" s="191">
        <f>IFERROR(VLOOKUP($B30,MMWR_TRAD_AGG_RO_COMP[],F$1,0),"ERROR")</f>
        <v>148</v>
      </c>
      <c r="G30" s="216">
        <f t="shared" si="0"/>
        <v>0.13767441860465116</v>
      </c>
      <c r="H30" s="190">
        <f>IFERROR(VLOOKUP($B30,MMWR_TRAD_AGG_RO_COMP[],H$1,0),"ERROR")</f>
        <v>1012</v>
      </c>
      <c r="I30" s="191">
        <f>IFERROR(VLOOKUP($B30,MMWR_TRAD_AGG_RO_COMP[],I$1,0),"ERROR")</f>
        <v>30</v>
      </c>
      <c r="J30" s="216">
        <f t="shared" si="1"/>
        <v>2.9644268774703556E-2</v>
      </c>
      <c r="K30" s="204">
        <f>IFERROR(VLOOKUP($B30,MMWR_TRAD_AGG_RO_COMP[],K$1,0),"ERROR")</f>
        <v>149</v>
      </c>
      <c r="L30" s="205">
        <f>IFERROR(VLOOKUP($B30,MMWR_TRAD_AGG_RO_COMP[],L$1,0),"ERROR")</f>
        <v>61</v>
      </c>
      <c r="M30" s="216">
        <f t="shared" si="2"/>
        <v>0.40939597315436244</v>
      </c>
      <c r="N30" s="204">
        <f>IFERROR(VLOOKUP($B30,MMWR_TRAD_AGG_RO_COMP[],N$1,0),"ERROR")</f>
        <v>64</v>
      </c>
      <c r="O30" s="205">
        <f>IFERROR(VLOOKUP($B30,MMWR_TRAD_AGG_RO_COMP[],O$1,0),"ERROR")</f>
        <v>35</v>
      </c>
      <c r="P30" s="216">
        <f t="shared" si="3"/>
        <v>0.546875</v>
      </c>
      <c r="Q30" s="201">
        <f>IFERROR(VLOOKUP($B30,MMWR_TRAD_AGG_RO_COMP[],Q$1,0),"ERROR")</f>
        <v>0</v>
      </c>
      <c r="R30" s="201">
        <f>IFERROR(VLOOKUP($B30,MMWR_TRAD_AGG_RO_COMP[],R$1,0),"ERROR")</f>
        <v>0</v>
      </c>
      <c r="S30" s="201">
        <f>IFERROR(VLOOKUP($B30,MMWR_APP_RO[],S$1,0),"ERROR")</f>
        <v>579</v>
      </c>
      <c r="T30" s="25"/>
    </row>
    <row r="31" spans="1:20" x14ac:dyDescent="0.2">
      <c r="A31" s="107"/>
      <c r="B31" s="108" t="s">
        <v>48</v>
      </c>
      <c r="C31" s="209">
        <f>IFERROR(VLOOKUP($B31,MMWR_TRAD_AGG_RO_COMP[],C$1,0),"ERROR")</f>
        <v>5554</v>
      </c>
      <c r="D31" s="198">
        <f>IFERROR(VLOOKUP($B31,MMWR_TRAD_AGG_RO_COMP[],D$1,0),"ERROR")</f>
        <v>539.17788980909995</v>
      </c>
      <c r="E31" s="195">
        <f>IFERROR(VLOOKUP($B31,MMWR_TRAD_AGG_RO_COMP[],E$1,0),"ERROR")</f>
        <v>4651</v>
      </c>
      <c r="F31" s="191">
        <f>IFERROR(VLOOKUP($B31,MMWR_TRAD_AGG_RO_COMP[],F$1,0),"ERROR")</f>
        <v>820</v>
      </c>
      <c r="G31" s="216">
        <f t="shared" si="0"/>
        <v>0.17630617071597507</v>
      </c>
      <c r="H31" s="190">
        <f>IFERROR(VLOOKUP($B31,MMWR_TRAD_AGG_RO_COMP[],H$1,0),"ERROR")</f>
        <v>11144</v>
      </c>
      <c r="I31" s="191">
        <f>IFERROR(VLOOKUP($B31,MMWR_TRAD_AGG_RO_COMP[],I$1,0),"ERROR")</f>
        <v>7052</v>
      </c>
      <c r="J31" s="216">
        <f t="shared" si="1"/>
        <v>0.63280689160086145</v>
      </c>
      <c r="K31" s="204">
        <f>IFERROR(VLOOKUP($B31,MMWR_TRAD_AGG_RO_COMP[],K$1,0),"ERROR")</f>
        <v>2201</v>
      </c>
      <c r="L31" s="205">
        <f>IFERROR(VLOOKUP($B31,MMWR_TRAD_AGG_RO_COMP[],L$1,0),"ERROR")</f>
        <v>1624</v>
      </c>
      <c r="M31" s="216">
        <f t="shared" si="2"/>
        <v>0.73784643343934575</v>
      </c>
      <c r="N31" s="204">
        <f>IFERROR(VLOOKUP($B31,MMWR_TRAD_AGG_RO_COMP[],N$1,0),"ERROR")</f>
        <v>2433</v>
      </c>
      <c r="O31" s="205">
        <f>IFERROR(VLOOKUP($B31,MMWR_TRAD_AGG_RO_COMP[],O$1,0),"ERROR")</f>
        <v>1844</v>
      </c>
      <c r="P31" s="216">
        <f t="shared" si="3"/>
        <v>0.75791204274558155</v>
      </c>
      <c r="Q31" s="201">
        <f>IFERROR(VLOOKUP($B31,MMWR_TRAD_AGG_RO_COMP[],Q$1,0),"ERROR")</f>
        <v>1</v>
      </c>
      <c r="R31" s="201">
        <f>IFERROR(VLOOKUP($B31,MMWR_TRAD_AGG_RO_COMP[],R$1,0),"ERROR")</f>
        <v>233</v>
      </c>
      <c r="S31" s="201">
        <f>IFERROR(VLOOKUP($B31,MMWR_APP_RO[],S$1,0),"ERROR")</f>
        <v>8067</v>
      </c>
      <c r="T31" s="25"/>
    </row>
    <row r="32" spans="1:20" x14ac:dyDescent="0.2">
      <c r="A32" s="107"/>
      <c r="B32" s="108" t="s">
        <v>50</v>
      </c>
      <c r="C32" s="209">
        <f>IFERROR(VLOOKUP($B32,MMWR_TRAD_AGG_RO_COMP[],C$1,0),"ERROR")</f>
        <v>1512</v>
      </c>
      <c r="D32" s="198">
        <f>IFERROR(VLOOKUP($B32,MMWR_TRAD_AGG_RO_COMP[],D$1,0),"ERROR")</f>
        <v>126.6712962963</v>
      </c>
      <c r="E32" s="195">
        <f>IFERROR(VLOOKUP($B32,MMWR_TRAD_AGG_RO_COMP[],E$1,0),"ERROR")</f>
        <v>1860</v>
      </c>
      <c r="F32" s="191">
        <f>IFERROR(VLOOKUP($B32,MMWR_TRAD_AGG_RO_COMP[],F$1,0),"ERROR")</f>
        <v>232</v>
      </c>
      <c r="G32" s="216">
        <f t="shared" si="0"/>
        <v>0.12473118279569892</v>
      </c>
      <c r="H32" s="190">
        <f>IFERROR(VLOOKUP($B32,MMWR_TRAD_AGG_RO_COMP[],H$1,0),"ERROR")</f>
        <v>3288</v>
      </c>
      <c r="I32" s="191">
        <f>IFERROR(VLOOKUP($B32,MMWR_TRAD_AGG_RO_COMP[],I$1,0),"ERROR")</f>
        <v>902</v>
      </c>
      <c r="J32" s="216">
        <f t="shared" si="1"/>
        <v>0.27433090024330903</v>
      </c>
      <c r="K32" s="204">
        <f>IFERROR(VLOOKUP($B32,MMWR_TRAD_AGG_RO_COMP[],K$1,0),"ERROR")</f>
        <v>722</v>
      </c>
      <c r="L32" s="205">
        <f>IFERROR(VLOOKUP($B32,MMWR_TRAD_AGG_RO_COMP[],L$1,0),"ERROR")</f>
        <v>463</v>
      </c>
      <c r="M32" s="216">
        <f t="shared" si="2"/>
        <v>0.6412742382271468</v>
      </c>
      <c r="N32" s="204">
        <f>IFERROR(VLOOKUP($B32,MMWR_TRAD_AGG_RO_COMP[],N$1,0),"ERROR")</f>
        <v>554</v>
      </c>
      <c r="O32" s="205">
        <f>IFERROR(VLOOKUP($B32,MMWR_TRAD_AGG_RO_COMP[],O$1,0),"ERROR")</f>
        <v>392</v>
      </c>
      <c r="P32" s="216">
        <f t="shared" si="3"/>
        <v>0.70758122743682306</v>
      </c>
      <c r="Q32" s="201">
        <f>IFERROR(VLOOKUP($B32,MMWR_TRAD_AGG_RO_COMP[],Q$1,0),"ERROR")</f>
        <v>2</v>
      </c>
      <c r="R32" s="201">
        <f>IFERROR(VLOOKUP($B32,MMWR_TRAD_AGG_RO_COMP[],R$1,0),"ERROR")</f>
        <v>17</v>
      </c>
      <c r="S32" s="201">
        <f>IFERROR(VLOOKUP($B32,MMWR_APP_RO[],S$1,0),"ERROR")</f>
        <v>1045</v>
      </c>
      <c r="T32" s="25"/>
    </row>
    <row r="33" spans="1:20" x14ac:dyDescent="0.2">
      <c r="A33" s="107"/>
      <c r="B33" s="108" t="s">
        <v>56</v>
      </c>
      <c r="C33" s="209">
        <f>IFERROR(VLOOKUP($B33,MMWR_TRAD_AGG_RO_COMP[],C$1,0),"ERROR")</f>
        <v>4615</v>
      </c>
      <c r="D33" s="198">
        <f>IFERROR(VLOOKUP($B33,MMWR_TRAD_AGG_RO_COMP[],D$1,0),"ERROR")</f>
        <v>169.39501625139999</v>
      </c>
      <c r="E33" s="195">
        <f>IFERROR(VLOOKUP($B33,MMWR_TRAD_AGG_RO_COMP[],E$1,0),"ERROR")</f>
        <v>6848</v>
      </c>
      <c r="F33" s="191">
        <f>IFERROR(VLOOKUP($B33,MMWR_TRAD_AGG_RO_COMP[],F$1,0),"ERROR")</f>
        <v>1141</v>
      </c>
      <c r="G33" s="216">
        <f t="shared" si="0"/>
        <v>0.1666179906542056</v>
      </c>
      <c r="H33" s="190">
        <f>IFERROR(VLOOKUP($B33,MMWR_TRAD_AGG_RO_COMP[],H$1,0),"ERROR")</f>
        <v>8331</v>
      </c>
      <c r="I33" s="191">
        <f>IFERROR(VLOOKUP($B33,MMWR_TRAD_AGG_RO_COMP[],I$1,0),"ERROR")</f>
        <v>2369</v>
      </c>
      <c r="J33" s="216">
        <f t="shared" si="1"/>
        <v>0.28435962069379428</v>
      </c>
      <c r="K33" s="204">
        <f>IFERROR(VLOOKUP($B33,MMWR_TRAD_AGG_RO_COMP[],K$1,0),"ERROR")</f>
        <v>914</v>
      </c>
      <c r="L33" s="205">
        <f>IFERROR(VLOOKUP($B33,MMWR_TRAD_AGG_RO_COMP[],L$1,0),"ERROR")</f>
        <v>639</v>
      </c>
      <c r="M33" s="216">
        <f t="shared" si="2"/>
        <v>0.69912472647702406</v>
      </c>
      <c r="N33" s="204">
        <f>IFERROR(VLOOKUP($B33,MMWR_TRAD_AGG_RO_COMP[],N$1,0),"ERROR")</f>
        <v>648</v>
      </c>
      <c r="O33" s="205">
        <f>IFERROR(VLOOKUP($B33,MMWR_TRAD_AGG_RO_COMP[],O$1,0),"ERROR")</f>
        <v>380</v>
      </c>
      <c r="P33" s="216">
        <f t="shared" si="3"/>
        <v>0.5864197530864198</v>
      </c>
      <c r="Q33" s="201">
        <f>IFERROR(VLOOKUP($B33,MMWR_TRAD_AGG_RO_COMP[],Q$1,0),"ERROR")</f>
        <v>9192</v>
      </c>
      <c r="R33" s="201">
        <f>IFERROR(VLOOKUP($B33,MMWR_TRAD_AGG_RO_COMP[],R$1,0),"ERROR")</f>
        <v>0</v>
      </c>
      <c r="S33" s="201">
        <f>IFERROR(VLOOKUP($B33,MMWR_APP_RO[],S$1,0),"ERROR")</f>
        <v>3148</v>
      </c>
      <c r="T33" s="25"/>
    </row>
    <row r="34" spans="1:20" x14ac:dyDescent="0.2">
      <c r="A34" s="107"/>
      <c r="B34" s="108" t="s">
        <v>74</v>
      </c>
      <c r="C34" s="209">
        <f>IFERROR(VLOOKUP($B34,MMWR_TRAD_AGG_RO_COMP[],C$1,0),"ERROR")</f>
        <v>293</v>
      </c>
      <c r="D34" s="198">
        <f>IFERROR(VLOOKUP($B34,MMWR_TRAD_AGG_RO_COMP[],D$1,0),"ERROR")</f>
        <v>86.051194539199997</v>
      </c>
      <c r="E34" s="195">
        <f>IFERROR(VLOOKUP($B34,MMWR_TRAD_AGG_RO_COMP[],E$1,0),"ERROR")</f>
        <v>1222</v>
      </c>
      <c r="F34" s="191">
        <f>IFERROR(VLOOKUP($B34,MMWR_TRAD_AGG_RO_COMP[],F$1,0),"ERROR")</f>
        <v>248</v>
      </c>
      <c r="G34" s="216">
        <f t="shared" si="0"/>
        <v>0.20294599018003273</v>
      </c>
      <c r="H34" s="190">
        <f>IFERROR(VLOOKUP($B34,MMWR_TRAD_AGG_RO_COMP[],H$1,0),"ERROR")</f>
        <v>1113</v>
      </c>
      <c r="I34" s="191">
        <f>IFERROR(VLOOKUP($B34,MMWR_TRAD_AGG_RO_COMP[],I$1,0),"ERROR")</f>
        <v>62</v>
      </c>
      <c r="J34" s="216">
        <f t="shared" si="1"/>
        <v>5.5705300988319856E-2</v>
      </c>
      <c r="K34" s="204">
        <f>IFERROR(VLOOKUP($B34,MMWR_TRAD_AGG_RO_COMP[],K$1,0),"ERROR")</f>
        <v>398</v>
      </c>
      <c r="L34" s="205">
        <f>IFERROR(VLOOKUP($B34,MMWR_TRAD_AGG_RO_COMP[],L$1,0),"ERROR")</f>
        <v>113</v>
      </c>
      <c r="M34" s="216">
        <f t="shared" si="2"/>
        <v>0.28391959798994976</v>
      </c>
      <c r="N34" s="204">
        <f>IFERROR(VLOOKUP($B34,MMWR_TRAD_AGG_RO_COMP[],N$1,0),"ERROR")</f>
        <v>31</v>
      </c>
      <c r="O34" s="205">
        <f>IFERROR(VLOOKUP($B34,MMWR_TRAD_AGG_RO_COMP[],O$1,0),"ERROR")</f>
        <v>16</v>
      </c>
      <c r="P34" s="216">
        <f t="shared" si="3"/>
        <v>0.5161290322580645</v>
      </c>
      <c r="Q34" s="201">
        <f>IFERROR(VLOOKUP($B34,MMWR_TRAD_AGG_RO_COMP[],Q$1,0),"ERROR")</f>
        <v>0</v>
      </c>
      <c r="R34" s="201">
        <f>IFERROR(VLOOKUP($B34,MMWR_TRAD_AGG_RO_COMP[],R$1,0),"ERROR")</f>
        <v>0</v>
      </c>
      <c r="S34" s="201">
        <f>IFERROR(VLOOKUP($B34,MMWR_APP_RO[],S$1,0),"ERROR")</f>
        <v>236</v>
      </c>
      <c r="T34" s="25"/>
    </row>
    <row r="35" spans="1:20" x14ac:dyDescent="0.2">
      <c r="A35" s="107"/>
      <c r="B35" s="108" t="s">
        <v>75</v>
      </c>
      <c r="C35" s="209">
        <f>IFERROR(VLOOKUP($B35,MMWR_TRAD_AGG_RO_COMP[],C$1,0),"ERROR")</f>
        <v>3233</v>
      </c>
      <c r="D35" s="198">
        <f>IFERROR(VLOOKUP($B35,MMWR_TRAD_AGG_RO_COMP[],D$1,0),"ERROR")</f>
        <v>227.78348283330001</v>
      </c>
      <c r="E35" s="195">
        <f>IFERROR(VLOOKUP($B35,MMWR_TRAD_AGG_RO_COMP[],E$1,0),"ERROR")</f>
        <v>6432</v>
      </c>
      <c r="F35" s="191">
        <f>IFERROR(VLOOKUP($B35,MMWR_TRAD_AGG_RO_COMP[],F$1,0),"ERROR")</f>
        <v>1171</v>
      </c>
      <c r="G35" s="216">
        <f t="shared" si="0"/>
        <v>0.18205845771144277</v>
      </c>
      <c r="H35" s="190">
        <f>IFERROR(VLOOKUP($B35,MMWR_TRAD_AGG_RO_COMP[],H$1,0),"ERROR")</f>
        <v>6797</v>
      </c>
      <c r="I35" s="191">
        <f>IFERROR(VLOOKUP($B35,MMWR_TRAD_AGG_RO_COMP[],I$1,0),"ERROR")</f>
        <v>2806</v>
      </c>
      <c r="J35" s="216">
        <f t="shared" si="1"/>
        <v>0.41282918934824187</v>
      </c>
      <c r="K35" s="204">
        <f>IFERROR(VLOOKUP($B35,MMWR_TRAD_AGG_RO_COMP[],K$1,0),"ERROR")</f>
        <v>2070</v>
      </c>
      <c r="L35" s="205">
        <f>IFERROR(VLOOKUP($B35,MMWR_TRAD_AGG_RO_COMP[],L$1,0),"ERROR")</f>
        <v>1775</v>
      </c>
      <c r="M35" s="216">
        <f t="shared" si="2"/>
        <v>0.85748792270531404</v>
      </c>
      <c r="N35" s="204">
        <f>IFERROR(VLOOKUP($B35,MMWR_TRAD_AGG_RO_COMP[],N$1,0),"ERROR")</f>
        <v>1400</v>
      </c>
      <c r="O35" s="205">
        <f>IFERROR(VLOOKUP($B35,MMWR_TRAD_AGG_RO_COMP[],O$1,0),"ERROR")</f>
        <v>1171</v>
      </c>
      <c r="P35" s="216">
        <f t="shared" si="3"/>
        <v>0.83642857142857141</v>
      </c>
      <c r="Q35" s="201">
        <f>IFERROR(VLOOKUP($B35,MMWR_TRAD_AGG_RO_COMP[],Q$1,0),"ERROR")</f>
        <v>0</v>
      </c>
      <c r="R35" s="201">
        <f>IFERROR(VLOOKUP($B35,MMWR_TRAD_AGG_RO_COMP[],R$1,0),"ERROR")</f>
        <v>52</v>
      </c>
      <c r="S35" s="201">
        <f>IFERROR(VLOOKUP($B35,MMWR_APP_RO[],S$1,0),"ERROR")</f>
        <v>5790</v>
      </c>
      <c r="T35" s="25"/>
    </row>
    <row r="36" spans="1:20" x14ac:dyDescent="0.2">
      <c r="A36" s="28"/>
      <c r="B36" s="108" t="s">
        <v>76</v>
      </c>
      <c r="C36" s="219">
        <f>IFERROR(VLOOKUP($B36,MMWR_TRAD_AGG_RO_COMP[],C$1,0),"ERROR")</f>
        <v>3499</v>
      </c>
      <c r="D36" s="220">
        <f>IFERROR(VLOOKUP($B36,MMWR_TRAD_AGG_RO_COMP[],D$1,0),"ERROR")</f>
        <v>166.80251500430001</v>
      </c>
      <c r="E36" s="221">
        <f>IFERROR(VLOOKUP($B36,MMWR_TRAD_AGG_RO_COMP[],E$1,0),"ERROR")</f>
        <v>11077</v>
      </c>
      <c r="F36" s="222">
        <f>IFERROR(VLOOKUP($B36,MMWR_TRAD_AGG_RO_COMP[],F$1,0),"ERROR")</f>
        <v>1866</v>
      </c>
      <c r="G36" s="223">
        <f t="shared" si="0"/>
        <v>0.16845716349192019</v>
      </c>
      <c r="H36" s="224">
        <f>IFERROR(VLOOKUP($B36,MMWR_TRAD_AGG_RO_COMP[],H$1,0),"ERROR")</f>
        <v>13312</v>
      </c>
      <c r="I36" s="222">
        <f>IFERROR(VLOOKUP($B36,MMWR_TRAD_AGG_RO_COMP[],I$1,0),"ERROR")</f>
        <v>3458</v>
      </c>
      <c r="J36" s="223">
        <f t="shared" si="1"/>
        <v>0.259765625</v>
      </c>
      <c r="K36" s="225">
        <f>IFERROR(VLOOKUP($B36,MMWR_TRAD_AGG_RO_COMP[],K$1,0),"ERROR")</f>
        <v>5398</v>
      </c>
      <c r="L36" s="226">
        <f>IFERROR(VLOOKUP($B36,MMWR_TRAD_AGG_RO_COMP[],L$1,0),"ERROR")</f>
        <v>4094</v>
      </c>
      <c r="M36" s="223">
        <f t="shared" si="2"/>
        <v>0.75842904779547982</v>
      </c>
      <c r="N36" s="225">
        <f>IFERROR(VLOOKUP($B36,MMWR_TRAD_AGG_RO_COMP[],N$1,0),"ERROR")</f>
        <v>1096</v>
      </c>
      <c r="O36" s="226">
        <f>IFERROR(VLOOKUP($B36,MMWR_TRAD_AGG_RO_COMP[],O$1,0),"ERROR")</f>
        <v>663</v>
      </c>
      <c r="P36" s="223">
        <f t="shared" si="3"/>
        <v>0.60492700729927007</v>
      </c>
      <c r="Q36" s="227">
        <f>IFERROR(VLOOKUP($B36,MMWR_TRAD_AGG_RO_COMP[],Q$1,0),"ERROR")</f>
        <v>31</v>
      </c>
      <c r="R36" s="227">
        <f>IFERROR(VLOOKUP($B36,MMWR_TRAD_AGG_RO_COMP[],R$1,0),"ERROR")</f>
        <v>0</v>
      </c>
      <c r="S36" s="201">
        <f>IFERROR(VLOOKUP($B36,MMWR_APP_RO[],S$1,0),"ERROR")</f>
        <v>3712</v>
      </c>
      <c r="T36" s="28"/>
    </row>
    <row r="37" spans="1:20" x14ac:dyDescent="0.2">
      <c r="A37" s="28"/>
      <c r="B37" s="116" t="s">
        <v>81</v>
      </c>
      <c r="C37" s="228">
        <f>IFERROR(VLOOKUP($B37,MMWR_TRAD_AGG_RO_COMP[],C$1,0),"ERROR")</f>
        <v>1651</v>
      </c>
      <c r="D37" s="229">
        <f>IFERROR(VLOOKUP($B37,MMWR_TRAD_AGG_RO_COMP[],D$1,0),"ERROR")</f>
        <v>205.10539067229999</v>
      </c>
      <c r="E37" s="230">
        <f>IFERROR(VLOOKUP($B37,MMWR_TRAD_AGG_RO_COMP[],E$1,0),"ERROR")</f>
        <v>2491</v>
      </c>
      <c r="F37" s="231">
        <f>IFERROR(VLOOKUP($B37,MMWR_TRAD_AGG_RO_COMP[],F$1,0),"ERROR")</f>
        <v>392</v>
      </c>
      <c r="G37" s="232">
        <f t="shared" si="0"/>
        <v>0.15736651947009234</v>
      </c>
      <c r="H37" s="233">
        <f>IFERROR(VLOOKUP($B37,MMWR_TRAD_AGG_RO_COMP[],H$1,0),"ERROR")</f>
        <v>3207</v>
      </c>
      <c r="I37" s="231">
        <f>IFERROR(VLOOKUP($B37,MMWR_TRAD_AGG_RO_COMP[],I$1,0),"ERROR")</f>
        <v>1140</v>
      </c>
      <c r="J37" s="232">
        <f t="shared" si="1"/>
        <v>0.35547240411599623</v>
      </c>
      <c r="K37" s="234">
        <f>IFERROR(VLOOKUP($B37,MMWR_TRAD_AGG_RO_COMP[],K$1,0),"ERROR")</f>
        <v>1018</v>
      </c>
      <c r="L37" s="235">
        <f>IFERROR(VLOOKUP($B37,MMWR_TRAD_AGG_RO_COMP[],L$1,0),"ERROR")</f>
        <v>503</v>
      </c>
      <c r="M37" s="232">
        <f t="shared" si="2"/>
        <v>0.49410609037328096</v>
      </c>
      <c r="N37" s="234">
        <f>IFERROR(VLOOKUP($B37,MMWR_TRAD_AGG_RO_COMP[],N$1,0),"ERROR")</f>
        <v>216</v>
      </c>
      <c r="O37" s="235">
        <f>IFERROR(VLOOKUP($B37,MMWR_TRAD_AGG_RO_COMP[],O$1,0),"ERROR")</f>
        <v>126</v>
      </c>
      <c r="P37" s="232">
        <f t="shared" si="3"/>
        <v>0.58333333333333337</v>
      </c>
      <c r="Q37" s="236">
        <f>IFERROR(VLOOKUP($B37,MMWR_TRAD_AGG_RO_COMP[],Q$1,0),"ERROR")</f>
        <v>0</v>
      </c>
      <c r="R37" s="236">
        <f>IFERROR(VLOOKUP($B37,MMWR_TRAD_AGG_RO_COMP[],R$1,0),"ERROR")</f>
        <v>7</v>
      </c>
      <c r="S37" s="201">
        <f>IFERROR(VLOOKUP($B37,MMWR_APP_RO[],S$1,0),"ERROR")</f>
        <v>1352</v>
      </c>
      <c r="T37" s="28"/>
    </row>
    <row r="38" spans="1:20" x14ac:dyDescent="0.2">
      <c r="A38" s="28"/>
      <c r="B38" s="101" t="s">
        <v>384</v>
      </c>
      <c r="C38" s="212">
        <f>IFERROR(VLOOKUP($B38,MMWR_TRAD_AGG_DISTRICT_COMP[],C$1,0),"ERROR")</f>
        <v>39461</v>
      </c>
      <c r="D38" s="197">
        <f>IFERROR(VLOOKUP($B38,MMWR_TRAD_AGG_DISTRICT_COMP[],D$1,0),"ERROR")</f>
        <v>338.59266110840002</v>
      </c>
      <c r="E38" s="213">
        <f>IFERROR(VLOOKUP($B38,MMWR_TRAD_AGG_DISTRICT_COMP[],E$1,0),"ERROR")</f>
        <v>65122</v>
      </c>
      <c r="F38" s="218">
        <f>IFERROR(VLOOKUP($B38,MMWR_TRAD_AGG_DISTRICT_COMP[],F$1,0),"ERROR")</f>
        <v>13297</v>
      </c>
      <c r="G38" s="214">
        <f t="shared" si="0"/>
        <v>0.20418598937379073</v>
      </c>
      <c r="H38" s="218">
        <f>IFERROR(VLOOKUP($B38,MMWR_TRAD_AGG_DISTRICT_COMP[],H$1,0),"ERROR")</f>
        <v>79816</v>
      </c>
      <c r="I38" s="218">
        <f>IFERROR(VLOOKUP($B38,MMWR_TRAD_AGG_DISTRICT_COMP[],I$1,0),"ERROR")</f>
        <v>36020</v>
      </c>
      <c r="J38" s="214">
        <f t="shared" si="1"/>
        <v>0.45128796231332063</v>
      </c>
      <c r="K38" s="212">
        <f>IFERROR(VLOOKUP($B38,MMWR_TRAD_AGG_DISTRICT_COMP[],K$1,0),"ERROR")</f>
        <v>21574</v>
      </c>
      <c r="L38" s="212">
        <f>IFERROR(VLOOKUP($B38,MMWR_TRAD_AGG_DISTRICT_COMP[],L$1,0),"ERROR")</f>
        <v>15241</v>
      </c>
      <c r="M38" s="214">
        <f t="shared" si="2"/>
        <v>0.70645221099471589</v>
      </c>
      <c r="N38" s="212">
        <f>IFERROR(VLOOKUP($B38,MMWR_TRAD_AGG_DISTRICT_COMP[],N$1,0),"ERROR")</f>
        <v>19019</v>
      </c>
      <c r="O38" s="212">
        <f>IFERROR(VLOOKUP($B38,MMWR_TRAD_AGG_DISTRICT_COMP[],O$1,0),"ERROR")</f>
        <v>11567</v>
      </c>
      <c r="P38" s="214">
        <f t="shared" si="3"/>
        <v>0.60818129239181873</v>
      </c>
      <c r="Q38" s="212">
        <f>IFERROR(VLOOKUP($B38,MMWR_TRAD_AGG_DISTRICT_COMP[],Q$1,0),"ERROR")</f>
        <v>56</v>
      </c>
      <c r="R38" s="215">
        <f>IFERROR(VLOOKUP($B38,MMWR_TRAD_AGG_DISTRICT_COMP[],R$1,0),"ERROR")</f>
        <v>1177</v>
      </c>
      <c r="S38" s="215">
        <f>IFERROR(VLOOKUP($B38,MMWR_APP_RO[],S$1,0),"ERROR")</f>
        <v>67967</v>
      </c>
      <c r="T38" s="28"/>
    </row>
    <row r="39" spans="1:20" x14ac:dyDescent="0.2">
      <c r="A39" s="28"/>
      <c r="B39" s="108" t="s">
        <v>36</v>
      </c>
      <c r="C39" s="219">
        <f>IFERROR(VLOOKUP($B39,MMWR_TRAD_AGG_RO_COMP[],C$1,0),"ERROR")</f>
        <v>223</v>
      </c>
      <c r="D39" s="220">
        <f>IFERROR(VLOOKUP($B39,MMWR_TRAD_AGG_RO_COMP[],D$1,0),"ERROR")</f>
        <v>272.30493273539997</v>
      </c>
      <c r="E39" s="221">
        <f>IFERROR(VLOOKUP($B39,MMWR_TRAD_AGG_RO_COMP[],E$1,0),"ERROR")</f>
        <v>676</v>
      </c>
      <c r="F39" s="222">
        <f>IFERROR(VLOOKUP($B39,MMWR_TRAD_AGG_RO_COMP[],F$1,0),"ERROR")</f>
        <v>72</v>
      </c>
      <c r="G39" s="223">
        <f t="shared" si="0"/>
        <v>0.10650887573964497</v>
      </c>
      <c r="H39" s="224">
        <f>IFERROR(VLOOKUP($B39,MMWR_TRAD_AGG_RO_COMP[],H$1,0),"ERROR")</f>
        <v>696</v>
      </c>
      <c r="I39" s="222">
        <f>IFERROR(VLOOKUP($B39,MMWR_TRAD_AGG_RO_COMP[],I$1,0),"ERROR")</f>
        <v>207</v>
      </c>
      <c r="J39" s="223">
        <f t="shared" si="1"/>
        <v>0.29741379310344829</v>
      </c>
      <c r="K39" s="225">
        <f>IFERROR(VLOOKUP($B39,MMWR_TRAD_AGG_RO_COMP[],K$1,0),"ERROR")</f>
        <v>178</v>
      </c>
      <c r="L39" s="226">
        <f>IFERROR(VLOOKUP($B39,MMWR_TRAD_AGG_RO_COMP[],L$1,0),"ERROR")</f>
        <v>91</v>
      </c>
      <c r="M39" s="223">
        <f t="shared" si="2"/>
        <v>0.5112359550561798</v>
      </c>
      <c r="N39" s="225">
        <f>IFERROR(VLOOKUP($B39,MMWR_TRAD_AGG_RO_COMP[],N$1,0),"ERROR")</f>
        <v>112</v>
      </c>
      <c r="O39" s="226">
        <f>IFERROR(VLOOKUP($B39,MMWR_TRAD_AGG_RO_COMP[],O$1,0),"ERROR")</f>
        <v>51</v>
      </c>
      <c r="P39" s="223">
        <f t="shared" si="3"/>
        <v>0.45535714285714285</v>
      </c>
      <c r="Q39" s="227">
        <f>IFERROR(VLOOKUP($B39,MMWR_TRAD_AGG_RO_COMP[],Q$1,0),"ERROR")</f>
        <v>2</v>
      </c>
      <c r="R39" s="227">
        <f>IFERROR(VLOOKUP($B39,MMWR_TRAD_AGG_RO_COMP[],R$1,0),"ERROR")</f>
        <v>5</v>
      </c>
      <c r="S39" s="201">
        <f>IFERROR(VLOOKUP($B39,MMWR_APP_RO[],S$1,0),"ERROR")</f>
        <v>330</v>
      </c>
      <c r="T39" s="28"/>
    </row>
    <row r="40" spans="1:20" x14ac:dyDescent="0.2">
      <c r="A40" s="28"/>
      <c r="B40" s="108" t="s">
        <v>40</v>
      </c>
      <c r="C40" s="219">
        <f>IFERROR(VLOOKUP($B40,MMWR_TRAD_AGG_RO_COMP[],C$1,0),"ERROR")</f>
        <v>4948</v>
      </c>
      <c r="D40" s="220">
        <f>IFERROR(VLOOKUP($B40,MMWR_TRAD_AGG_RO_COMP[],D$1,0),"ERROR")</f>
        <v>405.47473726760001</v>
      </c>
      <c r="E40" s="221">
        <f>IFERROR(VLOOKUP($B40,MMWR_TRAD_AGG_RO_COMP[],E$1,0),"ERROR")</f>
        <v>7186</v>
      </c>
      <c r="F40" s="222">
        <f>IFERROR(VLOOKUP($B40,MMWR_TRAD_AGG_RO_COMP[],F$1,0),"ERROR")</f>
        <v>2125</v>
      </c>
      <c r="G40" s="223">
        <f t="shared" si="0"/>
        <v>0.2957138881157807</v>
      </c>
      <c r="H40" s="224">
        <f>IFERROR(VLOOKUP($B40,MMWR_TRAD_AGG_RO_COMP[],H$1,0),"ERROR")</f>
        <v>9515</v>
      </c>
      <c r="I40" s="222">
        <f>IFERROR(VLOOKUP($B40,MMWR_TRAD_AGG_RO_COMP[],I$1,0),"ERROR")</f>
        <v>5064</v>
      </c>
      <c r="J40" s="223">
        <f t="shared" si="1"/>
        <v>0.53221229637414613</v>
      </c>
      <c r="K40" s="225">
        <f>IFERROR(VLOOKUP($B40,MMWR_TRAD_AGG_RO_COMP[],K$1,0),"ERROR")</f>
        <v>3838</v>
      </c>
      <c r="L40" s="226">
        <f>IFERROR(VLOOKUP($B40,MMWR_TRAD_AGG_RO_COMP[],L$1,0),"ERROR")</f>
        <v>3265</v>
      </c>
      <c r="M40" s="223">
        <f t="shared" si="2"/>
        <v>0.85070349140177171</v>
      </c>
      <c r="N40" s="225">
        <f>IFERROR(VLOOKUP($B40,MMWR_TRAD_AGG_RO_COMP[],N$1,0),"ERROR")</f>
        <v>656</v>
      </c>
      <c r="O40" s="226">
        <f>IFERROR(VLOOKUP($B40,MMWR_TRAD_AGG_RO_COMP[],O$1,0),"ERROR")</f>
        <v>483</v>
      </c>
      <c r="P40" s="223">
        <f t="shared" si="3"/>
        <v>0.73628048780487809</v>
      </c>
      <c r="Q40" s="227">
        <f>IFERROR(VLOOKUP($B40,MMWR_TRAD_AGG_RO_COMP[],Q$1,0),"ERROR")</f>
        <v>0</v>
      </c>
      <c r="R40" s="227">
        <f>IFERROR(VLOOKUP($B40,MMWR_TRAD_AGG_RO_COMP[],R$1,0),"ERROR")</f>
        <v>51</v>
      </c>
      <c r="S40" s="201">
        <f>IFERROR(VLOOKUP($B40,MMWR_APP_RO[],S$1,0),"ERROR")</f>
        <v>6475</v>
      </c>
      <c r="T40" s="28"/>
    </row>
    <row r="41" spans="1:20" x14ac:dyDescent="0.2">
      <c r="A41" s="28"/>
      <c r="B41" s="108" t="s">
        <v>181</v>
      </c>
      <c r="C41" s="219">
        <f>IFERROR(VLOOKUP($B41,MMWR_TRAD_AGG_RO_COMP[],C$1,0),"ERROR")</f>
        <v>282</v>
      </c>
      <c r="D41" s="220">
        <f>IFERROR(VLOOKUP($B41,MMWR_TRAD_AGG_RO_COMP[],D$1,0),"ERROR")</f>
        <v>188.32978723400001</v>
      </c>
      <c r="E41" s="221">
        <f>IFERROR(VLOOKUP($B41,MMWR_TRAD_AGG_RO_COMP[],E$1,0),"ERROR")</f>
        <v>639</v>
      </c>
      <c r="F41" s="222">
        <f>IFERROR(VLOOKUP($B41,MMWR_TRAD_AGG_RO_COMP[],F$1,0),"ERROR")</f>
        <v>44</v>
      </c>
      <c r="G41" s="223">
        <f t="shared" si="0"/>
        <v>6.8857589984350542E-2</v>
      </c>
      <c r="H41" s="224">
        <f>IFERROR(VLOOKUP($B41,MMWR_TRAD_AGG_RO_COMP[],H$1,0),"ERROR")</f>
        <v>1127</v>
      </c>
      <c r="I41" s="222">
        <f>IFERROR(VLOOKUP($B41,MMWR_TRAD_AGG_RO_COMP[],I$1,0),"ERROR")</f>
        <v>95</v>
      </c>
      <c r="J41" s="223">
        <f t="shared" si="1"/>
        <v>8.4294587400177465E-2</v>
      </c>
      <c r="K41" s="225">
        <f>IFERROR(VLOOKUP($B41,MMWR_TRAD_AGG_RO_COMP[],K$1,0),"ERROR")</f>
        <v>396</v>
      </c>
      <c r="L41" s="226">
        <f>IFERROR(VLOOKUP($B41,MMWR_TRAD_AGG_RO_COMP[],L$1,0),"ERROR")</f>
        <v>224</v>
      </c>
      <c r="M41" s="223">
        <f t="shared" si="2"/>
        <v>0.56565656565656564</v>
      </c>
      <c r="N41" s="225">
        <f>IFERROR(VLOOKUP($B41,MMWR_TRAD_AGG_RO_COMP[],N$1,0),"ERROR")</f>
        <v>230</v>
      </c>
      <c r="O41" s="226">
        <f>IFERROR(VLOOKUP($B41,MMWR_TRAD_AGG_RO_COMP[],O$1,0),"ERROR")</f>
        <v>120</v>
      </c>
      <c r="P41" s="223">
        <f t="shared" si="3"/>
        <v>0.52173913043478259</v>
      </c>
      <c r="Q41" s="227">
        <f>IFERROR(VLOOKUP($B41,MMWR_TRAD_AGG_RO_COMP[],Q$1,0),"ERROR")</f>
        <v>0</v>
      </c>
      <c r="R41" s="227">
        <f>IFERROR(VLOOKUP($B41,MMWR_TRAD_AGG_RO_COMP[],R$1,0),"ERROR")</f>
        <v>3</v>
      </c>
      <c r="S41" s="201">
        <f>IFERROR(VLOOKUP($B41,MMWR_APP_RO[],S$1,0),"ERROR")</f>
        <v>352</v>
      </c>
      <c r="T41" s="28"/>
    </row>
    <row r="42" spans="1:20" x14ac:dyDescent="0.2">
      <c r="A42" s="28"/>
      <c r="B42" s="108" t="s">
        <v>46</v>
      </c>
      <c r="C42" s="219">
        <f>IFERROR(VLOOKUP($B42,MMWR_TRAD_AGG_RO_COMP[],C$1,0),"ERROR")</f>
        <v>9889</v>
      </c>
      <c r="D42" s="220">
        <f>IFERROR(VLOOKUP($B42,MMWR_TRAD_AGG_RO_COMP[],D$1,0),"ERROR")</f>
        <v>373.3381535039</v>
      </c>
      <c r="E42" s="221">
        <f>IFERROR(VLOOKUP($B42,MMWR_TRAD_AGG_RO_COMP[],E$1,0),"ERROR")</f>
        <v>17412</v>
      </c>
      <c r="F42" s="222">
        <f>IFERROR(VLOOKUP($B42,MMWR_TRAD_AGG_RO_COMP[],F$1,0),"ERROR")</f>
        <v>4172</v>
      </c>
      <c r="G42" s="223">
        <f t="shared" si="0"/>
        <v>0.2396048702044567</v>
      </c>
      <c r="H42" s="224">
        <f>IFERROR(VLOOKUP($B42,MMWR_TRAD_AGG_RO_COMP[],H$1,0),"ERROR")</f>
        <v>17898</v>
      </c>
      <c r="I42" s="222">
        <f>IFERROR(VLOOKUP($B42,MMWR_TRAD_AGG_RO_COMP[],I$1,0),"ERROR")</f>
        <v>9901</v>
      </c>
      <c r="J42" s="223">
        <f t="shared" si="1"/>
        <v>0.55319030059224494</v>
      </c>
      <c r="K42" s="225">
        <f>IFERROR(VLOOKUP($B42,MMWR_TRAD_AGG_RO_COMP[],K$1,0),"ERROR")</f>
        <v>3646</v>
      </c>
      <c r="L42" s="226">
        <f>IFERROR(VLOOKUP($B42,MMWR_TRAD_AGG_RO_COMP[],L$1,0),"ERROR")</f>
        <v>2947</v>
      </c>
      <c r="M42" s="223">
        <f t="shared" si="2"/>
        <v>0.80828304991771804</v>
      </c>
      <c r="N42" s="225">
        <f>IFERROR(VLOOKUP($B42,MMWR_TRAD_AGG_RO_COMP[],N$1,0),"ERROR")</f>
        <v>3314</v>
      </c>
      <c r="O42" s="226">
        <f>IFERROR(VLOOKUP($B42,MMWR_TRAD_AGG_RO_COMP[],O$1,0),"ERROR")</f>
        <v>2729</v>
      </c>
      <c r="P42" s="223">
        <f t="shared" si="3"/>
        <v>0.82347616173808091</v>
      </c>
      <c r="Q42" s="227">
        <f>IFERROR(VLOOKUP($B42,MMWR_TRAD_AGG_RO_COMP[],Q$1,0),"ERROR")</f>
        <v>1</v>
      </c>
      <c r="R42" s="227">
        <f>IFERROR(VLOOKUP($B42,MMWR_TRAD_AGG_RO_COMP[],R$1,0),"ERROR")</f>
        <v>251</v>
      </c>
      <c r="S42" s="201">
        <f>IFERROR(VLOOKUP($B42,MMWR_APP_RO[],S$1,0),"ERROR")</f>
        <v>19523</v>
      </c>
      <c r="T42" s="28"/>
    </row>
    <row r="43" spans="1:20" x14ac:dyDescent="0.2">
      <c r="A43" s="28"/>
      <c r="B43" s="108" t="s">
        <v>49</v>
      </c>
      <c r="C43" s="219">
        <f>IFERROR(VLOOKUP($B43,MMWR_TRAD_AGG_RO_COMP[],C$1,0),"ERROR")</f>
        <v>2982</v>
      </c>
      <c r="D43" s="220">
        <f>IFERROR(VLOOKUP($B43,MMWR_TRAD_AGG_RO_COMP[],D$1,0),"ERROR")</f>
        <v>400.9503688799</v>
      </c>
      <c r="E43" s="221">
        <f>IFERROR(VLOOKUP($B43,MMWR_TRAD_AGG_RO_COMP[],E$1,0),"ERROR")</f>
        <v>4612</v>
      </c>
      <c r="F43" s="222">
        <f>IFERROR(VLOOKUP($B43,MMWR_TRAD_AGG_RO_COMP[],F$1,0),"ERROR")</f>
        <v>1468</v>
      </c>
      <c r="G43" s="223">
        <f t="shared" si="0"/>
        <v>0.31830008673026888</v>
      </c>
      <c r="H43" s="224">
        <f>IFERROR(VLOOKUP($B43,MMWR_TRAD_AGG_RO_COMP[],H$1,0),"ERROR")</f>
        <v>6891</v>
      </c>
      <c r="I43" s="222">
        <f>IFERROR(VLOOKUP($B43,MMWR_TRAD_AGG_RO_COMP[],I$1,0),"ERROR")</f>
        <v>3901</v>
      </c>
      <c r="J43" s="223">
        <f t="shared" si="1"/>
        <v>0.56610071107241333</v>
      </c>
      <c r="K43" s="225">
        <f>IFERROR(VLOOKUP($B43,MMWR_TRAD_AGG_RO_COMP[],K$1,0),"ERROR")</f>
        <v>2608</v>
      </c>
      <c r="L43" s="226">
        <f>IFERROR(VLOOKUP($B43,MMWR_TRAD_AGG_RO_COMP[],L$1,0),"ERROR")</f>
        <v>2001</v>
      </c>
      <c r="M43" s="223">
        <f t="shared" si="2"/>
        <v>0.76725460122699385</v>
      </c>
      <c r="N43" s="225">
        <f>IFERROR(VLOOKUP($B43,MMWR_TRAD_AGG_RO_COMP[],N$1,0),"ERROR")</f>
        <v>795</v>
      </c>
      <c r="O43" s="226">
        <f>IFERROR(VLOOKUP($B43,MMWR_TRAD_AGG_RO_COMP[],O$1,0),"ERROR")</f>
        <v>612</v>
      </c>
      <c r="P43" s="223">
        <f t="shared" si="3"/>
        <v>0.76981132075471703</v>
      </c>
      <c r="Q43" s="227">
        <f>IFERROR(VLOOKUP($B43,MMWR_TRAD_AGG_RO_COMP[],Q$1,0),"ERROR")</f>
        <v>47</v>
      </c>
      <c r="R43" s="227">
        <f>IFERROR(VLOOKUP($B43,MMWR_TRAD_AGG_RO_COMP[],R$1,0),"ERROR")</f>
        <v>288</v>
      </c>
      <c r="S43" s="201">
        <f>IFERROR(VLOOKUP($B43,MMWR_APP_RO[],S$1,0),"ERROR")</f>
        <v>4669</v>
      </c>
      <c r="T43" s="28"/>
    </row>
    <row r="44" spans="1:20" x14ac:dyDescent="0.2">
      <c r="A44" s="28"/>
      <c r="B44" s="108" t="s">
        <v>51</v>
      </c>
      <c r="C44" s="219">
        <f>IFERROR(VLOOKUP($B44,MMWR_TRAD_AGG_RO_COMP[],C$1,0),"ERROR")</f>
        <v>3495</v>
      </c>
      <c r="D44" s="220">
        <f>IFERROR(VLOOKUP($B44,MMWR_TRAD_AGG_RO_COMP[],D$1,0),"ERROR")</f>
        <v>265.12360515019998</v>
      </c>
      <c r="E44" s="221">
        <f>IFERROR(VLOOKUP($B44,MMWR_TRAD_AGG_RO_COMP[],E$1,0),"ERROR")</f>
        <v>3355</v>
      </c>
      <c r="F44" s="222">
        <f>IFERROR(VLOOKUP($B44,MMWR_TRAD_AGG_RO_COMP[],F$1,0),"ERROR")</f>
        <v>414</v>
      </c>
      <c r="G44" s="223">
        <f t="shared" si="0"/>
        <v>0.12339791356184798</v>
      </c>
      <c r="H44" s="224">
        <f>IFERROR(VLOOKUP($B44,MMWR_TRAD_AGG_RO_COMP[],H$1,0),"ERROR")</f>
        <v>7882</v>
      </c>
      <c r="I44" s="222">
        <f>IFERROR(VLOOKUP($B44,MMWR_TRAD_AGG_RO_COMP[],I$1,0),"ERROR")</f>
        <v>2965</v>
      </c>
      <c r="J44" s="223">
        <f t="shared" si="1"/>
        <v>0.37617356001014973</v>
      </c>
      <c r="K44" s="225">
        <f>IFERROR(VLOOKUP($B44,MMWR_TRAD_AGG_RO_COMP[],K$1,0),"ERROR")</f>
        <v>3769</v>
      </c>
      <c r="L44" s="226">
        <f>IFERROR(VLOOKUP($B44,MMWR_TRAD_AGG_RO_COMP[],L$1,0),"ERROR")</f>
        <v>2580</v>
      </c>
      <c r="M44" s="223">
        <f t="shared" si="2"/>
        <v>0.68453170602281777</v>
      </c>
      <c r="N44" s="225">
        <f>IFERROR(VLOOKUP($B44,MMWR_TRAD_AGG_RO_COMP[],N$1,0),"ERROR")</f>
        <v>1659</v>
      </c>
      <c r="O44" s="226">
        <f>IFERROR(VLOOKUP($B44,MMWR_TRAD_AGG_RO_COMP[],O$1,0),"ERROR")</f>
        <v>1109</v>
      </c>
      <c r="P44" s="223">
        <f t="shared" si="3"/>
        <v>0.66847498493068114</v>
      </c>
      <c r="Q44" s="227">
        <f>IFERROR(VLOOKUP($B44,MMWR_TRAD_AGG_RO_COMP[],Q$1,0),"ERROR")</f>
        <v>0</v>
      </c>
      <c r="R44" s="227">
        <f>IFERROR(VLOOKUP($B44,MMWR_TRAD_AGG_RO_COMP[],R$1,0),"ERROR")</f>
        <v>98</v>
      </c>
      <c r="S44" s="201">
        <f>IFERROR(VLOOKUP($B44,MMWR_APP_RO[],S$1,0),"ERROR")</f>
        <v>5295</v>
      </c>
      <c r="T44" s="28"/>
    </row>
    <row r="45" spans="1:20" x14ac:dyDescent="0.2">
      <c r="A45" s="28"/>
      <c r="B45" s="108" t="s">
        <v>27</v>
      </c>
      <c r="C45" s="219">
        <f>IFERROR(VLOOKUP($B45,MMWR_TRAD_AGG_RO_COMP[],C$1,0),"ERROR")</f>
        <v>1252</v>
      </c>
      <c r="D45" s="220">
        <f>IFERROR(VLOOKUP($B45,MMWR_TRAD_AGG_RO_COMP[],D$1,0),"ERROR")</f>
        <v>74.357028753999998</v>
      </c>
      <c r="E45" s="221">
        <f>IFERROR(VLOOKUP($B45,MMWR_TRAD_AGG_RO_COMP[],E$1,0),"ERROR")</f>
        <v>5782</v>
      </c>
      <c r="F45" s="222">
        <f>IFERROR(VLOOKUP($B45,MMWR_TRAD_AGG_RO_COMP[],F$1,0),"ERROR")</f>
        <v>551</v>
      </c>
      <c r="G45" s="223">
        <f t="shared" si="0"/>
        <v>9.5295745416810795E-2</v>
      </c>
      <c r="H45" s="224">
        <f>IFERROR(VLOOKUP($B45,MMWR_TRAD_AGG_RO_COMP[],H$1,0),"ERROR")</f>
        <v>6044</v>
      </c>
      <c r="I45" s="222">
        <f>IFERROR(VLOOKUP($B45,MMWR_TRAD_AGG_RO_COMP[],I$1,0),"ERROR")</f>
        <v>827</v>
      </c>
      <c r="J45" s="223">
        <f t="shared" si="1"/>
        <v>0.13682991396426208</v>
      </c>
      <c r="K45" s="225">
        <f>IFERROR(VLOOKUP($B45,MMWR_TRAD_AGG_RO_COMP[],K$1,0),"ERROR")</f>
        <v>1028</v>
      </c>
      <c r="L45" s="226">
        <f>IFERROR(VLOOKUP($B45,MMWR_TRAD_AGG_RO_COMP[],L$1,0),"ERROR")</f>
        <v>351</v>
      </c>
      <c r="M45" s="223">
        <f t="shared" si="2"/>
        <v>0.34143968871595332</v>
      </c>
      <c r="N45" s="225">
        <f>IFERROR(VLOOKUP($B45,MMWR_TRAD_AGG_RO_COMP[],N$1,0),"ERROR")</f>
        <v>1589</v>
      </c>
      <c r="O45" s="226">
        <f>IFERROR(VLOOKUP($B45,MMWR_TRAD_AGG_RO_COMP[],O$1,0),"ERROR")</f>
        <v>1008</v>
      </c>
      <c r="P45" s="223">
        <f t="shared" si="3"/>
        <v>0.63436123348017626</v>
      </c>
      <c r="Q45" s="227">
        <f>IFERROR(VLOOKUP($B45,MMWR_TRAD_AGG_RO_COMP[],Q$1,0),"ERROR")</f>
        <v>1</v>
      </c>
      <c r="R45" s="227">
        <f>IFERROR(VLOOKUP($B45,MMWR_TRAD_AGG_RO_COMP[],R$1,0),"ERROR")</f>
        <v>13</v>
      </c>
      <c r="S45" s="201">
        <f>IFERROR(VLOOKUP($B45,MMWR_APP_RO[],S$1,0),"ERROR")</f>
        <v>4073</v>
      </c>
      <c r="T45" s="28"/>
    </row>
    <row r="46" spans="1:20" x14ac:dyDescent="0.2">
      <c r="A46" s="28"/>
      <c r="B46" s="108" t="s">
        <v>59</v>
      </c>
      <c r="C46" s="219">
        <f>IFERROR(VLOOKUP($B46,MMWR_TRAD_AGG_RO_COMP[],C$1,0),"ERROR")</f>
        <v>3583</v>
      </c>
      <c r="D46" s="220">
        <f>IFERROR(VLOOKUP($B46,MMWR_TRAD_AGG_RO_COMP[],D$1,0),"ERROR")</f>
        <v>442.6031258722</v>
      </c>
      <c r="E46" s="221">
        <f>IFERROR(VLOOKUP($B46,MMWR_TRAD_AGG_RO_COMP[],E$1,0),"ERROR")</f>
        <v>5081</v>
      </c>
      <c r="F46" s="222">
        <f>IFERROR(VLOOKUP($B46,MMWR_TRAD_AGG_RO_COMP[],F$1,0),"ERROR")</f>
        <v>1031</v>
      </c>
      <c r="G46" s="223">
        <f t="shared" si="0"/>
        <v>0.20291281243849635</v>
      </c>
      <c r="H46" s="224">
        <f>IFERROR(VLOOKUP($B46,MMWR_TRAD_AGG_RO_COMP[],H$1,0),"ERROR")</f>
        <v>6554</v>
      </c>
      <c r="I46" s="222">
        <f>IFERROR(VLOOKUP($B46,MMWR_TRAD_AGG_RO_COMP[],I$1,0),"ERROR")</f>
        <v>3234</v>
      </c>
      <c r="J46" s="223">
        <f t="shared" si="1"/>
        <v>0.49343912114739091</v>
      </c>
      <c r="K46" s="225">
        <f>IFERROR(VLOOKUP($B46,MMWR_TRAD_AGG_RO_COMP[],K$1,0),"ERROR")</f>
        <v>1179</v>
      </c>
      <c r="L46" s="226">
        <f>IFERROR(VLOOKUP($B46,MMWR_TRAD_AGG_RO_COMP[],L$1,0),"ERROR")</f>
        <v>806</v>
      </c>
      <c r="M46" s="223">
        <f t="shared" si="2"/>
        <v>0.68363019508057676</v>
      </c>
      <c r="N46" s="225">
        <f>IFERROR(VLOOKUP($B46,MMWR_TRAD_AGG_RO_COMP[],N$1,0),"ERROR")</f>
        <v>1884</v>
      </c>
      <c r="O46" s="226">
        <f>IFERROR(VLOOKUP($B46,MMWR_TRAD_AGG_RO_COMP[],O$1,0),"ERROR")</f>
        <v>1318</v>
      </c>
      <c r="P46" s="223">
        <f t="shared" si="3"/>
        <v>0.6995753715498938</v>
      </c>
      <c r="Q46" s="227">
        <f>IFERROR(VLOOKUP($B46,MMWR_TRAD_AGG_RO_COMP[],Q$1,0),"ERROR")</f>
        <v>2</v>
      </c>
      <c r="R46" s="227">
        <f>IFERROR(VLOOKUP($B46,MMWR_TRAD_AGG_RO_COMP[],R$1,0),"ERROR")</f>
        <v>272</v>
      </c>
      <c r="S46" s="201">
        <f>IFERROR(VLOOKUP($B46,MMWR_APP_RO[],S$1,0),"ERROR")</f>
        <v>5864</v>
      </c>
      <c r="T46" s="28"/>
    </row>
    <row r="47" spans="1:20" x14ac:dyDescent="0.2">
      <c r="A47" s="28"/>
      <c r="B47" s="108" t="s">
        <v>70</v>
      </c>
      <c r="C47" s="219">
        <f>IFERROR(VLOOKUP($B47,MMWR_TRAD_AGG_RO_COMP[],C$1,0),"ERROR")</f>
        <v>3076</v>
      </c>
      <c r="D47" s="220">
        <f>IFERROR(VLOOKUP($B47,MMWR_TRAD_AGG_RO_COMP[],D$1,0),"ERROR")</f>
        <v>260.16872561769998</v>
      </c>
      <c r="E47" s="221">
        <f>IFERROR(VLOOKUP($B47,MMWR_TRAD_AGG_RO_COMP[],E$1,0),"ERROR")</f>
        <v>3194</v>
      </c>
      <c r="F47" s="222">
        <f>IFERROR(VLOOKUP($B47,MMWR_TRAD_AGG_RO_COMP[],F$1,0),"ERROR")</f>
        <v>454</v>
      </c>
      <c r="G47" s="223">
        <f t="shared" si="0"/>
        <v>0.14214151534126487</v>
      </c>
      <c r="H47" s="224">
        <f>IFERROR(VLOOKUP($B47,MMWR_TRAD_AGG_RO_COMP[],H$1,0),"ERROR")</f>
        <v>6612</v>
      </c>
      <c r="I47" s="222">
        <f>IFERROR(VLOOKUP($B47,MMWR_TRAD_AGG_RO_COMP[],I$1,0),"ERROR")</f>
        <v>2840</v>
      </c>
      <c r="J47" s="223">
        <f t="shared" si="1"/>
        <v>0.42952208106473078</v>
      </c>
      <c r="K47" s="225">
        <f>IFERROR(VLOOKUP($B47,MMWR_TRAD_AGG_RO_COMP[],K$1,0),"ERROR")</f>
        <v>1381</v>
      </c>
      <c r="L47" s="226">
        <f>IFERROR(VLOOKUP($B47,MMWR_TRAD_AGG_RO_COMP[],L$1,0),"ERROR")</f>
        <v>725</v>
      </c>
      <c r="M47" s="223">
        <f t="shared" si="2"/>
        <v>0.52498189717595944</v>
      </c>
      <c r="N47" s="225">
        <f>IFERROR(VLOOKUP($B47,MMWR_TRAD_AGG_RO_COMP[],N$1,0),"ERROR")</f>
        <v>434</v>
      </c>
      <c r="O47" s="226">
        <f>IFERROR(VLOOKUP($B47,MMWR_TRAD_AGG_RO_COMP[],O$1,0),"ERROR")</f>
        <v>225</v>
      </c>
      <c r="P47" s="223">
        <f t="shared" si="3"/>
        <v>0.51843317972350234</v>
      </c>
      <c r="Q47" s="227">
        <f>IFERROR(VLOOKUP($B47,MMWR_TRAD_AGG_RO_COMP[],Q$1,0),"ERROR")</f>
        <v>0</v>
      </c>
      <c r="R47" s="227">
        <f>IFERROR(VLOOKUP($B47,MMWR_TRAD_AGG_RO_COMP[],R$1,0),"ERROR")</f>
        <v>2</v>
      </c>
      <c r="S47" s="201">
        <f>IFERROR(VLOOKUP($B47,MMWR_APP_RO[],S$1,0),"ERROR")</f>
        <v>1131</v>
      </c>
      <c r="T47" s="28"/>
    </row>
    <row r="48" spans="1:20" x14ac:dyDescent="0.2">
      <c r="A48" s="28"/>
      <c r="B48" s="116" t="s">
        <v>79</v>
      </c>
      <c r="C48" s="228">
        <f>IFERROR(VLOOKUP($B48,MMWR_TRAD_AGG_RO_COMP[],C$1,0),"ERROR")</f>
        <v>9731</v>
      </c>
      <c r="D48" s="229">
        <f>IFERROR(VLOOKUP($B48,MMWR_TRAD_AGG_RO_COMP[],D$1,0),"ERROR")</f>
        <v>302.91645257419998</v>
      </c>
      <c r="E48" s="230">
        <f>IFERROR(VLOOKUP($B48,MMWR_TRAD_AGG_RO_COMP[],E$1,0),"ERROR")</f>
        <v>17185</v>
      </c>
      <c r="F48" s="231">
        <f>IFERROR(VLOOKUP($B48,MMWR_TRAD_AGG_RO_COMP[],F$1,0),"ERROR")</f>
        <v>2966</v>
      </c>
      <c r="G48" s="232">
        <f t="shared" si="0"/>
        <v>0.1725923770730288</v>
      </c>
      <c r="H48" s="233">
        <f>IFERROR(VLOOKUP($B48,MMWR_TRAD_AGG_RO_COMP[],H$1,0),"ERROR")</f>
        <v>16597</v>
      </c>
      <c r="I48" s="231">
        <f>IFERROR(VLOOKUP($B48,MMWR_TRAD_AGG_RO_COMP[],I$1,0),"ERROR")</f>
        <v>6986</v>
      </c>
      <c r="J48" s="232">
        <f t="shared" si="1"/>
        <v>0.42091944327288067</v>
      </c>
      <c r="K48" s="234">
        <f>IFERROR(VLOOKUP($B48,MMWR_TRAD_AGG_RO_COMP[],K$1,0),"ERROR")</f>
        <v>3551</v>
      </c>
      <c r="L48" s="235">
        <f>IFERROR(VLOOKUP($B48,MMWR_TRAD_AGG_RO_COMP[],L$1,0),"ERROR")</f>
        <v>2251</v>
      </c>
      <c r="M48" s="232">
        <f t="shared" si="2"/>
        <v>0.63390594198817229</v>
      </c>
      <c r="N48" s="234">
        <f>IFERROR(VLOOKUP($B48,MMWR_TRAD_AGG_RO_COMP[],N$1,0),"ERROR")</f>
        <v>8346</v>
      </c>
      <c r="O48" s="235">
        <f>IFERROR(VLOOKUP($B48,MMWR_TRAD_AGG_RO_COMP[],O$1,0),"ERROR")</f>
        <v>3912</v>
      </c>
      <c r="P48" s="232">
        <f t="shared" si="3"/>
        <v>0.46872753414809487</v>
      </c>
      <c r="Q48" s="236">
        <f>IFERROR(VLOOKUP($B48,MMWR_TRAD_AGG_RO_COMP[],Q$1,0),"ERROR")</f>
        <v>3</v>
      </c>
      <c r="R48" s="236">
        <f>IFERROR(VLOOKUP($B48,MMWR_TRAD_AGG_RO_COMP[],R$1,0),"ERROR")</f>
        <v>194</v>
      </c>
      <c r="S48" s="201">
        <f>IFERROR(VLOOKUP($B48,MMWR_APP_RO[],S$1,0),"ERROR")</f>
        <v>20255</v>
      </c>
      <c r="T48" s="28"/>
    </row>
    <row r="49" spans="1:20" x14ac:dyDescent="0.2">
      <c r="A49" s="28"/>
      <c r="B49" s="101" t="s">
        <v>403</v>
      </c>
      <c r="C49" s="212">
        <f>IFERROR(VLOOKUP($B49,MMWR_TRAD_AGG_DISTRICT_COMP[],C$1,0),"ERROR")</f>
        <v>44031</v>
      </c>
      <c r="D49" s="197">
        <f>IFERROR(VLOOKUP($B49,MMWR_TRAD_AGG_DISTRICT_COMP[],D$1,0),"ERROR")</f>
        <v>391.63904976039998</v>
      </c>
      <c r="E49" s="213">
        <f>IFERROR(VLOOKUP($B49,MMWR_TRAD_AGG_DISTRICT_COMP[],E$1,0),"ERROR")</f>
        <v>64468</v>
      </c>
      <c r="F49" s="218">
        <f>IFERROR(VLOOKUP($B49,MMWR_TRAD_AGG_DISTRICT_COMP[],F$1,0),"ERROR")</f>
        <v>12802</v>
      </c>
      <c r="G49" s="214">
        <f t="shared" si="0"/>
        <v>0.19857914003846869</v>
      </c>
      <c r="H49" s="218">
        <f>IFERROR(VLOOKUP($B49,MMWR_TRAD_AGG_DISTRICT_COMP[],H$1,0),"ERROR")</f>
        <v>87576</v>
      </c>
      <c r="I49" s="218">
        <f>IFERROR(VLOOKUP($B49,MMWR_TRAD_AGG_DISTRICT_COMP[],I$1,0),"ERROR")</f>
        <v>45667</v>
      </c>
      <c r="J49" s="214">
        <f t="shared" si="1"/>
        <v>0.5214556499497579</v>
      </c>
      <c r="K49" s="212">
        <f>IFERROR(VLOOKUP($B49,MMWR_TRAD_AGG_DISTRICT_COMP[],K$1,0),"ERROR")</f>
        <v>23892</v>
      </c>
      <c r="L49" s="212">
        <f>IFERROR(VLOOKUP($B49,MMWR_TRAD_AGG_DISTRICT_COMP[],L$1,0),"ERROR")</f>
        <v>17954</v>
      </c>
      <c r="M49" s="214">
        <f t="shared" si="2"/>
        <v>0.75146492549807464</v>
      </c>
      <c r="N49" s="212">
        <f>IFERROR(VLOOKUP($B49,MMWR_TRAD_AGG_DISTRICT_COMP[],N$1,0),"ERROR")</f>
        <v>18844</v>
      </c>
      <c r="O49" s="212">
        <f>IFERROR(VLOOKUP($B49,MMWR_TRAD_AGG_DISTRICT_COMP[],O$1,0),"ERROR")</f>
        <v>14614</v>
      </c>
      <c r="P49" s="214">
        <f t="shared" si="3"/>
        <v>0.77552536616429635</v>
      </c>
      <c r="Q49" s="212">
        <f>IFERROR(VLOOKUP($B49,MMWR_TRAD_AGG_DISTRICT_COMP[],Q$1,0),"ERROR")</f>
        <v>463</v>
      </c>
      <c r="R49" s="215">
        <f>IFERROR(VLOOKUP($B49,MMWR_TRAD_AGG_DISTRICT_COMP[],R$1,0),"ERROR")</f>
        <v>794</v>
      </c>
      <c r="S49" s="215">
        <f>IFERROR(VLOOKUP($B49,MMWR_APP_RO[],S$1,0),"ERROR")</f>
        <v>40856</v>
      </c>
      <c r="T49" s="28"/>
    </row>
    <row r="50" spans="1:20" x14ac:dyDescent="0.2">
      <c r="A50" s="28"/>
      <c r="B50" s="108" t="s">
        <v>31</v>
      </c>
      <c r="C50" s="219">
        <f>IFERROR(VLOOKUP($B50,MMWR_TRAD_AGG_RO_COMP[],C$1,0),"ERROR")</f>
        <v>564</v>
      </c>
      <c r="D50" s="220">
        <f>IFERROR(VLOOKUP($B50,MMWR_TRAD_AGG_RO_COMP[],D$1,0),"ERROR")</f>
        <v>189.15070921989999</v>
      </c>
      <c r="E50" s="221">
        <f>IFERROR(VLOOKUP($B50,MMWR_TRAD_AGG_RO_COMP[],E$1,0),"ERROR")</f>
        <v>2866</v>
      </c>
      <c r="F50" s="222">
        <f>IFERROR(VLOOKUP($B50,MMWR_TRAD_AGG_RO_COMP[],F$1,0),"ERROR")</f>
        <v>605</v>
      </c>
      <c r="G50" s="223">
        <f t="shared" si="0"/>
        <v>0.21109560362875088</v>
      </c>
      <c r="H50" s="224">
        <f>IFERROR(VLOOKUP($B50,MMWR_TRAD_AGG_RO_COMP[],H$1,0),"ERROR")</f>
        <v>1560</v>
      </c>
      <c r="I50" s="222">
        <f>IFERROR(VLOOKUP($B50,MMWR_TRAD_AGG_RO_COMP[],I$1,0),"ERROR")</f>
        <v>366</v>
      </c>
      <c r="J50" s="223">
        <f t="shared" si="1"/>
        <v>0.23461538461538461</v>
      </c>
      <c r="K50" s="225">
        <f>IFERROR(VLOOKUP($B50,MMWR_TRAD_AGG_RO_COMP[],K$1,0),"ERROR")</f>
        <v>278</v>
      </c>
      <c r="L50" s="226">
        <f>IFERROR(VLOOKUP($B50,MMWR_TRAD_AGG_RO_COMP[],L$1,0),"ERROR")</f>
        <v>119</v>
      </c>
      <c r="M50" s="223">
        <f t="shared" si="2"/>
        <v>0.42805755395683454</v>
      </c>
      <c r="N50" s="225">
        <f>IFERROR(VLOOKUP($B50,MMWR_TRAD_AGG_RO_COMP[],N$1,0),"ERROR")</f>
        <v>430</v>
      </c>
      <c r="O50" s="226">
        <f>IFERROR(VLOOKUP($B50,MMWR_TRAD_AGG_RO_COMP[],O$1,0),"ERROR")</f>
        <v>285</v>
      </c>
      <c r="P50" s="223">
        <f t="shared" si="3"/>
        <v>0.66279069767441856</v>
      </c>
      <c r="Q50" s="227">
        <f>IFERROR(VLOOKUP($B50,MMWR_TRAD_AGG_RO_COMP[],Q$1,0),"ERROR")</f>
        <v>0</v>
      </c>
      <c r="R50" s="227">
        <f>IFERROR(VLOOKUP($B50,MMWR_TRAD_AGG_RO_COMP[],R$1,0),"ERROR")</f>
        <v>9</v>
      </c>
      <c r="S50" s="201">
        <f>IFERROR(VLOOKUP($B50,MMWR_APP_RO[],S$1,0),"ERROR")</f>
        <v>1510</v>
      </c>
      <c r="T50" s="28"/>
    </row>
    <row r="51" spans="1:20" x14ac:dyDescent="0.2">
      <c r="A51" s="28"/>
      <c r="B51" s="108" t="s">
        <v>32</v>
      </c>
      <c r="C51" s="219">
        <f>IFERROR(VLOOKUP($B51,MMWR_TRAD_AGG_RO_COMP[],C$1,0),"ERROR")</f>
        <v>2123</v>
      </c>
      <c r="D51" s="220">
        <f>IFERROR(VLOOKUP($B51,MMWR_TRAD_AGG_RO_COMP[],D$1,0),"ERROR")</f>
        <v>546.98916627409994</v>
      </c>
      <c r="E51" s="221">
        <f>IFERROR(VLOOKUP($B51,MMWR_TRAD_AGG_RO_COMP[],E$1,0),"ERROR")</f>
        <v>1126</v>
      </c>
      <c r="F51" s="222">
        <f>IFERROR(VLOOKUP($B51,MMWR_TRAD_AGG_RO_COMP[],F$1,0),"ERROR")</f>
        <v>305</v>
      </c>
      <c r="G51" s="223">
        <f t="shared" si="0"/>
        <v>0.27087033747779754</v>
      </c>
      <c r="H51" s="224">
        <f>IFERROR(VLOOKUP($B51,MMWR_TRAD_AGG_RO_COMP[],H$1,0),"ERROR")</f>
        <v>3200</v>
      </c>
      <c r="I51" s="222">
        <f>IFERROR(VLOOKUP($B51,MMWR_TRAD_AGG_RO_COMP[],I$1,0),"ERROR")</f>
        <v>2294</v>
      </c>
      <c r="J51" s="223">
        <f t="shared" si="1"/>
        <v>0.71687500000000004</v>
      </c>
      <c r="K51" s="225">
        <f>IFERROR(VLOOKUP($B51,MMWR_TRAD_AGG_RO_COMP[],K$1,0),"ERROR")</f>
        <v>1548</v>
      </c>
      <c r="L51" s="226">
        <f>IFERROR(VLOOKUP($B51,MMWR_TRAD_AGG_RO_COMP[],L$1,0),"ERROR")</f>
        <v>1264</v>
      </c>
      <c r="M51" s="223">
        <f t="shared" si="2"/>
        <v>0.81653746770025837</v>
      </c>
      <c r="N51" s="225">
        <f>IFERROR(VLOOKUP($B51,MMWR_TRAD_AGG_RO_COMP[],N$1,0),"ERROR")</f>
        <v>157</v>
      </c>
      <c r="O51" s="226">
        <f>IFERROR(VLOOKUP($B51,MMWR_TRAD_AGG_RO_COMP[],O$1,0),"ERROR")</f>
        <v>127</v>
      </c>
      <c r="P51" s="223">
        <f t="shared" si="3"/>
        <v>0.80891719745222934</v>
      </c>
      <c r="Q51" s="227">
        <f>IFERROR(VLOOKUP($B51,MMWR_TRAD_AGG_RO_COMP[],Q$1,0),"ERROR")</f>
        <v>0</v>
      </c>
      <c r="R51" s="227">
        <f>IFERROR(VLOOKUP($B51,MMWR_TRAD_AGG_RO_COMP[],R$1,0),"ERROR")</f>
        <v>3</v>
      </c>
      <c r="S51" s="201">
        <f>IFERROR(VLOOKUP($B51,MMWR_APP_RO[],S$1,0),"ERROR")</f>
        <v>190</v>
      </c>
      <c r="T51" s="28"/>
    </row>
    <row r="52" spans="1:20" x14ac:dyDescent="0.2">
      <c r="A52" s="28"/>
      <c r="B52" s="108" t="s">
        <v>34</v>
      </c>
      <c r="C52" s="219">
        <f>IFERROR(VLOOKUP($B52,MMWR_TRAD_AGG_RO_COMP[],C$1,0),"ERROR")</f>
        <v>312</v>
      </c>
      <c r="D52" s="220">
        <f>IFERROR(VLOOKUP($B52,MMWR_TRAD_AGG_RO_COMP[],D$1,0),"ERROR")</f>
        <v>78.689102564099997</v>
      </c>
      <c r="E52" s="221">
        <f>IFERROR(VLOOKUP($B52,MMWR_TRAD_AGG_RO_COMP[],E$1,0),"ERROR")</f>
        <v>1718</v>
      </c>
      <c r="F52" s="222">
        <f>IFERROR(VLOOKUP($B52,MMWR_TRAD_AGG_RO_COMP[],F$1,0),"ERROR")</f>
        <v>443</v>
      </c>
      <c r="G52" s="223">
        <f t="shared" si="0"/>
        <v>0.25785797438882424</v>
      </c>
      <c r="H52" s="224">
        <f>IFERROR(VLOOKUP($B52,MMWR_TRAD_AGG_RO_COMP[],H$1,0),"ERROR")</f>
        <v>1121</v>
      </c>
      <c r="I52" s="222">
        <f>IFERROR(VLOOKUP($B52,MMWR_TRAD_AGG_RO_COMP[],I$1,0),"ERROR")</f>
        <v>84</v>
      </c>
      <c r="J52" s="223">
        <f t="shared" si="1"/>
        <v>7.4933095450490636E-2</v>
      </c>
      <c r="K52" s="225">
        <f>IFERROR(VLOOKUP($B52,MMWR_TRAD_AGG_RO_COMP[],K$1,0),"ERROR")</f>
        <v>112</v>
      </c>
      <c r="L52" s="226">
        <f>IFERROR(VLOOKUP($B52,MMWR_TRAD_AGG_RO_COMP[],L$1,0),"ERROR")</f>
        <v>32</v>
      </c>
      <c r="M52" s="223">
        <f t="shared" si="2"/>
        <v>0.2857142857142857</v>
      </c>
      <c r="N52" s="225">
        <f>IFERROR(VLOOKUP($B52,MMWR_TRAD_AGG_RO_COMP[],N$1,0),"ERROR")</f>
        <v>128</v>
      </c>
      <c r="O52" s="226">
        <f>IFERROR(VLOOKUP($B52,MMWR_TRAD_AGG_RO_COMP[],O$1,0),"ERROR")</f>
        <v>75</v>
      </c>
      <c r="P52" s="223">
        <f t="shared" si="3"/>
        <v>0.5859375</v>
      </c>
      <c r="Q52" s="227">
        <f>IFERROR(VLOOKUP($B52,MMWR_TRAD_AGG_RO_COMP[],Q$1,0),"ERROR")</f>
        <v>0</v>
      </c>
      <c r="R52" s="227">
        <f>IFERROR(VLOOKUP($B52,MMWR_TRAD_AGG_RO_COMP[],R$1,0),"ERROR")</f>
        <v>5</v>
      </c>
      <c r="S52" s="201">
        <f>IFERROR(VLOOKUP($B52,MMWR_APP_RO[],S$1,0),"ERROR")</f>
        <v>800</v>
      </c>
      <c r="T52" s="28"/>
    </row>
    <row r="53" spans="1:20" x14ac:dyDescent="0.2">
      <c r="A53" s="28"/>
      <c r="B53" s="108" t="s">
        <v>45</v>
      </c>
      <c r="C53" s="219">
        <f>IFERROR(VLOOKUP($B53,MMWR_TRAD_AGG_RO_COMP[],C$1,0),"ERROR")</f>
        <v>1207</v>
      </c>
      <c r="D53" s="220">
        <f>IFERROR(VLOOKUP($B53,MMWR_TRAD_AGG_RO_COMP[],D$1,0),"ERROR")</f>
        <v>222.07787903889999</v>
      </c>
      <c r="E53" s="221">
        <f>IFERROR(VLOOKUP($B53,MMWR_TRAD_AGG_RO_COMP[],E$1,0),"ERROR")</f>
        <v>2485</v>
      </c>
      <c r="F53" s="222">
        <f>IFERROR(VLOOKUP($B53,MMWR_TRAD_AGG_RO_COMP[],F$1,0),"ERROR")</f>
        <v>381</v>
      </c>
      <c r="G53" s="223">
        <f t="shared" si="0"/>
        <v>0.15331991951710261</v>
      </c>
      <c r="H53" s="224">
        <f>IFERROR(VLOOKUP($B53,MMWR_TRAD_AGG_RO_COMP[],H$1,0),"ERROR")</f>
        <v>2338</v>
      </c>
      <c r="I53" s="222">
        <f>IFERROR(VLOOKUP($B53,MMWR_TRAD_AGG_RO_COMP[],I$1,0),"ERROR")</f>
        <v>751</v>
      </c>
      <c r="J53" s="223">
        <f t="shared" si="1"/>
        <v>0.32121471343028229</v>
      </c>
      <c r="K53" s="225">
        <f>IFERROR(VLOOKUP($B53,MMWR_TRAD_AGG_RO_COMP[],K$1,0),"ERROR")</f>
        <v>930</v>
      </c>
      <c r="L53" s="226">
        <f>IFERROR(VLOOKUP($B53,MMWR_TRAD_AGG_RO_COMP[],L$1,0),"ERROR")</f>
        <v>503</v>
      </c>
      <c r="M53" s="223">
        <f t="shared" si="2"/>
        <v>0.54086021505376347</v>
      </c>
      <c r="N53" s="225">
        <f>IFERROR(VLOOKUP($B53,MMWR_TRAD_AGG_RO_COMP[],N$1,0),"ERROR")</f>
        <v>166</v>
      </c>
      <c r="O53" s="226">
        <f>IFERROR(VLOOKUP($B53,MMWR_TRAD_AGG_RO_COMP[],O$1,0),"ERROR")</f>
        <v>104</v>
      </c>
      <c r="P53" s="223">
        <f t="shared" si="3"/>
        <v>0.62650602409638556</v>
      </c>
      <c r="Q53" s="227">
        <f>IFERROR(VLOOKUP($B53,MMWR_TRAD_AGG_RO_COMP[],Q$1,0),"ERROR")</f>
        <v>0</v>
      </c>
      <c r="R53" s="227">
        <f>IFERROR(VLOOKUP($B53,MMWR_TRAD_AGG_RO_COMP[],R$1,0),"ERROR")</f>
        <v>0</v>
      </c>
      <c r="S53" s="201">
        <f>IFERROR(VLOOKUP($B53,MMWR_APP_RO[],S$1,0),"ERROR")</f>
        <v>1304</v>
      </c>
      <c r="T53" s="28"/>
    </row>
    <row r="54" spans="1:20" x14ac:dyDescent="0.2">
      <c r="A54" s="28"/>
      <c r="B54" s="108" t="s">
        <v>52</v>
      </c>
      <c r="C54" s="219">
        <f>IFERROR(VLOOKUP($B54,MMWR_TRAD_AGG_RO_COMP[],C$1,0),"ERROR")</f>
        <v>6214</v>
      </c>
      <c r="D54" s="220">
        <f>IFERROR(VLOOKUP($B54,MMWR_TRAD_AGG_RO_COMP[],D$1,0),"ERROR")</f>
        <v>445.72578049570001</v>
      </c>
      <c r="E54" s="221">
        <f>IFERROR(VLOOKUP($B54,MMWR_TRAD_AGG_RO_COMP[],E$1,0),"ERROR")</f>
        <v>10808</v>
      </c>
      <c r="F54" s="222">
        <f>IFERROR(VLOOKUP($B54,MMWR_TRAD_AGG_RO_COMP[],F$1,0),"ERROR")</f>
        <v>2079</v>
      </c>
      <c r="G54" s="223">
        <f t="shared" si="0"/>
        <v>0.19235751295336787</v>
      </c>
      <c r="H54" s="224">
        <f>IFERROR(VLOOKUP($B54,MMWR_TRAD_AGG_RO_COMP[],H$1,0),"ERROR")</f>
        <v>10585</v>
      </c>
      <c r="I54" s="222">
        <f>IFERROR(VLOOKUP($B54,MMWR_TRAD_AGG_RO_COMP[],I$1,0),"ERROR")</f>
        <v>5638</v>
      </c>
      <c r="J54" s="223">
        <f t="shared" si="1"/>
        <v>0.53264052905054327</v>
      </c>
      <c r="K54" s="225">
        <f>IFERROR(VLOOKUP($B54,MMWR_TRAD_AGG_RO_COMP[],K$1,0),"ERROR")</f>
        <v>1004</v>
      </c>
      <c r="L54" s="226">
        <f>IFERROR(VLOOKUP($B54,MMWR_TRAD_AGG_RO_COMP[],L$1,0),"ERROR")</f>
        <v>860</v>
      </c>
      <c r="M54" s="223">
        <f t="shared" si="2"/>
        <v>0.85657370517928288</v>
      </c>
      <c r="N54" s="225">
        <f>IFERROR(VLOOKUP($B54,MMWR_TRAD_AGG_RO_COMP[],N$1,0),"ERROR")</f>
        <v>3953</v>
      </c>
      <c r="O54" s="226">
        <f>IFERROR(VLOOKUP($B54,MMWR_TRAD_AGG_RO_COMP[],O$1,0),"ERROR")</f>
        <v>3312</v>
      </c>
      <c r="P54" s="223">
        <f t="shared" si="3"/>
        <v>0.83784467493043258</v>
      </c>
      <c r="Q54" s="227">
        <f>IFERROR(VLOOKUP($B54,MMWR_TRAD_AGG_RO_COMP[],Q$1,0),"ERROR")</f>
        <v>4</v>
      </c>
      <c r="R54" s="227">
        <f>IFERROR(VLOOKUP($B54,MMWR_TRAD_AGG_RO_COMP[],R$1,0),"ERROR")</f>
        <v>34</v>
      </c>
      <c r="S54" s="201">
        <f>IFERROR(VLOOKUP($B54,MMWR_APP_RO[],S$1,0),"ERROR")</f>
        <v>4916</v>
      </c>
      <c r="T54" s="28"/>
    </row>
    <row r="55" spans="1:20" x14ac:dyDescent="0.2">
      <c r="A55" s="28"/>
      <c r="B55" s="108" t="s">
        <v>55</v>
      </c>
      <c r="C55" s="219">
        <f>IFERROR(VLOOKUP($B55,MMWR_TRAD_AGG_RO_COMP[],C$1,0),"ERROR")</f>
        <v>510</v>
      </c>
      <c r="D55" s="220">
        <f>IFERROR(VLOOKUP($B55,MMWR_TRAD_AGG_RO_COMP[],D$1,0),"ERROR")</f>
        <v>190.2254901961</v>
      </c>
      <c r="E55" s="221">
        <f>IFERROR(VLOOKUP($B55,MMWR_TRAD_AGG_RO_COMP[],E$1,0),"ERROR")</f>
        <v>827</v>
      </c>
      <c r="F55" s="222">
        <f>IFERROR(VLOOKUP($B55,MMWR_TRAD_AGG_RO_COMP[],F$1,0),"ERROR")</f>
        <v>248</v>
      </c>
      <c r="G55" s="223">
        <f t="shared" si="0"/>
        <v>0.29987908101571947</v>
      </c>
      <c r="H55" s="224">
        <f>IFERROR(VLOOKUP($B55,MMWR_TRAD_AGG_RO_COMP[],H$1,0),"ERROR")</f>
        <v>818</v>
      </c>
      <c r="I55" s="222">
        <f>IFERROR(VLOOKUP($B55,MMWR_TRAD_AGG_RO_COMP[],I$1,0),"ERROR")</f>
        <v>364</v>
      </c>
      <c r="J55" s="223">
        <f t="shared" si="1"/>
        <v>0.44498777506112469</v>
      </c>
      <c r="K55" s="225">
        <f>IFERROR(VLOOKUP($B55,MMWR_TRAD_AGG_RO_COMP[],K$1,0),"ERROR")</f>
        <v>350</v>
      </c>
      <c r="L55" s="226">
        <f>IFERROR(VLOOKUP($B55,MMWR_TRAD_AGG_RO_COMP[],L$1,0),"ERROR")</f>
        <v>285</v>
      </c>
      <c r="M55" s="223">
        <f t="shared" si="2"/>
        <v>0.81428571428571428</v>
      </c>
      <c r="N55" s="225">
        <f>IFERROR(VLOOKUP($B55,MMWR_TRAD_AGG_RO_COMP[],N$1,0),"ERROR")</f>
        <v>229</v>
      </c>
      <c r="O55" s="226">
        <f>IFERROR(VLOOKUP($B55,MMWR_TRAD_AGG_RO_COMP[],O$1,0),"ERROR")</f>
        <v>124</v>
      </c>
      <c r="P55" s="223">
        <f t="shared" si="3"/>
        <v>0.54148471615720528</v>
      </c>
      <c r="Q55" s="227">
        <f>IFERROR(VLOOKUP($B55,MMWR_TRAD_AGG_RO_COMP[],Q$1,0),"ERROR")</f>
        <v>454</v>
      </c>
      <c r="R55" s="227">
        <f>IFERROR(VLOOKUP($B55,MMWR_TRAD_AGG_RO_COMP[],R$1,0),"ERROR")</f>
        <v>166</v>
      </c>
      <c r="S55" s="201">
        <f>IFERROR(VLOOKUP($B55,MMWR_APP_RO[],S$1,0),"ERROR")</f>
        <v>854</v>
      </c>
      <c r="T55" s="28"/>
    </row>
    <row r="56" spans="1:20" x14ac:dyDescent="0.2">
      <c r="A56" s="28"/>
      <c r="B56" s="108" t="s">
        <v>62</v>
      </c>
      <c r="C56" s="219">
        <f>IFERROR(VLOOKUP($B56,MMWR_TRAD_AGG_RO_COMP[],C$1,0),"ERROR")</f>
        <v>7451</v>
      </c>
      <c r="D56" s="220">
        <f>IFERROR(VLOOKUP($B56,MMWR_TRAD_AGG_RO_COMP[],D$1,0),"ERROR")</f>
        <v>451.9190712656</v>
      </c>
      <c r="E56" s="221">
        <f>IFERROR(VLOOKUP($B56,MMWR_TRAD_AGG_RO_COMP[],E$1,0),"ERROR")</f>
        <v>11379</v>
      </c>
      <c r="F56" s="222">
        <f>IFERROR(VLOOKUP($B56,MMWR_TRAD_AGG_RO_COMP[],F$1,0),"ERROR")</f>
        <v>2740</v>
      </c>
      <c r="G56" s="223">
        <f t="shared" si="0"/>
        <v>0.24079444590913085</v>
      </c>
      <c r="H56" s="224">
        <f>IFERROR(VLOOKUP($B56,MMWR_TRAD_AGG_RO_COMP[],H$1,0),"ERROR")</f>
        <v>13230</v>
      </c>
      <c r="I56" s="222">
        <f>IFERROR(VLOOKUP($B56,MMWR_TRAD_AGG_RO_COMP[],I$1,0),"ERROR")</f>
        <v>8308</v>
      </c>
      <c r="J56" s="223">
        <f t="shared" si="1"/>
        <v>0.62796674225245652</v>
      </c>
      <c r="K56" s="225">
        <f>IFERROR(VLOOKUP($B56,MMWR_TRAD_AGG_RO_COMP[],K$1,0),"ERROR")</f>
        <v>3726</v>
      </c>
      <c r="L56" s="226">
        <f>IFERROR(VLOOKUP($B56,MMWR_TRAD_AGG_RO_COMP[],L$1,0),"ERROR")</f>
        <v>3457</v>
      </c>
      <c r="M56" s="223">
        <f t="shared" si="2"/>
        <v>0.92780461621041332</v>
      </c>
      <c r="N56" s="225">
        <f>IFERROR(VLOOKUP($B56,MMWR_TRAD_AGG_RO_COMP[],N$1,0),"ERROR")</f>
        <v>2632</v>
      </c>
      <c r="O56" s="226">
        <f>IFERROR(VLOOKUP($B56,MMWR_TRAD_AGG_RO_COMP[],O$1,0),"ERROR")</f>
        <v>2114</v>
      </c>
      <c r="P56" s="223">
        <f t="shared" si="3"/>
        <v>0.80319148936170215</v>
      </c>
      <c r="Q56" s="227">
        <f>IFERROR(VLOOKUP($B56,MMWR_TRAD_AGG_RO_COMP[],Q$1,0),"ERROR")</f>
        <v>0</v>
      </c>
      <c r="R56" s="227">
        <f>IFERROR(VLOOKUP($B56,MMWR_TRAD_AGG_RO_COMP[],R$1,0),"ERROR")</f>
        <v>47</v>
      </c>
      <c r="S56" s="201">
        <f>IFERROR(VLOOKUP($B56,MMWR_APP_RO[],S$1,0),"ERROR")</f>
        <v>8298</v>
      </c>
      <c r="T56" s="28"/>
    </row>
    <row r="57" spans="1:20" x14ac:dyDescent="0.2">
      <c r="A57" s="28"/>
      <c r="B57" s="108" t="s">
        <v>64</v>
      </c>
      <c r="C57" s="219">
        <f>IFERROR(VLOOKUP($B57,MMWR_TRAD_AGG_RO_COMP[],C$1,0),"ERROR")</f>
        <v>2942</v>
      </c>
      <c r="D57" s="220">
        <f>IFERROR(VLOOKUP($B57,MMWR_TRAD_AGG_RO_COMP[],D$1,0),"ERROR")</f>
        <v>236.9061862678</v>
      </c>
      <c r="E57" s="221">
        <f>IFERROR(VLOOKUP($B57,MMWR_TRAD_AGG_RO_COMP[],E$1,0),"ERROR")</f>
        <v>4800</v>
      </c>
      <c r="F57" s="222">
        <f>IFERROR(VLOOKUP($B57,MMWR_TRAD_AGG_RO_COMP[],F$1,0),"ERROR")</f>
        <v>683</v>
      </c>
      <c r="G57" s="223">
        <f t="shared" si="0"/>
        <v>0.14229166666666668</v>
      </c>
      <c r="H57" s="224">
        <f>IFERROR(VLOOKUP($B57,MMWR_TRAD_AGG_RO_COMP[],H$1,0),"ERROR")</f>
        <v>5594</v>
      </c>
      <c r="I57" s="222">
        <f>IFERROR(VLOOKUP($B57,MMWR_TRAD_AGG_RO_COMP[],I$1,0),"ERROR")</f>
        <v>1949</v>
      </c>
      <c r="J57" s="223">
        <f t="shared" si="1"/>
        <v>0.34840900965319987</v>
      </c>
      <c r="K57" s="225">
        <f>IFERROR(VLOOKUP($B57,MMWR_TRAD_AGG_RO_COMP[],K$1,0),"ERROR")</f>
        <v>925</v>
      </c>
      <c r="L57" s="226">
        <f>IFERROR(VLOOKUP($B57,MMWR_TRAD_AGG_RO_COMP[],L$1,0),"ERROR")</f>
        <v>510</v>
      </c>
      <c r="M57" s="223">
        <f t="shared" si="2"/>
        <v>0.55135135135135138</v>
      </c>
      <c r="N57" s="225">
        <f>IFERROR(VLOOKUP($B57,MMWR_TRAD_AGG_RO_COMP[],N$1,0),"ERROR")</f>
        <v>1265</v>
      </c>
      <c r="O57" s="226">
        <f>IFERROR(VLOOKUP($B57,MMWR_TRAD_AGG_RO_COMP[],O$1,0),"ERROR")</f>
        <v>763</v>
      </c>
      <c r="P57" s="223">
        <f t="shared" si="3"/>
        <v>0.60316205533596834</v>
      </c>
      <c r="Q57" s="227">
        <f>IFERROR(VLOOKUP($B57,MMWR_TRAD_AGG_RO_COMP[],Q$1,0),"ERROR")</f>
        <v>0</v>
      </c>
      <c r="R57" s="227">
        <f>IFERROR(VLOOKUP($B57,MMWR_TRAD_AGG_RO_COMP[],R$1,0),"ERROR")</f>
        <v>82</v>
      </c>
      <c r="S57" s="201">
        <f>IFERROR(VLOOKUP($B57,MMWR_APP_RO[],S$1,0),"ERROR")</f>
        <v>6798</v>
      </c>
      <c r="T57" s="28"/>
    </row>
    <row r="58" spans="1:20" x14ac:dyDescent="0.2">
      <c r="A58" s="28"/>
      <c r="B58" s="108" t="s">
        <v>66</v>
      </c>
      <c r="C58" s="219">
        <f>IFERROR(VLOOKUP($B58,MMWR_TRAD_AGG_RO_COMP[],C$1,0),"ERROR")</f>
        <v>5488</v>
      </c>
      <c r="D58" s="220">
        <f>IFERROR(VLOOKUP($B58,MMWR_TRAD_AGG_RO_COMP[],D$1,0),"ERROR")</f>
        <v>398.16599854229997</v>
      </c>
      <c r="E58" s="221">
        <f>IFERROR(VLOOKUP($B58,MMWR_TRAD_AGG_RO_COMP[],E$1,0),"ERROR")</f>
        <v>4662</v>
      </c>
      <c r="F58" s="222">
        <f>IFERROR(VLOOKUP($B58,MMWR_TRAD_AGG_RO_COMP[],F$1,0),"ERROR")</f>
        <v>927</v>
      </c>
      <c r="G58" s="223">
        <f t="shared" si="0"/>
        <v>0.19884169884169883</v>
      </c>
      <c r="H58" s="224">
        <f>IFERROR(VLOOKUP($B58,MMWR_TRAD_AGG_RO_COMP[],H$1,0),"ERROR")</f>
        <v>8239</v>
      </c>
      <c r="I58" s="222">
        <f>IFERROR(VLOOKUP($B58,MMWR_TRAD_AGG_RO_COMP[],I$1,0),"ERROR")</f>
        <v>4783</v>
      </c>
      <c r="J58" s="223">
        <f t="shared" si="1"/>
        <v>0.58053161791479546</v>
      </c>
      <c r="K58" s="225">
        <f>IFERROR(VLOOKUP($B58,MMWR_TRAD_AGG_RO_COMP[],K$1,0),"ERROR")</f>
        <v>3216</v>
      </c>
      <c r="L58" s="226">
        <f>IFERROR(VLOOKUP($B58,MMWR_TRAD_AGG_RO_COMP[],L$1,0),"ERROR")</f>
        <v>2805</v>
      </c>
      <c r="M58" s="223">
        <f t="shared" si="2"/>
        <v>0.87220149253731338</v>
      </c>
      <c r="N58" s="225">
        <f>IFERROR(VLOOKUP($B58,MMWR_TRAD_AGG_RO_COMP[],N$1,0),"ERROR")</f>
        <v>2183</v>
      </c>
      <c r="O58" s="226">
        <f>IFERROR(VLOOKUP($B58,MMWR_TRAD_AGG_RO_COMP[],O$1,0),"ERROR")</f>
        <v>1636</v>
      </c>
      <c r="P58" s="223">
        <f t="shared" si="3"/>
        <v>0.74942739349519005</v>
      </c>
      <c r="Q58" s="227">
        <f>IFERROR(VLOOKUP($B58,MMWR_TRAD_AGG_RO_COMP[],Q$1,0),"ERROR")</f>
        <v>0</v>
      </c>
      <c r="R58" s="227">
        <f>IFERROR(VLOOKUP($B58,MMWR_TRAD_AGG_RO_COMP[],R$1,0),"ERROR")</f>
        <v>102</v>
      </c>
      <c r="S58" s="201">
        <f>IFERROR(VLOOKUP($B58,MMWR_APP_RO[],S$1,0),"ERROR")</f>
        <v>4701</v>
      </c>
      <c r="T58" s="28"/>
    </row>
    <row r="59" spans="1:20" x14ac:dyDescent="0.2">
      <c r="A59" s="28"/>
      <c r="B59" s="108" t="s">
        <v>68</v>
      </c>
      <c r="C59" s="219">
        <f>IFERROR(VLOOKUP($B59,MMWR_TRAD_AGG_RO_COMP[],C$1,0),"ERROR")</f>
        <v>2554</v>
      </c>
      <c r="D59" s="220">
        <f>IFERROR(VLOOKUP($B59,MMWR_TRAD_AGG_RO_COMP[],D$1,0),"ERROR")</f>
        <v>445.53797963980003</v>
      </c>
      <c r="E59" s="221">
        <f>IFERROR(VLOOKUP($B59,MMWR_TRAD_AGG_RO_COMP[],E$1,0),"ERROR")</f>
        <v>3760</v>
      </c>
      <c r="F59" s="222">
        <f>IFERROR(VLOOKUP($B59,MMWR_TRAD_AGG_RO_COMP[],F$1,0),"ERROR")</f>
        <v>989</v>
      </c>
      <c r="G59" s="223">
        <f t="shared" si="0"/>
        <v>0.26303191489361705</v>
      </c>
      <c r="H59" s="224">
        <f>IFERROR(VLOOKUP($B59,MMWR_TRAD_AGG_RO_COMP[],H$1,0),"ERROR")</f>
        <v>3882</v>
      </c>
      <c r="I59" s="222">
        <f>IFERROR(VLOOKUP($B59,MMWR_TRAD_AGG_RO_COMP[],I$1,0),"ERROR")</f>
        <v>2346</v>
      </c>
      <c r="J59" s="223">
        <f t="shared" si="1"/>
        <v>0.60432766615146827</v>
      </c>
      <c r="K59" s="225">
        <f>IFERROR(VLOOKUP($B59,MMWR_TRAD_AGG_RO_COMP[],K$1,0),"ERROR")</f>
        <v>611</v>
      </c>
      <c r="L59" s="226">
        <f>IFERROR(VLOOKUP($B59,MMWR_TRAD_AGG_RO_COMP[],L$1,0),"ERROR")</f>
        <v>474</v>
      </c>
      <c r="M59" s="223">
        <f t="shared" si="2"/>
        <v>0.77577741407528644</v>
      </c>
      <c r="N59" s="225">
        <f>IFERROR(VLOOKUP($B59,MMWR_TRAD_AGG_RO_COMP[],N$1,0),"ERROR")</f>
        <v>1188</v>
      </c>
      <c r="O59" s="226">
        <f>IFERROR(VLOOKUP($B59,MMWR_TRAD_AGG_RO_COMP[],O$1,0),"ERROR")</f>
        <v>969</v>
      </c>
      <c r="P59" s="223">
        <f t="shared" si="3"/>
        <v>0.81565656565656564</v>
      </c>
      <c r="Q59" s="227">
        <f>IFERROR(VLOOKUP($B59,MMWR_TRAD_AGG_RO_COMP[],Q$1,0),"ERROR")</f>
        <v>0</v>
      </c>
      <c r="R59" s="227">
        <f>IFERROR(VLOOKUP($B59,MMWR_TRAD_AGG_RO_COMP[],R$1,0),"ERROR")</f>
        <v>127</v>
      </c>
      <c r="S59" s="201">
        <f>IFERROR(VLOOKUP($B59,MMWR_APP_RO[],S$1,0),"ERROR")</f>
        <v>2971</v>
      </c>
      <c r="T59" s="28"/>
    </row>
    <row r="60" spans="1:20" x14ac:dyDescent="0.2">
      <c r="A60" s="28"/>
      <c r="B60" s="108" t="s">
        <v>71</v>
      </c>
      <c r="C60" s="219">
        <f>IFERROR(VLOOKUP($B60,MMWR_TRAD_AGG_RO_COMP[],C$1,0),"ERROR")</f>
        <v>4976</v>
      </c>
      <c r="D60" s="220">
        <f>IFERROR(VLOOKUP($B60,MMWR_TRAD_AGG_RO_COMP[],D$1,0),"ERROR")</f>
        <v>344.24819131829997</v>
      </c>
      <c r="E60" s="221">
        <f>IFERROR(VLOOKUP($B60,MMWR_TRAD_AGG_RO_COMP[],E$1,0),"ERROR")</f>
        <v>12048</v>
      </c>
      <c r="F60" s="222">
        <f>IFERROR(VLOOKUP($B60,MMWR_TRAD_AGG_RO_COMP[],F$1,0),"ERROR")</f>
        <v>1979</v>
      </c>
      <c r="G60" s="223">
        <f t="shared" si="0"/>
        <v>0.16425962815405046</v>
      </c>
      <c r="H60" s="224">
        <f>IFERROR(VLOOKUP($B60,MMWR_TRAD_AGG_RO_COMP[],H$1,0),"ERROR")</f>
        <v>18466</v>
      </c>
      <c r="I60" s="222">
        <f>IFERROR(VLOOKUP($B60,MMWR_TRAD_AGG_RO_COMP[],I$1,0),"ERROR")</f>
        <v>8868</v>
      </c>
      <c r="J60" s="223">
        <f t="shared" si="1"/>
        <v>0.48023394346366294</v>
      </c>
      <c r="K60" s="225">
        <f>IFERROR(VLOOKUP($B60,MMWR_TRAD_AGG_RO_COMP[],K$1,0),"ERROR")</f>
        <v>6589</v>
      </c>
      <c r="L60" s="226">
        <f>IFERROR(VLOOKUP($B60,MMWR_TRAD_AGG_RO_COMP[],L$1,0),"ERROR")</f>
        <v>4560</v>
      </c>
      <c r="M60" s="223">
        <f t="shared" si="2"/>
        <v>0.69206252845651839</v>
      </c>
      <c r="N60" s="225">
        <f>IFERROR(VLOOKUP($B60,MMWR_TRAD_AGG_RO_COMP[],N$1,0),"ERROR")</f>
        <v>2261</v>
      </c>
      <c r="O60" s="226">
        <f>IFERROR(VLOOKUP($B60,MMWR_TRAD_AGG_RO_COMP[],O$1,0),"ERROR")</f>
        <v>1599</v>
      </c>
      <c r="P60" s="223">
        <f t="shared" si="3"/>
        <v>0.70720919946926142</v>
      </c>
      <c r="Q60" s="227">
        <f>IFERROR(VLOOKUP($B60,MMWR_TRAD_AGG_RO_COMP[],Q$1,0),"ERROR")</f>
        <v>0</v>
      </c>
      <c r="R60" s="227">
        <f>IFERROR(VLOOKUP($B60,MMWR_TRAD_AGG_RO_COMP[],R$1,0),"ERROR")</f>
        <v>61</v>
      </c>
      <c r="S60" s="201">
        <f>IFERROR(VLOOKUP($B60,MMWR_APP_RO[],S$1,0),"ERROR")</f>
        <v>3843</v>
      </c>
      <c r="T60" s="28"/>
    </row>
    <row r="61" spans="1:20" x14ac:dyDescent="0.2">
      <c r="A61" s="28"/>
      <c r="B61" s="116" t="s">
        <v>73</v>
      </c>
      <c r="C61" s="228">
        <f>IFERROR(VLOOKUP($B61,MMWR_TRAD_AGG_RO_COMP[],C$1,0),"ERROR")</f>
        <v>9690</v>
      </c>
      <c r="D61" s="229">
        <f>IFERROR(VLOOKUP($B61,MMWR_TRAD_AGG_RO_COMP[],D$1,0),"ERROR")</f>
        <v>383.56253869969999</v>
      </c>
      <c r="E61" s="230">
        <f>IFERROR(VLOOKUP($B61,MMWR_TRAD_AGG_RO_COMP[],E$1,0),"ERROR")</f>
        <v>7989</v>
      </c>
      <c r="F61" s="231">
        <f>IFERROR(VLOOKUP($B61,MMWR_TRAD_AGG_RO_COMP[],F$1,0),"ERROR")</f>
        <v>1423</v>
      </c>
      <c r="G61" s="232">
        <f t="shared" si="0"/>
        <v>0.17811991488296408</v>
      </c>
      <c r="H61" s="233">
        <f>IFERROR(VLOOKUP($B61,MMWR_TRAD_AGG_RO_COMP[],H$1,0),"ERROR")</f>
        <v>18543</v>
      </c>
      <c r="I61" s="231">
        <f>IFERROR(VLOOKUP($B61,MMWR_TRAD_AGG_RO_COMP[],I$1,0),"ERROR")</f>
        <v>9916</v>
      </c>
      <c r="J61" s="232">
        <f t="shared" si="1"/>
        <v>0.53475705117834227</v>
      </c>
      <c r="K61" s="234">
        <f>IFERROR(VLOOKUP($B61,MMWR_TRAD_AGG_RO_COMP[],K$1,0),"ERROR")</f>
        <v>4603</v>
      </c>
      <c r="L61" s="235">
        <f>IFERROR(VLOOKUP($B61,MMWR_TRAD_AGG_RO_COMP[],L$1,0),"ERROR")</f>
        <v>3085</v>
      </c>
      <c r="M61" s="232">
        <f t="shared" si="2"/>
        <v>0.67021507712361506</v>
      </c>
      <c r="N61" s="234">
        <f>IFERROR(VLOOKUP($B61,MMWR_TRAD_AGG_RO_COMP[],N$1,0),"ERROR")</f>
        <v>4252</v>
      </c>
      <c r="O61" s="235">
        <f>IFERROR(VLOOKUP($B61,MMWR_TRAD_AGG_RO_COMP[],O$1,0),"ERROR")</f>
        <v>3506</v>
      </c>
      <c r="P61" s="232">
        <f t="shared" si="3"/>
        <v>0.82455315145813735</v>
      </c>
      <c r="Q61" s="236">
        <f>IFERROR(VLOOKUP($B61,MMWR_TRAD_AGG_RO_COMP[],Q$1,0),"ERROR")</f>
        <v>5</v>
      </c>
      <c r="R61" s="236">
        <f>IFERROR(VLOOKUP($B61,MMWR_TRAD_AGG_RO_COMP[],R$1,0),"ERROR")</f>
        <v>158</v>
      </c>
      <c r="S61" s="201">
        <f>IFERROR(VLOOKUP($B61,MMWR_APP_RO[],S$1,0),"ERROR")</f>
        <v>4671</v>
      </c>
      <c r="T61" s="28"/>
    </row>
    <row r="62" spans="1:20" x14ac:dyDescent="0.2">
      <c r="A62" s="28"/>
      <c r="B62" s="101" t="s">
        <v>379</v>
      </c>
      <c r="C62" s="212">
        <f>IFERROR(VLOOKUP($B62,MMWR_TRAD_AGG_DISTRICT_COMP[],C$1,0),"ERROR")</f>
        <v>56068</v>
      </c>
      <c r="D62" s="197">
        <f>IFERROR(VLOOKUP($B62,MMWR_TRAD_AGG_DISTRICT_COMP[],D$1,0),"ERROR")</f>
        <v>358.43803952339999</v>
      </c>
      <c r="E62" s="213">
        <f>IFERROR(VLOOKUP($B62,MMWR_TRAD_AGG_DISTRICT_COMP[],E$1,0),"ERROR")</f>
        <v>74362</v>
      </c>
      <c r="F62" s="218">
        <f>IFERROR(VLOOKUP($B62,MMWR_TRAD_AGG_DISTRICT_COMP[],F$1,0),"ERROR")</f>
        <v>17977</v>
      </c>
      <c r="G62" s="214">
        <f t="shared" si="0"/>
        <v>0.24174981845566285</v>
      </c>
      <c r="H62" s="218">
        <f>IFERROR(VLOOKUP($B62,MMWR_TRAD_AGG_DISTRICT_COMP[],H$1,0),"ERROR")</f>
        <v>97186</v>
      </c>
      <c r="I62" s="218">
        <f>IFERROR(VLOOKUP($B62,MMWR_TRAD_AGG_DISTRICT_COMP[],I$1,0),"ERROR")</f>
        <v>53325</v>
      </c>
      <c r="J62" s="214">
        <f t="shared" si="1"/>
        <v>0.54869014055522403</v>
      </c>
      <c r="K62" s="212">
        <f>IFERROR(VLOOKUP($B62,MMWR_TRAD_AGG_DISTRICT_COMP[],K$1,0),"ERROR")</f>
        <v>27663</v>
      </c>
      <c r="L62" s="212">
        <f>IFERROR(VLOOKUP($B62,MMWR_TRAD_AGG_DISTRICT_COMP[],L$1,0),"ERROR")</f>
        <v>23135</v>
      </c>
      <c r="M62" s="214">
        <f t="shared" si="2"/>
        <v>0.83631565629179772</v>
      </c>
      <c r="N62" s="212">
        <f>IFERROR(VLOOKUP($B62,MMWR_TRAD_AGG_DISTRICT_COMP[],N$1,0),"ERROR")</f>
        <v>27414</v>
      </c>
      <c r="O62" s="212">
        <f>IFERROR(VLOOKUP($B62,MMWR_TRAD_AGG_DISTRICT_COMP[],O$1,0),"ERROR")</f>
        <v>20607</v>
      </c>
      <c r="P62" s="214">
        <f t="shared" si="3"/>
        <v>0.75169621361348216</v>
      </c>
      <c r="Q62" s="212">
        <f>IFERROR(VLOOKUP($B62,MMWR_TRAD_AGG_DISTRICT_COMP[],Q$1,0),"ERROR")</f>
        <v>174</v>
      </c>
      <c r="R62" s="215">
        <f>IFERROR(VLOOKUP($B62,MMWR_TRAD_AGG_DISTRICT_COMP[],R$1,0),"ERROR")</f>
        <v>1383</v>
      </c>
      <c r="S62" s="215">
        <f>IFERROR(VLOOKUP($B62,MMWR_APP_RO[],S$1,0),"ERROR")</f>
        <v>85023</v>
      </c>
      <c r="T62" s="28"/>
    </row>
    <row r="63" spans="1:20" x14ac:dyDescent="0.2">
      <c r="A63" s="28"/>
      <c r="B63" s="108" t="s">
        <v>25</v>
      </c>
      <c r="C63" s="219">
        <f>IFERROR(VLOOKUP($B63,MMWR_TRAD_AGG_RO_COMP[],C$1,0),"ERROR")</f>
        <v>11674</v>
      </c>
      <c r="D63" s="220">
        <f>IFERROR(VLOOKUP($B63,MMWR_TRAD_AGG_RO_COMP[],D$1,0),"ERROR")</f>
        <v>373.52946719210001</v>
      </c>
      <c r="E63" s="221">
        <f>IFERROR(VLOOKUP($B63,MMWR_TRAD_AGG_RO_COMP[],E$1,0),"ERROR")</f>
        <v>17837</v>
      </c>
      <c r="F63" s="222">
        <f>IFERROR(VLOOKUP($B63,MMWR_TRAD_AGG_RO_COMP[],F$1,0),"ERROR")</f>
        <v>5095</v>
      </c>
      <c r="G63" s="223">
        <f t="shared" si="0"/>
        <v>0.28564220440657062</v>
      </c>
      <c r="H63" s="224">
        <f>IFERROR(VLOOKUP($B63,MMWR_TRAD_AGG_RO_COMP[],H$1,0),"ERROR")</f>
        <v>21410</v>
      </c>
      <c r="I63" s="222">
        <f>IFERROR(VLOOKUP($B63,MMWR_TRAD_AGG_RO_COMP[],I$1,0),"ERROR")</f>
        <v>12187</v>
      </c>
      <c r="J63" s="223">
        <f t="shared" si="1"/>
        <v>0.56921999065857076</v>
      </c>
      <c r="K63" s="225">
        <f>IFERROR(VLOOKUP($B63,MMWR_TRAD_AGG_RO_COMP[],K$1,0),"ERROR")</f>
        <v>8413</v>
      </c>
      <c r="L63" s="226">
        <f>IFERROR(VLOOKUP($B63,MMWR_TRAD_AGG_RO_COMP[],L$1,0),"ERROR")</f>
        <v>6794</v>
      </c>
      <c r="M63" s="223">
        <f t="shared" si="2"/>
        <v>0.80755972899084749</v>
      </c>
      <c r="N63" s="225">
        <f>IFERROR(VLOOKUP($B63,MMWR_TRAD_AGG_RO_COMP[],N$1,0),"ERROR")</f>
        <v>7094</v>
      </c>
      <c r="O63" s="226">
        <f>IFERROR(VLOOKUP($B63,MMWR_TRAD_AGG_RO_COMP[],O$1,0),"ERROR")</f>
        <v>6129</v>
      </c>
      <c r="P63" s="223">
        <f t="shared" si="3"/>
        <v>0.86396955173385959</v>
      </c>
      <c r="Q63" s="227">
        <f>IFERROR(VLOOKUP($B63,MMWR_TRAD_AGG_RO_COMP[],Q$1,0),"ERROR")</f>
        <v>78</v>
      </c>
      <c r="R63" s="227">
        <f>IFERROR(VLOOKUP($B63,MMWR_TRAD_AGG_RO_COMP[],R$1,0),"ERROR")</f>
        <v>24</v>
      </c>
      <c r="S63" s="201">
        <f>IFERROR(VLOOKUP($B63,MMWR_APP_RO[],S$1,0),"ERROR")</f>
        <v>18072</v>
      </c>
      <c r="T63" s="28"/>
    </row>
    <row r="64" spans="1:20" x14ac:dyDescent="0.2">
      <c r="A64" s="28"/>
      <c r="B64" s="108" t="s">
        <v>39</v>
      </c>
      <c r="C64" s="219">
        <f>IFERROR(VLOOKUP($B64,MMWR_TRAD_AGG_RO_COMP[],C$1,0),"ERROR")</f>
        <v>7612</v>
      </c>
      <c r="D64" s="220">
        <f>IFERROR(VLOOKUP($B64,MMWR_TRAD_AGG_RO_COMP[],D$1,0),"ERROR")</f>
        <v>331.55530740939997</v>
      </c>
      <c r="E64" s="221">
        <f>IFERROR(VLOOKUP($B64,MMWR_TRAD_AGG_RO_COMP[],E$1,0),"ERROR")</f>
        <v>9484</v>
      </c>
      <c r="F64" s="222">
        <f>IFERROR(VLOOKUP($B64,MMWR_TRAD_AGG_RO_COMP[],F$1,0),"ERROR")</f>
        <v>2429</v>
      </c>
      <c r="G64" s="223">
        <f t="shared" si="0"/>
        <v>0.25611556305356392</v>
      </c>
      <c r="H64" s="224">
        <f>IFERROR(VLOOKUP($B64,MMWR_TRAD_AGG_RO_COMP[],H$1,0),"ERROR")</f>
        <v>14163</v>
      </c>
      <c r="I64" s="222">
        <f>IFERROR(VLOOKUP($B64,MMWR_TRAD_AGG_RO_COMP[],I$1,0),"ERROR")</f>
        <v>8362</v>
      </c>
      <c r="J64" s="223">
        <f t="shared" si="1"/>
        <v>0.59041163595283486</v>
      </c>
      <c r="K64" s="225">
        <f>IFERROR(VLOOKUP($B64,MMWR_TRAD_AGG_RO_COMP[],K$1,0),"ERROR")</f>
        <v>2810</v>
      </c>
      <c r="L64" s="226">
        <f>IFERROR(VLOOKUP($B64,MMWR_TRAD_AGG_RO_COMP[],L$1,0),"ERROR")</f>
        <v>2182</v>
      </c>
      <c r="M64" s="223">
        <f t="shared" si="2"/>
        <v>0.77651245551601422</v>
      </c>
      <c r="N64" s="225">
        <f>IFERROR(VLOOKUP($B64,MMWR_TRAD_AGG_RO_COMP[],N$1,0),"ERROR")</f>
        <v>1565</v>
      </c>
      <c r="O64" s="226">
        <f>IFERROR(VLOOKUP($B64,MMWR_TRAD_AGG_RO_COMP[],O$1,0),"ERROR")</f>
        <v>1032</v>
      </c>
      <c r="P64" s="223">
        <f t="shared" si="3"/>
        <v>0.65942492012779552</v>
      </c>
      <c r="Q64" s="227">
        <f>IFERROR(VLOOKUP($B64,MMWR_TRAD_AGG_RO_COMP[],Q$1,0),"ERROR")</f>
        <v>1</v>
      </c>
      <c r="R64" s="227">
        <f>IFERROR(VLOOKUP($B64,MMWR_TRAD_AGG_RO_COMP[],R$1,0),"ERROR")</f>
        <v>60</v>
      </c>
      <c r="S64" s="201">
        <f>IFERROR(VLOOKUP($B64,MMWR_APP_RO[],S$1,0),"ERROR")</f>
        <v>13068</v>
      </c>
      <c r="T64" s="28"/>
    </row>
    <row r="65" spans="1:20" x14ac:dyDescent="0.2">
      <c r="A65" s="28"/>
      <c r="B65" s="108" t="s">
        <v>53</v>
      </c>
      <c r="C65" s="219">
        <f>IFERROR(VLOOKUP($B65,MMWR_TRAD_AGG_RO_COMP[],C$1,0),"ERROR")</f>
        <v>6654</v>
      </c>
      <c r="D65" s="220">
        <f>IFERROR(VLOOKUP($B65,MMWR_TRAD_AGG_RO_COMP[],D$1,0),"ERROR")</f>
        <v>482.1445746919</v>
      </c>
      <c r="E65" s="221">
        <f>IFERROR(VLOOKUP($B65,MMWR_TRAD_AGG_RO_COMP[],E$1,0),"ERROR")</f>
        <v>4155</v>
      </c>
      <c r="F65" s="222">
        <f>IFERROR(VLOOKUP($B65,MMWR_TRAD_AGG_RO_COMP[],F$1,0),"ERROR")</f>
        <v>959</v>
      </c>
      <c r="G65" s="223">
        <f t="shared" si="0"/>
        <v>0.23080625752105896</v>
      </c>
      <c r="H65" s="224">
        <f>IFERROR(VLOOKUP($B65,MMWR_TRAD_AGG_RO_COMP[],H$1,0),"ERROR")</f>
        <v>10519</v>
      </c>
      <c r="I65" s="222">
        <f>IFERROR(VLOOKUP($B65,MMWR_TRAD_AGG_RO_COMP[],I$1,0),"ERROR")</f>
        <v>7046</v>
      </c>
      <c r="J65" s="223">
        <f t="shared" si="1"/>
        <v>0.66983553569730958</v>
      </c>
      <c r="K65" s="225">
        <f>IFERROR(VLOOKUP($B65,MMWR_TRAD_AGG_RO_COMP[],K$1,0),"ERROR")</f>
        <v>3339</v>
      </c>
      <c r="L65" s="226">
        <f>IFERROR(VLOOKUP($B65,MMWR_TRAD_AGG_RO_COMP[],L$1,0),"ERROR")</f>
        <v>3118</v>
      </c>
      <c r="M65" s="223">
        <f t="shared" si="2"/>
        <v>0.93381251871817905</v>
      </c>
      <c r="N65" s="225">
        <f>IFERROR(VLOOKUP($B65,MMWR_TRAD_AGG_RO_COMP[],N$1,0),"ERROR")</f>
        <v>1652</v>
      </c>
      <c r="O65" s="226">
        <f>IFERROR(VLOOKUP($B65,MMWR_TRAD_AGG_RO_COMP[],O$1,0),"ERROR")</f>
        <v>1225</v>
      </c>
      <c r="P65" s="223">
        <f t="shared" si="3"/>
        <v>0.74152542372881358</v>
      </c>
      <c r="Q65" s="227">
        <f>IFERROR(VLOOKUP($B65,MMWR_TRAD_AGG_RO_COMP[],Q$1,0),"ERROR")</f>
        <v>88</v>
      </c>
      <c r="R65" s="227">
        <f>IFERROR(VLOOKUP($B65,MMWR_TRAD_AGG_RO_COMP[],R$1,0),"ERROR")</f>
        <v>311</v>
      </c>
      <c r="S65" s="201">
        <f>IFERROR(VLOOKUP($B65,MMWR_APP_RO[],S$1,0),"ERROR")</f>
        <v>2982</v>
      </c>
      <c r="T65" s="28"/>
    </row>
    <row r="66" spans="1:20" x14ac:dyDescent="0.2">
      <c r="A66" s="28"/>
      <c r="B66" s="108" t="s">
        <v>57</v>
      </c>
      <c r="C66" s="219">
        <f>IFERROR(VLOOKUP($B66,MMWR_TRAD_AGG_RO_COMP[],C$1,0),"ERROR")</f>
        <v>10322</v>
      </c>
      <c r="D66" s="220">
        <f>IFERROR(VLOOKUP($B66,MMWR_TRAD_AGG_RO_COMP[],D$1,0),"ERROR")</f>
        <v>356.10279015690003</v>
      </c>
      <c r="E66" s="221">
        <f>IFERROR(VLOOKUP($B66,MMWR_TRAD_AGG_RO_COMP[],E$1,0),"ERROR")</f>
        <v>7646</v>
      </c>
      <c r="F66" s="222">
        <f>IFERROR(VLOOKUP($B66,MMWR_TRAD_AGG_RO_COMP[],F$1,0),"ERROR")</f>
        <v>1922</v>
      </c>
      <c r="G66" s="223">
        <f t="shared" si="0"/>
        <v>0.25137326706774782</v>
      </c>
      <c r="H66" s="224">
        <f>IFERROR(VLOOKUP($B66,MMWR_TRAD_AGG_RO_COMP[],H$1,0),"ERROR")</f>
        <v>14292</v>
      </c>
      <c r="I66" s="222">
        <f>IFERROR(VLOOKUP($B66,MMWR_TRAD_AGG_RO_COMP[],I$1,0),"ERROR")</f>
        <v>8407</v>
      </c>
      <c r="J66" s="223">
        <f t="shared" si="1"/>
        <v>0.58823117828155613</v>
      </c>
      <c r="K66" s="225">
        <f>IFERROR(VLOOKUP($B66,MMWR_TRAD_AGG_RO_COMP[],K$1,0),"ERROR")</f>
        <v>4145</v>
      </c>
      <c r="L66" s="226">
        <f>IFERROR(VLOOKUP($B66,MMWR_TRAD_AGG_RO_COMP[],L$1,0),"ERROR")</f>
        <v>3783</v>
      </c>
      <c r="M66" s="223">
        <f t="shared" si="2"/>
        <v>0.91266586248492154</v>
      </c>
      <c r="N66" s="225">
        <f>IFERROR(VLOOKUP($B66,MMWR_TRAD_AGG_RO_COMP[],N$1,0),"ERROR")</f>
        <v>1622</v>
      </c>
      <c r="O66" s="226">
        <f>IFERROR(VLOOKUP($B66,MMWR_TRAD_AGG_RO_COMP[],O$1,0),"ERROR")</f>
        <v>612</v>
      </c>
      <c r="P66" s="223">
        <f t="shared" si="3"/>
        <v>0.37731196054254007</v>
      </c>
      <c r="Q66" s="227">
        <f>IFERROR(VLOOKUP($B66,MMWR_TRAD_AGG_RO_COMP[],Q$1,0),"ERROR")</f>
        <v>0</v>
      </c>
      <c r="R66" s="227">
        <f>IFERROR(VLOOKUP($B66,MMWR_TRAD_AGG_RO_COMP[],R$1,0),"ERROR")</f>
        <v>415</v>
      </c>
      <c r="S66" s="201">
        <f>IFERROR(VLOOKUP($B66,MMWR_APP_RO[],S$1,0),"ERROR")</f>
        <v>9383</v>
      </c>
      <c r="T66" s="28"/>
    </row>
    <row r="67" spans="1:20" x14ac:dyDescent="0.2">
      <c r="A67" s="28"/>
      <c r="B67" s="108" t="s">
        <v>58</v>
      </c>
      <c r="C67" s="219">
        <f>IFERROR(VLOOKUP($B67,MMWR_TRAD_AGG_RO_COMP[],C$1,0),"ERROR")</f>
        <v>3256</v>
      </c>
      <c r="D67" s="220">
        <f>IFERROR(VLOOKUP($B67,MMWR_TRAD_AGG_RO_COMP[],D$1,0),"ERROR")</f>
        <v>286.02149877149998</v>
      </c>
      <c r="E67" s="221">
        <f>IFERROR(VLOOKUP($B67,MMWR_TRAD_AGG_RO_COMP[],E$1,0),"ERROR")</f>
        <v>9289</v>
      </c>
      <c r="F67" s="222">
        <f>IFERROR(VLOOKUP($B67,MMWR_TRAD_AGG_RO_COMP[],F$1,0),"ERROR")</f>
        <v>1519</v>
      </c>
      <c r="G67" s="223">
        <f t="shared" si="0"/>
        <v>0.16352675207234363</v>
      </c>
      <c r="H67" s="224">
        <f>IFERROR(VLOOKUP($B67,MMWR_TRAD_AGG_RO_COMP[],H$1,0),"ERROR")</f>
        <v>8585</v>
      </c>
      <c r="I67" s="222">
        <f>IFERROR(VLOOKUP($B67,MMWR_TRAD_AGG_RO_COMP[],I$1,0),"ERROR")</f>
        <v>2903</v>
      </c>
      <c r="J67" s="223">
        <f t="shared" si="1"/>
        <v>0.33814793244030283</v>
      </c>
      <c r="K67" s="225">
        <f>IFERROR(VLOOKUP($B67,MMWR_TRAD_AGG_RO_COMP[],K$1,0),"ERROR")</f>
        <v>3090</v>
      </c>
      <c r="L67" s="226">
        <f>IFERROR(VLOOKUP($B67,MMWR_TRAD_AGG_RO_COMP[],L$1,0),"ERROR")</f>
        <v>2472</v>
      </c>
      <c r="M67" s="223">
        <f t="shared" si="2"/>
        <v>0.8</v>
      </c>
      <c r="N67" s="225">
        <f>IFERROR(VLOOKUP($B67,MMWR_TRAD_AGG_RO_COMP[],N$1,0),"ERROR")</f>
        <v>1446</v>
      </c>
      <c r="O67" s="226">
        <f>IFERROR(VLOOKUP($B67,MMWR_TRAD_AGG_RO_COMP[],O$1,0),"ERROR")</f>
        <v>1106</v>
      </c>
      <c r="P67" s="223">
        <f t="shared" si="3"/>
        <v>0.76486860304287685</v>
      </c>
      <c r="Q67" s="227">
        <f>IFERROR(VLOOKUP($B67,MMWR_TRAD_AGG_RO_COMP[],Q$1,0),"ERROR")</f>
        <v>1</v>
      </c>
      <c r="R67" s="227">
        <f>IFERROR(VLOOKUP($B67,MMWR_TRAD_AGG_RO_COMP[],R$1,0),"ERROR")</f>
        <v>279</v>
      </c>
      <c r="S67" s="201">
        <f>IFERROR(VLOOKUP($B67,MMWR_APP_RO[],S$1,0),"ERROR")</f>
        <v>6816</v>
      </c>
      <c r="T67" s="28"/>
    </row>
    <row r="68" spans="1:20" x14ac:dyDescent="0.2">
      <c r="A68" s="28"/>
      <c r="B68" s="108" t="s">
        <v>72</v>
      </c>
      <c r="C68" s="219">
        <f>IFERROR(VLOOKUP($B68,MMWR_TRAD_AGG_RO_COMP[],C$1,0),"ERROR")</f>
        <v>707</v>
      </c>
      <c r="D68" s="220">
        <f>IFERROR(VLOOKUP($B68,MMWR_TRAD_AGG_RO_COMP[],D$1,0),"ERROR")</f>
        <v>279.82178217820001</v>
      </c>
      <c r="E68" s="221">
        <f>IFERROR(VLOOKUP($B68,MMWR_TRAD_AGG_RO_COMP[],E$1,0),"ERROR")</f>
        <v>1713</v>
      </c>
      <c r="F68" s="222">
        <f>IFERROR(VLOOKUP($B68,MMWR_TRAD_AGG_RO_COMP[],F$1,0),"ERROR")</f>
        <v>561</v>
      </c>
      <c r="G68" s="223">
        <f t="shared" si="0"/>
        <v>0.32749562171628721</v>
      </c>
      <c r="H68" s="224">
        <f>IFERROR(VLOOKUP($B68,MMWR_TRAD_AGG_RO_COMP[],H$1,0),"ERROR")</f>
        <v>3521</v>
      </c>
      <c r="I68" s="222">
        <f>IFERROR(VLOOKUP($B68,MMWR_TRAD_AGG_RO_COMP[],I$1,0),"ERROR")</f>
        <v>1069</v>
      </c>
      <c r="J68" s="223">
        <f t="shared" si="1"/>
        <v>0.30360692984947457</v>
      </c>
      <c r="K68" s="225">
        <f>IFERROR(VLOOKUP($B68,MMWR_TRAD_AGG_RO_COMP[],K$1,0),"ERROR")</f>
        <v>863</v>
      </c>
      <c r="L68" s="226">
        <f>IFERROR(VLOOKUP($B68,MMWR_TRAD_AGG_RO_COMP[],L$1,0),"ERROR")</f>
        <v>777</v>
      </c>
      <c r="M68" s="223">
        <f t="shared" si="2"/>
        <v>0.90034762456546924</v>
      </c>
      <c r="N68" s="225">
        <f>IFERROR(VLOOKUP($B68,MMWR_TRAD_AGG_RO_COMP[],N$1,0),"ERROR")</f>
        <v>762</v>
      </c>
      <c r="O68" s="226">
        <f>IFERROR(VLOOKUP($B68,MMWR_TRAD_AGG_RO_COMP[],O$1,0),"ERROR")</f>
        <v>657</v>
      </c>
      <c r="P68" s="223">
        <f t="shared" si="3"/>
        <v>0.86220472440944884</v>
      </c>
      <c r="Q68" s="227">
        <f>IFERROR(VLOOKUP($B68,MMWR_TRAD_AGG_RO_COMP[],Q$1,0),"ERROR")</f>
        <v>0</v>
      </c>
      <c r="R68" s="227">
        <f>IFERROR(VLOOKUP($B68,MMWR_TRAD_AGG_RO_COMP[],R$1,0),"ERROR")</f>
        <v>2</v>
      </c>
      <c r="S68" s="201">
        <f>IFERROR(VLOOKUP($B68,MMWR_APP_RO[],S$1,0),"ERROR")</f>
        <v>4962</v>
      </c>
      <c r="T68" s="28"/>
    </row>
    <row r="69" spans="1:20" x14ac:dyDescent="0.2">
      <c r="A69" s="28"/>
      <c r="B69" s="116" t="s">
        <v>77</v>
      </c>
      <c r="C69" s="228">
        <f>IFERROR(VLOOKUP($B69,MMWR_TRAD_AGG_RO_COMP[],C$1,0),"ERROR")</f>
        <v>15843</v>
      </c>
      <c r="D69" s="229">
        <f>IFERROR(VLOOKUP($B69,MMWR_TRAD_AGG_RO_COMP[],D$1,0),"ERROR")</f>
        <v>328.19030486650001</v>
      </c>
      <c r="E69" s="230">
        <f>IFERROR(VLOOKUP($B69,MMWR_TRAD_AGG_RO_COMP[],E$1,0),"ERROR")</f>
        <v>24238</v>
      </c>
      <c r="F69" s="231">
        <f>IFERROR(VLOOKUP($B69,MMWR_TRAD_AGG_RO_COMP[],F$1,0),"ERROR")</f>
        <v>5492</v>
      </c>
      <c r="G69" s="232">
        <f t="shared" si="0"/>
        <v>0.22658635200924168</v>
      </c>
      <c r="H69" s="233">
        <f>IFERROR(VLOOKUP($B69,MMWR_TRAD_AGG_RO_COMP[],H$1,0),"ERROR")</f>
        <v>24696</v>
      </c>
      <c r="I69" s="231">
        <f>IFERROR(VLOOKUP($B69,MMWR_TRAD_AGG_RO_COMP[],I$1,0),"ERROR")</f>
        <v>13351</v>
      </c>
      <c r="J69" s="232">
        <f t="shared" si="1"/>
        <v>0.54061386459345639</v>
      </c>
      <c r="K69" s="234">
        <f>IFERROR(VLOOKUP($B69,MMWR_TRAD_AGG_RO_COMP[],K$1,0),"ERROR")</f>
        <v>5003</v>
      </c>
      <c r="L69" s="235">
        <f>IFERROR(VLOOKUP($B69,MMWR_TRAD_AGG_RO_COMP[],L$1,0),"ERROR")</f>
        <v>4009</v>
      </c>
      <c r="M69" s="232">
        <f t="shared" si="2"/>
        <v>0.801319208474915</v>
      </c>
      <c r="N69" s="234">
        <f>IFERROR(VLOOKUP($B69,MMWR_TRAD_AGG_RO_COMP[],N$1,0),"ERROR")</f>
        <v>13273</v>
      </c>
      <c r="O69" s="235">
        <f>IFERROR(VLOOKUP($B69,MMWR_TRAD_AGG_RO_COMP[],O$1,0),"ERROR")</f>
        <v>9846</v>
      </c>
      <c r="P69" s="232">
        <f t="shared" si="3"/>
        <v>0.74180667520530397</v>
      </c>
      <c r="Q69" s="236">
        <f>IFERROR(VLOOKUP($B69,MMWR_TRAD_AGG_RO_COMP[],Q$1,0),"ERROR")</f>
        <v>6</v>
      </c>
      <c r="R69" s="236">
        <f>IFERROR(VLOOKUP($B69,MMWR_TRAD_AGG_RO_COMP[],R$1,0),"ERROR")</f>
        <v>292</v>
      </c>
      <c r="S69" s="201">
        <f>IFERROR(VLOOKUP($B69,MMWR_APP_RO[],S$1,0),"ERROR")</f>
        <v>29740</v>
      </c>
      <c r="T69" s="28"/>
    </row>
    <row r="70" spans="1:20" x14ac:dyDescent="0.2">
      <c r="A70" s="28"/>
      <c r="B70" s="101" t="s">
        <v>8</v>
      </c>
      <c r="C70" s="212">
        <f>IFERROR(VLOOKUP($B70,MMWR_TRAD_AGG_RO_COMP[],C$1,0),"ERROR")</f>
        <v>86</v>
      </c>
      <c r="D70" s="197">
        <f>IFERROR(VLOOKUP($B70,MMWR_TRAD_AGG_RO_COMP[],D$1,0),"ERROR")</f>
        <v>400.26744186050001</v>
      </c>
      <c r="E70" s="213">
        <f>IFERROR(VLOOKUP($B70,MMWR_TRAD_AGG_RO_COMP[],E$1,0),"ERROR")</f>
        <v>114</v>
      </c>
      <c r="F70" s="218">
        <f>IFERROR(VLOOKUP($B70,MMWR_TRAD_AGG_RO_COMP[],F$1,0),"ERROR")</f>
        <v>38</v>
      </c>
      <c r="G70" s="214">
        <f>IFERROR(F70/E70,"0%")</f>
        <v>0.33333333333333331</v>
      </c>
      <c r="H70" s="218">
        <f>IFERROR(VLOOKUP($B70,MMWR_TRAD_AGG_RO_COMP[],H$1,0),"ERROR")</f>
        <v>242</v>
      </c>
      <c r="I70" s="218">
        <f>IFERROR(VLOOKUP($B70,MMWR_TRAD_AGG_RO_COMP[],I$1,0),"ERROR")</f>
        <v>90</v>
      </c>
      <c r="J70" s="214">
        <f>IFERROR(I70/H70,"0%")</f>
        <v>0.37190082644628097</v>
      </c>
      <c r="K70" s="212">
        <f>IFERROR(VLOOKUP($B70,MMWR_TRAD_AGG_RO_COMP[],K$1,0),"ERROR")</f>
        <v>94</v>
      </c>
      <c r="L70" s="212">
        <f>IFERROR(VLOOKUP($B70,MMWR_TRAD_AGG_RO_COMP[],L$1,0),"ERROR")</f>
        <v>40</v>
      </c>
      <c r="M70" s="214">
        <f>IFERROR(L70/K70,"0%")</f>
        <v>0.42553191489361702</v>
      </c>
      <c r="N70" s="212">
        <f>IFERROR(VLOOKUP($B70,MMWR_TRAD_AGG_RO_COMP[],N$1,0),"ERROR")</f>
        <v>65120</v>
      </c>
      <c r="O70" s="212">
        <f>IFERROR(VLOOKUP($B70,MMWR_TRAD_AGG_RO_COMP[],O$1,0),"ERROR")</f>
        <v>39178</v>
      </c>
      <c r="P70" s="214">
        <f>IFERROR(O70/N70,"0%")</f>
        <v>0.60162776412776409</v>
      </c>
      <c r="Q70" s="212">
        <f>IFERROR(VLOOKUP($B70,MMWR_TRAD_AGG_RO_COMP[],Q$1,0),"ERROR")</f>
        <v>0</v>
      </c>
      <c r="R70" s="215">
        <f>IFERROR(VLOOKUP($B70,MMWR_TRAD_AGG_RO_COMP[],R$1,0),"ERROR")</f>
        <v>1</v>
      </c>
      <c r="S70" s="215">
        <f>IFERROR(VLOOKUP($B70,MMWR_APP_RO[],S$1,0),"ERROR")</f>
        <v>11262</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486</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225</v>
      </c>
      <c r="D73" s="458"/>
      <c r="E73" s="459" t="s">
        <v>205</v>
      </c>
      <c r="F73" s="460"/>
      <c r="G73" s="461"/>
      <c r="H73" s="459" t="s">
        <v>7</v>
      </c>
      <c r="I73" s="460"/>
      <c r="J73" s="461"/>
      <c r="K73" s="459" t="s">
        <v>30</v>
      </c>
      <c r="L73" s="460"/>
      <c r="M73" s="461"/>
      <c r="N73" s="459" t="s">
        <v>8</v>
      </c>
      <c r="O73" s="460"/>
      <c r="P73" s="461"/>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487</v>
      </c>
      <c r="T74" s="28"/>
    </row>
    <row r="75" spans="1:20" x14ac:dyDescent="0.2">
      <c r="A75" s="25"/>
      <c r="B75" s="101" t="s">
        <v>461</v>
      </c>
      <c r="C75" s="237">
        <f>IFERROR(VLOOKUP($B75,MMWR_TRAD_AGG_RO_PEN[],C$1,0),"ERROR")</f>
        <v>24241</v>
      </c>
      <c r="D75" s="238">
        <f>IFERROR(VLOOKUP($B75,MMWR_TRAD_AGG_RO_PEN[],D$1,0),"ERROR")</f>
        <v>91.679963697900007</v>
      </c>
      <c r="E75" s="237">
        <f>IFERROR(VLOOKUP($B75,MMWR_TRAD_AGG_RO_PEN[],E$1,0),"ERROR")</f>
        <v>30838</v>
      </c>
      <c r="F75" s="237">
        <f>IFERROR(VLOOKUP($B75,MMWR_TRAD_AGG_RO_PEN[],F$1,0),"ERROR")</f>
        <v>4430</v>
      </c>
      <c r="G75" s="239">
        <f>IFERROR(F75/E75,"0%")</f>
        <v>0.14365393345871977</v>
      </c>
      <c r="H75" s="237">
        <f>IFERROR(VLOOKUP($B75,MMWR_TRAD_AGG_RO_PEN[],H$1,0),"ERROR")</f>
        <v>34381</v>
      </c>
      <c r="I75" s="237">
        <f>IFERROR(VLOOKUP($B75,MMWR_TRAD_AGG_RO_PEN[],I$1,0),"ERROR")</f>
        <v>8634</v>
      </c>
      <c r="J75" s="239">
        <f>IFERROR(I75/H75,"0%")</f>
        <v>0.25112707600127976</v>
      </c>
      <c r="K75" s="237">
        <f>IFERROR(VLOOKUP($B75,MMWR_TRAD_AGG_RO_PEN[],K$1,0),"ERROR")</f>
        <v>257</v>
      </c>
      <c r="L75" s="237">
        <f>IFERROR(VLOOKUP($B75,MMWR_TRAD_AGG_RO_PEN[],L$1,0),"ERROR")</f>
        <v>244</v>
      </c>
      <c r="M75" s="239">
        <f>IFERROR(L75/K75,"0%")</f>
        <v>0.94941634241245132</v>
      </c>
      <c r="N75" s="237">
        <f>IFERROR(VLOOKUP($B75,MMWR_TRAD_AGG_RO_PEN[],N$1,0),"ERROR")</f>
        <v>1674</v>
      </c>
      <c r="O75" s="237">
        <f>IFERROR(VLOOKUP($B75,MMWR_TRAD_AGG_RO_PEN[],O$1,0),"ERROR")</f>
        <v>529</v>
      </c>
      <c r="P75" s="239">
        <f>IFERROR(O75/N75,"0%")</f>
        <v>0.31600955794504182</v>
      </c>
      <c r="Q75" s="237">
        <f>IFERROR(VLOOKUP($B75,MMWR_TRAD_AGG_RO_PEN[],Q$1,0),"ERROR")</f>
        <v>12129</v>
      </c>
      <c r="R75" s="240">
        <f>IFERROR(VLOOKUP($B75,MMWR_TRAD_AGG_RO_PEN[],R$1,0),"ERROR")</f>
        <v>5896</v>
      </c>
      <c r="S75" s="240">
        <f>IFERROR(VLOOKUP($B75,MMWR_APP_RO[],S$1,0),"ERROR")</f>
        <v>5218</v>
      </c>
      <c r="T75" s="28"/>
    </row>
    <row r="76" spans="1:20" x14ac:dyDescent="0.2">
      <c r="A76" s="107"/>
      <c r="B76" s="122" t="s">
        <v>210</v>
      </c>
      <c r="C76" s="241">
        <f>IFERROR(VLOOKUP($B76,MMWR_TRAD_AGG_RO_PEN[],C$1,0),"ERROR")</f>
        <v>14733</v>
      </c>
      <c r="D76" s="242">
        <f>IFERROR(VLOOKUP($B76,MMWR_TRAD_AGG_RO_PEN[],D$1,0),"ERROR")</f>
        <v>109.1994841512</v>
      </c>
      <c r="E76" s="241">
        <f>IFERROR(VLOOKUP($B76,MMWR_TRAD_AGG_RO_PEN[],E$1,0),"ERROR")</f>
        <v>16829</v>
      </c>
      <c r="F76" s="241">
        <f>IFERROR(VLOOKUP($B76,MMWR_TRAD_AGG_RO_PEN[],F$1,0),"ERROR")</f>
        <v>3193</v>
      </c>
      <c r="G76" s="223">
        <f>IFERROR(F76/E76,"0%")</f>
        <v>0.1897320102204528</v>
      </c>
      <c r="H76" s="241">
        <f>IFERROR(VLOOKUP($B76,MMWR_TRAD_AGG_RO_PEN[],H$1,0),"ERROR")</f>
        <v>17542</v>
      </c>
      <c r="I76" s="241">
        <f>IFERROR(VLOOKUP($B76,MMWR_TRAD_AGG_RO_PEN[],I$1,0),"ERROR")</f>
        <v>6242</v>
      </c>
      <c r="J76" s="223">
        <f>IFERROR(I76/H76,"0%")</f>
        <v>0.35583171816212517</v>
      </c>
      <c r="K76" s="241">
        <f>IFERROR(VLOOKUP($B76,MMWR_TRAD_AGG_RO_PEN[],K$1,0),"ERROR")</f>
        <v>16</v>
      </c>
      <c r="L76" s="241">
        <f>IFERROR(VLOOKUP($B76,MMWR_TRAD_AGG_RO_PEN[],L$1,0),"ERROR")</f>
        <v>16</v>
      </c>
      <c r="M76" s="223">
        <f>IFERROR(L76/K76,"0%")</f>
        <v>1</v>
      </c>
      <c r="N76" s="241">
        <f>IFERROR(VLOOKUP($B76,MMWR_TRAD_AGG_RO_PEN[],N$1,0),"ERROR")</f>
        <v>644</v>
      </c>
      <c r="O76" s="241">
        <f>IFERROR(VLOOKUP($B76,MMWR_TRAD_AGG_RO_PEN[],O$1,0),"ERROR")</f>
        <v>182</v>
      </c>
      <c r="P76" s="223">
        <f>IFERROR(O76/N76,"0%")</f>
        <v>0.28260869565217389</v>
      </c>
      <c r="Q76" s="241">
        <f>IFERROR(VLOOKUP($B76,MMWR_TRAD_AGG_RO_PEN[],Q$1,0),"ERROR")</f>
        <v>2251</v>
      </c>
      <c r="R76" s="241">
        <f>IFERROR(VLOOKUP($B76,MMWR_TRAD_AGG_RO_PEN[],R$1,0),"ERROR")</f>
        <v>3218</v>
      </c>
      <c r="S76" s="243">
        <f>IFERROR(VLOOKUP($B76,MMWR_APP_RO[],S$1,0),"ERROR")</f>
        <v>1834</v>
      </c>
      <c r="T76" s="28"/>
    </row>
    <row r="77" spans="1:20" x14ac:dyDescent="0.2">
      <c r="A77" s="107"/>
      <c r="B77" s="122" t="s">
        <v>209</v>
      </c>
      <c r="C77" s="241">
        <f>IFERROR(VLOOKUP($B77,MMWR_TRAD_AGG_RO_PEN[],C$1,0),"ERROR")</f>
        <v>5113</v>
      </c>
      <c r="D77" s="242">
        <f>IFERROR(VLOOKUP($B77,MMWR_TRAD_AGG_RO_PEN[],D$1,0),"ERROR")</f>
        <v>62.167220809699998</v>
      </c>
      <c r="E77" s="241">
        <f>IFERROR(VLOOKUP($B77,MMWR_TRAD_AGG_RO_PEN[],E$1,0),"ERROR")</f>
        <v>7875</v>
      </c>
      <c r="F77" s="241">
        <f>IFERROR(VLOOKUP($B77,MMWR_TRAD_AGG_RO_PEN[],F$1,0),"ERROR")</f>
        <v>869</v>
      </c>
      <c r="G77" s="223">
        <f>IFERROR(F77/E77,"0%")</f>
        <v>0.11034920634920635</v>
      </c>
      <c r="H77" s="241">
        <f>IFERROR(VLOOKUP($B77,MMWR_TRAD_AGG_RO_PEN[],H$1,0),"ERROR")</f>
        <v>7289</v>
      </c>
      <c r="I77" s="241">
        <f>IFERROR(VLOOKUP($B77,MMWR_TRAD_AGG_RO_PEN[],I$1,0),"ERROR")</f>
        <v>636</v>
      </c>
      <c r="J77" s="223">
        <f>IFERROR(I77/H77,"0%")</f>
        <v>8.7254767457813145E-2</v>
      </c>
      <c r="K77" s="241">
        <f>IFERROR(VLOOKUP($B77,MMWR_TRAD_AGG_RO_PEN[],K$1,0),"ERROR")</f>
        <v>3</v>
      </c>
      <c r="L77" s="241">
        <f>IFERROR(VLOOKUP($B77,MMWR_TRAD_AGG_RO_PEN[],L$1,0),"ERROR")</f>
        <v>3</v>
      </c>
      <c r="M77" s="223">
        <f>IFERROR(L77/K77,"0%")</f>
        <v>1</v>
      </c>
      <c r="N77" s="241">
        <f>IFERROR(VLOOKUP($B77,MMWR_TRAD_AGG_RO_PEN[],N$1,0),"ERROR")</f>
        <v>580</v>
      </c>
      <c r="O77" s="241">
        <f>IFERROR(VLOOKUP($B77,MMWR_TRAD_AGG_RO_PEN[],O$1,0),"ERROR")</f>
        <v>132</v>
      </c>
      <c r="P77" s="223">
        <f>IFERROR(O77/N77,"0%")</f>
        <v>0.22758620689655173</v>
      </c>
      <c r="Q77" s="241">
        <f>IFERROR(VLOOKUP($B77,MMWR_TRAD_AGG_RO_PEN[],Q$1,0),"ERROR")</f>
        <v>1184</v>
      </c>
      <c r="R77" s="241">
        <f>IFERROR(VLOOKUP($B77,MMWR_TRAD_AGG_RO_PEN[],R$1,0),"ERROR")</f>
        <v>936</v>
      </c>
      <c r="S77" s="243">
        <f>IFERROR(VLOOKUP($B77,MMWR_APP_RO[],S$1,0),"ERROR")</f>
        <v>2314</v>
      </c>
      <c r="T77" s="28"/>
    </row>
    <row r="78" spans="1:20" x14ac:dyDescent="0.2">
      <c r="A78" s="107"/>
      <c r="B78" s="122" t="s">
        <v>212</v>
      </c>
      <c r="C78" s="241">
        <f>IFERROR(VLOOKUP($B78,MMWR_TRAD_AGG_RO_PEN[],C$1,0),"ERROR")</f>
        <v>4395</v>
      </c>
      <c r="D78" s="242">
        <f>IFERROR(VLOOKUP($B78,MMWR_TRAD_AGG_RO_PEN[],D$1,0),"ERROR")</f>
        <v>67.284869169499999</v>
      </c>
      <c r="E78" s="241">
        <f>IFERROR(VLOOKUP($B78,MMWR_TRAD_AGG_RO_PEN[],E$1,0),"ERROR")</f>
        <v>5745</v>
      </c>
      <c r="F78" s="241">
        <f>IFERROR(VLOOKUP($B78,MMWR_TRAD_AGG_RO_PEN[],F$1,0),"ERROR")</f>
        <v>205</v>
      </c>
      <c r="G78" s="223">
        <f>IFERROR(F78/E78,"0%")</f>
        <v>3.5683202785030461E-2</v>
      </c>
      <c r="H78" s="241">
        <f>IFERROR(VLOOKUP($B78,MMWR_TRAD_AGG_RO_PEN[],H$1,0),"ERROR")</f>
        <v>6207</v>
      </c>
      <c r="I78" s="241">
        <f>IFERROR(VLOOKUP($B78,MMWR_TRAD_AGG_RO_PEN[],I$1,0),"ERROR")</f>
        <v>537</v>
      </c>
      <c r="J78" s="223">
        <f>IFERROR(I78/H78,"0%")</f>
        <v>8.6515224746254227E-2</v>
      </c>
      <c r="K78" s="241">
        <f>IFERROR(VLOOKUP($B78,MMWR_TRAD_AGG_RO_PEN[],K$1,0),"ERROR")</f>
        <v>35</v>
      </c>
      <c r="L78" s="241">
        <f>IFERROR(VLOOKUP($B78,MMWR_TRAD_AGG_RO_PEN[],L$1,0),"ERROR")</f>
        <v>22</v>
      </c>
      <c r="M78" s="223">
        <f>IFERROR(L78/K78,"0%")</f>
        <v>0.62857142857142856</v>
      </c>
      <c r="N78" s="241">
        <f>IFERROR(VLOOKUP($B78,MMWR_TRAD_AGG_RO_PEN[],N$1,0),"ERROR")</f>
        <v>278</v>
      </c>
      <c r="O78" s="241">
        <f>IFERROR(VLOOKUP($B78,MMWR_TRAD_AGG_RO_PEN[],O$1,0),"ERROR")</f>
        <v>110</v>
      </c>
      <c r="P78" s="223">
        <f>IFERROR(O78/N78,"0%")</f>
        <v>0.39568345323741005</v>
      </c>
      <c r="Q78" s="241">
        <f>IFERROR(VLOOKUP($B78,MMWR_TRAD_AGG_RO_PEN[],Q$1,0),"ERROR")</f>
        <v>8685</v>
      </c>
      <c r="R78" s="241">
        <f>IFERROR(VLOOKUP($B78,MMWR_TRAD_AGG_RO_PEN[],R$1,0),"ERROR")</f>
        <v>1742</v>
      </c>
      <c r="S78" s="243">
        <f>IFERROR(VLOOKUP($B78,MMWR_APP_RO[],S$1,0),"ERROR")</f>
        <v>1070</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389</v>
      </c>
      <c r="F79" s="218">
        <f>IFERROR(VLOOKUP($B79,MMWR_TRAD_AGG_RO_PEN[],F$1,0),"ERROR")</f>
        <v>163</v>
      </c>
      <c r="G79" s="214">
        <f>IFERROR(F79/E79,"0%")</f>
        <v>0.41902313624678661</v>
      </c>
      <c r="H79" s="218">
        <f>IFERROR(VLOOKUP($B79,MMWR_TRAD_AGG_RO_PEN[],H$1,0),"ERROR")</f>
        <v>3343</v>
      </c>
      <c r="I79" s="218">
        <f>IFERROR(VLOOKUP($B79,MMWR_TRAD_AGG_RO_PEN[],I$1,0),"ERROR")</f>
        <v>1219</v>
      </c>
      <c r="J79" s="214">
        <f>IFERROR(I79/H79,"0%")</f>
        <v>0.36464253664373319</v>
      </c>
      <c r="K79" s="218">
        <f>IFERROR(VLOOKUP($B79,MMWR_TRAD_AGG_RO_PEN[],K$1,0),"ERROR")</f>
        <v>203</v>
      </c>
      <c r="L79" s="218">
        <f>IFERROR(VLOOKUP($B79,MMWR_TRAD_AGG_RO_PEN[],L$1,0),"ERROR")</f>
        <v>203</v>
      </c>
      <c r="M79" s="214">
        <f>IFERROR(L79/K79,"0%")</f>
        <v>1</v>
      </c>
      <c r="N79" s="218">
        <f>IFERROR(VLOOKUP($B79,MMWR_TRAD_AGG_RO_PEN[],N$1,0),"ERROR")</f>
        <v>172</v>
      </c>
      <c r="O79" s="218">
        <f>IFERROR(VLOOKUP($B79,MMWR_TRAD_AGG_RO_PEN[],O$1,0),"ERROR")</f>
        <v>105</v>
      </c>
      <c r="P79" s="214">
        <f>IFERROR(O79/N79,"0%")</f>
        <v>0.61046511627906974</v>
      </c>
      <c r="Q79" s="218">
        <f>IFERROR(VLOOKUP($B79,MMWR_TRAD_AGG_RO_PEN[],Q$1,0),"ERROR")</f>
        <v>9</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JULY 23,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225</v>
      </c>
      <c r="D3" s="462"/>
      <c r="E3" s="459" t="s">
        <v>205</v>
      </c>
      <c r="F3" s="460"/>
      <c r="G3" s="461"/>
      <c r="H3" s="459" t="s">
        <v>7</v>
      </c>
      <c r="I3" s="460"/>
      <c r="J3" s="461"/>
      <c r="K3" s="459" t="s">
        <v>30</v>
      </c>
      <c r="L3" s="460"/>
      <c r="M3" s="461"/>
      <c r="N3" s="459" t="s">
        <v>8</v>
      </c>
      <c r="O3" s="460"/>
      <c r="P3" s="461"/>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487</v>
      </c>
      <c r="T4" s="28"/>
    </row>
    <row r="5" spans="1:20" s="123" customFormat="1" ht="26.25" x14ac:dyDescent="0.4">
      <c r="A5" s="25"/>
      <c r="B5" s="124"/>
      <c r="C5" s="454" t="s">
        <v>485</v>
      </c>
      <c r="D5" s="455"/>
      <c r="E5" s="455"/>
      <c r="F5" s="455"/>
      <c r="G5" s="455"/>
      <c r="H5" s="455"/>
      <c r="I5" s="455"/>
      <c r="J5" s="455"/>
      <c r="K5" s="455"/>
      <c r="L5" s="455"/>
      <c r="M5" s="455"/>
      <c r="N5" s="455"/>
      <c r="O5" s="455"/>
      <c r="P5" s="455"/>
      <c r="Q5" s="455"/>
      <c r="R5" s="455"/>
      <c r="S5" s="456"/>
      <c r="T5" s="28"/>
    </row>
    <row r="6" spans="1:20" s="123" customFormat="1" x14ac:dyDescent="0.2">
      <c r="A6" s="92"/>
      <c r="B6" s="125" t="s">
        <v>460</v>
      </c>
      <c r="C6" s="94">
        <f>IFERROR(VLOOKUP($B6,MMWR_TRAD_AGG_ST_DISTRICT_COMP[],C$1,0),"ERROR")</f>
        <v>237274</v>
      </c>
      <c r="D6" s="95">
        <f>IFERROR(VLOOKUP($B6,MMWR_TRAD_AGG_ST_DISTRICT_COMP[],D$1,0),"ERROR")</f>
        <v>370.35640230280001</v>
      </c>
      <c r="E6" s="96">
        <f>IFERROR(VLOOKUP($B6,MMWR_TRAD_AGG_ST_DISTRICT_COMP[],E$1,0),"ERROR")</f>
        <v>343825</v>
      </c>
      <c r="F6" s="97">
        <f>IFERROR(VLOOKUP($B6,MMWR_TRAD_AGG_ST_DISTRICT_COMP[],F$1,0),"ERROR")</f>
        <v>73648</v>
      </c>
      <c r="G6" s="98">
        <f t="shared" ref="G6:G37" si="0">IFERROR(F6/E6,"0%")</f>
        <v>0.21420199229259071</v>
      </c>
      <c r="H6" s="96">
        <f>IFERROR(VLOOKUP($B6,MMWR_TRAD_AGG_ST_DISTRICT_COMP[],H$1,0),"ERROR")</f>
        <v>451289</v>
      </c>
      <c r="I6" s="97">
        <f>IFERROR(VLOOKUP($B6,MMWR_TRAD_AGG_ST_DISTRICT_COMP[],I$1,0),"ERROR")</f>
        <v>225539</v>
      </c>
      <c r="J6" s="99">
        <f t="shared" ref="J6:J37" si="1">IFERROR(I6/H6,"0%")</f>
        <v>0.49976622519050984</v>
      </c>
      <c r="K6" s="96">
        <f>IFERROR(VLOOKUP($B6,MMWR_TRAD_AGG_ST_DISTRICT_COMP[],K$1,0),"ERROR")</f>
        <v>129562</v>
      </c>
      <c r="L6" s="97">
        <f>IFERROR(VLOOKUP($B6,MMWR_TRAD_AGG_ST_DISTRICT_COMP[],L$1,0),"ERROR")</f>
        <v>100946</v>
      </c>
      <c r="M6" s="99">
        <f t="shared" ref="M6:M37" si="2">IFERROR(L6/K6,"0%")</f>
        <v>0.77913277041107731</v>
      </c>
      <c r="N6" s="96">
        <f>IFERROR(VLOOKUP($B6,MMWR_TRAD_AGG_ST_DISTRICT_COMP[],N$1,0),"ERROR")</f>
        <v>171461</v>
      </c>
      <c r="O6" s="97">
        <f>IFERROR(VLOOKUP($B6,MMWR_TRAD_AGG_ST_DISTRICT_COMP[],O$1,0),"ERROR")</f>
        <v>117744</v>
      </c>
      <c r="P6" s="99">
        <f t="shared" ref="P6:P37" si="3">IFERROR(O6/N6,"0%")</f>
        <v>0.68671009733991983</v>
      </c>
      <c r="Q6" s="100">
        <f>IFERROR(VLOOKUP($B6,MMWR_TRAD_AGG_ST_DISTRICT_COMP[],Q$1,0),"ERROR")</f>
        <v>23942</v>
      </c>
      <c r="R6" s="100">
        <f>IFERROR(VLOOKUP($B6,MMWR_TRAD_AGG_ST_DISTRICT_COMP[],R$1,0),"ERROR")</f>
        <v>4497</v>
      </c>
      <c r="S6" s="100">
        <f>S7+S23+S36+S46+S56+S64</f>
        <v>309138</v>
      </c>
      <c r="T6" s="28"/>
    </row>
    <row r="7" spans="1:20" s="123" customFormat="1" x14ac:dyDescent="0.2">
      <c r="A7" s="92"/>
      <c r="B7" s="126" t="s">
        <v>368</v>
      </c>
      <c r="C7" s="102">
        <f>IF(SUM(C8:C22)&lt;&gt;VLOOKUP($B7,MMWR_TRAD_AGG_ST_DISTRICT_COMP[],C$1,0),"ERROR",
VLOOKUP($B7,MMWR_TRAD_AGG_ST_DISTRICT_COMP[],C$1,0))</f>
        <v>57730</v>
      </c>
      <c r="D7" s="103">
        <f>IFERROR(VLOOKUP($B7,MMWR_TRAD_AGG_ST_DISTRICT_COMP[],D$1,0),"ERROR")</f>
        <v>386.07654599</v>
      </c>
      <c r="E7" s="102">
        <f>IF(SUM(E8:E22)&lt;&gt;VLOOKUP($B7,MMWR_TRAD_AGG_ST_DISTRICT_COMP[],E$1,0),"ERROR",
VLOOKUP($B7,MMWR_TRAD_AGG_ST_DISTRICT_COMP[],E$1,0))</f>
        <v>74530</v>
      </c>
      <c r="F7" s="102">
        <f>IFERROR(VLOOKUP($B7,MMWR_TRAD_AGG_ST_DISTRICT_COMP[],F$1,0),"ERROR")</f>
        <v>16767</v>
      </c>
      <c r="G7" s="104">
        <f t="shared" si="0"/>
        <v>0.22496981081443715</v>
      </c>
      <c r="H7" s="102">
        <f>IF(SUM(H8:H22)&lt;&gt;VLOOKUP($B7,MMWR_TRAD_AGG_ST_DISTRICT_COMP[],H$1,0),"ERROR",
VLOOKUP($B7,MMWR_TRAD_AGG_ST_DISTRICT_COMP[],H$1,0))</f>
        <v>104612</v>
      </c>
      <c r="I7" s="102">
        <f>IF(SUM(I8:I22)&lt;&gt;VLOOKUP($B7,MMWR_TRAD_AGG_ST_DISTRICT_COMP[],I$1,0),"ERROR",
VLOOKUP($B7,MMWR_TRAD_AGG_ST_DISTRICT_COMP[],I$1,0))</f>
        <v>53172</v>
      </c>
      <c r="J7" s="105">
        <f t="shared" si="1"/>
        <v>0.50827820900087939</v>
      </c>
      <c r="K7" s="102">
        <f>IF(SUM(K8:K22)&lt;&gt;VLOOKUP($B7,MMWR_TRAD_AGG_ST_DISTRICT_COMP[],K$1,0),"ERROR",
VLOOKUP($B7,MMWR_TRAD_AGG_ST_DISTRICT_COMP[],K$1,0))</f>
        <v>34725</v>
      </c>
      <c r="L7" s="102">
        <f>IF(SUM(L8:L22)&lt;&gt;VLOOKUP($B7,MMWR_TRAD_AGG_ST_DISTRICT_COMP[],L$1,0),"ERROR",
VLOOKUP($B7,MMWR_TRAD_AGG_ST_DISTRICT_COMP[],L$1,0))</f>
        <v>27903</v>
      </c>
      <c r="M7" s="105">
        <f t="shared" si="2"/>
        <v>0.80354211663066955</v>
      </c>
      <c r="N7" s="102">
        <f>IF(SUM(N8:N22)&lt;&gt;VLOOKUP($B7,MMWR_TRAD_AGG_ST_DISTRICT_COMP[],N$1,0),"ERROR",
VLOOKUP($B7,MMWR_TRAD_AGG_ST_DISTRICT_COMP[],N$1,0))</f>
        <v>39604</v>
      </c>
      <c r="O7" s="102">
        <f>IF(SUM(O8:O22)&lt;&gt;VLOOKUP($B7,MMWR_TRAD_AGG_ST_DISTRICT_COMP[],O$1,0),"ERROR",
VLOOKUP($B7,MMWR_TRAD_AGG_ST_DISTRICT_COMP[],O$1,0))</f>
        <v>28666</v>
      </c>
      <c r="P7" s="105">
        <f t="shared" si="3"/>
        <v>0.72381577618422377</v>
      </c>
      <c r="Q7" s="102">
        <f>IF(SUM(Q8:Q22)&lt;&gt;VLOOKUP($B7,MMWR_TRAD_AGG_ST_DISTRICT_COMP[],Q$1,0),"ERROR",
VLOOKUP($B7,MMWR_TRAD_AGG_ST_DISTRICT_COMP[],Q$1,0))</f>
        <v>9423</v>
      </c>
      <c r="R7" s="106">
        <f>IFERROR(VLOOKUP($B7,MMWR_TRAD_AGG_ST_DISTRICT_COMP[],R$1,0),"ERROR")</f>
        <v>141</v>
      </c>
      <c r="S7" s="106">
        <f>SUM(S8:S22)</f>
        <v>56745</v>
      </c>
      <c r="T7" s="28"/>
    </row>
    <row r="8" spans="1:20" s="123" customFormat="1" x14ac:dyDescent="0.2">
      <c r="A8" s="107"/>
      <c r="B8" s="127" t="s">
        <v>372</v>
      </c>
      <c r="C8" s="109">
        <f>IFERROR(VLOOKUP($B8,MMWR_TRAD_AGG_STATE_COMP[],C$1,0),"ERROR")</f>
        <v>712</v>
      </c>
      <c r="D8" s="110">
        <f>IFERROR(VLOOKUP($B8,MMWR_TRAD_AGG_STATE_COMP[],D$1,0),"ERROR")</f>
        <v>279.5547752809</v>
      </c>
      <c r="E8" s="111">
        <f>IFERROR(VLOOKUP($B8,MMWR_TRAD_AGG_STATE_COMP[],E$1,0),"ERROR")</f>
        <v>1909</v>
      </c>
      <c r="F8" s="112">
        <f>IFERROR(VLOOKUP($B8,MMWR_TRAD_AGG_STATE_COMP[],F$1,0),"ERROR")</f>
        <v>308</v>
      </c>
      <c r="G8" s="113">
        <f t="shared" si="0"/>
        <v>0.16134101623886851</v>
      </c>
      <c r="H8" s="111">
        <f>IFERROR(VLOOKUP($B8,MMWR_TRAD_AGG_STATE_COMP[],H$1,0),"ERROR")</f>
        <v>2623</v>
      </c>
      <c r="I8" s="112">
        <f>IFERROR(VLOOKUP($B8,MMWR_TRAD_AGG_STATE_COMP[],I$1,0),"ERROR")</f>
        <v>792</v>
      </c>
      <c r="J8" s="114">
        <f t="shared" si="1"/>
        <v>0.30194433854365232</v>
      </c>
      <c r="K8" s="111">
        <f>IFERROR(VLOOKUP($B8,MMWR_TRAD_AGG_STATE_COMP[],K$1,0),"ERROR")</f>
        <v>601</v>
      </c>
      <c r="L8" s="112">
        <f>IFERROR(VLOOKUP($B8,MMWR_TRAD_AGG_STATE_COMP[],L$1,0),"ERROR")</f>
        <v>369</v>
      </c>
      <c r="M8" s="114">
        <f t="shared" si="2"/>
        <v>0.6139767054908486</v>
      </c>
      <c r="N8" s="111">
        <f>IFERROR(VLOOKUP($B8,MMWR_TRAD_AGG_STATE_COMP[],N$1,0),"ERROR")</f>
        <v>1118</v>
      </c>
      <c r="O8" s="112">
        <f>IFERROR(VLOOKUP($B8,MMWR_TRAD_AGG_STATE_COMP[],O$1,0),"ERROR")</f>
        <v>846</v>
      </c>
      <c r="P8" s="114">
        <f t="shared" si="3"/>
        <v>0.75670840787119853</v>
      </c>
      <c r="Q8" s="115">
        <f>IFERROR(VLOOKUP($B8,MMWR_TRAD_AGG_STATE_COMP[],Q$1,0),"ERROR")</f>
        <v>309</v>
      </c>
      <c r="R8" s="115">
        <f>IFERROR(VLOOKUP($B8,MMWR_TRAD_AGG_STATE_COMP[],R$1,0),"ERROR")</f>
        <v>5</v>
      </c>
      <c r="S8" s="115">
        <f>IFERROR(VLOOKUP($B8,MMWR_APP_STATE_COMP[],S$1,0),"ERROR")</f>
        <v>1391</v>
      </c>
      <c r="T8" s="28"/>
    </row>
    <row r="9" spans="1:20" s="123" customFormat="1" x14ac:dyDescent="0.2">
      <c r="A9" s="107"/>
      <c r="B9" s="127" t="s">
        <v>422</v>
      </c>
      <c r="C9" s="109">
        <f>IFERROR(VLOOKUP($B9,MMWR_TRAD_AGG_STATE_COMP[],C$1,0),"ERROR")</f>
        <v>667</v>
      </c>
      <c r="D9" s="110">
        <f>IFERROR(VLOOKUP($B9,MMWR_TRAD_AGG_STATE_COMP[],D$1,0),"ERROR")</f>
        <v>415.66266866569998</v>
      </c>
      <c r="E9" s="111">
        <f>IFERROR(VLOOKUP($B9,MMWR_TRAD_AGG_STATE_COMP[],E$1,0),"ERROR")</f>
        <v>1004</v>
      </c>
      <c r="F9" s="112">
        <f>IFERROR(VLOOKUP($B9,MMWR_TRAD_AGG_STATE_COMP[],F$1,0),"ERROR")</f>
        <v>223</v>
      </c>
      <c r="G9" s="113">
        <f t="shared" si="0"/>
        <v>0.22211155378486055</v>
      </c>
      <c r="H9" s="111">
        <f>IFERROR(VLOOKUP($B9,MMWR_TRAD_AGG_STATE_COMP[],H$1,0),"ERROR")</f>
        <v>1299</v>
      </c>
      <c r="I9" s="112">
        <f>IFERROR(VLOOKUP($B9,MMWR_TRAD_AGG_STATE_COMP[],I$1,0),"ERROR")</f>
        <v>627</v>
      </c>
      <c r="J9" s="114">
        <f t="shared" si="1"/>
        <v>0.48267898383371827</v>
      </c>
      <c r="K9" s="111">
        <f>IFERROR(VLOOKUP($B9,MMWR_TRAD_AGG_STATE_COMP[],K$1,0),"ERROR")</f>
        <v>260</v>
      </c>
      <c r="L9" s="112">
        <f>IFERROR(VLOOKUP($B9,MMWR_TRAD_AGG_STATE_COMP[],L$1,0),"ERROR")</f>
        <v>186</v>
      </c>
      <c r="M9" s="114">
        <f t="shared" si="2"/>
        <v>0.7153846153846154</v>
      </c>
      <c r="N9" s="111">
        <f>IFERROR(VLOOKUP($B9,MMWR_TRAD_AGG_STATE_COMP[],N$1,0),"ERROR")</f>
        <v>396</v>
      </c>
      <c r="O9" s="112">
        <f>IFERROR(VLOOKUP($B9,MMWR_TRAD_AGG_STATE_COMP[],O$1,0),"ERROR")</f>
        <v>236</v>
      </c>
      <c r="P9" s="114">
        <f t="shared" si="3"/>
        <v>0.59595959595959591</v>
      </c>
      <c r="Q9" s="115">
        <f>IFERROR(VLOOKUP($B9,MMWR_TRAD_AGG_STATE_COMP[],Q$1,0),"ERROR")</f>
        <v>74</v>
      </c>
      <c r="R9" s="115">
        <f>IFERROR(VLOOKUP($B9,MMWR_TRAD_AGG_STATE_COMP[],R$1,0),"ERROR")</f>
        <v>0</v>
      </c>
      <c r="S9" s="115">
        <f>IFERROR(VLOOKUP($B9,MMWR_APP_STATE_COMP[],S$1,0),"ERROR")</f>
        <v>631</v>
      </c>
      <c r="T9" s="28"/>
    </row>
    <row r="10" spans="1:20" s="123" customFormat="1" x14ac:dyDescent="0.2">
      <c r="A10" s="107"/>
      <c r="B10" s="127" t="s">
        <v>413</v>
      </c>
      <c r="C10" s="109">
        <f>IFERROR(VLOOKUP($B10,MMWR_TRAD_AGG_STATE_COMP[],C$1,0),"ERROR")</f>
        <v>416</v>
      </c>
      <c r="D10" s="110">
        <f>IFERROR(VLOOKUP($B10,MMWR_TRAD_AGG_STATE_COMP[],D$1,0),"ERROR")</f>
        <v>592.04326923079998</v>
      </c>
      <c r="E10" s="111">
        <f>IFERROR(VLOOKUP($B10,MMWR_TRAD_AGG_STATE_COMP[],E$1,0),"ERROR")</f>
        <v>454</v>
      </c>
      <c r="F10" s="112">
        <f>IFERROR(VLOOKUP($B10,MMWR_TRAD_AGG_STATE_COMP[],F$1,0),"ERROR")</f>
        <v>91</v>
      </c>
      <c r="G10" s="113">
        <f t="shared" si="0"/>
        <v>0.20044052863436124</v>
      </c>
      <c r="H10" s="111">
        <f>IFERROR(VLOOKUP($B10,MMWR_TRAD_AGG_STATE_COMP[],H$1,0),"ERROR")</f>
        <v>765</v>
      </c>
      <c r="I10" s="112">
        <f>IFERROR(VLOOKUP($B10,MMWR_TRAD_AGG_STATE_COMP[],I$1,0),"ERROR")</f>
        <v>391</v>
      </c>
      <c r="J10" s="114">
        <f t="shared" si="1"/>
        <v>0.51111111111111107</v>
      </c>
      <c r="K10" s="111">
        <f>IFERROR(VLOOKUP($B10,MMWR_TRAD_AGG_STATE_COMP[],K$1,0),"ERROR")</f>
        <v>204</v>
      </c>
      <c r="L10" s="112">
        <f>IFERROR(VLOOKUP($B10,MMWR_TRAD_AGG_STATE_COMP[],L$1,0),"ERROR")</f>
        <v>173</v>
      </c>
      <c r="M10" s="114">
        <f t="shared" si="2"/>
        <v>0.84803921568627449</v>
      </c>
      <c r="N10" s="111">
        <f>IFERROR(VLOOKUP($B10,MMWR_TRAD_AGG_STATE_COMP[],N$1,0),"ERROR")</f>
        <v>370</v>
      </c>
      <c r="O10" s="112">
        <f>IFERROR(VLOOKUP($B10,MMWR_TRAD_AGG_STATE_COMP[],O$1,0),"ERROR")</f>
        <v>283</v>
      </c>
      <c r="P10" s="114">
        <f t="shared" si="3"/>
        <v>0.76486486486486482</v>
      </c>
      <c r="Q10" s="115">
        <f>IFERROR(VLOOKUP($B10,MMWR_TRAD_AGG_STATE_COMP[],Q$1,0),"ERROR")</f>
        <v>30</v>
      </c>
      <c r="R10" s="115">
        <f>IFERROR(VLOOKUP($B10,MMWR_TRAD_AGG_STATE_COMP[],R$1,0),"ERROR")</f>
        <v>0</v>
      </c>
      <c r="S10" s="115">
        <f>IFERROR(VLOOKUP($B10,MMWR_APP_STATE_COMP[],S$1,0),"ERROR")</f>
        <v>597</v>
      </c>
      <c r="T10" s="28"/>
    </row>
    <row r="11" spans="1:20" s="123" customFormat="1" x14ac:dyDescent="0.2">
      <c r="A11" s="107"/>
      <c r="B11" s="127" t="s">
        <v>415</v>
      </c>
      <c r="C11" s="109">
        <f>IFERROR(VLOOKUP($B11,MMWR_TRAD_AGG_STATE_COMP[],C$1,0),"ERROR")</f>
        <v>1092</v>
      </c>
      <c r="D11" s="110">
        <f>IFERROR(VLOOKUP($B11,MMWR_TRAD_AGG_STATE_COMP[],D$1,0),"ERROR")</f>
        <v>307.34523809519999</v>
      </c>
      <c r="E11" s="111">
        <f>IFERROR(VLOOKUP($B11,MMWR_TRAD_AGG_STATE_COMP[],E$1,0),"ERROR")</f>
        <v>1289</v>
      </c>
      <c r="F11" s="112">
        <f>IFERROR(VLOOKUP($B11,MMWR_TRAD_AGG_STATE_COMP[],F$1,0),"ERROR")</f>
        <v>177</v>
      </c>
      <c r="G11" s="113">
        <f t="shared" si="0"/>
        <v>0.1373157486423584</v>
      </c>
      <c r="H11" s="111">
        <f>IFERROR(VLOOKUP($B11,MMWR_TRAD_AGG_STATE_COMP[],H$1,0),"ERROR")</f>
        <v>2104</v>
      </c>
      <c r="I11" s="112">
        <f>IFERROR(VLOOKUP($B11,MMWR_TRAD_AGG_STATE_COMP[],I$1,0),"ERROR")</f>
        <v>887</v>
      </c>
      <c r="J11" s="114">
        <f t="shared" si="1"/>
        <v>0.42157794676806082</v>
      </c>
      <c r="K11" s="111">
        <f>IFERROR(VLOOKUP($B11,MMWR_TRAD_AGG_STATE_COMP[],K$1,0),"ERROR")</f>
        <v>848</v>
      </c>
      <c r="L11" s="112">
        <f>IFERROR(VLOOKUP($B11,MMWR_TRAD_AGG_STATE_COMP[],L$1,0),"ERROR")</f>
        <v>637</v>
      </c>
      <c r="M11" s="114">
        <f t="shared" si="2"/>
        <v>0.75117924528301883</v>
      </c>
      <c r="N11" s="111">
        <f>IFERROR(VLOOKUP($B11,MMWR_TRAD_AGG_STATE_COMP[],N$1,0),"ERROR")</f>
        <v>460</v>
      </c>
      <c r="O11" s="112">
        <f>IFERROR(VLOOKUP($B11,MMWR_TRAD_AGG_STATE_COMP[],O$1,0),"ERROR")</f>
        <v>283</v>
      </c>
      <c r="P11" s="114">
        <f t="shared" si="3"/>
        <v>0.61521739130434783</v>
      </c>
      <c r="Q11" s="115">
        <f>IFERROR(VLOOKUP($B11,MMWR_TRAD_AGG_STATE_COMP[],Q$1,0),"ERROR")</f>
        <v>392</v>
      </c>
      <c r="R11" s="115">
        <f>IFERROR(VLOOKUP($B11,MMWR_TRAD_AGG_STATE_COMP[],R$1,0),"ERROR")</f>
        <v>2</v>
      </c>
      <c r="S11" s="115">
        <f>IFERROR(VLOOKUP($B11,MMWR_APP_STATE_COMP[],S$1,0),"ERROR")</f>
        <v>498</v>
      </c>
      <c r="T11" s="28"/>
    </row>
    <row r="12" spans="1:20" s="123" customFormat="1" x14ac:dyDescent="0.2">
      <c r="A12" s="107"/>
      <c r="B12" s="127" t="s">
        <v>375</v>
      </c>
      <c r="C12" s="109">
        <f>IFERROR(VLOOKUP($B12,MMWR_TRAD_AGG_STATE_COMP[],C$1,0),"ERROR")</f>
        <v>8168</v>
      </c>
      <c r="D12" s="110">
        <f>IFERROR(VLOOKUP($B12,MMWR_TRAD_AGG_STATE_COMP[],D$1,0),"ERROR")</f>
        <v>638.22575905969995</v>
      </c>
      <c r="E12" s="111">
        <f>IFERROR(VLOOKUP($B12,MMWR_TRAD_AGG_STATE_COMP[],E$1,0),"ERROR")</f>
        <v>6529</v>
      </c>
      <c r="F12" s="112">
        <f>IFERROR(VLOOKUP($B12,MMWR_TRAD_AGG_STATE_COMP[],F$1,0),"ERROR")</f>
        <v>1474</v>
      </c>
      <c r="G12" s="113">
        <f t="shared" si="0"/>
        <v>0.22576198499004441</v>
      </c>
      <c r="H12" s="111">
        <f>IFERROR(VLOOKUP($B12,MMWR_TRAD_AGG_STATE_COMP[],H$1,0),"ERROR")</f>
        <v>12574</v>
      </c>
      <c r="I12" s="112">
        <f>IFERROR(VLOOKUP($B12,MMWR_TRAD_AGG_STATE_COMP[],I$1,0),"ERROR")</f>
        <v>7917</v>
      </c>
      <c r="J12" s="114">
        <f t="shared" si="1"/>
        <v>0.62963257515508186</v>
      </c>
      <c r="K12" s="111">
        <f>IFERROR(VLOOKUP($B12,MMWR_TRAD_AGG_STATE_COMP[],K$1,0),"ERROR")</f>
        <v>4295</v>
      </c>
      <c r="L12" s="112">
        <f>IFERROR(VLOOKUP($B12,MMWR_TRAD_AGG_STATE_COMP[],L$1,0),"ERROR")</f>
        <v>3695</v>
      </c>
      <c r="M12" s="114">
        <f t="shared" si="2"/>
        <v>0.86030267753201395</v>
      </c>
      <c r="N12" s="111">
        <f>IFERROR(VLOOKUP($B12,MMWR_TRAD_AGG_STATE_COMP[],N$1,0),"ERROR")</f>
        <v>3261</v>
      </c>
      <c r="O12" s="112">
        <f>IFERROR(VLOOKUP($B12,MMWR_TRAD_AGG_STATE_COMP[],O$1,0),"ERROR")</f>
        <v>2297</v>
      </c>
      <c r="P12" s="114">
        <f t="shared" si="3"/>
        <v>0.70438515792701628</v>
      </c>
      <c r="Q12" s="115">
        <f>IFERROR(VLOOKUP($B12,MMWR_TRAD_AGG_STATE_COMP[],Q$1,0),"ERROR")</f>
        <v>498</v>
      </c>
      <c r="R12" s="115">
        <f>IFERROR(VLOOKUP($B12,MMWR_TRAD_AGG_STATE_COMP[],R$1,0),"ERROR")</f>
        <v>6</v>
      </c>
      <c r="S12" s="115">
        <f>IFERROR(VLOOKUP($B12,MMWR_APP_STATE_COMP[],S$1,0),"ERROR")</f>
        <v>5759</v>
      </c>
      <c r="T12" s="28"/>
    </row>
    <row r="13" spans="1:20" s="123" customFormat="1" x14ac:dyDescent="0.2">
      <c r="A13" s="107"/>
      <c r="B13" s="127" t="s">
        <v>370</v>
      </c>
      <c r="C13" s="109">
        <f>IFERROR(VLOOKUP($B13,MMWR_TRAD_AGG_STATE_COMP[],C$1,0),"ERROR")</f>
        <v>3529</v>
      </c>
      <c r="D13" s="110">
        <f>IFERROR(VLOOKUP($B13,MMWR_TRAD_AGG_STATE_COMP[],D$1,0),"ERROR")</f>
        <v>544.42759988670002</v>
      </c>
      <c r="E13" s="111">
        <f>IFERROR(VLOOKUP($B13,MMWR_TRAD_AGG_STATE_COMP[],E$1,0),"ERROR")</f>
        <v>4384</v>
      </c>
      <c r="F13" s="112">
        <f>IFERROR(VLOOKUP($B13,MMWR_TRAD_AGG_STATE_COMP[],F$1,0),"ERROR")</f>
        <v>888</v>
      </c>
      <c r="G13" s="113">
        <f t="shared" si="0"/>
        <v>0.20255474452554745</v>
      </c>
      <c r="H13" s="111">
        <f>IFERROR(VLOOKUP($B13,MMWR_TRAD_AGG_STATE_COMP[],H$1,0),"ERROR")</f>
        <v>7661</v>
      </c>
      <c r="I13" s="112">
        <f>IFERROR(VLOOKUP($B13,MMWR_TRAD_AGG_STATE_COMP[],I$1,0),"ERROR")</f>
        <v>3754</v>
      </c>
      <c r="J13" s="114">
        <f t="shared" si="1"/>
        <v>0.49001435843884611</v>
      </c>
      <c r="K13" s="111">
        <f>IFERROR(VLOOKUP($B13,MMWR_TRAD_AGG_STATE_COMP[],K$1,0),"ERROR")</f>
        <v>2611</v>
      </c>
      <c r="L13" s="112">
        <f>IFERROR(VLOOKUP($B13,MMWR_TRAD_AGG_STATE_COMP[],L$1,0),"ERROR")</f>
        <v>2111</v>
      </c>
      <c r="M13" s="114">
        <f t="shared" si="2"/>
        <v>0.80850248946763692</v>
      </c>
      <c r="N13" s="111">
        <f>IFERROR(VLOOKUP($B13,MMWR_TRAD_AGG_STATE_COMP[],N$1,0),"ERROR")</f>
        <v>1363</v>
      </c>
      <c r="O13" s="112">
        <f>IFERROR(VLOOKUP($B13,MMWR_TRAD_AGG_STATE_COMP[],O$1,0),"ERROR")</f>
        <v>1037</v>
      </c>
      <c r="P13" s="114">
        <f t="shared" si="3"/>
        <v>0.76082171680117383</v>
      </c>
      <c r="Q13" s="115">
        <f>IFERROR(VLOOKUP($B13,MMWR_TRAD_AGG_STATE_COMP[],Q$1,0),"ERROR")</f>
        <v>790</v>
      </c>
      <c r="R13" s="115">
        <f>IFERROR(VLOOKUP($B13,MMWR_TRAD_AGG_STATE_COMP[],R$1,0),"ERROR")</f>
        <v>12</v>
      </c>
      <c r="S13" s="115">
        <f>IFERROR(VLOOKUP($B13,MMWR_APP_STATE_COMP[],S$1,0),"ERROR")</f>
        <v>3349</v>
      </c>
      <c r="T13" s="28"/>
    </row>
    <row r="14" spans="1:20" s="123" customFormat="1" x14ac:dyDescent="0.2">
      <c r="A14" s="107"/>
      <c r="B14" s="127" t="s">
        <v>414</v>
      </c>
      <c r="C14" s="109">
        <f>IFERROR(VLOOKUP($B14,MMWR_TRAD_AGG_STATE_COMP[],C$1,0),"ERROR")</f>
        <v>994</v>
      </c>
      <c r="D14" s="110">
        <f>IFERROR(VLOOKUP($B14,MMWR_TRAD_AGG_STATE_COMP[],D$1,0),"ERROR")</f>
        <v>263.46277665999997</v>
      </c>
      <c r="E14" s="111">
        <f>IFERROR(VLOOKUP($B14,MMWR_TRAD_AGG_STATE_COMP[],E$1,0),"ERROR")</f>
        <v>1340</v>
      </c>
      <c r="F14" s="112">
        <f>IFERROR(VLOOKUP($B14,MMWR_TRAD_AGG_STATE_COMP[],F$1,0),"ERROR")</f>
        <v>211</v>
      </c>
      <c r="G14" s="113">
        <f t="shared" si="0"/>
        <v>0.15746268656716417</v>
      </c>
      <c r="H14" s="111">
        <f>IFERROR(VLOOKUP($B14,MMWR_TRAD_AGG_STATE_COMP[],H$1,0),"ERROR")</f>
        <v>1995</v>
      </c>
      <c r="I14" s="112">
        <f>IFERROR(VLOOKUP($B14,MMWR_TRAD_AGG_STATE_COMP[],I$1,0),"ERROR")</f>
        <v>848</v>
      </c>
      <c r="J14" s="114">
        <f t="shared" si="1"/>
        <v>0.42506265664160403</v>
      </c>
      <c r="K14" s="111">
        <f>IFERROR(VLOOKUP($B14,MMWR_TRAD_AGG_STATE_COMP[],K$1,0),"ERROR")</f>
        <v>350</v>
      </c>
      <c r="L14" s="112">
        <f>IFERROR(VLOOKUP($B14,MMWR_TRAD_AGG_STATE_COMP[],L$1,0),"ERROR")</f>
        <v>253</v>
      </c>
      <c r="M14" s="114">
        <f t="shared" si="2"/>
        <v>0.72285714285714286</v>
      </c>
      <c r="N14" s="111">
        <f>IFERROR(VLOOKUP($B14,MMWR_TRAD_AGG_STATE_COMP[],N$1,0),"ERROR")</f>
        <v>340</v>
      </c>
      <c r="O14" s="112">
        <f>IFERROR(VLOOKUP($B14,MMWR_TRAD_AGG_STATE_COMP[],O$1,0),"ERROR")</f>
        <v>178</v>
      </c>
      <c r="P14" s="114">
        <f t="shared" si="3"/>
        <v>0.52352941176470591</v>
      </c>
      <c r="Q14" s="115">
        <f>IFERROR(VLOOKUP($B14,MMWR_TRAD_AGG_STATE_COMP[],Q$1,0),"ERROR")</f>
        <v>206</v>
      </c>
      <c r="R14" s="115">
        <f>IFERROR(VLOOKUP($B14,MMWR_TRAD_AGG_STATE_COMP[],R$1,0),"ERROR")</f>
        <v>4</v>
      </c>
      <c r="S14" s="115">
        <f>IFERROR(VLOOKUP($B14,MMWR_APP_STATE_COMP[],S$1,0),"ERROR")</f>
        <v>611</v>
      </c>
      <c r="T14" s="28"/>
    </row>
    <row r="15" spans="1:20" s="123" customFormat="1" x14ac:dyDescent="0.2">
      <c r="A15" s="107"/>
      <c r="B15" s="127" t="s">
        <v>373</v>
      </c>
      <c r="C15" s="109">
        <f>IFERROR(VLOOKUP($B15,MMWR_TRAD_AGG_STATE_COMP[],C$1,0),"ERROR")</f>
        <v>1570</v>
      </c>
      <c r="D15" s="110">
        <f>IFERROR(VLOOKUP($B15,MMWR_TRAD_AGG_STATE_COMP[],D$1,0),"ERROR")</f>
        <v>335.30318471340001</v>
      </c>
      <c r="E15" s="111">
        <f>IFERROR(VLOOKUP($B15,MMWR_TRAD_AGG_STATE_COMP[],E$1,0),"ERROR")</f>
        <v>4556</v>
      </c>
      <c r="F15" s="112">
        <f>IFERROR(VLOOKUP($B15,MMWR_TRAD_AGG_STATE_COMP[],F$1,0),"ERROR")</f>
        <v>1249</v>
      </c>
      <c r="G15" s="113">
        <f t="shared" si="0"/>
        <v>0.27414398595258999</v>
      </c>
      <c r="H15" s="111">
        <f>IFERROR(VLOOKUP($B15,MMWR_TRAD_AGG_STATE_COMP[],H$1,0),"ERROR")</f>
        <v>4354</v>
      </c>
      <c r="I15" s="112">
        <f>IFERROR(VLOOKUP($B15,MMWR_TRAD_AGG_STATE_COMP[],I$1,0),"ERROR")</f>
        <v>1657</v>
      </c>
      <c r="J15" s="114">
        <f t="shared" si="1"/>
        <v>0.38056959118052364</v>
      </c>
      <c r="K15" s="111">
        <f>IFERROR(VLOOKUP($B15,MMWR_TRAD_AGG_STATE_COMP[],K$1,0),"ERROR")</f>
        <v>1372</v>
      </c>
      <c r="L15" s="112">
        <f>IFERROR(VLOOKUP($B15,MMWR_TRAD_AGG_STATE_COMP[],L$1,0),"ERROR")</f>
        <v>1147</v>
      </c>
      <c r="M15" s="114">
        <f t="shared" si="2"/>
        <v>0.8360058309037901</v>
      </c>
      <c r="N15" s="111">
        <f>IFERROR(VLOOKUP($B15,MMWR_TRAD_AGG_STATE_COMP[],N$1,0),"ERROR")</f>
        <v>2480</v>
      </c>
      <c r="O15" s="112">
        <f>IFERROR(VLOOKUP($B15,MMWR_TRAD_AGG_STATE_COMP[],O$1,0),"ERROR")</f>
        <v>1807</v>
      </c>
      <c r="P15" s="114">
        <f t="shared" si="3"/>
        <v>0.72862903225806452</v>
      </c>
      <c r="Q15" s="115">
        <f>IFERROR(VLOOKUP($B15,MMWR_TRAD_AGG_STATE_COMP[],Q$1,0),"ERROR")</f>
        <v>790</v>
      </c>
      <c r="R15" s="115">
        <f>IFERROR(VLOOKUP($B15,MMWR_TRAD_AGG_STATE_COMP[],R$1,0),"ERROR")</f>
        <v>6</v>
      </c>
      <c r="S15" s="115">
        <f>IFERROR(VLOOKUP($B15,MMWR_APP_STATE_COMP[],S$1,0),"ERROR")</f>
        <v>3838</v>
      </c>
      <c r="T15" s="28"/>
    </row>
    <row r="16" spans="1:20" s="123" customFormat="1" x14ac:dyDescent="0.2">
      <c r="A16" s="107"/>
      <c r="B16" s="127" t="s">
        <v>60</v>
      </c>
      <c r="C16" s="109">
        <f>IFERROR(VLOOKUP($B16,MMWR_TRAD_AGG_STATE_COMP[],C$1,0),"ERROR")</f>
        <v>3475</v>
      </c>
      <c r="D16" s="110">
        <f>IFERROR(VLOOKUP($B16,MMWR_TRAD_AGG_STATE_COMP[],D$1,0),"ERROR")</f>
        <v>291.74503597120002</v>
      </c>
      <c r="E16" s="111">
        <f>IFERROR(VLOOKUP($B16,MMWR_TRAD_AGG_STATE_COMP[],E$1,0),"ERROR")</f>
        <v>9377</v>
      </c>
      <c r="F16" s="112">
        <f>IFERROR(VLOOKUP($B16,MMWR_TRAD_AGG_STATE_COMP[],F$1,0),"ERROR")</f>
        <v>2235</v>
      </c>
      <c r="G16" s="113">
        <f t="shared" si="0"/>
        <v>0.23834915218086808</v>
      </c>
      <c r="H16" s="111">
        <f>IFERROR(VLOOKUP($B16,MMWR_TRAD_AGG_STATE_COMP[],H$1,0),"ERROR")</f>
        <v>9608</v>
      </c>
      <c r="I16" s="112">
        <f>IFERROR(VLOOKUP($B16,MMWR_TRAD_AGG_STATE_COMP[],I$1,0),"ERROR")</f>
        <v>3750</v>
      </c>
      <c r="J16" s="114">
        <f t="shared" si="1"/>
        <v>0.39029975020815988</v>
      </c>
      <c r="K16" s="111">
        <f>IFERROR(VLOOKUP($B16,MMWR_TRAD_AGG_STATE_COMP[],K$1,0),"ERROR")</f>
        <v>3315</v>
      </c>
      <c r="L16" s="112">
        <f>IFERROR(VLOOKUP($B16,MMWR_TRAD_AGG_STATE_COMP[],L$1,0),"ERROR")</f>
        <v>2640</v>
      </c>
      <c r="M16" s="114">
        <f t="shared" si="2"/>
        <v>0.7963800904977375</v>
      </c>
      <c r="N16" s="111">
        <f>IFERROR(VLOOKUP($B16,MMWR_TRAD_AGG_STATE_COMP[],N$1,0),"ERROR")</f>
        <v>6025</v>
      </c>
      <c r="O16" s="112">
        <f>IFERROR(VLOOKUP($B16,MMWR_TRAD_AGG_STATE_COMP[],O$1,0),"ERROR")</f>
        <v>3984</v>
      </c>
      <c r="P16" s="114">
        <f t="shared" si="3"/>
        <v>0.66124481327800833</v>
      </c>
      <c r="Q16" s="115">
        <f>IFERROR(VLOOKUP($B16,MMWR_TRAD_AGG_STATE_COMP[],Q$1,0),"ERROR")</f>
        <v>1714</v>
      </c>
      <c r="R16" s="115">
        <f>IFERROR(VLOOKUP($B16,MMWR_TRAD_AGG_STATE_COMP[],R$1,0),"ERROR")</f>
        <v>11</v>
      </c>
      <c r="S16" s="115">
        <f>IFERROR(VLOOKUP($B16,MMWR_APP_STATE_COMP[],S$1,0),"ERROR")</f>
        <v>5377</v>
      </c>
      <c r="T16" s="28"/>
    </row>
    <row r="17" spans="1:20" s="123" customFormat="1" x14ac:dyDescent="0.2">
      <c r="A17" s="107"/>
      <c r="B17" s="127" t="s">
        <v>381</v>
      </c>
      <c r="C17" s="109">
        <f>IFERROR(VLOOKUP($B17,MMWR_TRAD_AGG_STATE_COMP[],C$1,0),"ERROR")</f>
        <v>13699</v>
      </c>
      <c r="D17" s="110">
        <f>IFERROR(VLOOKUP($B17,MMWR_TRAD_AGG_STATE_COMP[],D$1,0),"ERROR")</f>
        <v>305.5920870137</v>
      </c>
      <c r="E17" s="111">
        <f>IFERROR(VLOOKUP($B17,MMWR_TRAD_AGG_STATE_COMP[],E$1,0),"ERROR")</f>
        <v>17754</v>
      </c>
      <c r="F17" s="112">
        <f>IFERROR(VLOOKUP($B17,MMWR_TRAD_AGG_STATE_COMP[],F$1,0),"ERROR")</f>
        <v>4259</v>
      </c>
      <c r="G17" s="113">
        <f t="shared" si="0"/>
        <v>0.23988960234313395</v>
      </c>
      <c r="H17" s="111">
        <f>IFERROR(VLOOKUP($B17,MMWR_TRAD_AGG_STATE_COMP[],H$1,0),"ERROR")</f>
        <v>20950</v>
      </c>
      <c r="I17" s="112">
        <f>IFERROR(VLOOKUP($B17,MMWR_TRAD_AGG_STATE_COMP[],I$1,0),"ERROR")</f>
        <v>12164</v>
      </c>
      <c r="J17" s="114">
        <f t="shared" si="1"/>
        <v>0.58062052505966588</v>
      </c>
      <c r="K17" s="111">
        <f>IFERROR(VLOOKUP($B17,MMWR_TRAD_AGG_STATE_COMP[],K$1,0),"ERROR")</f>
        <v>8964</v>
      </c>
      <c r="L17" s="112">
        <f>IFERROR(VLOOKUP($B17,MMWR_TRAD_AGG_STATE_COMP[],L$1,0),"ERROR")</f>
        <v>7186</v>
      </c>
      <c r="M17" s="114">
        <f t="shared" si="2"/>
        <v>0.8016510486390005</v>
      </c>
      <c r="N17" s="111">
        <f>IFERROR(VLOOKUP($B17,MMWR_TRAD_AGG_STATE_COMP[],N$1,0),"ERROR")</f>
        <v>7550</v>
      </c>
      <c r="O17" s="112">
        <f>IFERROR(VLOOKUP($B17,MMWR_TRAD_AGG_STATE_COMP[],O$1,0),"ERROR")</f>
        <v>5207</v>
      </c>
      <c r="P17" s="114">
        <f t="shared" si="3"/>
        <v>0.68966887417218548</v>
      </c>
      <c r="Q17" s="115">
        <f>IFERROR(VLOOKUP($B17,MMWR_TRAD_AGG_STATE_COMP[],Q$1,0),"ERROR")</f>
        <v>1287</v>
      </c>
      <c r="R17" s="115">
        <f>IFERROR(VLOOKUP($B17,MMWR_TRAD_AGG_STATE_COMP[],R$1,0),"ERROR")</f>
        <v>45</v>
      </c>
      <c r="S17" s="115">
        <f>IFERROR(VLOOKUP($B17,MMWR_APP_STATE_COMP[],S$1,0),"ERROR")</f>
        <v>9420</v>
      </c>
      <c r="T17" s="28"/>
    </row>
    <row r="18" spans="1:20" s="123" customFormat="1" x14ac:dyDescent="0.2">
      <c r="A18" s="107"/>
      <c r="B18" s="127" t="s">
        <v>374</v>
      </c>
      <c r="C18" s="109">
        <f>IFERROR(VLOOKUP($B18,MMWR_TRAD_AGG_STATE_COMP[],C$1,0),"ERROR")</f>
        <v>5178</v>
      </c>
      <c r="D18" s="110">
        <f>IFERROR(VLOOKUP($B18,MMWR_TRAD_AGG_STATE_COMP[],D$1,0),"ERROR")</f>
        <v>393.54383932019999</v>
      </c>
      <c r="E18" s="111">
        <f>IFERROR(VLOOKUP($B18,MMWR_TRAD_AGG_STATE_COMP[],E$1,0),"ERROR")</f>
        <v>9907</v>
      </c>
      <c r="F18" s="112">
        <f>IFERROR(VLOOKUP($B18,MMWR_TRAD_AGG_STATE_COMP[],F$1,0),"ERROR")</f>
        <v>2791</v>
      </c>
      <c r="G18" s="113">
        <f t="shared" si="0"/>
        <v>0.28171999596245079</v>
      </c>
      <c r="H18" s="111">
        <f>IFERROR(VLOOKUP($B18,MMWR_TRAD_AGG_STATE_COMP[],H$1,0),"ERROR")</f>
        <v>11659</v>
      </c>
      <c r="I18" s="112">
        <f>IFERROR(VLOOKUP($B18,MMWR_TRAD_AGG_STATE_COMP[],I$1,0),"ERROR")</f>
        <v>5811</v>
      </c>
      <c r="J18" s="114">
        <f t="shared" si="1"/>
        <v>0.49841324298824941</v>
      </c>
      <c r="K18" s="111">
        <f>IFERROR(VLOOKUP($B18,MMWR_TRAD_AGG_STATE_COMP[],K$1,0),"ERROR")</f>
        <v>2334</v>
      </c>
      <c r="L18" s="112">
        <f>IFERROR(VLOOKUP($B18,MMWR_TRAD_AGG_STATE_COMP[],L$1,0),"ERROR")</f>
        <v>1948</v>
      </c>
      <c r="M18" s="114">
        <f t="shared" si="2"/>
        <v>0.83461868037703513</v>
      </c>
      <c r="N18" s="111">
        <f>IFERROR(VLOOKUP($B18,MMWR_TRAD_AGG_STATE_COMP[],N$1,0),"ERROR")</f>
        <v>6418</v>
      </c>
      <c r="O18" s="112">
        <f>IFERROR(VLOOKUP($B18,MMWR_TRAD_AGG_STATE_COMP[],O$1,0),"ERROR")</f>
        <v>5246</v>
      </c>
      <c r="P18" s="114">
        <f t="shared" si="3"/>
        <v>0.81738859457775004</v>
      </c>
      <c r="Q18" s="115">
        <f>IFERROR(VLOOKUP($B18,MMWR_TRAD_AGG_STATE_COMP[],Q$1,0),"ERROR")</f>
        <v>1602</v>
      </c>
      <c r="R18" s="115">
        <f>IFERROR(VLOOKUP($B18,MMWR_TRAD_AGG_STATE_COMP[],R$1,0),"ERROR")</f>
        <v>16</v>
      </c>
      <c r="S18" s="115">
        <f>IFERROR(VLOOKUP($B18,MMWR_APP_STATE_COMP[],S$1,0),"ERROR")</f>
        <v>7235</v>
      </c>
      <c r="T18" s="28"/>
    </row>
    <row r="19" spans="1:20" s="123" customFormat="1" x14ac:dyDescent="0.2">
      <c r="A19" s="107"/>
      <c r="B19" s="127" t="s">
        <v>371</v>
      </c>
      <c r="C19" s="109">
        <f>IFERROR(VLOOKUP($B19,MMWR_TRAD_AGG_STATE_COMP[],C$1,0),"ERROR")</f>
        <v>265</v>
      </c>
      <c r="D19" s="110">
        <f>IFERROR(VLOOKUP($B19,MMWR_TRAD_AGG_STATE_COMP[],D$1,0),"ERROR")</f>
        <v>223.12830188679999</v>
      </c>
      <c r="E19" s="111">
        <f>IFERROR(VLOOKUP($B19,MMWR_TRAD_AGG_STATE_COMP[],E$1,0),"ERROR")</f>
        <v>921</v>
      </c>
      <c r="F19" s="112">
        <f>IFERROR(VLOOKUP($B19,MMWR_TRAD_AGG_STATE_COMP[],F$1,0),"ERROR")</f>
        <v>160</v>
      </c>
      <c r="G19" s="113">
        <f t="shared" si="0"/>
        <v>0.17372421281216069</v>
      </c>
      <c r="H19" s="111">
        <f>IFERROR(VLOOKUP($B19,MMWR_TRAD_AGG_STATE_COMP[],H$1,0),"ERROR")</f>
        <v>1071</v>
      </c>
      <c r="I19" s="112">
        <f>IFERROR(VLOOKUP($B19,MMWR_TRAD_AGG_STATE_COMP[],I$1,0),"ERROR")</f>
        <v>263</v>
      </c>
      <c r="J19" s="114">
        <f t="shared" si="1"/>
        <v>0.24556489262371614</v>
      </c>
      <c r="K19" s="111">
        <f>IFERROR(VLOOKUP($B19,MMWR_TRAD_AGG_STATE_COMP[],K$1,0),"ERROR")</f>
        <v>223</v>
      </c>
      <c r="L19" s="112">
        <f>IFERROR(VLOOKUP($B19,MMWR_TRAD_AGG_STATE_COMP[],L$1,0),"ERROR")</f>
        <v>167</v>
      </c>
      <c r="M19" s="114">
        <f t="shared" si="2"/>
        <v>0.7488789237668162</v>
      </c>
      <c r="N19" s="111">
        <f>IFERROR(VLOOKUP($B19,MMWR_TRAD_AGG_STATE_COMP[],N$1,0),"ERROR")</f>
        <v>231</v>
      </c>
      <c r="O19" s="112">
        <f>IFERROR(VLOOKUP($B19,MMWR_TRAD_AGG_STATE_COMP[],O$1,0),"ERROR")</f>
        <v>123</v>
      </c>
      <c r="P19" s="114">
        <f t="shared" si="3"/>
        <v>0.53246753246753242</v>
      </c>
      <c r="Q19" s="115">
        <f>IFERROR(VLOOKUP($B19,MMWR_TRAD_AGG_STATE_COMP[],Q$1,0),"ERROR")</f>
        <v>193</v>
      </c>
      <c r="R19" s="115">
        <f>IFERROR(VLOOKUP($B19,MMWR_TRAD_AGG_STATE_COMP[],R$1,0),"ERROR")</f>
        <v>3</v>
      </c>
      <c r="S19" s="115">
        <f>IFERROR(VLOOKUP($B19,MMWR_APP_STATE_COMP[],S$1,0),"ERROR")</f>
        <v>285</v>
      </c>
      <c r="T19" s="28"/>
    </row>
    <row r="20" spans="1:20" s="123" customFormat="1" x14ac:dyDescent="0.2">
      <c r="A20" s="107"/>
      <c r="B20" s="127" t="s">
        <v>416</v>
      </c>
      <c r="C20" s="109">
        <f>IFERROR(VLOOKUP($B20,MMWR_TRAD_AGG_STATE_COMP[],C$1,0),"ERROR")</f>
        <v>421</v>
      </c>
      <c r="D20" s="110">
        <f>IFERROR(VLOOKUP($B20,MMWR_TRAD_AGG_STATE_COMP[],D$1,0),"ERROR")</f>
        <v>337.6555819477</v>
      </c>
      <c r="E20" s="111">
        <f>IFERROR(VLOOKUP($B20,MMWR_TRAD_AGG_STATE_COMP[],E$1,0),"ERROR")</f>
        <v>530</v>
      </c>
      <c r="F20" s="112">
        <f>IFERROR(VLOOKUP($B20,MMWR_TRAD_AGG_STATE_COMP[],F$1,0),"ERROR")</f>
        <v>138</v>
      </c>
      <c r="G20" s="113">
        <f t="shared" si="0"/>
        <v>0.26037735849056604</v>
      </c>
      <c r="H20" s="111">
        <f>IFERROR(VLOOKUP($B20,MMWR_TRAD_AGG_STATE_COMP[],H$1,0),"ERROR")</f>
        <v>1080</v>
      </c>
      <c r="I20" s="112">
        <f>IFERROR(VLOOKUP($B20,MMWR_TRAD_AGG_STATE_COMP[],I$1,0),"ERROR")</f>
        <v>435</v>
      </c>
      <c r="J20" s="114">
        <f t="shared" si="1"/>
        <v>0.40277777777777779</v>
      </c>
      <c r="K20" s="111">
        <f>IFERROR(VLOOKUP($B20,MMWR_TRAD_AGG_STATE_COMP[],K$1,0),"ERROR")</f>
        <v>238</v>
      </c>
      <c r="L20" s="112">
        <f>IFERROR(VLOOKUP($B20,MMWR_TRAD_AGG_STATE_COMP[],L$1,0),"ERROR")</f>
        <v>185</v>
      </c>
      <c r="M20" s="114">
        <f t="shared" si="2"/>
        <v>0.77731092436974791</v>
      </c>
      <c r="N20" s="111">
        <f>IFERROR(VLOOKUP($B20,MMWR_TRAD_AGG_STATE_COMP[],N$1,0),"ERROR")</f>
        <v>187</v>
      </c>
      <c r="O20" s="112">
        <f>IFERROR(VLOOKUP($B20,MMWR_TRAD_AGG_STATE_COMP[],O$1,0),"ERROR")</f>
        <v>103</v>
      </c>
      <c r="P20" s="114">
        <f t="shared" si="3"/>
        <v>0.55080213903743314</v>
      </c>
      <c r="Q20" s="115">
        <f>IFERROR(VLOOKUP($B20,MMWR_TRAD_AGG_STATE_COMP[],Q$1,0),"ERROR")</f>
        <v>78</v>
      </c>
      <c r="R20" s="115">
        <f>IFERROR(VLOOKUP($B20,MMWR_TRAD_AGG_STATE_COMP[],R$1,0),"ERROR")</f>
        <v>2</v>
      </c>
      <c r="S20" s="115">
        <f>IFERROR(VLOOKUP($B20,MMWR_APP_STATE_COMP[],S$1,0),"ERROR")</f>
        <v>113</v>
      </c>
      <c r="T20" s="28"/>
    </row>
    <row r="21" spans="1:20" s="123" customFormat="1" x14ac:dyDescent="0.2">
      <c r="A21" s="107"/>
      <c r="B21" s="127" t="s">
        <v>377</v>
      </c>
      <c r="C21" s="109">
        <f>IFERROR(VLOOKUP($B21,MMWR_TRAD_AGG_STATE_COMP[],C$1,0),"ERROR")</f>
        <v>15515</v>
      </c>
      <c r="D21" s="110">
        <f>IFERROR(VLOOKUP($B21,MMWR_TRAD_AGG_STATE_COMP[],D$1,0),"ERROR")</f>
        <v>340.89403802769999</v>
      </c>
      <c r="E21" s="111">
        <f>IFERROR(VLOOKUP($B21,MMWR_TRAD_AGG_STATE_COMP[],E$1,0),"ERROR")</f>
        <v>12089</v>
      </c>
      <c r="F21" s="112">
        <f>IFERROR(VLOOKUP($B21,MMWR_TRAD_AGG_STATE_COMP[],F$1,0),"ERROR")</f>
        <v>2102</v>
      </c>
      <c r="G21" s="113">
        <f t="shared" si="0"/>
        <v>0.17387707833567706</v>
      </c>
      <c r="H21" s="111">
        <f>IFERROR(VLOOKUP($B21,MMWR_TRAD_AGG_STATE_COMP[],H$1,0),"ERROR")</f>
        <v>23262</v>
      </c>
      <c r="I21" s="112">
        <f>IFERROR(VLOOKUP($B21,MMWR_TRAD_AGG_STATE_COMP[],I$1,0),"ERROR")</f>
        <v>11931</v>
      </c>
      <c r="J21" s="114">
        <f t="shared" si="1"/>
        <v>0.51289656951250973</v>
      </c>
      <c r="K21" s="111">
        <f>IFERROR(VLOOKUP($B21,MMWR_TRAD_AGG_STATE_COMP[],K$1,0),"ERROR")</f>
        <v>8633</v>
      </c>
      <c r="L21" s="112">
        <f>IFERROR(VLOOKUP($B21,MMWR_TRAD_AGG_STATE_COMP[],L$1,0),"ERROR")</f>
        <v>6861</v>
      </c>
      <c r="M21" s="114">
        <f t="shared" si="2"/>
        <v>0.79474110969535505</v>
      </c>
      <c r="N21" s="111">
        <f>IFERROR(VLOOKUP($B21,MMWR_TRAD_AGG_STATE_COMP[],N$1,0),"ERROR")</f>
        <v>7885</v>
      </c>
      <c r="O21" s="112">
        <f>IFERROR(VLOOKUP($B21,MMWR_TRAD_AGG_STATE_COMP[],O$1,0),"ERROR")</f>
        <v>5992</v>
      </c>
      <c r="P21" s="114">
        <f t="shared" si="3"/>
        <v>0.75992390615091943</v>
      </c>
      <c r="Q21" s="115">
        <f>IFERROR(VLOOKUP($B21,MMWR_TRAD_AGG_STATE_COMP[],Q$1,0),"ERROR")</f>
        <v>1088</v>
      </c>
      <c r="R21" s="115">
        <f>IFERROR(VLOOKUP($B21,MMWR_TRAD_AGG_STATE_COMP[],R$1,0),"ERROR")</f>
        <v>21</v>
      </c>
      <c r="S21" s="115">
        <f>IFERROR(VLOOKUP($B21,MMWR_APP_STATE_COMP[],S$1,0),"ERROR")</f>
        <v>15198</v>
      </c>
      <c r="T21" s="28"/>
    </row>
    <row r="22" spans="1:20" s="123" customFormat="1" x14ac:dyDescent="0.2">
      <c r="A22" s="107"/>
      <c r="B22" s="127" t="s">
        <v>378</v>
      </c>
      <c r="C22" s="109">
        <f>IFERROR(VLOOKUP($B22,MMWR_TRAD_AGG_STATE_COMP[],C$1,0),"ERROR")</f>
        <v>2029</v>
      </c>
      <c r="D22" s="110">
        <f>IFERROR(VLOOKUP($B22,MMWR_TRAD_AGG_STATE_COMP[],D$1,0),"ERROR")</f>
        <v>285.47757516019999</v>
      </c>
      <c r="E22" s="111">
        <f>IFERROR(VLOOKUP($B22,MMWR_TRAD_AGG_STATE_COMP[],E$1,0),"ERROR")</f>
        <v>2487</v>
      </c>
      <c r="F22" s="112">
        <f>IFERROR(VLOOKUP($B22,MMWR_TRAD_AGG_STATE_COMP[],F$1,0),"ERROR")</f>
        <v>461</v>
      </c>
      <c r="G22" s="113">
        <f t="shared" si="0"/>
        <v>0.18536389223964617</v>
      </c>
      <c r="H22" s="111">
        <f>IFERROR(VLOOKUP($B22,MMWR_TRAD_AGG_STATE_COMP[],H$1,0),"ERROR")</f>
        <v>3607</v>
      </c>
      <c r="I22" s="112">
        <f>IFERROR(VLOOKUP($B22,MMWR_TRAD_AGG_STATE_COMP[],I$1,0),"ERROR")</f>
        <v>1945</v>
      </c>
      <c r="J22" s="114">
        <f t="shared" si="1"/>
        <v>0.53922927640698637</v>
      </c>
      <c r="K22" s="111">
        <f>IFERROR(VLOOKUP($B22,MMWR_TRAD_AGG_STATE_COMP[],K$1,0),"ERROR")</f>
        <v>477</v>
      </c>
      <c r="L22" s="112">
        <f>IFERROR(VLOOKUP($B22,MMWR_TRAD_AGG_STATE_COMP[],L$1,0),"ERROR")</f>
        <v>345</v>
      </c>
      <c r="M22" s="114">
        <f t="shared" si="2"/>
        <v>0.72327044025157228</v>
      </c>
      <c r="N22" s="111">
        <f>IFERROR(VLOOKUP($B22,MMWR_TRAD_AGG_STATE_COMP[],N$1,0),"ERROR")</f>
        <v>1520</v>
      </c>
      <c r="O22" s="112">
        <f>IFERROR(VLOOKUP($B22,MMWR_TRAD_AGG_STATE_COMP[],O$1,0),"ERROR")</f>
        <v>1044</v>
      </c>
      <c r="P22" s="114">
        <f t="shared" si="3"/>
        <v>0.68684210526315792</v>
      </c>
      <c r="Q22" s="115">
        <f>IFERROR(VLOOKUP($B22,MMWR_TRAD_AGG_STATE_COMP[],Q$1,0),"ERROR")</f>
        <v>372</v>
      </c>
      <c r="R22" s="115">
        <f>IFERROR(VLOOKUP($B22,MMWR_TRAD_AGG_STATE_COMP[],R$1,0),"ERROR")</f>
        <v>8</v>
      </c>
      <c r="S22" s="115">
        <f>IFERROR(VLOOKUP($B22,MMWR_APP_STATE_COMP[],S$1,0),"ERROR")</f>
        <v>2443</v>
      </c>
      <c r="T22" s="28"/>
    </row>
    <row r="23" spans="1:20" s="123" customFormat="1" x14ac:dyDescent="0.2">
      <c r="A23" s="107"/>
      <c r="B23" s="126" t="s">
        <v>389</v>
      </c>
      <c r="C23" s="102">
        <f>IF(SUM(C24:C35)&lt;&gt;VLOOKUP($B23,MMWR_TRAD_AGG_ST_DISTRICT_COMP[],C$1,0),"ERROR",
VLOOKUP($B23,MMWR_TRAD_AGG_ST_DISTRICT_COMP[],C$1,0))</f>
        <v>29785</v>
      </c>
      <c r="D23" s="103">
        <f>IFERROR(VLOOKUP($B23,MMWR_TRAD_AGG_ST_DISTRICT_COMP[],D$1,0),"ERROR")</f>
        <v>385.06318616750002</v>
      </c>
      <c r="E23" s="102">
        <f>IF(SUM(E24:E35)&lt;&gt;VLOOKUP($B23,MMWR_TRAD_AGG_ST_DISTRICT_COMP[],E$1,0),"ERROR",
VLOOKUP($B23,MMWR_TRAD_AGG_ST_DISTRICT_COMP[],E$1,0))</f>
        <v>53704</v>
      </c>
      <c r="F23" s="102">
        <f>IF(SUM(F24:F35)&lt;&gt;VLOOKUP($B23,MMWR_TRAD_AGG_ST_DISTRICT_COMP[],F$1,0),"ERROR",
VLOOKUP($B23,MMWR_TRAD_AGG_ST_DISTRICT_COMP[],F$1,0))</f>
        <v>10210</v>
      </c>
      <c r="G23" s="104">
        <f t="shared" si="0"/>
        <v>0.19011619246238642</v>
      </c>
      <c r="H23" s="102">
        <f>IF(SUM(H24:H35)&lt;&gt;VLOOKUP($B23,MMWR_TRAD_AGG_ST_DISTRICT_COMP[],H$1,0),"ERROR",
VLOOKUP($B23,MMWR_TRAD_AGG_ST_DISTRICT_COMP[],H$1,0))</f>
        <v>66124</v>
      </c>
      <c r="I23" s="102">
        <f>IF(SUM(I24:I35)&lt;&gt;VLOOKUP($B23,MMWR_TRAD_AGG_ST_DISTRICT_COMP[],I$1,0),"ERROR",
VLOOKUP($B23,MMWR_TRAD_AGG_ST_DISTRICT_COMP[],I$1,0))</f>
        <v>27941</v>
      </c>
      <c r="J23" s="105">
        <f t="shared" si="1"/>
        <v>0.42255459439840298</v>
      </c>
      <c r="K23" s="102">
        <f>IF(SUM(K24:K35)&lt;&gt;VLOOKUP($B23,MMWR_TRAD_AGG_ST_DISTRICT_COMP[],K$1,0),"ERROR",
VLOOKUP($B23,MMWR_TRAD_AGG_ST_DISTRICT_COMP[],K$1,0))</f>
        <v>17327</v>
      </c>
      <c r="L23" s="102">
        <f>IF(SUM(L24:L35)&lt;&gt;VLOOKUP($B23,MMWR_TRAD_AGG_ST_DISTRICT_COMP[],L$1,0),"ERROR",
VLOOKUP($B23,MMWR_TRAD_AGG_ST_DISTRICT_COMP[],L$1,0))</f>
        <v>13747</v>
      </c>
      <c r="M23" s="105">
        <f t="shared" si="2"/>
        <v>0.79338604490102149</v>
      </c>
      <c r="N23" s="102">
        <f>IF(SUM(N24:N35)&lt;&gt;VLOOKUP($B23,MMWR_TRAD_AGG_ST_DISTRICT_COMP[],N$1,0),"ERROR",
VLOOKUP($B23,MMWR_TRAD_AGG_ST_DISTRICT_COMP[],N$1,0))</f>
        <v>22794</v>
      </c>
      <c r="O23" s="102">
        <f>IF(SUM(O24:O35)&lt;&gt;VLOOKUP($B23,MMWR_TRAD_AGG_ST_DISTRICT_COMP[],O$1,0),"ERROR",
VLOOKUP($B23,MMWR_TRAD_AGG_ST_DISTRICT_COMP[],O$1,0))</f>
        <v>15243</v>
      </c>
      <c r="P23" s="105">
        <f t="shared" si="3"/>
        <v>0.66872861279284024</v>
      </c>
      <c r="Q23" s="102">
        <f>IF(SUM(Q24:Q35)&lt;&gt;VLOOKUP($B23,MMWR_TRAD_AGG_ST_DISTRICT_COMP[],Q$1,0),"ERROR",
VLOOKUP($B23,MMWR_TRAD_AGG_ST_DISTRICT_COMP[],Q$1,0))</f>
        <v>5899</v>
      </c>
      <c r="R23" s="102">
        <f>IF(SUM(R24:R35)&lt;&gt;VLOOKUP($B23,MMWR_TRAD_AGG_ST_DISTRICT_COMP[],R$1,0),"ERROR",
VLOOKUP($B23,MMWR_TRAD_AGG_ST_DISTRICT_COMP[],R$1,0))</f>
        <v>1131</v>
      </c>
      <c r="S23" s="106">
        <f>SUM(S24:S35)</f>
        <v>50332</v>
      </c>
      <c r="T23" s="28"/>
    </row>
    <row r="24" spans="1:20" s="123" customFormat="1" x14ac:dyDescent="0.2">
      <c r="A24" s="92"/>
      <c r="B24" s="127" t="s">
        <v>393</v>
      </c>
      <c r="C24" s="109">
        <f>IFERROR(VLOOKUP($B24,MMWR_TRAD_AGG_STATE_COMP[],C$1,0),"ERROR")</f>
        <v>5260</v>
      </c>
      <c r="D24" s="110">
        <f>IFERROR(VLOOKUP($B24,MMWR_TRAD_AGG_STATE_COMP[],D$1,0),"ERROR")</f>
        <v>451.80722433459999</v>
      </c>
      <c r="E24" s="111">
        <f>IFERROR(VLOOKUP($B24,MMWR_TRAD_AGG_STATE_COMP[],E$1,0),"ERROR")</f>
        <v>7848</v>
      </c>
      <c r="F24" s="112">
        <f>IFERROR(VLOOKUP($B24,MMWR_TRAD_AGG_STATE_COMP[],F$1,0),"ERROR")</f>
        <v>1843</v>
      </c>
      <c r="G24" s="113">
        <f t="shared" si="0"/>
        <v>0.23483690112130479</v>
      </c>
      <c r="H24" s="111">
        <f>IFERROR(VLOOKUP($B24,MMWR_TRAD_AGG_STATE_COMP[],H$1,0),"ERROR")</f>
        <v>9503</v>
      </c>
      <c r="I24" s="112">
        <f>IFERROR(VLOOKUP($B24,MMWR_TRAD_AGG_STATE_COMP[],I$1,0),"ERROR")</f>
        <v>5166</v>
      </c>
      <c r="J24" s="114">
        <f t="shared" si="1"/>
        <v>0.54361780490371459</v>
      </c>
      <c r="K24" s="111">
        <f>IFERROR(VLOOKUP($B24,MMWR_TRAD_AGG_STATE_COMP[],K$1,0),"ERROR")</f>
        <v>2336</v>
      </c>
      <c r="L24" s="112">
        <f>IFERROR(VLOOKUP($B24,MMWR_TRAD_AGG_STATE_COMP[],L$1,0),"ERROR")</f>
        <v>2053</v>
      </c>
      <c r="M24" s="114">
        <f t="shared" si="2"/>
        <v>0.8788527397260274</v>
      </c>
      <c r="N24" s="111">
        <f>IFERROR(VLOOKUP($B24,MMWR_TRAD_AGG_STATE_COMP[],N$1,0),"ERROR")</f>
        <v>3303</v>
      </c>
      <c r="O24" s="112">
        <f>IFERROR(VLOOKUP($B24,MMWR_TRAD_AGG_STATE_COMP[],O$1,0),"ERROR")</f>
        <v>2039</v>
      </c>
      <c r="P24" s="114">
        <f t="shared" si="3"/>
        <v>0.61731759006963371</v>
      </c>
      <c r="Q24" s="115">
        <f>IFERROR(VLOOKUP($B24,MMWR_TRAD_AGG_STATE_COMP[],Q$1,0),"ERROR")</f>
        <v>1058</v>
      </c>
      <c r="R24" s="115">
        <f>IFERROR(VLOOKUP($B24,MMWR_TRAD_AGG_STATE_COMP[],R$1,0),"ERROR")</f>
        <v>222</v>
      </c>
      <c r="S24" s="115">
        <f>IFERROR(VLOOKUP($B24,MMWR_APP_STATE_COMP[],S$1,0),"ERROR")</f>
        <v>8441</v>
      </c>
      <c r="T24" s="28"/>
    </row>
    <row r="25" spans="1:20" s="123" customFormat="1" x14ac:dyDescent="0.2">
      <c r="A25" s="107"/>
      <c r="B25" s="127" t="s">
        <v>391</v>
      </c>
      <c r="C25" s="109">
        <f>IFERROR(VLOOKUP($B25,MMWR_TRAD_AGG_STATE_COMP[],C$1,0),"ERROR")</f>
        <v>4533</v>
      </c>
      <c r="D25" s="110">
        <f>IFERROR(VLOOKUP($B25,MMWR_TRAD_AGG_STATE_COMP[],D$1,0),"ERROR")</f>
        <v>618.24288550630001</v>
      </c>
      <c r="E25" s="111">
        <f>IFERROR(VLOOKUP($B25,MMWR_TRAD_AGG_STATE_COMP[],E$1,0),"ERROR")</f>
        <v>5057</v>
      </c>
      <c r="F25" s="112">
        <f>IFERROR(VLOOKUP($B25,MMWR_TRAD_AGG_STATE_COMP[],F$1,0),"ERROR")</f>
        <v>875</v>
      </c>
      <c r="G25" s="113">
        <f t="shared" si="0"/>
        <v>0.1730274866521653</v>
      </c>
      <c r="H25" s="111">
        <f>IFERROR(VLOOKUP($B25,MMWR_TRAD_AGG_STATE_COMP[],H$1,0),"ERROR")</f>
        <v>9486</v>
      </c>
      <c r="I25" s="112">
        <f>IFERROR(VLOOKUP($B25,MMWR_TRAD_AGG_STATE_COMP[],I$1,0),"ERROR")</f>
        <v>5407</v>
      </c>
      <c r="J25" s="114">
        <f t="shared" si="1"/>
        <v>0.56999789162977021</v>
      </c>
      <c r="K25" s="111">
        <f>IFERROR(VLOOKUP($B25,MMWR_TRAD_AGG_STATE_COMP[],K$1,0),"ERROR")</f>
        <v>2796</v>
      </c>
      <c r="L25" s="112">
        <f>IFERROR(VLOOKUP($B25,MMWR_TRAD_AGG_STATE_COMP[],L$1,0),"ERROR")</f>
        <v>2392</v>
      </c>
      <c r="M25" s="114">
        <f t="shared" si="2"/>
        <v>0.85550786838340487</v>
      </c>
      <c r="N25" s="111">
        <f>IFERROR(VLOOKUP($B25,MMWR_TRAD_AGG_STATE_COMP[],N$1,0),"ERROR")</f>
        <v>2971</v>
      </c>
      <c r="O25" s="112">
        <f>IFERROR(VLOOKUP($B25,MMWR_TRAD_AGG_STATE_COMP[],O$1,0),"ERROR")</f>
        <v>2258</v>
      </c>
      <c r="P25" s="114">
        <f t="shared" si="3"/>
        <v>0.76001346348030963</v>
      </c>
      <c r="Q25" s="115">
        <f>IFERROR(VLOOKUP($B25,MMWR_TRAD_AGG_STATE_COMP[],Q$1,0),"ERROR")</f>
        <v>780</v>
      </c>
      <c r="R25" s="115">
        <f>IFERROR(VLOOKUP($B25,MMWR_TRAD_AGG_STATE_COMP[],R$1,0),"ERROR")</f>
        <v>229</v>
      </c>
      <c r="S25" s="115">
        <f>IFERROR(VLOOKUP($B25,MMWR_APP_STATE_COMP[],S$1,0),"ERROR")</f>
        <v>8134</v>
      </c>
      <c r="T25" s="28"/>
    </row>
    <row r="26" spans="1:20" s="123" customFormat="1" x14ac:dyDescent="0.2">
      <c r="A26" s="107"/>
      <c r="B26" s="127" t="s">
        <v>398</v>
      </c>
      <c r="C26" s="109">
        <f>IFERROR(VLOOKUP($B26,MMWR_TRAD_AGG_STATE_COMP[],C$1,0),"ERROR")</f>
        <v>844</v>
      </c>
      <c r="D26" s="110">
        <f>IFERROR(VLOOKUP($B26,MMWR_TRAD_AGG_STATE_COMP[],D$1,0),"ERROR")</f>
        <v>189.94194312799999</v>
      </c>
      <c r="E26" s="111">
        <f>IFERROR(VLOOKUP($B26,MMWR_TRAD_AGG_STATE_COMP[],E$1,0),"ERROR")</f>
        <v>2667</v>
      </c>
      <c r="F26" s="112">
        <f>IFERROR(VLOOKUP($B26,MMWR_TRAD_AGG_STATE_COMP[],F$1,0),"ERROR")</f>
        <v>382</v>
      </c>
      <c r="G26" s="113">
        <f t="shared" si="0"/>
        <v>0.14323209598800149</v>
      </c>
      <c r="H26" s="111">
        <f>IFERROR(VLOOKUP($B26,MMWR_TRAD_AGG_STATE_COMP[],H$1,0),"ERROR")</f>
        <v>2429</v>
      </c>
      <c r="I26" s="112">
        <f>IFERROR(VLOOKUP($B26,MMWR_TRAD_AGG_STATE_COMP[],I$1,0),"ERROR")</f>
        <v>455</v>
      </c>
      <c r="J26" s="114">
        <f t="shared" si="1"/>
        <v>0.18731988472622479</v>
      </c>
      <c r="K26" s="111">
        <f>IFERROR(VLOOKUP($B26,MMWR_TRAD_AGG_STATE_COMP[],K$1,0),"ERROR")</f>
        <v>315</v>
      </c>
      <c r="L26" s="112">
        <f>IFERROR(VLOOKUP($B26,MMWR_TRAD_AGG_STATE_COMP[],L$1,0),"ERROR")</f>
        <v>212</v>
      </c>
      <c r="M26" s="114">
        <f t="shared" si="2"/>
        <v>0.67301587301587307</v>
      </c>
      <c r="N26" s="111">
        <f>IFERROR(VLOOKUP($B26,MMWR_TRAD_AGG_STATE_COMP[],N$1,0),"ERROR")</f>
        <v>563</v>
      </c>
      <c r="O26" s="112">
        <f>IFERROR(VLOOKUP($B26,MMWR_TRAD_AGG_STATE_COMP[],O$1,0),"ERROR")</f>
        <v>333</v>
      </c>
      <c r="P26" s="114">
        <f t="shared" si="3"/>
        <v>0.59147424511545288</v>
      </c>
      <c r="Q26" s="115">
        <f>IFERROR(VLOOKUP($B26,MMWR_TRAD_AGG_STATE_COMP[],Q$1,0),"ERROR")</f>
        <v>2</v>
      </c>
      <c r="R26" s="115">
        <f>IFERROR(VLOOKUP($B26,MMWR_TRAD_AGG_STATE_COMP[],R$1,0),"ERROR")</f>
        <v>10</v>
      </c>
      <c r="S26" s="115">
        <f>IFERROR(VLOOKUP($B26,MMWR_APP_STATE_COMP[],S$1,0),"ERROR")</f>
        <v>1503</v>
      </c>
      <c r="T26" s="28"/>
    </row>
    <row r="27" spans="1:20" s="123" customFormat="1" x14ac:dyDescent="0.2">
      <c r="A27" s="107"/>
      <c r="B27" s="127" t="s">
        <v>421</v>
      </c>
      <c r="C27" s="109">
        <f>IFERROR(VLOOKUP($B27,MMWR_TRAD_AGG_STATE_COMP[],C$1,0),"ERROR")</f>
        <v>1730</v>
      </c>
      <c r="D27" s="110">
        <f>IFERROR(VLOOKUP($B27,MMWR_TRAD_AGG_STATE_COMP[],D$1,0),"ERROR")</f>
        <v>224.1878612717</v>
      </c>
      <c r="E27" s="111">
        <f>IFERROR(VLOOKUP($B27,MMWR_TRAD_AGG_STATE_COMP[],E$1,0),"ERROR")</f>
        <v>2364</v>
      </c>
      <c r="F27" s="112">
        <f>IFERROR(VLOOKUP($B27,MMWR_TRAD_AGG_STATE_COMP[],F$1,0),"ERROR")</f>
        <v>377</v>
      </c>
      <c r="G27" s="113">
        <f t="shared" si="0"/>
        <v>0.15947546531302875</v>
      </c>
      <c r="H27" s="111">
        <f>IFERROR(VLOOKUP($B27,MMWR_TRAD_AGG_STATE_COMP[],H$1,0),"ERROR")</f>
        <v>3446</v>
      </c>
      <c r="I27" s="112">
        <f>IFERROR(VLOOKUP($B27,MMWR_TRAD_AGG_STATE_COMP[],I$1,0),"ERROR")</f>
        <v>1279</v>
      </c>
      <c r="J27" s="114">
        <f t="shared" si="1"/>
        <v>0.37115496227510159</v>
      </c>
      <c r="K27" s="111">
        <f>IFERROR(VLOOKUP($B27,MMWR_TRAD_AGG_STATE_COMP[],K$1,0),"ERROR")</f>
        <v>1083</v>
      </c>
      <c r="L27" s="112">
        <f>IFERROR(VLOOKUP($B27,MMWR_TRAD_AGG_STATE_COMP[],L$1,0),"ERROR")</f>
        <v>585</v>
      </c>
      <c r="M27" s="114">
        <f t="shared" si="2"/>
        <v>0.54016620498614953</v>
      </c>
      <c r="N27" s="111">
        <f>IFERROR(VLOOKUP($B27,MMWR_TRAD_AGG_STATE_COMP[],N$1,0),"ERROR")</f>
        <v>846</v>
      </c>
      <c r="O27" s="112">
        <f>IFERROR(VLOOKUP($B27,MMWR_TRAD_AGG_STATE_COMP[],O$1,0),"ERROR")</f>
        <v>528</v>
      </c>
      <c r="P27" s="114">
        <f t="shared" si="3"/>
        <v>0.62411347517730498</v>
      </c>
      <c r="Q27" s="115">
        <f>IFERROR(VLOOKUP($B27,MMWR_TRAD_AGG_STATE_COMP[],Q$1,0),"ERROR")</f>
        <v>7</v>
      </c>
      <c r="R27" s="115">
        <f>IFERROR(VLOOKUP($B27,MMWR_TRAD_AGG_STATE_COMP[],R$1,0),"ERROR")</f>
        <v>13</v>
      </c>
      <c r="S27" s="115">
        <f>IFERROR(VLOOKUP($B27,MMWR_APP_STATE_COMP[],S$1,0),"ERROR")</f>
        <v>1359</v>
      </c>
      <c r="T27" s="28"/>
    </row>
    <row r="28" spans="1:20" s="123" customFormat="1" x14ac:dyDescent="0.2">
      <c r="A28" s="107"/>
      <c r="B28" s="127" t="s">
        <v>394</v>
      </c>
      <c r="C28" s="109">
        <f>IFERROR(VLOOKUP($B28,MMWR_TRAD_AGG_STATE_COMP[],C$1,0),"ERROR")</f>
        <v>3189</v>
      </c>
      <c r="D28" s="110">
        <f>IFERROR(VLOOKUP($B28,MMWR_TRAD_AGG_STATE_COMP[],D$1,0),"ERROR")</f>
        <v>360.27845719660002</v>
      </c>
      <c r="E28" s="111">
        <f>IFERROR(VLOOKUP($B28,MMWR_TRAD_AGG_STATE_COMP[],E$1,0),"ERROR")</f>
        <v>8062</v>
      </c>
      <c r="F28" s="112">
        <f>IFERROR(VLOOKUP($B28,MMWR_TRAD_AGG_STATE_COMP[],F$1,0),"ERROR")</f>
        <v>1913</v>
      </c>
      <c r="G28" s="113">
        <f t="shared" si="0"/>
        <v>0.23728603324237163</v>
      </c>
      <c r="H28" s="111">
        <f>IFERROR(VLOOKUP($B28,MMWR_TRAD_AGG_STATE_COMP[],H$1,0),"ERROR")</f>
        <v>8043</v>
      </c>
      <c r="I28" s="112">
        <f>IFERROR(VLOOKUP($B28,MMWR_TRAD_AGG_STATE_COMP[],I$1,0),"ERROR")</f>
        <v>3814</v>
      </c>
      <c r="J28" s="114">
        <f t="shared" si="1"/>
        <v>0.47420116871814</v>
      </c>
      <c r="K28" s="111">
        <f>IFERROR(VLOOKUP($B28,MMWR_TRAD_AGG_STATE_COMP[],K$1,0),"ERROR")</f>
        <v>2159</v>
      </c>
      <c r="L28" s="112">
        <f>IFERROR(VLOOKUP($B28,MMWR_TRAD_AGG_STATE_COMP[],L$1,0),"ERROR")</f>
        <v>1820</v>
      </c>
      <c r="M28" s="114">
        <f t="shared" si="2"/>
        <v>0.84298286243631315</v>
      </c>
      <c r="N28" s="111">
        <f>IFERROR(VLOOKUP($B28,MMWR_TRAD_AGG_STATE_COMP[],N$1,0),"ERROR")</f>
        <v>2766</v>
      </c>
      <c r="O28" s="112">
        <f>IFERROR(VLOOKUP($B28,MMWR_TRAD_AGG_STATE_COMP[],O$1,0),"ERROR")</f>
        <v>1557</v>
      </c>
      <c r="P28" s="114">
        <f t="shared" si="3"/>
        <v>0.56290672451193058</v>
      </c>
      <c r="Q28" s="115">
        <f>IFERROR(VLOOKUP($B28,MMWR_TRAD_AGG_STATE_COMP[],Q$1,0),"ERROR")</f>
        <v>1086</v>
      </c>
      <c r="R28" s="115">
        <f>IFERROR(VLOOKUP($B28,MMWR_TRAD_AGG_STATE_COMP[],R$1,0),"ERROR")</f>
        <v>231</v>
      </c>
      <c r="S28" s="115">
        <f>IFERROR(VLOOKUP($B28,MMWR_APP_STATE_COMP[],S$1,0),"ERROR")</f>
        <v>5091</v>
      </c>
      <c r="T28" s="28"/>
    </row>
    <row r="29" spans="1:20" s="123" customFormat="1" x14ac:dyDescent="0.2">
      <c r="A29" s="107"/>
      <c r="B29" s="127" t="s">
        <v>400</v>
      </c>
      <c r="C29" s="109">
        <f>IFERROR(VLOOKUP($B29,MMWR_TRAD_AGG_STATE_COMP[],C$1,0),"ERROR")</f>
        <v>1520</v>
      </c>
      <c r="D29" s="110">
        <f>IFERROR(VLOOKUP($B29,MMWR_TRAD_AGG_STATE_COMP[],D$1,0),"ERROR")</f>
        <v>181.60789473680001</v>
      </c>
      <c r="E29" s="111">
        <f>IFERROR(VLOOKUP($B29,MMWR_TRAD_AGG_STATE_COMP[],E$1,0),"ERROR")</f>
        <v>5177</v>
      </c>
      <c r="F29" s="112">
        <f>IFERROR(VLOOKUP($B29,MMWR_TRAD_AGG_STATE_COMP[],F$1,0),"ERROR")</f>
        <v>724</v>
      </c>
      <c r="G29" s="113">
        <f t="shared" si="0"/>
        <v>0.13984933359088275</v>
      </c>
      <c r="H29" s="111">
        <f>IFERROR(VLOOKUP($B29,MMWR_TRAD_AGG_STATE_COMP[],H$1,0),"ERROR")</f>
        <v>5314</v>
      </c>
      <c r="I29" s="112">
        <f>IFERROR(VLOOKUP($B29,MMWR_TRAD_AGG_STATE_COMP[],I$1,0),"ERROR")</f>
        <v>969</v>
      </c>
      <c r="J29" s="114">
        <f t="shared" si="1"/>
        <v>0.18234851336093338</v>
      </c>
      <c r="K29" s="111">
        <f>IFERROR(VLOOKUP($B29,MMWR_TRAD_AGG_STATE_COMP[],K$1,0),"ERROR")</f>
        <v>1004</v>
      </c>
      <c r="L29" s="112">
        <f>IFERROR(VLOOKUP($B29,MMWR_TRAD_AGG_STATE_COMP[],L$1,0),"ERROR")</f>
        <v>584</v>
      </c>
      <c r="M29" s="114">
        <f t="shared" si="2"/>
        <v>0.58167330677290841</v>
      </c>
      <c r="N29" s="111">
        <f>IFERROR(VLOOKUP($B29,MMWR_TRAD_AGG_STATE_COMP[],N$1,0),"ERROR")</f>
        <v>1155</v>
      </c>
      <c r="O29" s="112">
        <f>IFERROR(VLOOKUP($B29,MMWR_TRAD_AGG_STATE_COMP[],O$1,0),"ERROR")</f>
        <v>687</v>
      </c>
      <c r="P29" s="114">
        <f t="shared" si="3"/>
        <v>0.59480519480519478</v>
      </c>
      <c r="Q29" s="115">
        <f>IFERROR(VLOOKUP($B29,MMWR_TRAD_AGG_STATE_COMP[],Q$1,0),"ERROR")</f>
        <v>9</v>
      </c>
      <c r="R29" s="115">
        <f>IFERROR(VLOOKUP($B29,MMWR_TRAD_AGG_STATE_COMP[],R$1,0),"ERROR")</f>
        <v>5</v>
      </c>
      <c r="S29" s="115">
        <f>IFERROR(VLOOKUP($B29,MMWR_APP_STATE_COMP[],S$1,0),"ERROR")</f>
        <v>2112</v>
      </c>
      <c r="T29" s="28"/>
    </row>
    <row r="30" spans="1:20" s="123" customFormat="1" x14ac:dyDescent="0.2">
      <c r="A30" s="107"/>
      <c r="B30" s="127" t="s">
        <v>396</v>
      </c>
      <c r="C30" s="109">
        <f>IFERROR(VLOOKUP($B30,MMWR_TRAD_AGG_STATE_COMP[],C$1,0),"ERROR")</f>
        <v>3641</v>
      </c>
      <c r="D30" s="110">
        <f>IFERROR(VLOOKUP($B30,MMWR_TRAD_AGG_STATE_COMP[],D$1,0),"ERROR")</f>
        <v>243.94918978300001</v>
      </c>
      <c r="E30" s="111">
        <f>IFERROR(VLOOKUP($B30,MMWR_TRAD_AGG_STATE_COMP[],E$1,0),"ERROR")</f>
        <v>6462</v>
      </c>
      <c r="F30" s="112">
        <f>IFERROR(VLOOKUP($B30,MMWR_TRAD_AGG_STATE_COMP[],F$1,0),"ERROR")</f>
        <v>1250</v>
      </c>
      <c r="G30" s="113">
        <f t="shared" si="0"/>
        <v>0.19343856391210151</v>
      </c>
      <c r="H30" s="111">
        <f>IFERROR(VLOOKUP($B30,MMWR_TRAD_AGG_STATE_COMP[],H$1,0),"ERROR")</f>
        <v>7719</v>
      </c>
      <c r="I30" s="112">
        <f>IFERROR(VLOOKUP($B30,MMWR_TRAD_AGG_STATE_COMP[],I$1,0),"ERROR")</f>
        <v>3240</v>
      </c>
      <c r="J30" s="114">
        <f t="shared" si="1"/>
        <v>0.41974349008938983</v>
      </c>
      <c r="K30" s="111">
        <f>IFERROR(VLOOKUP($B30,MMWR_TRAD_AGG_STATE_COMP[],K$1,0),"ERROR")</f>
        <v>2471</v>
      </c>
      <c r="L30" s="112">
        <f>IFERROR(VLOOKUP($B30,MMWR_TRAD_AGG_STATE_COMP[],L$1,0),"ERROR")</f>
        <v>2073</v>
      </c>
      <c r="M30" s="114">
        <f t="shared" si="2"/>
        <v>0.83893160663698907</v>
      </c>
      <c r="N30" s="111">
        <f>IFERROR(VLOOKUP($B30,MMWR_TRAD_AGG_STATE_COMP[],N$1,0),"ERROR")</f>
        <v>4796</v>
      </c>
      <c r="O30" s="112">
        <f>IFERROR(VLOOKUP($B30,MMWR_TRAD_AGG_STATE_COMP[],O$1,0),"ERROR")</f>
        <v>3522</v>
      </c>
      <c r="P30" s="114">
        <f t="shared" si="3"/>
        <v>0.73436196830692246</v>
      </c>
      <c r="Q30" s="115">
        <f>IFERROR(VLOOKUP($B30,MMWR_TRAD_AGG_STATE_COMP[],Q$1,0),"ERROR")</f>
        <v>1037</v>
      </c>
      <c r="R30" s="115">
        <f>IFERROR(VLOOKUP($B30,MMWR_TRAD_AGG_STATE_COMP[],R$1,0),"ERROR")</f>
        <v>62</v>
      </c>
      <c r="S30" s="115">
        <f>IFERROR(VLOOKUP($B30,MMWR_APP_STATE_COMP[],S$1,0),"ERROR")</f>
        <v>6141</v>
      </c>
      <c r="T30" s="28"/>
    </row>
    <row r="31" spans="1:20" s="123" customFormat="1" x14ac:dyDescent="0.2">
      <c r="A31" s="107"/>
      <c r="B31" s="127" t="s">
        <v>399</v>
      </c>
      <c r="C31" s="109">
        <f>IFERROR(VLOOKUP($B31,MMWR_TRAD_AGG_STATE_COMP[],C$1,0),"ERROR")</f>
        <v>740</v>
      </c>
      <c r="D31" s="110">
        <f>IFERROR(VLOOKUP($B31,MMWR_TRAD_AGG_STATE_COMP[],D$1,0),"ERROR")</f>
        <v>182.09594594590001</v>
      </c>
      <c r="E31" s="111">
        <f>IFERROR(VLOOKUP($B31,MMWR_TRAD_AGG_STATE_COMP[],E$1,0),"ERROR")</f>
        <v>1901</v>
      </c>
      <c r="F31" s="112">
        <f>IFERROR(VLOOKUP($B31,MMWR_TRAD_AGG_STATE_COMP[],F$1,0),"ERROR")</f>
        <v>246</v>
      </c>
      <c r="G31" s="113">
        <f t="shared" si="0"/>
        <v>0.12940557601262492</v>
      </c>
      <c r="H31" s="111">
        <f>IFERROR(VLOOKUP($B31,MMWR_TRAD_AGG_STATE_COMP[],H$1,0),"ERROR")</f>
        <v>2211</v>
      </c>
      <c r="I31" s="112">
        <f>IFERROR(VLOOKUP($B31,MMWR_TRAD_AGG_STATE_COMP[],I$1,0),"ERROR")</f>
        <v>460</v>
      </c>
      <c r="J31" s="114">
        <f t="shared" si="1"/>
        <v>0.20805065581184984</v>
      </c>
      <c r="K31" s="111">
        <f>IFERROR(VLOOKUP($B31,MMWR_TRAD_AGG_STATE_COMP[],K$1,0),"ERROR")</f>
        <v>700</v>
      </c>
      <c r="L31" s="112">
        <f>IFERROR(VLOOKUP($B31,MMWR_TRAD_AGG_STATE_COMP[],L$1,0),"ERROR")</f>
        <v>446</v>
      </c>
      <c r="M31" s="114">
        <f t="shared" si="2"/>
        <v>0.63714285714285712</v>
      </c>
      <c r="N31" s="111">
        <f>IFERROR(VLOOKUP($B31,MMWR_TRAD_AGG_STATE_COMP[],N$1,0),"ERROR")</f>
        <v>680</v>
      </c>
      <c r="O31" s="112">
        <f>IFERROR(VLOOKUP($B31,MMWR_TRAD_AGG_STATE_COMP[],O$1,0),"ERROR")</f>
        <v>351</v>
      </c>
      <c r="P31" s="114">
        <f t="shared" si="3"/>
        <v>0.51617647058823535</v>
      </c>
      <c r="Q31" s="115">
        <f>IFERROR(VLOOKUP($B31,MMWR_TRAD_AGG_STATE_COMP[],Q$1,0),"ERROR")</f>
        <v>5</v>
      </c>
      <c r="R31" s="115">
        <f>IFERROR(VLOOKUP($B31,MMWR_TRAD_AGG_STATE_COMP[],R$1,0),"ERROR")</f>
        <v>14</v>
      </c>
      <c r="S31" s="115">
        <f>IFERROR(VLOOKUP($B31,MMWR_APP_STATE_COMP[],S$1,0),"ERROR")</f>
        <v>1029</v>
      </c>
      <c r="T31" s="28"/>
    </row>
    <row r="32" spans="1:20" s="123" customFormat="1" x14ac:dyDescent="0.2">
      <c r="A32" s="107"/>
      <c r="B32" s="127" t="s">
        <v>418</v>
      </c>
      <c r="C32" s="109">
        <f>IFERROR(VLOOKUP($B32,MMWR_TRAD_AGG_STATE_COMP[],C$1,0),"ERROR")</f>
        <v>234</v>
      </c>
      <c r="D32" s="110">
        <f>IFERROR(VLOOKUP($B32,MMWR_TRAD_AGG_STATE_COMP[],D$1,0),"ERROR")</f>
        <v>174.30769230769999</v>
      </c>
      <c r="E32" s="111">
        <f>IFERROR(VLOOKUP($B32,MMWR_TRAD_AGG_STATE_COMP[],E$1,0),"ERROR")</f>
        <v>624</v>
      </c>
      <c r="F32" s="112">
        <f>IFERROR(VLOOKUP($B32,MMWR_TRAD_AGG_STATE_COMP[],F$1,0),"ERROR")</f>
        <v>100</v>
      </c>
      <c r="G32" s="113">
        <f t="shared" si="0"/>
        <v>0.16025641025641027</v>
      </c>
      <c r="H32" s="111">
        <f>IFERROR(VLOOKUP($B32,MMWR_TRAD_AGG_STATE_COMP[],H$1,0),"ERROR")</f>
        <v>871</v>
      </c>
      <c r="I32" s="112">
        <f>IFERROR(VLOOKUP($B32,MMWR_TRAD_AGG_STATE_COMP[],I$1,0),"ERROR")</f>
        <v>111</v>
      </c>
      <c r="J32" s="114">
        <f t="shared" si="1"/>
        <v>0.12743972445464982</v>
      </c>
      <c r="K32" s="111">
        <f>IFERROR(VLOOKUP($B32,MMWR_TRAD_AGG_STATE_COMP[],K$1,0),"ERROR")</f>
        <v>146</v>
      </c>
      <c r="L32" s="112">
        <f>IFERROR(VLOOKUP($B32,MMWR_TRAD_AGG_STATE_COMP[],L$1,0),"ERROR")</f>
        <v>71</v>
      </c>
      <c r="M32" s="114">
        <f t="shared" si="2"/>
        <v>0.4863013698630137</v>
      </c>
      <c r="N32" s="111">
        <f>IFERROR(VLOOKUP($B32,MMWR_TRAD_AGG_STATE_COMP[],N$1,0),"ERROR")</f>
        <v>156</v>
      </c>
      <c r="O32" s="112">
        <f>IFERROR(VLOOKUP($B32,MMWR_TRAD_AGG_STATE_COMP[],O$1,0),"ERROR")</f>
        <v>99</v>
      </c>
      <c r="P32" s="114">
        <f t="shared" si="3"/>
        <v>0.63461538461538458</v>
      </c>
      <c r="Q32" s="115">
        <f>IFERROR(VLOOKUP($B32,MMWR_TRAD_AGG_STATE_COMP[],Q$1,0),"ERROR")</f>
        <v>1</v>
      </c>
      <c r="R32" s="115">
        <f>IFERROR(VLOOKUP($B32,MMWR_TRAD_AGG_STATE_COMP[],R$1,0),"ERROR")</f>
        <v>2</v>
      </c>
      <c r="S32" s="115">
        <f>IFERROR(VLOOKUP($B32,MMWR_APP_STATE_COMP[],S$1,0),"ERROR")</f>
        <v>460</v>
      </c>
      <c r="T32" s="28"/>
    </row>
    <row r="33" spans="1:20" s="123" customFormat="1" x14ac:dyDescent="0.2">
      <c r="A33" s="107"/>
      <c r="B33" s="127" t="s">
        <v>390</v>
      </c>
      <c r="C33" s="109">
        <f>IFERROR(VLOOKUP($B33,MMWR_TRAD_AGG_STATE_COMP[],C$1,0),"ERROR")</f>
        <v>4723</v>
      </c>
      <c r="D33" s="110">
        <f>IFERROR(VLOOKUP($B33,MMWR_TRAD_AGG_STATE_COMP[],D$1,0),"ERROR")</f>
        <v>528.34956595380004</v>
      </c>
      <c r="E33" s="111">
        <f>IFERROR(VLOOKUP($B33,MMWR_TRAD_AGG_STATE_COMP[],E$1,0),"ERROR")</f>
        <v>8484</v>
      </c>
      <c r="F33" s="112">
        <f>IFERROR(VLOOKUP($B33,MMWR_TRAD_AGG_STATE_COMP[],F$1,0),"ERROR")</f>
        <v>1583</v>
      </c>
      <c r="G33" s="113">
        <f t="shared" si="0"/>
        <v>0.18658651579443658</v>
      </c>
      <c r="H33" s="111">
        <f>IFERROR(VLOOKUP($B33,MMWR_TRAD_AGG_STATE_COMP[],H$1,0),"ERROR")</f>
        <v>10004</v>
      </c>
      <c r="I33" s="112">
        <f>IFERROR(VLOOKUP($B33,MMWR_TRAD_AGG_STATE_COMP[],I$1,0),"ERROR")</f>
        <v>4741</v>
      </c>
      <c r="J33" s="114">
        <f t="shared" si="1"/>
        <v>0.47391043582566972</v>
      </c>
      <c r="K33" s="111">
        <f>IFERROR(VLOOKUP($B33,MMWR_TRAD_AGG_STATE_COMP[],K$1,0),"ERROR")</f>
        <v>3049</v>
      </c>
      <c r="L33" s="112">
        <f>IFERROR(VLOOKUP($B33,MMWR_TRAD_AGG_STATE_COMP[],L$1,0),"ERROR")</f>
        <v>2721</v>
      </c>
      <c r="M33" s="114">
        <f t="shared" si="2"/>
        <v>0.89242374549032466</v>
      </c>
      <c r="N33" s="111">
        <f>IFERROR(VLOOKUP($B33,MMWR_TRAD_AGG_STATE_COMP[],N$1,0),"ERROR")</f>
        <v>4318</v>
      </c>
      <c r="O33" s="112">
        <f>IFERROR(VLOOKUP($B33,MMWR_TRAD_AGG_STATE_COMP[],O$1,0),"ERROR")</f>
        <v>3111</v>
      </c>
      <c r="P33" s="114">
        <f t="shared" si="3"/>
        <v>0.72047244094488194</v>
      </c>
      <c r="Q33" s="115">
        <f>IFERROR(VLOOKUP($B33,MMWR_TRAD_AGG_STATE_COMP[],Q$1,0),"ERROR")</f>
        <v>1222</v>
      </c>
      <c r="R33" s="115">
        <f>IFERROR(VLOOKUP($B33,MMWR_TRAD_AGG_STATE_COMP[],R$1,0),"ERROR")</f>
        <v>336</v>
      </c>
      <c r="S33" s="115">
        <f>IFERROR(VLOOKUP($B33,MMWR_APP_STATE_COMP[],S$1,0),"ERROR")</f>
        <v>12664</v>
      </c>
      <c r="T33" s="28"/>
    </row>
    <row r="34" spans="1:20" s="123" customFormat="1" x14ac:dyDescent="0.2">
      <c r="A34" s="107"/>
      <c r="B34" s="127" t="s">
        <v>419</v>
      </c>
      <c r="C34" s="109">
        <f>IFERROR(VLOOKUP($B34,MMWR_TRAD_AGG_STATE_COMP[],C$1,0),"ERROR")</f>
        <v>352</v>
      </c>
      <c r="D34" s="110">
        <f>IFERROR(VLOOKUP($B34,MMWR_TRAD_AGG_STATE_COMP[],D$1,0),"ERROR")</f>
        <v>155.4005681818</v>
      </c>
      <c r="E34" s="111">
        <f>IFERROR(VLOOKUP($B34,MMWR_TRAD_AGG_STATE_COMP[],E$1,0),"ERROR")</f>
        <v>1016</v>
      </c>
      <c r="F34" s="112">
        <f>IFERROR(VLOOKUP($B34,MMWR_TRAD_AGG_STATE_COMP[],F$1,0),"ERROR")</f>
        <v>262</v>
      </c>
      <c r="G34" s="113">
        <f t="shared" si="0"/>
        <v>0.25787401574803148</v>
      </c>
      <c r="H34" s="111">
        <f>IFERROR(VLOOKUP($B34,MMWR_TRAD_AGG_STATE_COMP[],H$1,0),"ERROR")</f>
        <v>1185</v>
      </c>
      <c r="I34" s="112">
        <f>IFERROR(VLOOKUP($B34,MMWR_TRAD_AGG_STATE_COMP[],I$1,0),"ERROR")</f>
        <v>137</v>
      </c>
      <c r="J34" s="114">
        <f t="shared" si="1"/>
        <v>0.11561181434599156</v>
      </c>
      <c r="K34" s="111">
        <f>IFERROR(VLOOKUP($B34,MMWR_TRAD_AGG_STATE_COMP[],K$1,0),"ERROR")</f>
        <v>349</v>
      </c>
      <c r="L34" s="112">
        <f>IFERROR(VLOOKUP($B34,MMWR_TRAD_AGG_STATE_COMP[],L$1,0),"ERROR")</f>
        <v>121</v>
      </c>
      <c r="M34" s="114">
        <f t="shared" si="2"/>
        <v>0.34670487106017189</v>
      </c>
      <c r="N34" s="111">
        <f>IFERROR(VLOOKUP($B34,MMWR_TRAD_AGG_STATE_COMP[],N$1,0),"ERROR")</f>
        <v>162</v>
      </c>
      <c r="O34" s="112">
        <f>IFERROR(VLOOKUP($B34,MMWR_TRAD_AGG_STATE_COMP[],O$1,0),"ERROR")</f>
        <v>88</v>
      </c>
      <c r="P34" s="114">
        <f t="shared" si="3"/>
        <v>0.54320987654320985</v>
      </c>
      <c r="Q34" s="115">
        <f>IFERROR(VLOOKUP($B34,MMWR_TRAD_AGG_STATE_COMP[],Q$1,0),"ERROR")</f>
        <v>3</v>
      </c>
      <c r="R34" s="115">
        <f>IFERROR(VLOOKUP($B34,MMWR_TRAD_AGG_STATE_COMP[],R$1,0),"ERROR")</f>
        <v>0</v>
      </c>
      <c r="S34" s="115">
        <f>IFERROR(VLOOKUP($B34,MMWR_APP_STATE_COMP[],S$1,0),"ERROR")</f>
        <v>192</v>
      </c>
      <c r="T34" s="28"/>
    </row>
    <row r="35" spans="1:20" s="123" customFormat="1" x14ac:dyDescent="0.2">
      <c r="A35" s="107"/>
      <c r="B35" s="127" t="s">
        <v>395</v>
      </c>
      <c r="C35" s="109">
        <f>IFERROR(VLOOKUP($B35,MMWR_TRAD_AGG_STATE_COMP[],C$1,0),"ERROR")</f>
        <v>3019</v>
      </c>
      <c r="D35" s="110">
        <f>IFERROR(VLOOKUP($B35,MMWR_TRAD_AGG_STATE_COMP[],D$1,0),"ERROR")</f>
        <v>232.89963564089999</v>
      </c>
      <c r="E35" s="111">
        <f>IFERROR(VLOOKUP($B35,MMWR_TRAD_AGG_STATE_COMP[],E$1,0),"ERROR")</f>
        <v>4042</v>
      </c>
      <c r="F35" s="112">
        <f>IFERROR(VLOOKUP($B35,MMWR_TRAD_AGG_STATE_COMP[],F$1,0),"ERROR")</f>
        <v>655</v>
      </c>
      <c r="G35" s="113">
        <f t="shared" si="0"/>
        <v>0.16204849084611578</v>
      </c>
      <c r="H35" s="111">
        <f>IFERROR(VLOOKUP($B35,MMWR_TRAD_AGG_STATE_COMP[],H$1,0),"ERROR")</f>
        <v>5913</v>
      </c>
      <c r="I35" s="112">
        <f>IFERROR(VLOOKUP($B35,MMWR_TRAD_AGG_STATE_COMP[],I$1,0),"ERROR")</f>
        <v>2162</v>
      </c>
      <c r="J35" s="114">
        <f t="shared" si="1"/>
        <v>0.36563504143412817</v>
      </c>
      <c r="K35" s="111">
        <f>IFERROR(VLOOKUP($B35,MMWR_TRAD_AGG_STATE_COMP[],K$1,0),"ERROR")</f>
        <v>919</v>
      </c>
      <c r="L35" s="112">
        <f>IFERROR(VLOOKUP($B35,MMWR_TRAD_AGG_STATE_COMP[],L$1,0),"ERROR")</f>
        <v>669</v>
      </c>
      <c r="M35" s="114">
        <f t="shared" si="2"/>
        <v>0.72796517954298146</v>
      </c>
      <c r="N35" s="111">
        <f>IFERROR(VLOOKUP($B35,MMWR_TRAD_AGG_STATE_COMP[],N$1,0),"ERROR")</f>
        <v>1078</v>
      </c>
      <c r="O35" s="112">
        <f>IFERROR(VLOOKUP($B35,MMWR_TRAD_AGG_STATE_COMP[],O$1,0),"ERROR")</f>
        <v>670</v>
      </c>
      <c r="P35" s="114">
        <f t="shared" si="3"/>
        <v>0.62152133580705005</v>
      </c>
      <c r="Q35" s="115">
        <f>IFERROR(VLOOKUP($B35,MMWR_TRAD_AGG_STATE_COMP[],Q$1,0),"ERROR")</f>
        <v>689</v>
      </c>
      <c r="R35" s="115">
        <f>IFERROR(VLOOKUP($B35,MMWR_TRAD_AGG_STATE_COMP[],R$1,0),"ERROR")</f>
        <v>7</v>
      </c>
      <c r="S35" s="115">
        <f>IFERROR(VLOOKUP($B35,MMWR_APP_STATE_COMP[],S$1,0),"ERROR")</f>
        <v>3206</v>
      </c>
      <c r="T35" s="28"/>
    </row>
    <row r="36" spans="1:20" s="123" customFormat="1" x14ac:dyDescent="0.2">
      <c r="A36" s="28"/>
      <c r="B36" s="126" t="s">
        <v>384</v>
      </c>
      <c r="C36" s="102">
        <f>IF(SUM(C37:C45)&lt;&gt;VLOOKUP($B36,MMWR_TRAD_AGG_ST_DISTRICT_COMP[],C$1,0),"ERROR",
VLOOKUP($B36,MMWR_TRAD_AGG_ST_DISTRICT_COMP[],C$1,0))</f>
        <v>41461</v>
      </c>
      <c r="D36" s="103">
        <f>IFERROR(VLOOKUP($B36,MMWR_TRAD_AGG_ST_DISTRICT_COMP[],D$1,0),"ERROR")</f>
        <v>336.63020670029999</v>
      </c>
      <c r="E36" s="102">
        <f>IFERROR(VLOOKUP($B36,MMWR_TRAD_AGG_ST_DISTRICT_COMP[],E$1,0),"ERROR")</f>
        <v>66857</v>
      </c>
      <c r="F36" s="102">
        <f>IFERROR(VLOOKUP($B36,MMWR_TRAD_AGG_ST_DISTRICT_COMP[],F$1,0),"ERROR")</f>
        <v>13195</v>
      </c>
      <c r="G36" s="104">
        <f t="shared" si="0"/>
        <v>0.19736153282378807</v>
      </c>
      <c r="H36" s="102">
        <f>IFERROR(VLOOKUP($B36,MMWR_TRAD_AGG_ST_DISTRICT_COMP[],H$1,0),"ERROR")</f>
        <v>81719</v>
      </c>
      <c r="I36" s="102">
        <f>IFERROR(VLOOKUP($B36,MMWR_TRAD_AGG_ST_DISTRICT_COMP[],I$1,0),"ERROR")</f>
        <v>36895</v>
      </c>
      <c r="J36" s="105">
        <f t="shared" si="1"/>
        <v>0.45148619048201766</v>
      </c>
      <c r="K36" s="102">
        <f>IFERROR(VLOOKUP($B36,MMWR_TRAD_AGG_ST_DISTRICT_COMP[],K$1,0),"ERROR")</f>
        <v>21581</v>
      </c>
      <c r="L36" s="102">
        <f>IFERROR(VLOOKUP($B36,MMWR_TRAD_AGG_ST_DISTRICT_COMP[],L$1,0),"ERROR")</f>
        <v>15348</v>
      </c>
      <c r="M36" s="105">
        <f t="shared" si="2"/>
        <v>0.71118113155090124</v>
      </c>
      <c r="N36" s="102">
        <f>IFERROR(VLOOKUP($B36,MMWR_TRAD_AGG_ST_DISTRICT_COMP[],N$1,0),"ERROR")</f>
        <v>32617</v>
      </c>
      <c r="O36" s="102">
        <f>IFERROR(VLOOKUP($B36,MMWR_TRAD_AGG_ST_DISTRICT_COMP[],O$1,0),"ERROR")</f>
        <v>19817</v>
      </c>
      <c r="P36" s="105">
        <f t="shared" si="3"/>
        <v>0.60756660637091087</v>
      </c>
      <c r="Q36" s="102">
        <f>IFERROR(VLOOKUP($B36,MMWR_TRAD_AGG_ST_DISTRICT_COMP[],Q$1,0),"ERROR")</f>
        <v>1366</v>
      </c>
      <c r="R36" s="106">
        <f>IFERROR(VLOOKUP($B36,MMWR_TRAD_AGG_ST_DISTRICT_COMP[],R$1,0),"ERROR")</f>
        <v>1136</v>
      </c>
      <c r="S36" s="106">
        <f>SUM(S37:S45)</f>
        <v>70591</v>
      </c>
      <c r="T36" s="28"/>
    </row>
    <row r="37" spans="1:20" s="123" customFormat="1" x14ac:dyDescent="0.2">
      <c r="A37" s="28"/>
      <c r="B37" s="127" t="s">
        <v>410</v>
      </c>
      <c r="C37" s="109">
        <f>IFERROR(VLOOKUP($B37,MMWR_TRAD_AGG_STATE_COMP[],C$1,0),"ERROR")</f>
        <v>3591</v>
      </c>
      <c r="D37" s="110">
        <f>IFERROR(VLOOKUP($B37,MMWR_TRAD_AGG_STATE_COMP[],D$1,0),"ERROR")</f>
        <v>271.29713171819998</v>
      </c>
      <c r="E37" s="111">
        <f>IFERROR(VLOOKUP($B37,MMWR_TRAD_AGG_STATE_COMP[],E$1,0),"ERROR")</f>
        <v>3640</v>
      </c>
      <c r="F37" s="112">
        <f>IFERROR(VLOOKUP($B37,MMWR_TRAD_AGG_STATE_COMP[],F$1,0),"ERROR")</f>
        <v>492</v>
      </c>
      <c r="G37" s="113">
        <f t="shared" si="0"/>
        <v>0.13516483516483516</v>
      </c>
      <c r="H37" s="111">
        <f>IFERROR(VLOOKUP($B37,MMWR_TRAD_AGG_STATE_COMP[],H$1,0),"ERROR")</f>
        <v>6493</v>
      </c>
      <c r="I37" s="112">
        <f>IFERROR(VLOOKUP($B37,MMWR_TRAD_AGG_STATE_COMP[],I$1,0),"ERROR")</f>
        <v>2695</v>
      </c>
      <c r="J37" s="114">
        <f t="shared" si="1"/>
        <v>0.4150623748652395</v>
      </c>
      <c r="K37" s="111">
        <f>IFERROR(VLOOKUP($B37,MMWR_TRAD_AGG_STATE_COMP[],K$1,0),"ERROR")</f>
        <v>2342</v>
      </c>
      <c r="L37" s="112">
        <f>IFERROR(VLOOKUP($B37,MMWR_TRAD_AGG_STATE_COMP[],L$1,0),"ERROR")</f>
        <v>1610</v>
      </c>
      <c r="M37" s="114">
        <f t="shared" si="2"/>
        <v>0.68744662681468827</v>
      </c>
      <c r="N37" s="111">
        <f>IFERROR(VLOOKUP($B37,MMWR_TRAD_AGG_STATE_COMP[],N$1,0),"ERROR")</f>
        <v>2726</v>
      </c>
      <c r="O37" s="112">
        <f>IFERROR(VLOOKUP($B37,MMWR_TRAD_AGG_STATE_COMP[],O$1,0),"ERROR")</f>
        <v>1747</v>
      </c>
      <c r="P37" s="114">
        <f t="shared" si="3"/>
        <v>0.64086573734409391</v>
      </c>
      <c r="Q37" s="115">
        <f>IFERROR(VLOOKUP($B37,MMWR_TRAD_AGG_STATE_COMP[],Q$1,0),"ERROR")</f>
        <v>461</v>
      </c>
      <c r="R37" s="115">
        <f>IFERROR(VLOOKUP($B37,MMWR_TRAD_AGG_STATE_COMP[],R$1,0),"ERROR")</f>
        <v>103</v>
      </c>
      <c r="S37" s="115">
        <f>IFERROR(VLOOKUP($B37,MMWR_APP_STATE_COMP[],S$1,0),"ERROR")</f>
        <v>5360</v>
      </c>
      <c r="T37" s="28"/>
    </row>
    <row r="38" spans="1:20" s="123" customFormat="1" x14ac:dyDescent="0.2">
      <c r="A38" s="28"/>
      <c r="B38" s="127" t="s">
        <v>402</v>
      </c>
      <c r="C38" s="109">
        <f>IFERROR(VLOOKUP($B38,MMWR_TRAD_AGG_STATE_COMP[],C$1,0),"ERROR")</f>
        <v>5177</v>
      </c>
      <c r="D38" s="110">
        <f>IFERROR(VLOOKUP($B38,MMWR_TRAD_AGG_STATE_COMP[],D$1,0),"ERROR")</f>
        <v>383.74599188719998</v>
      </c>
      <c r="E38" s="111">
        <f>IFERROR(VLOOKUP($B38,MMWR_TRAD_AGG_STATE_COMP[],E$1,0),"ERROR")</f>
        <v>6181</v>
      </c>
      <c r="F38" s="112">
        <f>IFERROR(VLOOKUP($B38,MMWR_TRAD_AGG_STATE_COMP[],F$1,0),"ERROR")</f>
        <v>1321</v>
      </c>
      <c r="G38" s="113">
        <f t="shared" ref="G38:G64" si="4">IFERROR(F38/E38,"0%")</f>
        <v>0.21371946287008575</v>
      </c>
      <c r="H38" s="111">
        <f>IFERROR(VLOOKUP($B38,MMWR_TRAD_AGG_STATE_COMP[],H$1,0),"ERROR")</f>
        <v>10201</v>
      </c>
      <c r="I38" s="112">
        <f>IFERROR(VLOOKUP($B38,MMWR_TRAD_AGG_STATE_COMP[],I$1,0),"ERROR")</f>
        <v>5006</v>
      </c>
      <c r="J38" s="114">
        <f t="shared" ref="J38:J64" si="5">IFERROR(I38/H38,"0%")</f>
        <v>0.49073620233310461</v>
      </c>
      <c r="K38" s="111">
        <f>IFERROR(VLOOKUP($B38,MMWR_TRAD_AGG_STATE_COMP[],K$1,0),"ERROR")</f>
        <v>3928</v>
      </c>
      <c r="L38" s="112">
        <f>IFERROR(VLOOKUP($B38,MMWR_TRAD_AGG_STATE_COMP[],L$1,0),"ERROR")</f>
        <v>3233</v>
      </c>
      <c r="M38" s="114">
        <f t="shared" ref="M38:M64" si="6">IFERROR(L38/K38,"0%")</f>
        <v>0.82306517311608962</v>
      </c>
      <c r="N38" s="111">
        <f>IFERROR(VLOOKUP($B38,MMWR_TRAD_AGG_STATE_COMP[],N$1,0),"ERROR")</f>
        <v>1785</v>
      </c>
      <c r="O38" s="112">
        <f>IFERROR(VLOOKUP($B38,MMWR_TRAD_AGG_STATE_COMP[],O$1,0),"ERROR")</f>
        <v>1222</v>
      </c>
      <c r="P38" s="114">
        <f t="shared" ref="P38:P64" si="7">IFERROR(O38/N38,"0%")</f>
        <v>0.68459383753501402</v>
      </c>
      <c r="Q38" s="115">
        <f>IFERROR(VLOOKUP($B38,MMWR_TRAD_AGG_STATE_COMP[],Q$1,0),"ERROR")</f>
        <v>4</v>
      </c>
      <c r="R38" s="115">
        <f>IFERROR(VLOOKUP($B38,MMWR_TRAD_AGG_STATE_COMP[],R$1,0),"ERROR")</f>
        <v>55</v>
      </c>
      <c r="S38" s="115">
        <f>IFERROR(VLOOKUP($B38,MMWR_APP_STATE_COMP[],S$1,0),"ERROR")</f>
        <v>6755</v>
      </c>
      <c r="T38" s="28"/>
    </row>
    <row r="39" spans="1:20" s="123" customFormat="1" x14ac:dyDescent="0.2">
      <c r="A39" s="28"/>
      <c r="B39" s="127" t="s">
        <v>386</v>
      </c>
      <c r="C39" s="109">
        <f>IFERROR(VLOOKUP($B39,MMWR_TRAD_AGG_STATE_COMP[],C$1,0),"ERROR")</f>
        <v>3934</v>
      </c>
      <c r="D39" s="110">
        <f>IFERROR(VLOOKUP($B39,MMWR_TRAD_AGG_STATE_COMP[],D$1,0),"ERROR")</f>
        <v>417.71301474329999</v>
      </c>
      <c r="E39" s="111">
        <f>IFERROR(VLOOKUP($B39,MMWR_TRAD_AGG_STATE_COMP[],E$1,0),"ERROR")</f>
        <v>5609</v>
      </c>
      <c r="F39" s="112">
        <f>IFERROR(VLOOKUP($B39,MMWR_TRAD_AGG_STATE_COMP[],F$1,0),"ERROR")</f>
        <v>1113</v>
      </c>
      <c r="G39" s="113">
        <f t="shared" si="4"/>
        <v>0.19843109288643251</v>
      </c>
      <c r="H39" s="111">
        <f>IFERROR(VLOOKUP($B39,MMWR_TRAD_AGG_STATE_COMP[],H$1,0),"ERROR")</f>
        <v>7543</v>
      </c>
      <c r="I39" s="112">
        <f>IFERROR(VLOOKUP($B39,MMWR_TRAD_AGG_STATE_COMP[],I$1,0),"ERROR")</f>
        <v>3731</v>
      </c>
      <c r="J39" s="114">
        <f t="shared" si="5"/>
        <v>0.49463078350788808</v>
      </c>
      <c r="K39" s="111">
        <f>IFERROR(VLOOKUP($B39,MMWR_TRAD_AGG_STATE_COMP[],K$1,0),"ERROR")</f>
        <v>1639</v>
      </c>
      <c r="L39" s="112">
        <f>IFERROR(VLOOKUP($B39,MMWR_TRAD_AGG_STATE_COMP[],L$1,0),"ERROR")</f>
        <v>1153</v>
      </c>
      <c r="M39" s="114">
        <f t="shared" si="6"/>
        <v>0.70347773032336791</v>
      </c>
      <c r="N39" s="111">
        <f>IFERROR(VLOOKUP($B39,MMWR_TRAD_AGG_STATE_COMP[],N$1,0),"ERROR")</f>
        <v>3052</v>
      </c>
      <c r="O39" s="112">
        <f>IFERROR(VLOOKUP($B39,MMWR_TRAD_AGG_STATE_COMP[],O$1,0),"ERROR")</f>
        <v>2041</v>
      </c>
      <c r="P39" s="114">
        <f t="shared" si="7"/>
        <v>0.66874180865006549</v>
      </c>
      <c r="Q39" s="115">
        <f>IFERROR(VLOOKUP($B39,MMWR_TRAD_AGG_STATE_COMP[],Q$1,0),"ERROR")</f>
        <v>363</v>
      </c>
      <c r="R39" s="115">
        <f>IFERROR(VLOOKUP($B39,MMWR_TRAD_AGG_STATE_COMP[],R$1,0),"ERROR")</f>
        <v>269</v>
      </c>
      <c r="S39" s="115">
        <f>IFERROR(VLOOKUP($B39,MMWR_APP_STATE_COMP[],S$1,0),"ERROR")</f>
        <v>6039</v>
      </c>
      <c r="T39" s="28"/>
    </row>
    <row r="40" spans="1:20" s="123" customFormat="1" x14ac:dyDescent="0.2">
      <c r="A40" s="28"/>
      <c r="B40" s="127" t="s">
        <v>388</v>
      </c>
      <c r="C40" s="109">
        <f>IFERROR(VLOOKUP($B40,MMWR_TRAD_AGG_STATE_COMP[],C$1,0),"ERROR")</f>
        <v>3368</v>
      </c>
      <c r="D40" s="110">
        <f>IFERROR(VLOOKUP($B40,MMWR_TRAD_AGG_STATE_COMP[],D$1,0),"ERROR")</f>
        <v>391.9183491686</v>
      </c>
      <c r="E40" s="111">
        <f>IFERROR(VLOOKUP($B40,MMWR_TRAD_AGG_STATE_COMP[],E$1,0),"ERROR")</f>
        <v>4890</v>
      </c>
      <c r="F40" s="112">
        <f>IFERROR(VLOOKUP($B40,MMWR_TRAD_AGG_STATE_COMP[],F$1,0),"ERROR")</f>
        <v>1480</v>
      </c>
      <c r="G40" s="113">
        <f t="shared" si="4"/>
        <v>0.30265848670756645</v>
      </c>
      <c r="H40" s="111">
        <f>IFERROR(VLOOKUP($B40,MMWR_TRAD_AGG_STATE_COMP[],H$1,0),"ERROR")</f>
        <v>7144</v>
      </c>
      <c r="I40" s="112">
        <f>IFERROR(VLOOKUP($B40,MMWR_TRAD_AGG_STATE_COMP[],I$1,0),"ERROR")</f>
        <v>3940</v>
      </c>
      <c r="J40" s="114">
        <f t="shared" si="5"/>
        <v>0.55151175811870101</v>
      </c>
      <c r="K40" s="111">
        <f>IFERROR(VLOOKUP($B40,MMWR_TRAD_AGG_STATE_COMP[],K$1,0),"ERROR")</f>
        <v>1914</v>
      </c>
      <c r="L40" s="112">
        <f>IFERROR(VLOOKUP($B40,MMWR_TRAD_AGG_STATE_COMP[],L$1,0),"ERROR")</f>
        <v>1350</v>
      </c>
      <c r="M40" s="114">
        <f t="shared" si="6"/>
        <v>0.70532915360501569</v>
      </c>
      <c r="N40" s="111">
        <f>IFERROR(VLOOKUP($B40,MMWR_TRAD_AGG_STATE_COMP[],N$1,0),"ERROR")</f>
        <v>1763</v>
      </c>
      <c r="O40" s="112">
        <f>IFERROR(VLOOKUP($B40,MMWR_TRAD_AGG_STATE_COMP[],O$1,0),"ERROR")</f>
        <v>1173</v>
      </c>
      <c r="P40" s="114">
        <f t="shared" si="7"/>
        <v>0.6653431650595576</v>
      </c>
      <c r="Q40" s="115">
        <f>IFERROR(VLOOKUP($B40,MMWR_TRAD_AGG_STATE_COMP[],Q$1,0),"ERROR")</f>
        <v>509</v>
      </c>
      <c r="R40" s="115">
        <f>IFERROR(VLOOKUP($B40,MMWR_TRAD_AGG_STATE_COMP[],R$1,0),"ERROR")</f>
        <v>245</v>
      </c>
      <c r="S40" s="115">
        <f>IFERROR(VLOOKUP($B40,MMWR_APP_STATE_COMP[],S$1,0),"ERROR")</f>
        <v>4936</v>
      </c>
      <c r="T40" s="28"/>
    </row>
    <row r="41" spans="1:20" s="123" customFormat="1" x14ac:dyDescent="0.2">
      <c r="A41" s="28"/>
      <c r="B41" s="127" t="s">
        <v>417</v>
      </c>
      <c r="C41" s="109">
        <f>IFERROR(VLOOKUP($B41,MMWR_TRAD_AGG_STATE_COMP[],C$1,0),"ERROR")</f>
        <v>405</v>
      </c>
      <c r="D41" s="110">
        <f>IFERROR(VLOOKUP($B41,MMWR_TRAD_AGG_STATE_COMP[],D$1,0),"ERROR")</f>
        <v>253.4839506173</v>
      </c>
      <c r="E41" s="111">
        <f>IFERROR(VLOOKUP($B41,MMWR_TRAD_AGG_STATE_COMP[],E$1,0),"ERROR")</f>
        <v>729</v>
      </c>
      <c r="F41" s="112">
        <f>IFERROR(VLOOKUP($B41,MMWR_TRAD_AGG_STATE_COMP[],F$1,0),"ERROR")</f>
        <v>57</v>
      </c>
      <c r="G41" s="113">
        <f t="shared" si="4"/>
        <v>7.8189300411522639E-2</v>
      </c>
      <c r="H41" s="111">
        <f>IFERROR(VLOOKUP($B41,MMWR_TRAD_AGG_STATE_COMP[],H$1,0),"ERROR")</f>
        <v>1263</v>
      </c>
      <c r="I41" s="112">
        <f>IFERROR(VLOOKUP($B41,MMWR_TRAD_AGG_STATE_COMP[],I$1,0),"ERROR")</f>
        <v>286</v>
      </c>
      <c r="J41" s="114">
        <f t="shared" si="5"/>
        <v>0.22644497228820268</v>
      </c>
      <c r="K41" s="111">
        <f>IFERROR(VLOOKUP($B41,MMWR_TRAD_AGG_STATE_COMP[],K$1,0),"ERROR")</f>
        <v>372</v>
      </c>
      <c r="L41" s="112">
        <f>IFERROR(VLOOKUP($B41,MMWR_TRAD_AGG_STATE_COMP[],L$1,0),"ERROR")</f>
        <v>224</v>
      </c>
      <c r="M41" s="114">
        <f t="shared" si="6"/>
        <v>0.60215053763440862</v>
      </c>
      <c r="N41" s="111">
        <f>IFERROR(VLOOKUP($B41,MMWR_TRAD_AGG_STATE_COMP[],N$1,0),"ERROR")</f>
        <v>441</v>
      </c>
      <c r="O41" s="112">
        <f>IFERROR(VLOOKUP($B41,MMWR_TRAD_AGG_STATE_COMP[],O$1,0),"ERROR")</f>
        <v>246</v>
      </c>
      <c r="P41" s="114">
        <f t="shared" si="7"/>
        <v>0.55782312925170063</v>
      </c>
      <c r="Q41" s="115">
        <f>IFERROR(VLOOKUP($B41,MMWR_TRAD_AGG_STATE_COMP[],Q$1,0),"ERROR")</f>
        <v>1</v>
      </c>
      <c r="R41" s="115">
        <f>IFERROR(VLOOKUP($B41,MMWR_TRAD_AGG_STATE_COMP[],R$1,0),"ERROR")</f>
        <v>4</v>
      </c>
      <c r="S41" s="115">
        <f>IFERROR(VLOOKUP($B41,MMWR_APP_STATE_COMP[],S$1,0),"ERROR")</f>
        <v>336</v>
      </c>
      <c r="T41" s="28"/>
    </row>
    <row r="42" spans="1:20" s="123" customFormat="1" x14ac:dyDescent="0.2">
      <c r="A42" s="28"/>
      <c r="B42" s="127" t="s">
        <v>411</v>
      </c>
      <c r="C42" s="109">
        <f>IFERROR(VLOOKUP($B42,MMWR_TRAD_AGG_STATE_COMP[],C$1,0),"ERROR")</f>
        <v>1675</v>
      </c>
      <c r="D42" s="110">
        <f>IFERROR(VLOOKUP($B42,MMWR_TRAD_AGG_STATE_COMP[],D$1,0),"ERROR")</f>
        <v>151.58447761190001</v>
      </c>
      <c r="E42" s="111">
        <f>IFERROR(VLOOKUP($B42,MMWR_TRAD_AGG_STATE_COMP[],E$1,0),"ERROR")</f>
        <v>6090</v>
      </c>
      <c r="F42" s="112">
        <f>IFERROR(VLOOKUP($B42,MMWR_TRAD_AGG_STATE_COMP[],F$1,0),"ERROR")</f>
        <v>632</v>
      </c>
      <c r="G42" s="113">
        <f t="shared" si="4"/>
        <v>0.10377668308702792</v>
      </c>
      <c r="H42" s="111">
        <f>IFERROR(VLOOKUP($B42,MMWR_TRAD_AGG_STATE_COMP[],H$1,0),"ERROR")</f>
        <v>4857</v>
      </c>
      <c r="I42" s="112">
        <f>IFERROR(VLOOKUP($B42,MMWR_TRAD_AGG_STATE_COMP[],I$1,0),"ERROR")</f>
        <v>666</v>
      </c>
      <c r="J42" s="114">
        <f t="shared" si="5"/>
        <v>0.13712168004941322</v>
      </c>
      <c r="K42" s="111">
        <f>IFERROR(VLOOKUP($B42,MMWR_TRAD_AGG_STATE_COMP[],K$1,0),"ERROR")</f>
        <v>1087</v>
      </c>
      <c r="L42" s="112">
        <f>IFERROR(VLOOKUP($B42,MMWR_TRAD_AGG_STATE_COMP[],L$1,0),"ERROR")</f>
        <v>495</v>
      </c>
      <c r="M42" s="114">
        <f t="shared" si="6"/>
        <v>0.45538178472861085</v>
      </c>
      <c r="N42" s="111">
        <f>IFERROR(VLOOKUP($B42,MMWR_TRAD_AGG_STATE_COMP[],N$1,0),"ERROR")</f>
        <v>2971</v>
      </c>
      <c r="O42" s="112">
        <f>IFERROR(VLOOKUP($B42,MMWR_TRAD_AGG_STATE_COMP[],O$1,0),"ERROR")</f>
        <v>1804</v>
      </c>
      <c r="P42" s="114">
        <f t="shared" si="7"/>
        <v>0.60720296196566814</v>
      </c>
      <c r="Q42" s="115">
        <f>IFERROR(VLOOKUP($B42,MMWR_TRAD_AGG_STATE_COMP[],Q$1,0),"ERROR")</f>
        <v>5</v>
      </c>
      <c r="R42" s="115">
        <f>IFERROR(VLOOKUP($B42,MMWR_TRAD_AGG_STATE_COMP[],R$1,0),"ERROR")</f>
        <v>16</v>
      </c>
      <c r="S42" s="115">
        <f>IFERROR(VLOOKUP($B42,MMWR_APP_STATE_COMP[],S$1,0),"ERROR")</f>
        <v>4439</v>
      </c>
      <c r="T42" s="28"/>
    </row>
    <row r="43" spans="1:20" s="123" customFormat="1" x14ac:dyDescent="0.2">
      <c r="A43" s="28"/>
      <c r="B43" s="127" t="s">
        <v>409</v>
      </c>
      <c r="C43" s="109">
        <f>IFERROR(VLOOKUP($B43,MMWR_TRAD_AGG_STATE_COMP[],C$1,0),"ERROR")</f>
        <v>22252</v>
      </c>
      <c r="D43" s="110">
        <f>IFERROR(VLOOKUP($B43,MMWR_TRAD_AGG_STATE_COMP[],D$1,0),"ERROR")</f>
        <v>332.98427107679998</v>
      </c>
      <c r="E43" s="111">
        <f>IFERROR(VLOOKUP($B43,MMWR_TRAD_AGG_STATE_COMP[],E$1,0),"ERROR")</f>
        <v>37082</v>
      </c>
      <c r="F43" s="112">
        <f>IFERROR(VLOOKUP($B43,MMWR_TRAD_AGG_STATE_COMP[],F$1,0),"ERROR")</f>
        <v>7532</v>
      </c>
      <c r="G43" s="113">
        <f t="shared" si="4"/>
        <v>0.20311741545763443</v>
      </c>
      <c r="H43" s="111">
        <f>IFERROR(VLOOKUP($B43,MMWR_TRAD_AGG_STATE_COMP[],H$1,0),"ERROR")</f>
        <v>41357</v>
      </c>
      <c r="I43" s="112">
        <f>IFERROR(VLOOKUP($B43,MMWR_TRAD_AGG_STATE_COMP[],I$1,0),"ERROR")</f>
        <v>19731</v>
      </c>
      <c r="J43" s="114">
        <f t="shared" si="5"/>
        <v>0.47708973087989942</v>
      </c>
      <c r="K43" s="111">
        <f>IFERROR(VLOOKUP($B43,MMWR_TRAD_AGG_STATE_COMP[],K$1,0),"ERROR")</f>
        <v>9524</v>
      </c>
      <c r="L43" s="112">
        <f>IFERROR(VLOOKUP($B43,MMWR_TRAD_AGG_STATE_COMP[],L$1,0),"ERROR")</f>
        <v>6858</v>
      </c>
      <c r="M43" s="114">
        <f t="shared" si="6"/>
        <v>0.72007559848803027</v>
      </c>
      <c r="N43" s="111">
        <f>IFERROR(VLOOKUP($B43,MMWR_TRAD_AGG_STATE_COMP[],N$1,0),"ERROR")</f>
        <v>19100</v>
      </c>
      <c r="O43" s="112">
        <f>IFERROR(VLOOKUP($B43,MMWR_TRAD_AGG_STATE_COMP[],O$1,0),"ERROR")</f>
        <v>11146</v>
      </c>
      <c r="P43" s="114">
        <f t="shared" si="7"/>
        <v>0.58356020942408382</v>
      </c>
      <c r="Q43" s="115">
        <f>IFERROR(VLOOKUP($B43,MMWR_TRAD_AGG_STATE_COMP[],Q$1,0),"ERROR")</f>
        <v>20</v>
      </c>
      <c r="R43" s="115">
        <f>IFERROR(VLOOKUP($B43,MMWR_TRAD_AGG_STATE_COMP[],R$1,0),"ERROR")</f>
        <v>439</v>
      </c>
      <c r="S43" s="115">
        <f>IFERROR(VLOOKUP($B43,MMWR_APP_STATE_COMP[],S$1,0),"ERROR")</f>
        <v>41969</v>
      </c>
      <c r="T43" s="28"/>
    </row>
    <row r="44" spans="1:20" s="123" customFormat="1" x14ac:dyDescent="0.2">
      <c r="A44" s="28"/>
      <c r="B44" s="127" t="s">
        <v>405</v>
      </c>
      <c r="C44" s="109">
        <f>IFERROR(VLOOKUP($B44,MMWR_TRAD_AGG_STATE_COMP[],C$1,0),"ERROR")</f>
        <v>758</v>
      </c>
      <c r="D44" s="110">
        <f>IFERROR(VLOOKUP($B44,MMWR_TRAD_AGG_STATE_COMP[],D$1,0),"ERROR")</f>
        <v>229.08575197889999</v>
      </c>
      <c r="E44" s="111">
        <f>IFERROR(VLOOKUP($B44,MMWR_TRAD_AGG_STATE_COMP[],E$1,0),"ERROR")</f>
        <v>1918</v>
      </c>
      <c r="F44" s="112">
        <f>IFERROR(VLOOKUP($B44,MMWR_TRAD_AGG_STATE_COMP[],F$1,0),"ERROR")</f>
        <v>493</v>
      </c>
      <c r="G44" s="113">
        <f t="shared" si="4"/>
        <v>0.25703858185610012</v>
      </c>
      <c r="H44" s="111">
        <f>IFERROR(VLOOKUP($B44,MMWR_TRAD_AGG_STATE_COMP[],H$1,0),"ERROR")</f>
        <v>2018</v>
      </c>
      <c r="I44" s="112">
        <f>IFERROR(VLOOKUP($B44,MMWR_TRAD_AGG_STATE_COMP[],I$1,0),"ERROR")</f>
        <v>515</v>
      </c>
      <c r="J44" s="114">
        <f t="shared" si="5"/>
        <v>0.25520317145688803</v>
      </c>
      <c r="K44" s="111">
        <f>IFERROR(VLOOKUP($B44,MMWR_TRAD_AGG_STATE_COMP[],K$1,0),"ERROR")</f>
        <v>545</v>
      </c>
      <c r="L44" s="112">
        <f>IFERROR(VLOOKUP($B44,MMWR_TRAD_AGG_STATE_COMP[],L$1,0),"ERROR")</f>
        <v>286</v>
      </c>
      <c r="M44" s="114">
        <f t="shared" si="6"/>
        <v>0.52477064220183489</v>
      </c>
      <c r="N44" s="111">
        <f>IFERROR(VLOOKUP($B44,MMWR_TRAD_AGG_STATE_COMP[],N$1,0),"ERROR")</f>
        <v>591</v>
      </c>
      <c r="O44" s="112">
        <f>IFERROR(VLOOKUP($B44,MMWR_TRAD_AGG_STATE_COMP[],O$1,0),"ERROR")</f>
        <v>321</v>
      </c>
      <c r="P44" s="114">
        <f t="shared" si="7"/>
        <v>0.54314720812182737</v>
      </c>
      <c r="Q44" s="115">
        <f>IFERROR(VLOOKUP($B44,MMWR_TRAD_AGG_STATE_COMP[],Q$1,0),"ERROR")</f>
        <v>1</v>
      </c>
      <c r="R44" s="115">
        <f>IFERROR(VLOOKUP($B44,MMWR_TRAD_AGG_STATE_COMP[],R$1,0),"ERROR")</f>
        <v>4</v>
      </c>
      <c r="S44" s="115">
        <f>IFERROR(VLOOKUP($B44,MMWR_APP_STATE_COMP[],S$1,0),"ERROR")</f>
        <v>552</v>
      </c>
      <c r="T44" s="28"/>
    </row>
    <row r="45" spans="1:20" s="123" customFormat="1" x14ac:dyDescent="0.2">
      <c r="A45" s="28"/>
      <c r="B45" s="127" t="s">
        <v>420</v>
      </c>
      <c r="C45" s="109">
        <f>IFERROR(VLOOKUP($B45,MMWR_TRAD_AGG_STATE_COMP[],C$1,0),"ERROR")</f>
        <v>301</v>
      </c>
      <c r="D45" s="110">
        <f>IFERROR(VLOOKUP($B45,MMWR_TRAD_AGG_STATE_COMP[],D$1,0),"ERROR")</f>
        <v>309.30897009969999</v>
      </c>
      <c r="E45" s="111">
        <f>IFERROR(VLOOKUP($B45,MMWR_TRAD_AGG_STATE_COMP[],E$1,0),"ERROR")</f>
        <v>718</v>
      </c>
      <c r="F45" s="112">
        <f>IFERROR(VLOOKUP($B45,MMWR_TRAD_AGG_STATE_COMP[],F$1,0),"ERROR")</f>
        <v>75</v>
      </c>
      <c r="G45" s="113">
        <f t="shared" si="4"/>
        <v>0.10445682451253482</v>
      </c>
      <c r="H45" s="111">
        <f>IFERROR(VLOOKUP($B45,MMWR_TRAD_AGG_STATE_COMP[],H$1,0),"ERROR")</f>
        <v>843</v>
      </c>
      <c r="I45" s="112">
        <f>IFERROR(VLOOKUP($B45,MMWR_TRAD_AGG_STATE_COMP[],I$1,0),"ERROR")</f>
        <v>325</v>
      </c>
      <c r="J45" s="114">
        <f t="shared" si="5"/>
        <v>0.38552787663107946</v>
      </c>
      <c r="K45" s="111">
        <f>IFERROR(VLOOKUP($B45,MMWR_TRAD_AGG_STATE_COMP[],K$1,0),"ERROR")</f>
        <v>230</v>
      </c>
      <c r="L45" s="112">
        <f>IFERROR(VLOOKUP($B45,MMWR_TRAD_AGG_STATE_COMP[],L$1,0),"ERROR")</f>
        <v>139</v>
      </c>
      <c r="M45" s="114">
        <f t="shared" si="6"/>
        <v>0.60434782608695647</v>
      </c>
      <c r="N45" s="111">
        <f>IFERROR(VLOOKUP($B45,MMWR_TRAD_AGG_STATE_COMP[],N$1,0),"ERROR")</f>
        <v>188</v>
      </c>
      <c r="O45" s="112">
        <f>IFERROR(VLOOKUP($B45,MMWR_TRAD_AGG_STATE_COMP[],O$1,0),"ERROR")</f>
        <v>117</v>
      </c>
      <c r="P45" s="114">
        <f t="shared" si="7"/>
        <v>0.62234042553191493</v>
      </c>
      <c r="Q45" s="115">
        <f>IFERROR(VLOOKUP($B45,MMWR_TRAD_AGG_STATE_COMP[],Q$1,0),"ERROR")</f>
        <v>2</v>
      </c>
      <c r="R45" s="115">
        <f>IFERROR(VLOOKUP($B45,MMWR_TRAD_AGG_STATE_COMP[],R$1,0),"ERROR")</f>
        <v>1</v>
      </c>
      <c r="S45" s="115">
        <f>IFERROR(VLOOKUP($B45,MMWR_APP_STATE_COMP[],S$1,0),"ERROR")</f>
        <v>205</v>
      </c>
      <c r="T45" s="28"/>
    </row>
    <row r="46" spans="1:20" s="123" customFormat="1" x14ac:dyDescent="0.2">
      <c r="A46" s="28"/>
      <c r="B46" s="126" t="s">
        <v>403</v>
      </c>
      <c r="C46" s="102">
        <f>IFERROR(VLOOKUP($B46,MMWR_TRAD_AGG_ST_DISTRICT_COMP[],C$1,0),"ERROR")</f>
        <v>44760</v>
      </c>
      <c r="D46" s="103">
        <f>IFERROR(VLOOKUP($B46,MMWR_TRAD_AGG_ST_DISTRICT_COMP[],D$1,0),"ERROR")</f>
        <v>388.42701072390003</v>
      </c>
      <c r="E46" s="102">
        <f>IFERROR(VLOOKUP($B46,MMWR_TRAD_AGG_ST_DISTRICT_COMP[],E$1,0),"ERROR")</f>
        <v>63618</v>
      </c>
      <c r="F46" s="102">
        <f>IFERROR(VLOOKUP($B46,MMWR_TRAD_AGG_ST_DISTRICT_COMP[],F$1,0),"ERROR")</f>
        <v>12712</v>
      </c>
      <c r="G46" s="104">
        <f t="shared" si="4"/>
        <v>0.19981766166808135</v>
      </c>
      <c r="H46" s="102">
        <f>IFERROR(VLOOKUP($B46,MMWR_TRAD_AGG_ST_DISTRICT_COMP[],H$1,0),"ERROR")</f>
        <v>85452</v>
      </c>
      <c r="I46" s="102">
        <f>IFERROR(VLOOKUP($B46,MMWR_TRAD_AGG_ST_DISTRICT_COMP[],I$1,0),"ERROR")</f>
        <v>45230</v>
      </c>
      <c r="J46" s="105">
        <f t="shared" si="5"/>
        <v>0.52930300051490897</v>
      </c>
      <c r="K46" s="102">
        <f>IFERROR(VLOOKUP($B46,MMWR_TRAD_AGG_ST_DISTRICT_COMP[],K$1,0),"ERROR")</f>
        <v>23718</v>
      </c>
      <c r="L46" s="102">
        <f>IFERROR(VLOOKUP($B46,MMWR_TRAD_AGG_ST_DISTRICT_COMP[],L$1,0),"ERROR")</f>
        <v>17945</v>
      </c>
      <c r="M46" s="105">
        <f t="shared" si="6"/>
        <v>0.75659836411164516</v>
      </c>
      <c r="N46" s="102">
        <f>IFERROR(VLOOKUP($B46,MMWR_TRAD_AGG_ST_DISTRICT_COMP[],N$1,0),"ERROR")</f>
        <v>31274</v>
      </c>
      <c r="O46" s="102">
        <f>IFERROR(VLOOKUP($B46,MMWR_TRAD_AGG_ST_DISTRICT_COMP[],O$1,0),"ERROR")</f>
        <v>22235</v>
      </c>
      <c r="P46" s="105">
        <f t="shared" si="7"/>
        <v>0.71097397198951207</v>
      </c>
      <c r="Q46" s="102">
        <f>IFERROR(VLOOKUP($B46,MMWR_TRAD_AGG_ST_DISTRICT_COMP[],Q$1,0),"ERROR")</f>
        <v>102</v>
      </c>
      <c r="R46" s="106">
        <f>IFERROR(VLOOKUP($B46,MMWR_TRAD_AGG_ST_DISTRICT_COMP[],R$1,0),"ERROR")</f>
        <v>653</v>
      </c>
      <c r="S46" s="106">
        <f>SUM(S47:S55)</f>
        <v>41713</v>
      </c>
      <c r="T46" s="28"/>
    </row>
    <row r="47" spans="1:20" s="123" customFormat="1" x14ac:dyDescent="0.2">
      <c r="A47" s="28"/>
      <c r="B47" s="127" t="s">
        <v>423</v>
      </c>
      <c r="C47" s="109">
        <f>IFERROR(VLOOKUP($B47,MMWR_TRAD_AGG_STATE_COMP[],C$1,0),"ERROR")</f>
        <v>1892</v>
      </c>
      <c r="D47" s="110">
        <f>IFERROR(VLOOKUP($B47,MMWR_TRAD_AGG_STATE_COMP[],D$1,0),"ERROR")</f>
        <v>530.3705073996</v>
      </c>
      <c r="E47" s="111">
        <f>IFERROR(VLOOKUP($B47,MMWR_TRAD_AGG_STATE_COMP[],E$1,0),"ERROR")</f>
        <v>1162</v>
      </c>
      <c r="F47" s="112">
        <f>IFERROR(VLOOKUP($B47,MMWR_TRAD_AGG_STATE_COMP[],F$1,0),"ERROR")</f>
        <v>307</v>
      </c>
      <c r="G47" s="113">
        <f t="shared" si="4"/>
        <v>0.2641996557659208</v>
      </c>
      <c r="H47" s="111">
        <f>IFERROR(VLOOKUP($B47,MMWR_TRAD_AGG_STATE_COMP[],H$1,0),"ERROR")</f>
        <v>3076</v>
      </c>
      <c r="I47" s="112">
        <f>IFERROR(VLOOKUP($B47,MMWR_TRAD_AGG_STATE_COMP[],I$1,0),"ERROR")</f>
        <v>2071</v>
      </c>
      <c r="J47" s="114">
        <f t="shared" si="5"/>
        <v>0.67327698309492845</v>
      </c>
      <c r="K47" s="111">
        <f>IFERROR(VLOOKUP($B47,MMWR_TRAD_AGG_STATE_COMP[],K$1,0),"ERROR")</f>
        <v>1408</v>
      </c>
      <c r="L47" s="112">
        <f>IFERROR(VLOOKUP($B47,MMWR_TRAD_AGG_STATE_COMP[],L$1,0),"ERROR")</f>
        <v>1118</v>
      </c>
      <c r="M47" s="114">
        <f t="shared" si="6"/>
        <v>0.79403409090909094</v>
      </c>
      <c r="N47" s="111">
        <f>IFERROR(VLOOKUP($B47,MMWR_TRAD_AGG_STATE_COMP[],N$1,0),"ERROR")</f>
        <v>359</v>
      </c>
      <c r="O47" s="112">
        <f>IFERROR(VLOOKUP($B47,MMWR_TRAD_AGG_STATE_COMP[],O$1,0),"ERROR")</f>
        <v>252</v>
      </c>
      <c r="P47" s="114">
        <f t="shared" si="7"/>
        <v>0.70194986072423393</v>
      </c>
      <c r="Q47" s="115">
        <f>IFERROR(VLOOKUP($B47,MMWR_TRAD_AGG_STATE_COMP[],Q$1,0),"ERROR")</f>
        <v>0</v>
      </c>
      <c r="R47" s="115">
        <f>IFERROR(VLOOKUP($B47,MMWR_TRAD_AGG_STATE_COMP[],R$1,0),"ERROR")</f>
        <v>3</v>
      </c>
      <c r="S47" s="115">
        <f>IFERROR(VLOOKUP($B47,MMWR_APP_STATE_COMP[],S$1,0),"ERROR")</f>
        <v>261</v>
      </c>
      <c r="T47" s="28"/>
    </row>
    <row r="48" spans="1:20" s="123" customFormat="1" x14ac:dyDescent="0.2">
      <c r="A48" s="28"/>
      <c r="B48" s="127" t="s">
        <v>425</v>
      </c>
      <c r="C48" s="109">
        <f>IFERROR(VLOOKUP($B48,MMWR_TRAD_AGG_STATE_COMP[],C$1,0),"ERROR")</f>
        <v>3850</v>
      </c>
      <c r="D48" s="110">
        <f>IFERROR(VLOOKUP($B48,MMWR_TRAD_AGG_STATE_COMP[],D$1,0),"ERROR")</f>
        <v>275.40519480519998</v>
      </c>
      <c r="E48" s="111">
        <f>IFERROR(VLOOKUP($B48,MMWR_TRAD_AGG_STATE_COMP[],E$1,0),"ERROR")</f>
        <v>5554</v>
      </c>
      <c r="F48" s="112">
        <f>IFERROR(VLOOKUP($B48,MMWR_TRAD_AGG_STATE_COMP[],F$1,0),"ERROR")</f>
        <v>948</v>
      </c>
      <c r="G48" s="113">
        <f t="shared" si="4"/>
        <v>0.17068779258192293</v>
      </c>
      <c r="H48" s="111">
        <f>IFERROR(VLOOKUP($B48,MMWR_TRAD_AGG_STATE_COMP[],H$1,0),"ERROR")</f>
        <v>7431</v>
      </c>
      <c r="I48" s="112">
        <f>IFERROR(VLOOKUP($B48,MMWR_TRAD_AGG_STATE_COMP[],I$1,0),"ERROR")</f>
        <v>3165</v>
      </c>
      <c r="J48" s="114">
        <f t="shared" si="5"/>
        <v>0.4259184497375858</v>
      </c>
      <c r="K48" s="111">
        <f>IFERROR(VLOOKUP($B48,MMWR_TRAD_AGG_STATE_COMP[],K$1,0),"ERROR")</f>
        <v>1630</v>
      </c>
      <c r="L48" s="112">
        <f>IFERROR(VLOOKUP($B48,MMWR_TRAD_AGG_STATE_COMP[],L$1,0),"ERROR")</f>
        <v>1050</v>
      </c>
      <c r="M48" s="114">
        <f t="shared" si="6"/>
        <v>0.64417177914110424</v>
      </c>
      <c r="N48" s="111">
        <f>IFERROR(VLOOKUP($B48,MMWR_TRAD_AGG_STATE_COMP[],N$1,0),"ERROR")</f>
        <v>2649</v>
      </c>
      <c r="O48" s="112">
        <f>IFERROR(VLOOKUP($B48,MMWR_TRAD_AGG_STATE_COMP[],O$1,0),"ERROR")</f>
        <v>1688</v>
      </c>
      <c r="P48" s="114">
        <f t="shared" si="7"/>
        <v>0.63722159305398263</v>
      </c>
      <c r="Q48" s="115">
        <f>IFERROR(VLOOKUP($B48,MMWR_TRAD_AGG_STATE_COMP[],Q$1,0),"ERROR")</f>
        <v>7</v>
      </c>
      <c r="R48" s="115">
        <f>IFERROR(VLOOKUP($B48,MMWR_TRAD_AGG_STATE_COMP[],R$1,0),"ERROR")</f>
        <v>91</v>
      </c>
      <c r="S48" s="115">
        <f>IFERROR(VLOOKUP($B48,MMWR_APP_STATE_COMP[],S$1,0),"ERROR")</f>
        <v>7000</v>
      </c>
      <c r="T48" s="28"/>
    </row>
    <row r="49" spans="1:20" s="123" customFormat="1" x14ac:dyDescent="0.2">
      <c r="A49" s="28"/>
      <c r="B49" s="127" t="s">
        <v>406</v>
      </c>
      <c r="C49" s="109">
        <f>IFERROR(VLOOKUP($B49,MMWR_TRAD_AGG_STATE_COMP[],C$1,0),"ERROR")</f>
        <v>19342</v>
      </c>
      <c r="D49" s="110">
        <f>IFERROR(VLOOKUP($B49,MMWR_TRAD_AGG_STATE_COMP[],D$1,0),"ERROR")</f>
        <v>406.93315065659999</v>
      </c>
      <c r="E49" s="111">
        <f>IFERROR(VLOOKUP($B49,MMWR_TRAD_AGG_STATE_COMP[],E$1,0),"ERROR")</f>
        <v>33781</v>
      </c>
      <c r="F49" s="112">
        <f>IFERROR(VLOOKUP($B49,MMWR_TRAD_AGG_STATE_COMP[],F$1,0),"ERROR")</f>
        <v>6756</v>
      </c>
      <c r="G49" s="113">
        <f t="shared" si="4"/>
        <v>0.19999407951215181</v>
      </c>
      <c r="H49" s="111">
        <f>IFERROR(VLOOKUP($B49,MMWR_TRAD_AGG_STATE_COMP[],H$1,0),"ERROR")</f>
        <v>39183</v>
      </c>
      <c r="I49" s="112">
        <f>IFERROR(VLOOKUP($B49,MMWR_TRAD_AGG_STATE_COMP[],I$1,0),"ERROR")</f>
        <v>20929</v>
      </c>
      <c r="J49" s="114">
        <f t="shared" si="5"/>
        <v>0.53413470127351148</v>
      </c>
      <c r="K49" s="111">
        <f>IFERROR(VLOOKUP($B49,MMWR_TRAD_AGG_STATE_COMP[],K$1,0),"ERROR")</f>
        <v>10395</v>
      </c>
      <c r="L49" s="112">
        <f>IFERROR(VLOOKUP($B49,MMWR_TRAD_AGG_STATE_COMP[],L$1,0),"ERROR")</f>
        <v>8319</v>
      </c>
      <c r="M49" s="114">
        <f t="shared" si="6"/>
        <v>0.80028860028860027</v>
      </c>
      <c r="N49" s="111">
        <f>IFERROR(VLOOKUP($B49,MMWR_TRAD_AGG_STATE_COMP[],N$1,0),"ERROR")</f>
        <v>15168</v>
      </c>
      <c r="O49" s="112">
        <f>IFERROR(VLOOKUP($B49,MMWR_TRAD_AGG_STATE_COMP[],O$1,0),"ERROR")</f>
        <v>10835</v>
      </c>
      <c r="P49" s="114">
        <f t="shared" si="7"/>
        <v>0.71433280590717296</v>
      </c>
      <c r="Q49" s="115">
        <f>IFERROR(VLOOKUP($B49,MMWR_TRAD_AGG_STATE_COMP[],Q$1,0),"ERROR")</f>
        <v>58</v>
      </c>
      <c r="R49" s="115">
        <f>IFERROR(VLOOKUP($B49,MMWR_TRAD_AGG_STATE_COMP[],R$1,0),"ERROR")</f>
        <v>158</v>
      </c>
      <c r="S49" s="115">
        <f>IFERROR(VLOOKUP($B49,MMWR_APP_STATE_COMP[],S$1,0),"ERROR")</f>
        <v>18080</v>
      </c>
      <c r="T49" s="28"/>
    </row>
    <row r="50" spans="1:20" s="123" customFormat="1" x14ac:dyDescent="0.2">
      <c r="A50" s="28"/>
      <c r="B50" s="127" t="s">
        <v>427</v>
      </c>
      <c r="C50" s="109">
        <f>IFERROR(VLOOKUP($B50,MMWR_TRAD_AGG_STATE_COMP[],C$1,0),"ERROR")</f>
        <v>1074</v>
      </c>
      <c r="D50" s="110">
        <f>IFERROR(VLOOKUP($B50,MMWR_TRAD_AGG_STATE_COMP[],D$1,0),"ERROR")</f>
        <v>265.65921787709999</v>
      </c>
      <c r="E50" s="111">
        <f>IFERROR(VLOOKUP($B50,MMWR_TRAD_AGG_STATE_COMP[],E$1,0),"ERROR")</f>
        <v>2093</v>
      </c>
      <c r="F50" s="112">
        <f>IFERROR(VLOOKUP($B50,MMWR_TRAD_AGG_STATE_COMP[],F$1,0),"ERROR")</f>
        <v>299</v>
      </c>
      <c r="G50" s="113">
        <f t="shared" si="4"/>
        <v>0.14285714285714285</v>
      </c>
      <c r="H50" s="111">
        <f>IFERROR(VLOOKUP($B50,MMWR_TRAD_AGG_STATE_COMP[],H$1,0),"ERROR")</f>
        <v>2261</v>
      </c>
      <c r="I50" s="112">
        <f>IFERROR(VLOOKUP($B50,MMWR_TRAD_AGG_STATE_COMP[],I$1,0),"ERROR")</f>
        <v>856</v>
      </c>
      <c r="J50" s="114">
        <f t="shared" si="5"/>
        <v>0.37859354268022999</v>
      </c>
      <c r="K50" s="111">
        <f>IFERROR(VLOOKUP($B50,MMWR_TRAD_AGG_STATE_COMP[],K$1,0),"ERROR")</f>
        <v>1041</v>
      </c>
      <c r="L50" s="112">
        <f>IFERROR(VLOOKUP($B50,MMWR_TRAD_AGG_STATE_COMP[],L$1,0),"ERROR")</f>
        <v>576</v>
      </c>
      <c r="M50" s="114">
        <f t="shared" si="6"/>
        <v>0.55331412103746402</v>
      </c>
      <c r="N50" s="111">
        <f>IFERROR(VLOOKUP($B50,MMWR_TRAD_AGG_STATE_COMP[],N$1,0),"ERROR")</f>
        <v>590</v>
      </c>
      <c r="O50" s="112">
        <f>IFERROR(VLOOKUP($B50,MMWR_TRAD_AGG_STATE_COMP[],O$1,0),"ERROR")</f>
        <v>381</v>
      </c>
      <c r="P50" s="114">
        <f t="shared" si="7"/>
        <v>0.64576271186440681</v>
      </c>
      <c r="Q50" s="115">
        <f>IFERROR(VLOOKUP($B50,MMWR_TRAD_AGG_STATE_COMP[],Q$1,0),"ERROR")</f>
        <v>2</v>
      </c>
      <c r="R50" s="115">
        <f>IFERROR(VLOOKUP($B50,MMWR_TRAD_AGG_STATE_COMP[],R$1,0),"ERROR")</f>
        <v>4</v>
      </c>
      <c r="S50" s="115">
        <f>IFERROR(VLOOKUP($B50,MMWR_APP_STATE_COMP[],S$1,0),"ERROR")</f>
        <v>1118</v>
      </c>
      <c r="T50" s="28"/>
    </row>
    <row r="51" spans="1:20" s="123" customFormat="1" x14ac:dyDescent="0.2">
      <c r="A51" s="28"/>
      <c r="B51" s="127" t="s">
        <v>407</v>
      </c>
      <c r="C51" s="109">
        <f>IFERROR(VLOOKUP($B51,MMWR_TRAD_AGG_STATE_COMP[],C$1,0),"ERROR")</f>
        <v>609</v>
      </c>
      <c r="D51" s="110">
        <f>IFERROR(VLOOKUP($B51,MMWR_TRAD_AGG_STATE_COMP[],D$1,0),"ERROR")</f>
        <v>209.34811165849999</v>
      </c>
      <c r="E51" s="111">
        <f>IFERROR(VLOOKUP($B51,MMWR_TRAD_AGG_STATE_COMP[],E$1,0),"ERROR")</f>
        <v>1844</v>
      </c>
      <c r="F51" s="112">
        <f>IFERROR(VLOOKUP($B51,MMWR_TRAD_AGG_STATE_COMP[],F$1,0),"ERROR")</f>
        <v>469</v>
      </c>
      <c r="G51" s="113">
        <f t="shared" si="4"/>
        <v>0.25433839479392623</v>
      </c>
      <c r="H51" s="111">
        <f>IFERROR(VLOOKUP($B51,MMWR_TRAD_AGG_STATE_COMP[],H$1,0),"ERROR")</f>
        <v>1589</v>
      </c>
      <c r="I51" s="112">
        <f>IFERROR(VLOOKUP($B51,MMWR_TRAD_AGG_STATE_COMP[],I$1,0),"ERROR")</f>
        <v>386</v>
      </c>
      <c r="J51" s="114">
        <f t="shared" si="5"/>
        <v>0.24292007551919445</v>
      </c>
      <c r="K51" s="111">
        <f>IFERROR(VLOOKUP($B51,MMWR_TRAD_AGG_STATE_COMP[],K$1,0),"ERROR")</f>
        <v>289</v>
      </c>
      <c r="L51" s="112">
        <f>IFERROR(VLOOKUP($B51,MMWR_TRAD_AGG_STATE_COMP[],L$1,0),"ERROR")</f>
        <v>172</v>
      </c>
      <c r="M51" s="114">
        <f t="shared" si="6"/>
        <v>0.59515570934256057</v>
      </c>
      <c r="N51" s="111">
        <f>IFERROR(VLOOKUP($B51,MMWR_TRAD_AGG_STATE_COMP[],N$1,0),"ERROR")</f>
        <v>476</v>
      </c>
      <c r="O51" s="112">
        <f>IFERROR(VLOOKUP($B51,MMWR_TRAD_AGG_STATE_COMP[],O$1,0),"ERROR")</f>
        <v>295</v>
      </c>
      <c r="P51" s="114">
        <f t="shared" si="7"/>
        <v>0.61974789915966388</v>
      </c>
      <c r="Q51" s="115">
        <f>IFERROR(VLOOKUP($B51,MMWR_TRAD_AGG_STATE_COMP[],Q$1,0),"ERROR")</f>
        <v>2</v>
      </c>
      <c r="R51" s="115">
        <f>IFERROR(VLOOKUP($B51,MMWR_TRAD_AGG_STATE_COMP[],R$1,0),"ERROR")</f>
        <v>6</v>
      </c>
      <c r="S51" s="115">
        <f>IFERROR(VLOOKUP($B51,MMWR_APP_STATE_COMP[],S$1,0),"ERROR")</f>
        <v>874</v>
      </c>
      <c r="T51" s="28"/>
    </row>
    <row r="52" spans="1:20" s="123" customFormat="1" x14ac:dyDescent="0.2">
      <c r="A52" s="28"/>
      <c r="B52" s="127" t="s">
        <v>412</v>
      </c>
      <c r="C52" s="109">
        <f>IFERROR(VLOOKUP($B52,MMWR_TRAD_AGG_STATE_COMP[],C$1,0),"ERROR")</f>
        <v>2901</v>
      </c>
      <c r="D52" s="110">
        <f>IFERROR(VLOOKUP($B52,MMWR_TRAD_AGG_STATE_COMP[],D$1,0),"ERROR")</f>
        <v>429.49810410200001</v>
      </c>
      <c r="E52" s="111">
        <f>IFERROR(VLOOKUP($B52,MMWR_TRAD_AGG_STATE_COMP[],E$1,0),"ERROR")</f>
        <v>4202</v>
      </c>
      <c r="F52" s="112">
        <f>IFERROR(VLOOKUP($B52,MMWR_TRAD_AGG_STATE_COMP[],F$1,0),"ERROR")</f>
        <v>1017</v>
      </c>
      <c r="G52" s="113">
        <f t="shared" si="4"/>
        <v>0.24202760590195146</v>
      </c>
      <c r="H52" s="111">
        <f>IFERROR(VLOOKUP($B52,MMWR_TRAD_AGG_STATE_COMP[],H$1,0),"ERROR")</f>
        <v>4710</v>
      </c>
      <c r="I52" s="112">
        <f>IFERROR(VLOOKUP($B52,MMWR_TRAD_AGG_STATE_COMP[],I$1,0),"ERROR")</f>
        <v>2808</v>
      </c>
      <c r="J52" s="114">
        <f t="shared" si="5"/>
        <v>0.59617834394904456</v>
      </c>
      <c r="K52" s="111">
        <f>IFERROR(VLOOKUP($B52,MMWR_TRAD_AGG_STATE_COMP[],K$1,0),"ERROR")</f>
        <v>1044</v>
      </c>
      <c r="L52" s="112">
        <f>IFERROR(VLOOKUP($B52,MMWR_TRAD_AGG_STATE_COMP[],L$1,0),"ERROR")</f>
        <v>808</v>
      </c>
      <c r="M52" s="114">
        <f t="shared" si="6"/>
        <v>0.77394636015325668</v>
      </c>
      <c r="N52" s="111">
        <f>IFERROR(VLOOKUP($B52,MMWR_TRAD_AGG_STATE_COMP[],N$1,0),"ERROR")</f>
        <v>1965</v>
      </c>
      <c r="O52" s="112">
        <f>IFERROR(VLOOKUP($B52,MMWR_TRAD_AGG_STATE_COMP[],O$1,0),"ERROR")</f>
        <v>1480</v>
      </c>
      <c r="P52" s="114">
        <f t="shared" si="7"/>
        <v>0.7531806615776081</v>
      </c>
      <c r="Q52" s="115">
        <f>IFERROR(VLOOKUP($B52,MMWR_TRAD_AGG_STATE_COMP[],Q$1,0),"ERROR")</f>
        <v>3</v>
      </c>
      <c r="R52" s="115">
        <f>IFERROR(VLOOKUP($B52,MMWR_TRAD_AGG_STATE_COMP[],R$1,0),"ERROR")</f>
        <v>126</v>
      </c>
      <c r="S52" s="115">
        <f>IFERROR(VLOOKUP($B52,MMWR_APP_STATE_COMP[],S$1,0),"ERROR")</f>
        <v>2997</v>
      </c>
      <c r="T52" s="28"/>
    </row>
    <row r="53" spans="1:20" s="123" customFormat="1" x14ac:dyDescent="0.2">
      <c r="A53" s="28"/>
      <c r="B53" s="127" t="s">
        <v>404</v>
      </c>
      <c r="C53" s="109">
        <f>IFERROR(VLOOKUP($B53,MMWR_TRAD_AGG_STATE_COMP[],C$1,0),"ERROR")</f>
        <v>780</v>
      </c>
      <c r="D53" s="110">
        <f>IFERROR(VLOOKUP($B53,MMWR_TRAD_AGG_STATE_COMP[],D$1,0),"ERROR")</f>
        <v>261.91410256410001</v>
      </c>
      <c r="E53" s="111">
        <f>IFERROR(VLOOKUP($B53,MMWR_TRAD_AGG_STATE_COMP[],E$1,0),"ERROR")</f>
        <v>2729</v>
      </c>
      <c r="F53" s="112">
        <f>IFERROR(VLOOKUP($B53,MMWR_TRAD_AGG_STATE_COMP[],F$1,0),"ERROR")</f>
        <v>606</v>
      </c>
      <c r="G53" s="113">
        <f t="shared" si="4"/>
        <v>0.22205936240381091</v>
      </c>
      <c r="H53" s="111">
        <f>IFERROR(VLOOKUP($B53,MMWR_TRAD_AGG_STATE_COMP[],H$1,0),"ERROR")</f>
        <v>1989</v>
      </c>
      <c r="I53" s="112">
        <f>IFERROR(VLOOKUP($B53,MMWR_TRAD_AGG_STATE_COMP[],I$1,0),"ERROR")</f>
        <v>697</v>
      </c>
      <c r="J53" s="114">
        <f t="shared" si="5"/>
        <v>0.3504273504273504</v>
      </c>
      <c r="K53" s="111">
        <f>IFERROR(VLOOKUP($B53,MMWR_TRAD_AGG_STATE_COMP[],K$1,0),"ERROR")</f>
        <v>512</v>
      </c>
      <c r="L53" s="112">
        <f>IFERROR(VLOOKUP($B53,MMWR_TRAD_AGG_STATE_COMP[],L$1,0),"ERROR")</f>
        <v>316</v>
      </c>
      <c r="M53" s="114">
        <f t="shared" si="6"/>
        <v>0.6171875</v>
      </c>
      <c r="N53" s="111">
        <f>IFERROR(VLOOKUP($B53,MMWR_TRAD_AGG_STATE_COMP[],N$1,0),"ERROR")</f>
        <v>978</v>
      </c>
      <c r="O53" s="112">
        <f>IFERROR(VLOOKUP($B53,MMWR_TRAD_AGG_STATE_COMP[],O$1,0),"ERROR")</f>
        <v>592</v>
      </c>
      <c r="P53" s="114">
        <f t="shared" si="7"/>
        <v>0.60531697341513291</v>
      </c>
      <c r="Q53" s="115">
        <f>IFERROR(VLOOKUP($B53,MMWR_TRAD_AGG_STATE_COMP[],Q$1,0),"ERROR")</f>
        <v>6</v>
      </c>
      <c r="R53" s="115">
        <f>IFERROR(VLOOKUP($B53,MMWR_TRAD_AGG_STATE_COMP[],R$1,0),"ERROR")</f>
        <v>11</v>
      </c>
      <c r="S53" s="115">
        <f>IFERROR(VLOOKUP($B53,MMWR_APP_STATE_COMP[],S$1,0),"ERROR")</f>
        <v>1670</v>
      </c>
      <c r="T53" s="28"/>
    </row>
    <row r="54" spans="1:20" s="123" customFormat="1" x14ac:dyDescent="0.2">
      <c r="A54" s="28"/>
      <c r="B54" s="127" t="s">
        <v>408</v>
      </c>
      <c r="C54" s="109">
        <f>IFERROR(VLOOKUP($B54,MMWR_TRAD_AGG_STATE_COMP[],C$1,0),"ERROR")</f>
        <v>5429</v>
      </c>
      <c r="D54" s="110">
        <f>IFERROR(VLOOKUP($B54,MMWR_TRAD_AGG_STATE_COMP[],D$1,0),"ERROR")</f>
        <v>407.50506538960002</v>
      </c>
      <c r="E54" s="111">
        <f>IFERROR(VLOOKUP($B54,MMWR_TRAD_AGG_STATE_COMP[],E$1,0),"ERROR")</f>
        <v>4742</v>
      </c>
      <c r="F54" s="112">
        <f>IFERROR(VLOOKUP($B54,MMWR_TRAD_AGG_STATE_COMP[],F$1,0),"ERROR")</f>
        <v>893</v>
      </c>
      <c r="G54" s="113">
        <f t="shared" si="4"/>
        <v>0.1883171657528469</v>
      </c>
      <c r="H54" s="111">
        <f>IFERROR(VLOOKUP($B54,MMWR_TRAD_AGG_STATE_COMP[],H$1,0),"ERROR")</f>
        <v>9064</v>
      </c>
      <c r="I54" s="112">
        <f>IFERROR(VLOOKUP($B54,MMWR_TRAD_AGG_STATE_COMP[],I$1,0),"ERROR")</f>
        <v>5145</v>
      </c>
      <c r="J54" s="114">
        <f t="shared" si="5"/>
        <v>0.56763018534863197</v>
      </c>
      <c r="K54" s="111">
        <f>IFERROR(VLOOKUP($B54,MMWR_TRAD_AGG_STATE_COMP[],K$1,0),"ERROR")</f>
        <v>3308</v>
      </c>
      <c r="L54" s="112">
        <f>IFERROR(VLOOKUP($B54,MMWR_TRAD_AGG_STATE_COMP[],L$1,0),"ERROR")</f>
        <v>2798</v>
      </c>
      <c r="M54" s="114">
        <f t="shared" si="6"/>
        <v>0.8458282950423216</v>
      </c>
      <c r="N54" s="111">
        <f>IFERROR(VLOOKUP($B54,MMWR_TRAD_AGG_STATE_COMP[],N$1,0),"ERROR")</f>
        <v>3183</v>
      </c>
      <c r="O54" s="112">
        <f>IFERROR(VLOOKUP($B54,MMWR_TRAD_AGG_STATE_COMP[],O$1,0),"ERROR")</f>
        <v>2255</v>
      </c>
      <c r="P54" s="114">
        <f t="shared" si="7"/>
        <v>0.70845114671693366</v>
      </c>
      <c r="Q54" s="115">
        <f>IFERROR(VLOOKUP($B54,MMWR_TRAD_AGG_STATE_COMP[],Q$1,0),"ERROR")</f>
        <v>9</v>
      </c>
      <c r="R54" s="115">
        <f>IFERROR(VLOOKUP($B54,MMWR_TRAD_AGG_STATE_COMP[],R$1,0),"ERROR")</f>
        <v>103</v>
      </c>
      <c r="S54" s="115">
        <f>IFERROR(VLOOKUP($B54,MMWR_APP_STATE_COMP[],S$1,0),"ERROR")</f>
        <v>4783</v>
      </c>
      <c r="T54" s="28"/>
    </row>
    <row r="55" spans="1:20" s="123" customFormat="1" x14ac:dyDescent="0.2">
      <c r="A55" s="28"/>
      <c r="B55" s="127" t="s">
        <v>80</v>
      </c>
      <c r="C55" s="109">
        <f>IFERROR(VLOOKUP($B55,MMWR_TRAD_AGG_STATE_COMP[],C$1,0),"ERROR")</f>
        <v>8883</v>
      </c>
      <c r="D55" s="110">
        <f>IFERROR(VLOOKUP($B55,MMWR_TRAD_AGG_STATE_COMP[],D$1,0),"ERROR")</f>
        <v>380.0403016999</v>
      </c>
      <c r="E55" s="111">
        <f>IFERROR(VLOOKUP($B55,MMWR_TRAD_AGG_STATE_COMP[],E$1,0),"ERROR")</f>
        <v>7511</v>
      </c>
      <c r="F55" s="112">
        <f>IFERROR(VLOOKUP($B55,MMWR_TRAD_AGG_STATE_COMP[],F$1,0),"ERROR")</f>
        <v>1417</v>
      </c>
      <c r="G55" s="113">
        <f t="shared" si="4"/>
        <v>0.18865663693249901</v>
      </c>
      <c r="H55" s="111">
        <f>IFERROR(VLOOKUP($B55,MMWR_TRAD_AGG_STATE_COMP[],H$1,0),"ERROR")</f>
        <v>16149</v>
      </c>
      <c r="I55" s="112">
        <f>IFERROR(VLOOKUP($B55,MMWR_TRAD_AGG_STATE_COMP[],I$1,0),"ERROR")</f>
        <v>9173</v>
      </c>
      <c r="J55" s="114">
        <f t="shared" si="5"/>
        <v>0.56802278778871762</v>
      </c>
      <c r="K55" s="111">
        <f>IFERROR(VLOOKUP($B55,MMWR_TRAD_AGG_STATE_COMP[],K$1,0),"ERROR")</f>
        <v>4091</v>
      </c>
      <c r="L55" s="112">
        <f>IFERROR(VLOOKUP($B55,MMWR_TRAD_AGG_STATE_COMP[],L$1,0),"ERROR")</f>
        <v>2788</v>
      </c>
      <c r="M55" s="114">
        <f t="shared" si="6"/>
        <v>0.68149596675629431</v>
      </c>
      <c r="N55" s="111">
        <f>IFERROR(VLOOKUP($B55,MMWR_TRAD_AGG_STATE_COMP[],N$1,0),"ERROR")</f>
        <v>5906</v>
      </c>
      <c r="O55" s="112">
        <f>IFERROR(VLOOKUP($B55,MMWR_TRAD_AGG_STATE_COMP[],O$1,0),"ERROR")</f>
        <v>4457</v>
      </c>
      <c r="P55" s="114">
        <f t="shared" si="7"/>
        <v>0.75465628174737553</v>
      </c>
      <c r="Q55" s="115">
        <f>IFERROR(VLOOKUP($B55,MMWR_TRAD_AGG_STATE_COMP[],Q$1,0),"ERROR")</f>
        <v>15</v>
      </c>
      <c r="R55" s="115">
        <f>IFERROR(VLOOKUP($B55,MMWR_TRAD_AGG_STATE_COMP[],R$1,0),"ERROR")</f>
        <v>151</v>
      </c>
      <c r="S55" s="115">
        <f>IFERROR(VLOOKUP($B55,MMWR_APP_STATE_COMP[],S$1,0),"ERROR")</f>
        <v>4930</v>
      </c>
      <c r="T55" s="28"/>
    </row>
    <row r="56" spans="1:20" s="123" customFormat="1" x14ac:dyDescent="0.2">
      <c r="A56" s="28"/>
      <c r="B56" s="126" t="s">
        <v>379</v>
      </c>
      <c r="C56" s="102">
        <f>IFERROR(VLOOKUP($B56,MMWR_TRAD_AGG_ST_DISTRICT_COMP[],C$1,0),"ERROR")</f>
        <v>60430</v>
      </c>
      <c r="D56" s="103">
        <f>IFERROR(VLOOKUP($B56,MMWR_TRAD_AGG_ST_DISTRICT_COMP[],D$1,0),"ERROR")</f>
        <v>359.65813337750001</v>
      </c>
      <c r="E56" s="102">
        <f>IFERROR(VLOOKUP($B56,MMWR_TRAD_AGG_ST_DISTRICT_COMP[],E$1,0),"ERROR")</f>
        <v>80668</v>
      </c>
      <c r="F56" s="102">
        <f>IFERROR(VLOOKUP($B56,MMWR_TRAD_AGG_ST_DISTRICT_COMP[],F$1,0),"ERROR")</f>
        <v>19003</v>
      </c>
      <c r="G56" s="104">
        <f t="shared" si="4"/>
        <v>0.23557048643824069</v>
      </c>
      <c r="H56" s="102">
        <f>IFERROR(VLOOKUP($B56,MMWR_TRAD_AGG_ST_DISTRICT_COMP[],H$1,0),"ERROR")</f>
        <v>108292</v>
      </c>
      <c r="I56" s="102">
        <f>IFERROR(VLOOKUP($B56,MMWR_TRAD_AGG_ST_DISTRICT_COMP[],I$1,0),"ERROR")</f>
        <v>59385</v>
      </c>
      <c r="J56" s="105">
        <f t="shared" si="5"/>
        <v>0.54837845824252951</v>
      </c>
      <c r="K56" s="102">
        <f>IFERROR(VLOOKUP($B56,MMWR_TRAD_AGG_ST_DISTRICT_COMP[],K$1,0),"ERROR")</f>
        <v>30722</v>
      </c>
      <c r="L56" s="102">
        <f>IFERROR(VLOOKUP($B56,MMWR_TRAD_AGG_ST_DISTRICT_COMP[],L$1,0),"ERROR")</f>
        <v>25017</v>
      </c>
      <c r="M56" s="105">
        <f t="shared" si="6"/>
        <v>0.8143024542673003</v>
      </c>
      <c r="N56" s="102">
        <f>IFERROR(VLOOKUP($B56,MMWR_TRAD_AGG_ST_DISTRICT_COMP[],N$1,0),"ERROR")</f>
        <v>43909</v>
      </c>
      <c r="O56" s="102">
        <f>IFERROR(VLOOKUP($B56,MMWR_TRAD_AGG_ST_DISTRICT_COMP[],O$1,0),"ERROR")</f>
        <v>30967</v>
      </c>
      <c r="P56" s="105">
        <f t="shared" si="7"/>
        <v>0.70525404814502723</v>
      </c>
      <c r="Q56" s="102">
        <f>IFERROR(VLOOKUP($B56,MMWR_TRAD_AGG_ST_DISTRICT_COMP[],Q$1,0),"ERROR")</f>
        <v>6665</v>
      </c>
      <c r="R56" s="106">
        <f>IFERROR(VLOOKUP($B56,MMWR_TRAD_AGG_ST_DISTRICT_COMP[],R$1,0),"ERROR")</f>
        <v>1279</v>
      </c>
      <c r="S56" s="106">
        <f>SUM(S57:S63)</f>
        <v>89421</v>
      </c>
      <c r="T56" s="28"/>
    </row>
    <row r="57" spans="1:20" s="123" customFormat="1" x14ac:dyDescent="0.2">
      <c r="A57" s="28"/>
      <c r="B57" s="127" t="s">
        <v>387</v>
      </c>
      <c r="C57" s="109">
        <f>IFERROR(VLOOKUP($B57,MMWR_TRAD_AGG_STATE_COMP[],C$1,0),"ERROR")</f>
        <v>10685</v>
      </c>
      <c r="D57" s="110">
        <f>IFERROR(VLOOKUP($B57,MMWR_TRAD_AGG_STATE_COMP[],D$1,0),"ERROR")</f>
        <v>353.87281235379999</v>
      </c>
      <c r="E57" s="111">
        <f>IFERROR(VLOOKUP($B57,MMWR_TRAD_AGG_STATE_COMP[],E$1,0),"ERROR")</f>
        <v>8252</v>
      </c>
      <c r="F57" s="112">
        <f>IFERROR(VLOOKUP($B57,MMWR_TRAD_AGG_STATE_COMP[],F$1,0),"ERROR")</f>
        <v>1992</v>
      </c>
      <c r="G57" s="113">
        <f t="shared" si="4"/>
        <v>0.24139602520601067</v>
      </c>
      <c r="H57" s="111">
        <f>IFERROR(VLOOKUP($B57,MMWR_TRAD_AGG_STATE_COMP[],H$1,0),"ERROR")</f>
        <v>16542</v>
      </c>
      <c r="I57" s="112">
        <f>IFERROR(VLOOKUP($B57,MMWR_TRAD_AGG_STATE_COMP[],I$1,0),"ERROR")</f>
        <v>9582</v>
      </c>
      <c r="J57" s="114">
        <f t="shared" si="5"/>
        <v>0.57925281102647808</v>
      </c>
      <c r="K57" s="111">
        <f>IFERROR(VLOOKUP($B57,MMWR_TRAD_AGG_STATE_COMP[],K$1,0),"ERROR")</f>
        <v>4972</v>
      </c>
      <c r="L57" s="112">
        <f>IFERROR(VLOOKUP($B57,MMWR_TRAD_AGG_STATE_COMP[],L$1,0),"ERROR")</f>
        <v>4203</v>
      </c>
      <c r="M57" s="114">
        <f t="shared" si="6"/>
        <v>0.84533386967015289</v>
      </c>
      <c r="N57" s="111">
        <f>IFERROR(VLOOKUP($B57,MMWR_TRAD_AGG_STATE_COMP[],N$1,0),"ERROR")</f>
        <v>3319</v>
      </c>
      <c r="O57" s="112">
        <f>IFERROR(VLOOKUP($B57,MMWR_TRAD_AGG_STATE_COMP[],O$1,0),"ERROR")</f>
        <v>1952</v>
      </c>
      <c r="P57" s="114">
        <f t="shared" si="7"/>
        <v>0.58812895450436875</v>
      </c>
      <c r="Q57" s="115">
        <f>IFERROR(VLOOKUP($B57,MMWR_TRAD_AGG_STATE_COMP[],Q$1,0),"ERROR")</f>
        <v>541</v>
      </c>
      <c r="R57" s="115">
        <f>IFERROR(VLOOKUP($B57,MMWR_TRAD_AGG_STATE_COMP[],R$1,0),"ERROR")</f>
        <v>414</v>
      </c>
      <c r="S57" s="115">
        <f>IFERROR(VLOOKUP($B57,MMWR_APP_STATE_COMP[],S$1,0),"ERROR")</f>
        <v>9932</v>
      </c>
      <c r="T57" s="28"/>
    </row>
    <row r="58" spans="1:20" s="123" customFormat="1" x14ac:dyDescent="0.2">
      <c r="A58" s="28"/>
      <c r="B58" s="127" t="s">
        <v>424</v>
      </c>
      <c r="C58" s="109">
        <f>IFERROR(VLOOKUP($B58,MMWR_TRAD_AGG_STATE_COMP[],C$1,0),"ERROR")</f>
        <v>18746</v>
      </c>
      <c r="D58" s="110">
        <f>IFERROR(VLOOKUP($B58,MMWR_TRAD_AGG_STATE_COMP[],D$1,0),"ERROR")</f>
        <v>340.28795476369999</v>
      </c>
      <c r="E58" s="111">
        <f>IFERROR(VLOOKUP($B58,MMWR_TRAD_AGG_STATE_COMP[],E$1,0),"ERROR")</f>
        <v>26643</v>
      </c>
      <c r="F58" s="112">
        <f>IFERROR(VLOOKUP($B58,MMWR_TRAD_AGG_STATE_COMP[],F$1,0),"ERROR")</f>
        <v>6255</v>
      </c>
      <c r="G58" s="113">
        <f t="shared" si="4"/>
        <v>0.23477085913748452</v>
      </c>
      <c r="H58" s="111">
        <f>IFERROR(VLOOKUP($B58,MMWR_TRAD_AGG_STATE_COMP[],H$1,0),"ERROR")</f>
        <v>31919</v>
      </c>
      <c r="I58" s="112">
        <f>IFERROR(VLOOKUP($B58,MMWR_TRAD_AGG_STATE_COMP[],I$1,0),"ERROR")</f>
        <v>17676</v>
      </c>
      <c r="J58" s="114">
        <f t="shared" si="5"/>
        <v>0.55377674739183558</v>
      </c>
      <c r="K58" s="111">
        <f>IFERROR(VLOOKUP($B58,MMWR_TRAD_AGG_STATE_COMP[],K$1,0),"ERROR")</f>
        <v>7839</v>
      </c>
      <c r="L58" s="112">
        <f>IFERROR(VLOOKUP($B58,MMWR_TRAD_AGG_STATE_COMP[],L$1,0),"ERROR")</f>
        <v>6171</v>
      </c>
      <c r="M58" s="114">
        <f t="shared" si="6"/>
        <v>0.78721775736701105</v>
      </c>
      <c r="N58" s="111">
        <f>IFERROR(VLOOKUP($B58,MMWR_TRAD_AGG_STATE_COMP[],N$1,0),"ERROR")</f>
        <v>18887</v>
      </c>
      <c r="O58" s="112">
        <f>IFERROR(VLOOKUP($B58,MMWR_TRAD_AGG_STATE_COMP[],O$1,0),"ERROR")</f>
        <v>13371</v>
      </c>
      <c r="P58" s="114">
        <f t="shared" si="7"/>
        <v>0.70794726531476682</v>
      </c>
      <c r="Q58" s="115">
        <f>IFERROR(VLOOKUP($B58,MMWR_TRAD_AGG_STATE_COMP[],Q$1,0),"ERROR")</f>
        <v>2291</v>
      </c>
      <c r="R58" s="115">
        <f>IFERROR(VLOOKUP($B58,MMWR_TRAD_AGG_STATE_COMP[],R$1,0),"ERROR")</f>
        <v>318</v>
      </c>
      <c r="S58" s="115">
        <f>IFERROR(VLOOKUP($B58,MMWR_APP_STATE_COMP[],S$1,0),"ERROR")</f>
        <v>31345</v>
      </c>
      <c r="T58" s="28"/>
    </row>
    <row r="59" spans="1:20" s="123" customFormat="1" x14ac:dyDescent="0.2">
      <c r="A59" s="28"/>
      <c r="B59" s="127" t="s">
        <v>380</v>
      </c>
      <c r="C59" s="109">
        <f>IFERROR(VLOOKUP($B59,MMWR_TRAD_AGG_STATE_COMP[],C$1,0),"ERROR")</f>
        <v>13396</v>
      </c>
      <c r="D59" s="110">
        <f>IFERROR(VLOOKUP($B59,MMWR_TRAD_AGG_STATE_COMP[],D$1,0),"ERROR")</f>
        <v>367.85174679009998</v>
      </c>
      <c r="E59" s="111">
        <f>IFERROR(VLOOKUP($B59,MMWR_TRAD_AGG_STATE_COMP[],E$1,0),"ERROR")</f>
        <v>19648</v>
      </c>
      <c r="F59" s="112">
        <f>IFERROR(VLOOKUP($B59,MMWR_TRAD_AGG_STATE_COMP[],F$1,0),"ERROR")</f>
        <v>5371</v>
      </c>
      <c r="G59" s="113">
        <f t="shared" si="4"/>
        <v>0.27336115635179153</v>
      </c>
      <c r="H59" s="111">
        <f>IFERROR(VLOOKUP($B59,MMWR_TRAD_AGG_STATE_COMP[],H$1,0),"ERROR")</f>
        <v>24217</v>
      </c>
      <c r="I59" s="112">
        <f>IFERROR(VLOOKUP($B59,MMWR_TRAD_AGG_STATE_COMP[],I$1,0),"ERROR")</f>
        <v>13714</v>
      </c>
      <c r="J59" s="114">
        <f t="shared" si="5"/>
        <v>0.56629640335301645</v>
      </c>
      <c r="K59" s="111">
        <f>IFERROR(VLOOKUP($B59,MMWR_TRAD_AGG_STATE_COMP[],K$1,0),"ERROR")</f>
        <v>8750</v>
      </c>
      <c r="L59" s="112">
        <f>IFERROR(VLOOKUP($B59,MMWR_TRAD_AGG_STATE_COMP[],L$1,0),"ERROR")</f>
        <v>7263</v>
      </c>
      <c r="M59" s="114">
        <f t="shared" si="6"/>
        <v>0.83005714285714283</v>
      </c>
      <c r="N59" s="111">
        <f>IFERROR(VLOOKUP($B59,MMWR_TRAD_AGG_STATE_COMP[],N$1,0),"ERROR")</f>
        <v>10994</v>
      </c>
      <c r="O59" s="112">
        <f>IFERROR(VLOOKUP($B59,MMWR_TRAD_AGG_STATE_COMP[],O$1,0),"ERROR")</f>
        <v>8314</v>
      </c>
      <c r="P59" s="114">
        <f t="shared" si="7"/>
        <v>0.75623067127524102</v>
      </c>
      <c r="Q59" s="115">
        <f>IFERROR(VLOOKUP($B59,MMWR_TRAD_AGG_STATE_COMP[],Q$1,0),"ERROR")</f>
        <v>1151</v>
      </c>
      <c r="R59" s="115">
        <f>IFERROR(VLOOKUP($B59,MMWR_TRAD_AGG_STATE_COMP[],R$1,0),"ERROR")</f>
        <v>42</v>
      </c>
      <c r="S59" s="115">
        <f>IFERROR(VLOOKUP($B59,MMWR_APP_STATE_COMP[],S$1,0),"ERROR")</f>
        <v>18969</v>
      </c>
      <c r="T59" s="28"/>
    </row>
    <row r="60" spans="1:20" s="123" customFormat="1" x14ac:dyDescent="0.2">
      <c r="A60" s="28"/>
      <c r="B60" s="127" t="s">
        <v>392</v>
      </c>
      <c r="C60" s="109">
        <f>IFERROR(VLOOKUP($B60,MMWR_TRAD_AGG_STATE_COMP[],C$1,0),"ERROR")</f>
        <v>5235</v>
      </c>
      <c r="D60" s="110">
        <f>IFERROR(VLOOKUP($B60,MMWR_TRAD_AGG_STATE_COMP[],D$1,0),"ERROR")</f>
        <v>527.49531996179996</v>
      </c>
      <c r="E60" s="111">
        <f>IFERROR(VLOOKUP($B60,MMWR_TRAD_AGG_STATE_COMP[],E$1,0),"ERROR")</f>
        <v>3778</v>
      </c>
      <c r="F60" s="112">
        <f>IFERROR(VLOOKUP($B60,MMWR_TRAD_AGG_STATE_COMP[],F$1,0),"ERROR")</f>
        <v>560</v>
      </c>
      <c r="G60" s="113">
        <f t="shared" si="4"/>
        <v>0.14822657490735838</v>
      </c>
      <c r="H60" s="111">
        <f>IFERROR(VLOOKUP($B60,MMWR_TRAD_AGG_STATE_COMP[],H$1,0),"ERROR")</f>
        <v>8604</v>
      </c>
      <c r="I60" s="112">
        <f>IFERROR(VLOOKUP($B60,MMWR_TRAD_AGG_STATE_COMP[],I$1,0),"ERROR")</f>
        <v>5605</v>
      </c>
      <c r="J60" s="114">
        <f t="shared" si="5"/>
        <v>0.65144119014411905</v>
      </c>
      <c r="K60" s="111">
        <f>IFERROR(VLOOKUP($B60,MMWR_TRAD_AGG_STATE_COMP[],K$1,0),"ERROR")</f>
        <v>2299</v>
      </c>
      <c r="L60" s="112">
        <f>IFERROR(VLOOKUP($B60,MMWR_TRAD_AGG_STATE_COMP[],L$1,0),"ERROR")</f>
        <v>1964</v>
      </c>
      <c r="M60" s="114">
        <f t="shared" si="6"/>
        <v>0.85428447150935194</v>
      </c>
      <c r="N60" s="111">
        <f>IFERROR(VLOOKUP($B60,MMWR_TRAD_AGG_STATE_COMP[],N$1,0),"ERROR")</f>
        <v>2128</v>
      </c>
      <c r="O60" s="112">
        <f>IFERROR(VLOOKUP($B60,MMWR_TRAD_AGG_STATE_COMP[],O$1,0),"ERROR")</f>
        <v>1493</v>
      </c>
      <c r="P60" s="114">
        <f t="shared" si="7"/>
        <v>0.70159774436090228</v>
      </c>
      <c r="Q60" s="115">
        <f>IFERROR(VLOOKUP($B60,MMWR_TRAD_AGG_STATE_COMP[],Q$1,0),"ERROR")</f>
        <v>708</v>
      </c>
      <c r="R60" s="115">
        <f>IFERROR(VLOOKUP($B60,MMWR_TRAD_AGG_STATE_COMP[],R$1,0),"ERROR")</f>
        <v>157</v>
      </c>
      <c r="S60" s="115">
        <f>IFERROR(VLOOKUP($B60,MMWR_APP_STATE_COMP[],S$1,0),"ERROR")</f>
        <v>3232</v>
      </c>
      <c r="T60" s="28"/>
    </row>
    <row r="61" spans="1:20" s="123" customFormat="1" x14ac:dyDescent="0.2">
      <c r="A61" s="28"/>
      <c r="B61" s="127" t="s">
        <v>426</v>
      </c>
      <c r="C61" s="109">
        <f>IFERROR(VLOOKUP($B61,MMWR_TRAD_AGG_STATE_COMP[],C$1,0),"ERROR")</f>
        <v>1170</v>
      </c>
      <c r="D61" s="110">
        <f>IFERROR(VLOOKUP($B61,MMWR_TRAD_AGG_STATE_COMP[],D$1,0),"ERROR")</f>
        <v>252.2512820513</v>
      </c>
      <c r="E61" s="111">
        <f>IFERROR(VLOOKUP($B61,MMWR_TRAD_AGG_STATE_COMP[],E$1,0),"ERROR")</f>
        <v>2841</v>
      </c>
      <c r="F61" s="112">
        <f>IFERROR(VLOOKUP($B61,MMWR_TRAD_AGG_STATE_COMP[],F$1,0),"ERROR")</f>
        <v>606</v>
      </c>
      <c r="G61" s="113">
        <f t="shared" si="4"/>
        <v>0.21330517423442449</v>
      </c>
      <c r="H61" s="111">
        <f>IFERROR(VLOOKUP($B61,MMWR_TRAD_AGG_STATE_COMP[],H$1,0),"ERROR")</f>
        <v>4765</v>
      </c>
      <c r="I61" s="112">
        <f>IFERROR(VLOOKUP($B61,MMWR_TRAD_AGG_STATE_COMP[],I$1,0),"ERROR")</f>
        <v>1876</v>
      </c>
      <c r="J61" s="114">
        <f t="shared" si="5"/>
        <v>0.39370409233997899</v>
      </c>
      <c r="K61" s="111">
        <f>IFERROR(VLOOKUP($B61,MMWR_TRAD_AGG_STATE_COMP[],K$1,0),"ERROR")</f>
        <v>1018</v>
      </c>
      <c r="L61" s="112">
        <f>IFERROR(VLOOKUP($B61,MMWR_TRAD_AGG_STATE_COMP[],L$1,0),"ERROR")</f>
        <v>836</v>
      </c>
      <c r="M61" s="114">
        <f t="shared" si="6"/>
        <v>0.82121807465618857</v>
      </c>
      <c r="N61" s="111">
        <f>IFERROR(VLOOKUP($B61,MMWR_TRAD_AGG_STATE_COMP[],N$1,0),"ERROR")</f>
        <v>1693</v>
      </c>
      <c r="O61" s="112">
        <f>IFERROR(VLOOKUP($B61,MMWR_TRAD_AGG_STATE_COMP[],O$1,0),"ERROR")</f>
        <v>1232</v>
      </c>
      <c r="P61" s="114">
        <f t="shared" si="7"/>
        <v>0.72770230360307142</v>
      </c>
      <c r="Q61" s="115">
        <f>IFERROR(VLOOKUP($B61,MMWR_TRAD_AGG_STATE_COMP[],Q$1,0),"ERROR")</f>
        <v>420</v>
      </c>
      <c r="R61" s="115">
        <f>IFERROR(VLOOKUP($B61,MMWR_TRAD_AGG_STATE_COMP[],R$1,0),"ERROR")</f>
        <v>2</v>
      </c>
      <c r="S61" s="115">
        <f>IFERROR(VLOOKUP($B61,MMWR_APP_STATE_COMP[],S$1,0),"ERROR")</f>
        <v>5220</v>
      </c>
      <c r="T61" s="28"/>
    </row>
    <row r="62" spans="1:20" s="123" customFormat="1" x14ac:dyDescent="0.2">
      <c r="A62" s="28"/>
      <c r="B62" s="127" t="s">
        <v>382</v>
      </c>
      <c r="C62" s="109">
        <f>IFERROR(VLOOKUP($B62,MMWR_TRAD_AGG_STATE_COMP[],C$1,0),"ERROR")</f>
        <v>7069</v>
      </c>
      <c r="D62" s="110">
        <f>IFERROR(VLOOKUP($B62,MMWR_TRAD_AGG_STATE_COMP[],D$1,0),"ERROR")</f>
        <v>340.46866600649997</v>
      </c>
      <c r="E62" s="111">
        <f>IFERROR(VLOOKUP($B62,MMWR_TRAD_AGG_STATE_COMP[],E$1,0),"ERROR")</f>
        <v>9933</v>
      </c>
      <c r="F62" s="112">
        <f>IFERROR(VLOOKUP($B62,MMWR_TRAD_AGG_STATE_COMP[],F$1,0),"ERROR")</f>
        <v>2584</v>
      </c>
      <c r="G62" s="113">
        <f t="shared" si="4"/>
        <v>0.2601429578173764</v>
      </c>
      <c r="H62" s="111">
        <f>IFERROR(VLOOKUP($B62,MMWR_TRAD_AGG_STATE_COMP[],H$1,0),"ERROR")</f>
        <v>12839</v>
      </c>
      <c r="I62" s="112">
        <f>IFERROR(VLOOKUP($B62,MMWR_TRAD_AGG_STATE_COMP[],I$1,0),"ERROR")</f>
        <v>7277</v>
      </c>
      <c r="J62" s="114">
        <f t="shared" si="5"/>
        <v>0.56678869070799909</v>
      </c>
      <c r="K62" s="111">
        <f>IFERROR(VLOOKUP($B62,MMWR_TRAD_AGG_STATE_COMP[],K$1,0),"ERROR")</f>
        <v>3037</v>
      </c>
      <c r="L62" s="112">
        <f>IFERROR(VLOOKUP($B62,MMWR_TRAD_AGG_STATE_COMP[],L$1,0),"ERROR")</f>
        <v>2335</v>
      </c>
      <c r="M62" s="114">
        <f t="shared" si="6"/>
        <v>0.76885083964438594</v>
      </c>
      <c r="N62" s="111">
        <f>IFERROR(VLOOKUP($B62,MMWR_TRAD_AGG_STATE_COMP[],N$1,0),"ERROR")</f>
        <v>3762</v>
      </c>
      <c r="O62" s="112">
        <f>IFERROR(VLOOKUP($B62,MMWR_TRAD_AGG_STATE_COMP[],O$1,0),"ERROR")</f>
        <v>2505</v>
      </c>
      <c r="P62" s="114">
        <f t="shared" si="7"/>
        <v>0.6658692185007975</v>
      </c>
      <c r="Q62" s="115">
        <f>IFERROR(VLOOKUP($B62,MMWR_TRAD_AGG_STATE_COMP[],Q$1,0),"ERROR")</f>
        <v>742</v>
      </c>
      <c r="R62" s="115">
        <f>IFERROR(VLOOKUP($B62,MMWR_TRAD_AGG_STATE_COMP[],R$1,0),"ERROR")</f>
        <v>64</v>
      </c>
      <c r="S62" s="115">
        <f>IFERROR(VLOOKUP($B62,MMWR_APP_STATE_COMP[],S$1,0),"ERROR")</f>
        <v>13388</v>
      </c>
      <c r="T62" s="28"/>
    </row>
    <row r="63" spans="1:20" s="123" customFormat="1" x14ac:dyDescent="0.2">
      <c r="A63" s="28"/>
      <c r="B63" s="127" t="s">
        <v>383</v>
      </c>
      <c r="C63" s="109">
        <f>IFERROR(VLOOKUP($B63,MMWR_TRAD_AGG_STATE_COMP[],C$1,0),"ERROR")</f>
        <v>4129</v>
      </c>
      <c r="D63" s="110">
        <f>IFERROR(VLOOKUP($B63,MMWR_TRAD_AGG_STATE_COMP[],D$1,0),"ERROR")</f>
        <v>286.48219907970002</v>
      </c>
      <c r="E63" s="111">
        <f>IFERROR(VLOOKUP($B63,MMWR_TRAD_AGG_STATE_COMP[],E$1,0),"ERROR")</f>
        <v>9573</v>
      </c>
      <c r="F63" s="112">
        <f>IFERROR(VLOOKUP($B63,MMWR_TRAD_AGG_STATE_COMP[],F$1,0),"ERROR")</f>
        <v>1635</v>
      </c>
      <c r="G63" s="113">
        <f t="shared" si="4"/>
        <v>0.17079285490441867</v>
      </c>
      <c r="H63" s="111">
        <f>IFERROR(VLOOKUP($B63,MMWR_TRAD_AGG_STATE_COMP[],H$1,0),"ERROR")</f>
        <v>9406</v>
      </c>
      <c r="I63" s="112">
        <f>IFERROR(VLOOKUP($B63,MMWR_TRAD_AGG_STATE_COMP[],I$1,0),"ERROR")</f>
        <v>3655</v>
      </c>
      <c r="J63" s="114">
        <f t="shared" si="5"/>
        <v>0.38858175632574954</v>
      </c>
      <c r="K63" s="111">
        <f>IFERROR(VLOOKUP($B63,MMWR_TRAD_AGG_STATE_COMP[],K$1,0),"ERROR")</f>
        <v>2807</v>
      </c>
      <c r="L63" s="112">
        <f>IFERROR(VLOOKUP($B63,MMWR_TRAD_AGG_STATE_COMP[],L$1,0),"ERROR")</f>
        <v>2245</v>
      </c>
      <c r="M63" s="114">
        <f t="shared" si="6"/>
        <v>0.79978624866405412</v>
      </c>
      <c r="N63" s="111">
        <f>IFERROR(VLOOKUP($B63,MMWR_TRAD_AGG_STATE_COMP[],N$1,0),"ERROR")</f>
        <v>3126</v>
      </c>
      <c r="O63" s="112">
        <f>IFERROR(VLOOKUP($B63,MMWR_TRAD_AGG_STATE_COMP[],O$1,0),"ERROR")</f>
        <v>2100</v>
      </c>
      <c r="P63" s="114">
        <f t="shared" si="7"/>
        <v>0.67178502879078694</v>
      </c>
      <c r="Q63" s="115">
        <f>IFERROR(VLOOKUP($B63,MMWR_TRAD_AGG_STATE_COMP[],Q$1,0),"ERROR")</f>
        <v>812</v>
      </c>
      <c r="R63" s="115">
        <f>IFERROR(VLOOKUP($B63,MMWR_TRAD_AGG_STATE_COMP[],R$1,0),"ERROR")</f>
        <v>282</v>
      </c>
      <c r="S63" s="115">
        <f>IFERROR(VLOOKUP($B63,MMWR_APP_STATE_COMP[],S$1,0),"ERROR")</f>
        <v>7335</v>
      </c>
      <c r="T63" s="28"/>
    </row>
    <row r="64" spans="1:20" s="123" customFormat="1" x14ac:dyDescent="0.2">
      <c r="A64" s="28"/>
      <c r="B64" s="128" t="s">
        <v>8</v>
      </c>
      <c r="C64" s="102">
        <f>IFERROR(VLOOKUP($B64,MMWR_TRAD_AGG_ST_DISTRICT_COMP[],C$1,0),"ERROR")</f>
        <v>3108</v>
      </c>
      <c r="D64" s="103">
        <f>IFERROR(VLOOKUP($B64,MMWR_TRAD_AGG_ST_DISTRICT_COMP[],D$1,0),"ERROR")</f>
        <v>335.09652509649999</v>
      </c>
      <c r="E64" s="102">
        <f>IFERROR(VLOOKUP($B64,MMWR_TRAD_AGG_ST_DISTRICT_COMP[],E$1,0),"ERROR")</f>
        <v>4448</v>
      </c>
      <c r="F64" s="102">
        <f>IFERROR(VLOOKUP($B64,MMWR_TRAD_AGG_ST_DISTRICT_COMP[],F$1,0),"ERROR")</f>
        <v>1761</v>
      </c>
      <c r="G64" s="104">
        <f t="shared" si="4"/>
        <v>0.39590827338129497</v>
      </c>
      <c r="H64" s="102">
        <f>IFERROR(VLOOKUP($B64,MMWR_TRAD_AGG_ST_DISTRICT_COMP[],H$1,0),"ERROR")</f>
        <v>5090</v>
      </c>
      <c r="I64" s="102">
        <f>IFERROR(VLOOKUP($B64,MMWR_TRAD_AGG_ST_DISTRICT_COMP[],I$1,0),"ERROR")</f>
        <v>2916</v>
      </c>
      <c r="J64" s="105">
        <f t="shared" si="5"/>
        <v>0.57288801571709236</v>
      </c>
      <c r="K64" s="102">
        <f>IFERROR(VLOOKUP($B64,MMWR_TRAD_AGG_ST_DISTRICT_COMP[],K$1,0),"ERROR")</f>
        <v>1489</v>
      </c>
      <c r="L64" s="102">
        <f>IFERROR(VLOOKUP($B64,MMWR_TRAD_AGG_ST_DISTRICT_COMP[],L$1,0),"ERROR")</f>
        <v>986</v>
      </c>
      <c r="M64" s="105">
        <f t="shared" si="6"/>
        <v>0.66218938885157819</v>
      </c>
      <c r="N64" s="102">
        <f>IFERROR(VLOOKUP($B64,MMWR_TRAD_AGG_ST_DISTRICT_COMP[],N$1,0),"ERROR")</f>
        <v>1263</v>
      </c>
      <c r="O64" s="102">
        <f>IFERROR(VLOOKUP($B64,MMWR_TRAD_AGG_ST_DISTRICT_COMP[],O$1,0),"ERROR")</f>
        <v>816</v>
      </c>
      <c r="P64" s="105">
        <f t="shared" si="7"/>
        <v>0.64608076009501192</v>
      </c>
      <c r="Q64" s="102">
        <f>IFERROR(VLOOKUP($B64,MMWR_TRAD_AGG_ST_DISTRICT_COMP[],Q$1,0),"ERROR")</f>
        <v>487</v>
      </c>
      <c r="R64" s="106">
        <f>IFERROR(VLOOKUP($B64,MMWR_TRAD_AGG_ST_DISTRICT_COMP[],R$1,0),"ERROR")</f>
        <v>157</v>
      </c>
      <c r="S64" s="106">
        <f>IFERROR(VLOOKUP($B64,MMWR_APP_STATE_COMP[],S$1,0),"ERROR")</f>
        <v>336</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486</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225</v>
      </c>
      <c r="D67" s="462"/>
      <c r="E67" s="459" t="s">
        <v>205</v>
      </c>
      <c r="F67" s="460"/>
      <c r="G67" s="461"/>
      <c r="H67" s="459" t="s">
        <v>7</v>
      </c>
      <c r="I67" s="460"/>
      <c r="J67" s="461"/>
      <c r="K67" s="459" t="s">
        <v>30</v>
      </c>
      <c r="L67" s="460"/>
      <c r="M67" s="461"/>
      <c r="N67" s="459" t="s">
        <v>8</v>
      </c>
      <c r="O67" s="460"/>
      <c r="P67" s="461"/>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487</v>
      </c>
      <c r="T68" s="28"/>
    </row>
    <row r="69" spans="1:20" s="123" customFormat="1" x14ac:dyDescent="0.2">
      <c r="A69" s="28"/>
      <c r="B69" s="129" t="s">
        <v>461</v>
      </c>
      <c r="C69" s="119">
        <f>IFERROR(VLOOKUP($B69,MMWR_TRAD_AGG_RO_PEN[],C$1,0),"ERROR")</f>
        <v>24241</v>
      </c>
      <c r="D69" s="120">
        <f>IFERROR(VLOOKUP($B69,MMWR_TRAD_AGG_RO_PEN[],D$1,0),"ERROR")</f>
        <v>91.679963697900007</v>
      </c>
      <c r="E69" s="119">
        <f>IFERROR(VLOOKUP($B69,MMWR_TRAD_AGG_RO_PEN[],E$1,0),"ERROR")</f>
        <v>30838</v>
      </c>
      <c r="F69" s="119">
        <f>IFERROR(VLOOKUP($B69,MMWR_TRAD_AGG_RO_PEN[],F$1,0),"ERROR")</f>
        <v>4430</v>
      </c>
      <c r="G69" s="98">
        <f t="shared" ref="G69:G100" si="8">IFERROR(F69/E69,"0%")</f>
        <v>0.14365393345871977</v>
      </c>
      <c r="H69" s="119">
        <f>IFERROR(VLOOKUP($B69,MMWR_TRAD_AGG_RO_PEN[],H$1,0),"ERROR")</f>
        <v>34381</v>
      </c>
      <c r="I69" s="119">
        <f>IFERROR(VLOOKUP($B69,MMWR_TRAD_AGG_RO_PEN[],I$1,0),"ERROR")</f>
        <v>8634</v>
      </c>
      <c r="J69" s="98">
        <f t="shared" ref="J69:J100" si="9">IFERROR(I69/H69,"0%")</f>
        <v>0.25112707600127976</v>
      </c>
      <c r="K69" s="119">
        <f>IFERROR(VLOOKUP($B69,MMWR_TRAD_AGG_RO_PEN[],K$1,0),"ERROR")</f>
        <v>257</v>
      </c>
      <c r="L69" s="119">
        <f>IFERROR(VLOOKUP($B69,MMWR_TRAD_AGG_RO_PEN[],L$1,0),"ERROR")</f>
        <v>244</v>
      </c>
      <c r="M69" s="98">
        <f t="shared" ref="M69:M100" si="10">IFERROR(L69/K69,"0%")</f>
        <v>0.94941634241245132</v>
      </c>
      <c r="N69" s="119">
        <f>IFERROR(VLOOKUP($B69,MMWR_TRAD_AGG_RO_PEN[],N$1,0),"ERROR")</f>
        <v>1674</v>
      </c>
      <c r="O69" s="119">
        <f>IFERROR(VLOOKUP($B69,MMWR_TRAD_AGG_RO_PEN[],O$1,0),"ERROR")</f>
        <v>529</v>
      </c>
      <c r="P69" s="98">
        <f t="shared" ref="P69:P100" si="11">IFERROR(O69/N69,"0%")</f>
        <v>0.31600955794504182</v>
      </c>
      <c r="Q69" s="119">
        <f>IFERROR(VLOOKUP($B69,MMWR_TRAD_AGG_RO_PEN[],Q$1,0),"ERROR")</f>
        <v>12129</v>
      </c>
      <c r="R69" s="121">
        <f>IFERROR(VLOOKUP($B69,MMWR_TRAD_AGG_RO_PEN[],R$1,0),"ERROR")</f>
        <v>5896</v>
      </c>
      <c r="S69" s="121">
        <f>S70+S86+S99+S109+S119+S127</f>
        <v>5182</v>
      </c>
      <c r="T69" s="28"/>
    </row>
    <row r="70" spans="1:20" s="123" customFormat="1" x14ac:dyDescent="0.2">
      <c r="A70" s="28"/>
      <c r="B70" s="126" t="s">
        <v>368</v>
      </c>
      <c r="C70" s="102">
        <f>IFERROR(VLOOKUP($B70,MMWR_TRAD_AGG_ST_DISTRICT_PEN[],C$1,0),"ERROR")</f>
        <v>7498</v>
      </c>
      <c r="D70" s="103">
        <f>IFERROR(VLOOKUP($B70,MMWR_TRAD_AGG_ST_DISTRICT_PEN[],D$1,0),"ERROR")</f>
        <v>106.8103494265</v>
      </c>
      <c r="E70" s="102">
        <f>IFERROR(VLOOKUP($B70,MMWR_TRAD_AGG_ST_DISTRICT_PEN[],E$1,0),"ERROR")</f>
        <v>10013</v>
      </c>
      <c r="F70" s="102">
        <f>IFERROR(VLOOKUP($B70,MMWR_TRAD_AGG_ST_DISTRICT_PEN[],F$1,0),"ERROR")</f>
        <v>1896</v>
      </c>
      <c r="G70" s="104">
        <f t="shared" si="8"/>
        <v>0.1893538400079896</v>
      </c>
      <c r="H70" s="102">
        <f>IFERROR(VLOOKUP($B70,MMWR_TRAD_AGG_ST_DISTRICT_PEN[],H$1,0),"ERROR")</f>
        <v>10023</v>
      </c>
      <c r="I70" s="102">
        <f>IFERROR(VLOOKUP($B70,MMWR_TRAD_AGG_ST_DISTRICT_PEN[],I$1,0),"ERROR")</f>
        <v>3341</v>
      </c>
      <c r="J70" s="104">
        <f t="shared" si="9"/>
        <v>0.33333333333333331</v>
      </c>
      <c r="K70" s="102">
        <f>IFERROR(VLOOKUP($B70,MMWR_TRAD_AGG_ST_DISTRICT_PEN[],K$1,0),"ERROR")</f>
        <v>173</v>
      </c>
      <c r="L70" s="102">
        <f>IFERROR(VLOOKUP($B70,MMWR_TRAD_AGG_ST_DISTRICT_PEN[],L$1,0),"ERROR")</f>
        <v>168</v>
      </c>
      <c r="M70" s="104">
        <f t="shared" si="10"/>
        <v>0.97109826589595372</v>
      </c>
      <c r="N70" s="102">
        <f>IFERROR(VLOOKUP($B70,MMWR_TRAD_AGG_ST_DISTRICT_PEN[],N$1,0),"ERROR")</f>
        <v>443</v>
      </c>
      <c r="O70" s="102">
        <f>IFERROR(VLOOKUP($B70,MMWR_TRAD_AGG_ST_DISTRICT_PEN[],O$1,0),"ERROR")</f>
        <v>133</v>
      </c>
      <c r="P70" s="104">
        <f t="shared" si="11"/>
        <v>0.30022573363431149</v>
      </c>
      <c r="Q70" s="102">
        <f>IFERROR(VLOOKUP($B70,MMWR_TRAD_AGG_ST_DISTRICT_PEN[],Q$1,0),"ERROR")</f>
        <v>1289</v>
      </c>
      <c r="R70" s="106">
        <f>IFERROR(VLOOKUP($B70,MMWR_TRAD_AGG_ST_DISTRICT_PEN[],R$1,0),"ERROR")</f>
        <v>1857</v>
      </c>
      <c r="S70" s="106">
        <f>IFERROR(VLOOKUP($B70,MMWR_APP_STATE_PEN[],S$1,0),"ERROR")</f>
        <v>989</v>
      </c>
      <c r="T70" s="28"/>
    </row>
    <row r="71" spans="1:20" s="123" customFormat="1" x14ac:dyDescent="0.2">
      <c r="A71" s="28"/>
      <c r="B71" s="127" t="s">
        <v>372</v>
      </c>
      <c r="C71" s="109">
        <f>IFERROR(VLOOKUP($B71,MMWR_TRAD_AGG_STATE_PEN[],C$1,0),"ERROR")</f>
        <v>216</v>
      </c>
      <c r="D71" s="110">
        <f>IFERROR(VLOOKUP($B71,MMWR_TRAD_AGG_STATE_PEN[],D$1,0),"ERROR")</f>
        <v>110.8148148148</v>
      </c>
      <c r="E71" s="111">
        <f>IFERROR(VLOOKUP($B71,MMWR_TRAD_AGG_STATE_PEN[],E$1,0),"ERROR")</f>
        <v>391</v>
      </c>
      <c r="F71" s="112">
        <f>IFERROR(VLOOKUP($B71,MMWR_TRAD_AGG_STATE_PEN[],F$1,0),"ERROR")</f>
        <v>60</v>
      </c>
      <c r="G71" s="113">
        <f t="shared" si="8"/>
        <v>0.15345268542199489</v>
      </c>
      <c r="H71" s="111">
        <f>IFERROR(VLOOKUP($B71,MMWR_TRAD_AGG_STATE_PEN[],H$1,0),"ERROR")</f>
        <v>285</v>
      </c>
      <c r="I71" s="112">
        <f>IFERROR(VLOOKUP($B71,MMWR_TRAD_AGG_STATE_PEN[],I$1,0),"ERROR")</f>
        <v>91</v>
      </c>
      <c r="J71" s="114">
        <f t="shared" si="9"/>
        <v>0.31929824561403508</v>
      </c>
      <c r="K71" s="111">
        <f>IFERROR(VLOOKUP($B71,MMWR_TRAD_AGG_STATE_PEN[],K$1,0),"ERROR")</f>
        <v>0</v>
      </c>
      <c r="L71" s="112">
        <f>IFERROR(VLOOKUP($B71,MMWR_TRAD_AGG_STATE_PEN[],L$1,0),"ERROR")</f>
        <v>0</v>
      </c>
      <c r="M71" s="114" t="str">
        <f t="shared" si="10"/>
        <v>0%</v>
      </c>
      <c r="N71" s="111">
        <f>IFERROR(VLOOKUP($B71,MMWR_TRAD_AGG_STATE_PEN[],N$1,0),"ERROR")</f>
        <v>19</v>
      </c>
      <c r="O71" s="112">
        <f>IFERROR(VLOOKUP($B71,MMWR_TRAD_AGG_STATE_PEN[],O$1,0),"ERROR")</f>
        <v>3</v>
      </c>
      <c r="P71" s="114">
        <f t="shared" si="11"/>
        <v>0.15789473684210525</v>
      </c>
      <c r="Q71" s="115">
        <f>IFERROR(VLOOKUP($B71,MMWR_TRAD_AGG_STATE_PEN[],Q$1,0),"ERROR")</f>
        <v>30</v>
      </c>
      <c r="R71" s="115">
        <f>IFERROR(VLOOKUP($B71,MMWR_TRAD_AGG_STATE_PEN[],R$1,0),"ERROR")</f>
        <v>48</v>
      </c>
      <c r="S71" s="115">
        <f>IFERROR(VLOOKUP($B71,MMWR_APP_STATE_PEN[],S$1,0),"ERROR")</f>
        <v>32</v>
      </c>
      <c r="T71" s="28"/>
    </row>
    <row r="72" spans="1:20" s="123" customFormat="1" x14ac:dyDescent="0.2">
      <c r="A72" s="28"/>
      <c r="B72" s="127" t="s">
        <v>422</v>
      </c>
      <c r="C72" s="109">
        <f>IFERROR(VLOOKUP($B72,MMWR_TRAD_AGG_STATE_PEN[],C$1,0),"ERROR")</f>
        <v>63</v>
      </c>
      <c r="D72" s="110">
        <f>IFERROR(VLOOKUP($B72,MMWR_TRAD_AGG_STATE_PEN[],D$1,0),"ERROR")</f>
        <v>113.0952380952</v>
      </c>
      <c r="E72" s="111">
        <f>IFERROR(VLOOKUP($B72,MMWR_TRAD_AGG_STATE_PEN[],E$1,0),"ERROR")</f>
        <v>86</v>
      </c>
      <c r="F72" s="112">
        <f>IFERROR(VLOOKUP($B72,MMWR_TRAD_AGG_STATE_PEN[],F$1,0),"ERROR")</f>
        <v>12</v>
      </c>
      <c r="G72" s="113">
        <f t="shared" si="8"/>
        <v>0.13953488372093023</v>
      </c>
      <c r="H72" s="111">
        <f>IFERROR(VLOOKUP($B72,MMWR_TRAD_AGG_STATE_PEN[],H$1,0),"ERROR")</f>
        <v>94</v>
      </c>
      <c r="I72" s="112">
        <f>IFERROR(VLOOKUP($B72,MMWR_TRAD_AGG_STATE_PEN[],I$1,0),"ERROR")</f>
        <v>27</v>
      </c>
      <c r="J72" s="114">
        <f t="shared" si="9"/>
        <v>0.28723404255319152</v>
      </c>
      <c r="K72" s="111">
        <f>IFERROR(VLOOKUP($B72,MMWR_TRAD_AGG_STATE_PEN[],K$1,0),"ERROR")</f>
        <v>2</v>
      </c>
      <c r="L72" s="112">
        <f>IFERROR(VLOOKUP($B72,MMWR_TRAD_AGG_STATE_PEN[],L$1,0),"ERROR")</f>
        <v>2</v>
      </c>
      <c r="M72" s="114">
        <f t="shared" si="10"/>
        <v>1</v>
      </c>
      <c r="N72" s="111">
        <f>IFERROR(VLOOKUP($B72,MMWR_TRAD_AGG_STATE_PEN[],N$1,0),"ERROR")</f>
        <v>8</v>
      </c>
      <c r="O72" s="112">
        <f>IFERROR(VLOOKUP($B72,MMWR_TRAD_AGG_STATE_PEN[],O$1,0),"ERROR")</f>
        <v>2</v>
      </c>
      <c r="P72" s="114">
        <f t="shared" si="11"/>
        <v>0.25</v>
      </c>
      <c r="Q72" s="115">
        <f>IFERROR(VLOOKUP($B72,MMWR_TRAD_AGG_STATE_PEN[],Q$1,0),"ERROR")</f>
        <v>15</v>
      </c>
      <c r="R72" s="115">
        <f>IFERROR(VLOOKUP($B72,MMWR_TRAD_AGG_STATE_PEN[],R$1,0),"ERROR")</f>
        <v>10</v>
      </c>
      <c r="S72" s="115">
        <f>IFERROR(VLOOKUP($B72,MMWR_APP_STATE_PEN[],S$1,0),"ERROR")</f>
        <v>9</v>
      </c>
      <c r="T72" s="28"/>
    </row>
    <row r="73" spans="1:20" s="123" customFormat="1" x14ac:dyDescent="0.2">
      <c r="A73" s="28"/>
      <c r="B73" s="127" t="s">
        <v>413</v>
      </c>
      <c r="C73" s="109">
        <f>IFERROR(VLOOKUP($B73,MMWR_TRAD_AGG_STATE_PEN[],C$1,0),"ERROR")</f>
        <v>43</v>
      </c>
      <c r="D73" s="110">
        <f>IFERROR(VLOOKUP($B73,MMWR_TRAD_AGG_STATE_PEN[],D$1,0),"ERROR")</f>
        <v>79.348837209300001</v>
      </c>
      <c r="E73" s="111">
        <f>IFERROR(VLOOKUP($B73,MMWR_TRAD_AGG_STATE_PEN[],E$1,0),"ERROR")</f>
        <v>47</v>
      </c>
      <c r="F73" s="112">
        <f>IFERROR(VLOOKUP($B73,MMWR_TRAD_AGG_STATE_PEN[],F$1,0),"ERROR")</f>
        <v>7</v>
      </c>
      <c r="G73" s="113">
        <f t="shared" si="8"/>
        <v>0.14893617021276595</v>
      </c>
      <c r="H73" s="111">
        <f>IFERROR(VLOOKUP($B73,MMWR_TRAD_AGG_STATE_PEN[],H$1,0),"ERROR")</f>
        <v>56</v>
      </c>
      <c r="I73" s="112">
        <f>IFERROR(VLOOKUP($B73,MMWR_TRAD_AGG_STATE_PEN[],I$1,0),"ERROR")</f>
        <v>13</v>
      </c>
      <c r="J73" s="114">
        <f t="shared" si="9"/>
        <v>0.23214285714285715</v>
      </c>
      <c r="K73" s="111">
        <f>IFERROR(VLOOKUP($B73,MMWR_TRAD_AGG_STATE_PEN[],K$1,0),"ERROR")</f>
        <v>2</v>
      </c>
      <c r="L73" s="112">
        <f>IFERROR(VLOOKUP($B73,MMWR_TRAD_AGG_STATE_PEN[],L$1,0),"ERROR")</f>
        <v>2</v>
      </c>
      <c r="M73" s="114">
        <f t="shared" si="10"/>
        <v>1</v>
      </c>
      <c r="N73" s="111">
        <f>IFERROR(VLOOKUP($B73,MMWR_TRAD_AGG_STATE_PEN[],N$1,0),"ERROR")</f>
        <v>3</v>
      </c>
      <c r="O73" s="112">
        <f>IFERROR(VLOOKUP($B73,MMWR_TRAD_AGG_STATE_PEN[],O$1,0),"ERROR")</f>
        <v>0</v>
      </c>
      <c r="P73" s="114">
        <f t="shared" si="11"/>
        <v>0</v>
      </c>
      <c r="Q73" s="115">
        <f>IFERROR(VLOOKUP($B73,MMWR_TRAD_AGG_STATE_PEN[],Q$1,0),"ERROR")</f>
        <v>9</v>
      </c>
      <c r="R73" s="115">
        <f>IFERROR(VLOOKUP($B73,MMWR_TRAD_AGG_STATE_PEN[],R$1,0),"ERROR")</f>
        <v>14</v>
      </c>
      <c r="S73" s="115">
        <f>IFERROR(VLOOKUP($B73,MMWR_APP_STATE_PEN[],S$1,0),"ERROR")</f>
        <v>7</v>
      </c>
      <c r="T73" s="28"/>
    </row>
    <row r="74" spans="1:20" s="123" customFormat="1" x14ac:dyDescent="0.2">
      <c r="A74" s="28"/>
      <c r="B74" s="127" t="s">
        <v>415</v>
      </c>
      <c r="C74" s="109">
        <f>IFERROR(VLOOKUP($B74,MMWR_TRAD_AGG_STATE_PEN[],C$1,0),"ERROR")</f>
        <v>128</v>
      </c>
      <c r="D74" s="110">
        <f>IFERROR(VLOOKUP($B74,MMWR_TRAD_AGG_STATE_PEN[],D$1,0),"ERROR")</f>
        <v>106.375</v>
      </c>
      <c r="E74" s="111">
        <f>IFERROR(VLOOKUP($B74,MMWR_TRAD_AGG_STATE_PEN[],E$1,0),"ERROR")</f>
        <v>136</v>
      </c>
      <c r="F74" s="112">
        <f>IFERROR(VLOOKUP($B74,MMWR_TRAD_AGG_STATE_PEN[],F$1,0),"ERROR")</f>
        <v>22</v>
      </c>
      <c r="G74" s="113">
        <f t="shared" si="8"/>
        <v>0.16176470588235295</v>
      </c>
      <c r="H74" s="111">
        <f>IFERROR(VLOOKUP($B74,MMWR_TRAD_AGG_STATE_PEN[],H$1,0),"ERROR")</f>
        <v>169</v>
      </c>
      <c r="I74" s="112">
        <f>IFERROR(VLOOKUP($B74,MMWR_TRAD_AGG_STATE_PEN[],I$1,0),"ERROR")</f>
        <v>54</v>
      </c>
      <c r="J74" s="114">
        <f t="shared" si="9"/>
        <v>0.31952662721893493</v>
      </c>
      <c r="K74" s="111">
        <f>IFERROR(VLOOKUP($B74,MMWR_TRAD_AGG_STATE_PEN[],K$1,0),"ERROR")</f>
        <v>1</v>
      </c>
      <c r="L74" s="112">
        <f>IFERROR(VLOOKUP($B74,MMWR_TRAD_AGG_STATE_PEN[],L$1,0),"ERROR")</f>
        <v>1</v>
      </c>
      <c r="M74" s="114">
        <f t="shared" si="10"/>
        <v>1</v>
      </c>
      <c r="N74" s="111">
        <f>IFERROR(VLOOKUP($B74,MMWR_TRAD_AGG_STATE_PEN[],N$1,0),"ERROR")</f>
        <v>10</v>
      </c>
      <c r="O74" s="112">
        <f>IFERROR(VLOOKUP($B74,MMWR_TRAD_AGG_STATE_PEN[],O$1,0),"ERROR")</f>
        <v>4</v>
      </c>
      <c r="P74" s="114">
        <f t="shared" si="11"/>
        <v>0.4</v>
      </c>
      <c r="Q74" s="115">
        <f>IFERROR(VLOOKUP($B74,MMWR_TRAD_AGG_STATE_PEN[],Q$1,0),"ERROR")</f>
        <v>34</v>
      </c>
      <c r="R74" s="115">
        <f>IFERROR(VLOOKUP($B74,MMWR_TRAD_AGG_STATE_PEN[],R$1,0),"ERROR")</f>
        <v>20</v>
      </c>
      <c r="S74" s="115">
        <f>IFERROR(VLOOKUP($B74,MMWR_APP_STATE_PEN[],S$1,0),"ERROR")</f>
        <v>25</v>
      </c>
      <c r="T74" s="28"/>
    </row>
    <row r="75" spans="1:20" s="123" customFormat="1" x14ac:dyDescent="0.2">
      <c r="A75" s="28"/>
      <c r="B75" s="127" t="s">
        <v>375</v>
      </c>
      <c r="C75" s="109">
        <f>IFERROR(VLOOKUP($B75,MMWR_TRAD_AGG_STATE_PEN[],C$1,0),"ERROR")</f>
        <v>335</v>
      </c>
      <c r="D75" s="110">
        <f>IFERROR(VLOOKUP($B75,MMWR_TRAD_AGG_STATE_PEN[],D$1,0),"ERROR")</f>
        <v>100.4119402985</v>
      </c>
      <c r="E75" s="111">
        <f>IFERROR(VLOOKUP($B75,MMWR_TRAD_AGG_STATE_PEN[],E$1,0),"ERROR")</f>
        <v>550</v>
      </c>
      <c r="F75" s="112">
        <f>IFERROR(VLOOKUP($B75,MMWR_TRAD_AGG_STATE_PEN[],F$1,0),"ERROR")</f>
        <v>106</v>
      </c>
      <c r="G75" s="113">
        <f t="shared" si="8"/>
        <v>0.19272727272727272</v>
      </c>
      <c r="H75" s="111">
        <f>IFERROR(VLOOKUP($B75,MMWR_TRAD_AGG_STATE_PEN[],H$1,0),"ERROR")</f>
        <v>525</v>
      </c>
      <c r="I75" s="112">
        <f>IFERROR(VLOOKUP($B75,MMWR_TRAD_AGG_STATE_PEN[],I$1,0),"ERROR")</f>
        <v>163</v>
      </c>
      <c r="J75" s="114">
        <f t="shared" si="9"/>
        <v>0.31047619047619046</v>
      </c>
      <c r="K75" s="111">
        <f>IFERROR(VLOOKUP($B75,MMWR_TRAD_AGG_STATE_PEN[],K$1,0),"ERROR")</f>
        <v>7</v>
      </c>
      <c r="L75" s="112">
        <f>IFERROR(VLOOKUP($B75,MMWR_TRAD_AGG_STATE_PEN[],L$1,0),"ERROR")</f>
        <v>6</v>
      </c>
      <c r="M75" s="114">
        <f t="shared" si="10"/>
        <v>0.8571428571428571</v>
      </c>
      <c r="N75" s="111">
        <f>IFERROR(VLOOKUP($B75,MMWR_TRAD_AGG_STATE_PEN[],N$1,0),"ERROR")</f>
        <v>23</v>
      </c>
      <c r="O75" s="112">
        <f>IFERROR(VLOOKUP($B75,MMWR_TRAD_AGG_STATE_PEN[],O$1,0),"ERROR")</f>
        <v>8</v>
      </c>
      <c r="P75" s="114">
        <f t="shared" si="11"/>
        <v>0.34782608695652173</v>
      </c>
      <c r="Q75" s="115">
        <f>IFERROR(VLOOKUP($B75,MMWR_TRAD_AGG_STATE_PEN[],Q$1,0),"ERROR")</f>
        <v>93</v>
      </c>
      <c r="R75" s="115">
        <f>IFERROR(VLOOKUP($B75,MMWR_TRAD_AGG_STATE_PEN[],R$1,0),"ERROR")</f>
        <v>146</v>
      </c>
      <c r="S75" s="115">
        <f>IFERROR(VLOOKUP($B75,MMWR_APP_STATE_PEN[],S$1,0),"ERROR")</f>
        <v>57</v>
      </c>
      <c r="T75" s="28"/>
    </row>
    <row r="76" spans="1:20" s="123" customFormat="1" x14ac:dyDescent="0.2">
      <c r="A76" s="28"/>
      <c r="B76" s="127" t="s">
        <v>370</v>
      </c>
      <c r="C76" s="109">
        <f>IFERROR(VLOOKUP($B76,MMWR_TRAD_AGG_STATE_PEN[],C$1,0),"ERROR")</f>
        <v>411</v>
      </c>
      <c r="D76" s="110">
        <f>IFERROR(VLOOKUP($B76,MMWR_TRAD_AGG_STATE_PEN[],D$1,0),"ERROR")</f>
        <v>102.8102189781</v>
      </c>
      <c r="E76" s="111">
        <f>IFERROR(VLOOKUP($B76,MMWR_TRAD_AGG_STATE_PEN[],E$1,0),"ERROR")</f>
        <v>582</v>
      </c>
      <c r="F76" s="112">
        <f>IFERROR(VLOOKUP($B76,MMWR_TRAD_AGG_STATE_PEN[],F$1,0),"ERROR")</f>
        <v>124</v>
      </c>
      <c r="G76" s="113">
        <f t="shared" si="8"/>
        <v>0.21305841924398625</v>
      </c>
      <c r="H76" s="111">
        <f>IFERROR(VLOOKUP($B76,MMWR_TRAD_AGG_STATE_PEN[],H$1,0),"ERROR")</f>
        <v>549</v>
      </c>
      <c r="I76" s="112">
        <f>IFERROR(VLOOKUP($B76,MMWR_TRAD_AGG_STATE_PEN[],I$1,0),"ERROR")</f>
        <v>170</v>
      </c>
      <c r="J76" s="114">
        <f t="shared" si="9"/>
        <v>0.30965391621129323</v>
      </c>
      <c r="K76" s="111">
        <f>IFERROR(VLOOKUP($B76,MMWR_TRAD_AGG_STATE_PEN[],K$1,0),"ERROR")</f>
        <v>4</v>
      </c>
      <c r="L76" s="112">
        <f>IFERROR(VLOOKUP($B76,MMWR_TRAD_AGG_STATE_PEN[],L$1,0),"ERROR")</f>
        <v>4</v>
      </c>
      <c r="M76" s="114">
        <f t="shared" si="10"/>
        <v>1</v>
      </c>
      <c r="N76" s="111">
        <f>IFERROR(VLOOKUP($B76,MMWR_TRAD_AGG_STATE_PEN[],N$1,0),"ERROR")</f>
        <v>36</v>
      </c>
      <c r="O76" s="112">
        <f>IFERROR(VLOOKUP($B76,MMWR_TRAD_AGG_STATE_PEN[],O$1,0),"ERROR")</f>
        <v>7</v>
      </c>
      <c r="P76" s="114">
        <f t="shared" si="11"/>
        <v>0.19444444444444445</v>
      </c>
      <c r="Q76" s="115">
        <f>IFERROR(VLOOKUP($B76,MMWR_TRAD_AGG_STATE_PEN[],Q$1,0),"ERROR")</f>
        <v>67</v>
      </c>
      <c r="R76" s="115">
        <f>IFERROR(VLOOKUP($B76,MMWR_TRAD_AGG_STATE_PEN[],R$1,0),"ERROR")</f>
        <v>128</v>
      </c>
      <c r="S76" s="115">
        <f>IFERROR(VLOOKUP($B76,MMWR_APP_STATE_PEN[],S$1,0),"ERROR")</f>
        <v>79</v>
      </c>
      <c r="T76" s="28"/>
    </row>
    <row r="77" spans="1:20" s="123" customFormat="1" x14ac:dyDescent="0.2">
      <c r="A77" s="28"/>
      <c r="B77" s="127" t="s">
        <v>414</v>
      </c>
      <c r="C77" s="109">
        <f>IFERROR(VLOOKUP($B77,MMWR_TRAD_AGG_STATE_PEN[],C$1,0),"ERROR")</f>
        <v>124</v>
      </c>
      <c r="D77" s="110">
        <f>IFERROR(VLOOKUP($B77,MMWR_TRAD_AGG_STATE_PEN[],D$1,0),"ERROR")</f>
        <v>96.911290322599996</v>
      </c>
      <c r="E77" s="111">
        <f>IFERROR(VLOOKUP($B77,MMWR_TRAD_AGG_STATE_PEN[],E$1,0),"ERROR")</f>
        <v>162</v>
      </c>
      <c r="F77" s="112">
        <f>IFERROR(VLOOKUP($B77,MMWR_TRAD_AGG_STATE_PEN[],F$1,0),"ERROR")</f>
        <v>34</v>
      </c>
      <c r="G77" s="113">
        <f t="shared" si="8"/>
        <v>0.20987654320987653</v>
      </c>
      <c r="H77" s="111">
        <f>IFERROR(VLOOKUP($B77,MMWR_TRAD_AGG_STATE_PEN[],H$1,0),"ERROR")</f>
        <v>145</v>
      </c>
      <c r="I77" s="112">
        <f>IFERROR(VLOOKUP($B77,MMWR_TRAD_AGG_STATE_PEN[],I$1,0),"ERROR")</f>
        <v>40</v>
      </c>
      <c r="J77" s="114">
        <f t="shared" si="9"/>
        <v>0.27586206896551724</v>
      </c>
      <c r="K77" s="111">
        <f>IFERROR(VLOOKUP($B77,MMWR_TRAD_AGG_STATE_PEN[],K$1,0),"ERROR")</f>
        <v>0</v>
      </c>
      <c r="L77" s="112">
        <f>IFERROR(VLOOKUP($B77,MMWR_TRAD_AGG_STATE_PEN[],L$1,0),"ERROR")</f>
        <v>0</v>
      </c>
      <c r="M77" s="114" t="str">
        <f t="shared" si="10"/>
        <v>0%</v>
      </c>
      <c r="N77" s="111">
        <f>IFERROR(VLOOKUP($B77,MMWR_TRAD_AGG_STATE_PEN[],N$1,0),"ERROR")</f>
        <v>4</v>
      </c>
      <c r="O77" s="112">
        <f>IFERROR(VLOOKUP($B77,MMWR_TRAD_AGG_STATE_PEN[],O$1,0),"ERROR")</f>
        <v>1</v>
      </c>
      <c r="P77" s="114">
        <f t="shared" si="11"/>
        <v>0.25</v>
      </c>
      <c r="Q77" s="115">
        <f>IFERROR(VLOOKUP($B77,MMWR_TRAD_AGG_STATE_PEN[],Q$1,0),"ERROR")</f>
        <v>14</v>
      </c>
      <c r="R77" s="115">
        <f>IFERROR(VLOOKUP($B77,MMWR_TRAD_AGG_STATE_PEN[],R$1,0),"ERROR")</f>
        <v>22</v>
      </c>
      <c r="S77" s="115">
        <f>IFERROR(VLOOKUP($B77,MMWR_APP_STATE_PEN[],S$1,0),"ERROR")</f>
        <v>7</v>
      </c>
      <c r="T77" s="28"/>
    </row>
    <row r="78" spans="1:20" s="123" customFormat="1" x14ac:dyDescent="0.2">
      <c r="A78" s="28"/>
      <c r="B78" s="127" t="s">
        <v>373</v>
      </c>
      <c r="C78" s="109">
        <f>IFERROR(VLOOKUP($B78,MMWR_TRAD_AGG_STATE_PEN[],C$1,0),"ERROR")</f>
        <v>510</v>
      </c>
      <c r="D78" s="110">
        <f>IFERROR(VLOOKUP($B78,MMWR_TRAD_AGG_STATE_PEN[],D$1,0),"ERROR")</f>
        <v>104.1784313725</v>
      </c>
      <c r="E78" s="111">
        <f>IFERROR(VLOOKUP($B78,MMWR_TRAD_AGG_STATE_PEN[],E$1,0),"ERROR")</f>
        <v>702</v>
      </c>
      <c r="F78" s="112">
        <f>IFERROR(VLOOKUP($B78,MMWR_TRAD_AGG_STATE_PEN[],F$1,0),"ERROR")</f>
        <v>138</v>
      </c>
      <c r="G78" s="113">
        <f t="shared" si="8"/>
        <v>0.19658119658119658</v>
      </c>
      <c r="H78" s="111">
        <f>IFERROR(VLOOKUP($B78,MMWR_TRAD_AGG_STATE_PEN[],H$1,0),"ERROR")</f>
        <v>680</v>
      </c>
      <c r="I78" s="112">
        <f>IFERROR(VLOOKUP($B78,MMWR_TRAD_AGG_STATE_PEN[],I$1,0),"ERROR")</f>
        <v>221</v>
      </c>
      <c r="J78" s="114">
        <f t="shared" si="9"/>
        <v>0.32500000000000001</v>
      </c>
      <c r="K78" s="111">
        <f>IFERROR(VLOOKUP($B78,MMWR_TRAD_AGG_STATE_PEN[],K$1,0),"ERROR")</f>
        <v>1</v>
      </c>
      <c r="L78" s="112">
        <f>IFERROR(VLOOKUP($B78,MMWR_TRAD_AGG_STATE_PEN[],L$1,0),"ERROR")</f>
        <v>1</v>
      </c>
      <c r="M78" s="114">
        <f t="shared" si="10"/>
        <v>1</v>
      </c>
      <c r="N78" s="111">
        <f>IFERROR(VLOOKUP($B78,MMWR_TRAD_AGG_STATE_PEN[],N$1,0),"ERROR")</f>
        <v>24</v>
      </c>
      <c r="O78" s="112">
        <f>IFERROR(VLOOKUP($B78,MMWR_TRAD_AGG_STATE_PEN[],O$1,0),"ERROR")</f>
        <v>7</v>
      </c>
      <c r="P78" s="114">
        <f t="shared" si="11"/>
        <v>0.29166666666666669</v>
      </c>
      <c r="Q78" s="115">
        <f>IFERROR(VLOOKUP($B78,MMWR_TRAD_AGG_STATE_PEN[],Q$1,0),"ERROR")</f>
        <v>76</v>
      </c>
      <c r="R78" s="115">
        <f>IFERROR(VLOOKUP($B78,MMWR_TRAD_AGG_STATE_PEN[],R$1,0),"ERROR")</f>
        <v>138</v>
      </c>
      <c r="S78" s="115">
        <f>IFERROR(VLOOKUP($B78,MMWR_APP_STATE_PEN[],S$1,0),"ERROR")</f>
        <v>122</v>
      </c>
      <c r="T78" s="28"/>
    </row>
    <row r="79" spans="1:20" s="123" customFormat="1" x14ac:dyDescent="0.2">
      <c r="A79" s="28"/>
      <c r="B79" s="127" t="s">
        <v>60</v>
      </c>
      <c r="C79" s="109">
        <f>IFERROR(VLOOKUP($B79,MMWR_TRAD_AGG_STATE_PEN[],C$1,0),"ERROR")</f>
        <v>1089</v>
      </c>
      <c r="D79" s="110">
        <f>IFERROR(VLOOKUP($B79,MMWR_TRAD_AGG_STATE_PEN[],D$1,0),"ERROR")</f>
        <v>107.67952249770001</v>
      </c>
      <c r="E79" s="111">
        <f>IFERROR(VLOOKUP($B79,MMWR_TRAD_AGG_STATE_PEN[],E$1,0),"ERROR")</f>
        <v>2040</v>
      </c>
      <c r="F79" s="112">
        <f>IFERROR(VLOOKUP($B79,MMWR_TRAD_AGG_STATE_PEN[],F$1,0),"ERROR")</f>
        <v>412</v>
      </c>
      <c r="G79" s="113">
        <f t="shared" si="8"/>
        <v>0.20196078431372549</v>
      </c>
      <c r="H79" s="111">
        <f>IFERROR(VLOOKUP($B79,MMWR_TRAD_AGG_STATE_PEN[],H$1,0),"ERROR")</f>
        <v>1559</v>
      </c>
      <c r="I79" s="112">
        <f>IFERROR(VLOOKUP($B79,MMWR_TRAD_AGG_STATE_PEN[],I$1,0),"ERROR")</f>
        <v>488</v>
      </c>
      <c r="J79" s="114">
        <f t="shared" si="9"/>
        <v>0.31302116741500963</v>
      </c>
      <c r="K79" s="111">
        <f>IFERROR(VLOOKUP($B79,MMWR_TRAD_AGG_STATE_PEN[],K$1,0),"ERROR")</f>
        <v>4</v>
      </c>
      <c r="L79" s="112">
        <f>IFERROR(VLOOKUP($B79,MMWR_TRAD_AGG_STATE_PEN[],L$1,0),"ERROR")</f>
        <v>4</v>
      </c>
      <c r="M79" s="114">
        <f t="shared" si="10"/>
        <v>1</v>
      </c>
      <c r="N79" s="111">
        <f>IFERROR(VLOOKUP($B79,MMWR_TRAD_AGG_STATE_PEN[],N$1,0),"ERROR")</f>
        <v>44</v>
      </c>
      <c r="O79" s="112">
        <f>IFERROR(VLOOKUP($B79,MMWR_TRAD_AGG_STATE_PEN[],O$1,0),"ERROR")</f>
        <v>18</v>
      </c>
      <c r="P79" s="114">
        <f t="shared" si="11"/>
        <v>0.40909090909090912</v>
      </c>
      <c r="Q79" s="115">
        <f>IFERROR(VLOOKUP($B79,MMWR_TRAD_AGG_STATE_PEN[],Q$1,0),"ERROR")</f>
        <v>205</v>
      </c>
      <c r="R79" s="115">
        <f>IFERROR(VLOOKUP($B79,MMWR_TRAD_AGG_STATE_PEN[],R$1,0),"ERROR")</f>
        <v>284</v>
      </c>
      <c r="S79" s="115">
        <f>IFERROR(VLOOKUP($B79,MMWR_APP_STATE_PEN[],S$1,0),"ERROR")</f>
        <v>152</v>
      </c>
      <c r="T79" s="28"/>
    </row>
    <row r="80" spans="1:20" s="123" customFormat="1" x14ac:dyDescent="0.2">
      <c r="A80" s="28"/>
      <c r="B80" s="127" t="s">
        <v>381</v>
      </c>
      <c r="C80" s="109">
        <f>IFERROR(VLOOKUP($B80,MMWR_TRAD_AGG_STATE_PEN[],C$1,0),"ERROR")</f>
        <v>1636</v>
      </c>
      <c r="D80" s="110">
        <f>IFERROR(VLOOKUP($B80,MMWR_TRAD_AGG_STATE_PEN[],D$1,0),"ERROR")</f>
        <v>113.3881418093</v>
      </c>
      <c r="E80" s="111">
        <f>IFERROR(VLOOKUP($B80,MMWR_TRAD_AGG_STATE_PEN[],E$1,0),"ERROR")</f>
        <v>1435</v>
      </c>
      <c r="F80" s="112">
        <f>IFERROR(VLOOKUP($B80,MMWR_TRAD_AGG_STATE_PEN[],F$1,0),"ERROR")</f>
        <v>266</v>
      </c>
      <c r="G80" s="113">
        <f t="shared" si="8"/>
        <v>0.18536585365853658</v>
      </c>
      <c r="H80" s="111">
        <f>IFERROR(VLOOKUP($B80,MMWR_TRAD_AGG_STATE_PEN[],H$1,0),"ERROR")</f>
        <v>1975</v>
      </c>
      <c r="I80" s="112">
        <f>IFERROR(VLOOKUP($B80,MMWR_TRAD_AGG_STATE_PEN[],I$1,0),"ERROR")</f>
        <v>789</v>
      </c>
      <c r="J80" s="114">
        <f t="shared" si="9"/>
        <v>0.39949367088607596</v>
      </c>
      <c r="K80" s="111">
        <f>IFERROR(VLOOKUP($B80,MMWR_TRAD_AGG_STATE_PEN[],K$1,0),"ERROR")</f>
        <v>16</v>
      </c>
      <c r="L80" s="112">
        <f>IFERROR(VLOOKUP($B80,MMWR_TRAD_AGG_STATE_PEN[],L$1,0),"ERROR")</f>
        <v>15</v>
      </c>
      <c r="M80" s="114">
        <f t="shared" si="10"/>
        <v>0.9375</v>
      </c>
      <c r="N80" s="111">
        <f>IFERROR(VLOOKUP($B80,MMWR_TRAD_AGG_STATE_PEN[],N$1,0),"ERROR")</f>
        <v>81</v>
      </c>
      <c r="O80" s="112">
        <f>IFERROR(VLOOKUP($B80,MMWR_TRAD_AGG_STATE_PEN[],O$1,0),"ERROR")</f>
        <v>32</v>
      </c>
      <c r="P80" s="114">
        <f t="shared" si="11"/>
        <v>0.39506172839506171</v>
      </c>
      <c r="Q80" s="115">
        <f>IFERROR(VLOOKUP($B80,MMWR_TRAD_AGG_STATE_PEN[],Q$1,0),"ERROR")</f>
        <v>249</v>
      </c>
      <c r="R80" s="115">
        <f>IFERROR(VLOOKUP($B80,MMWR_TRAD_AGG_STATE_PEN[],R$1,0),"ERROR")</f>
        <v>358</v>
      </c>
      <c r="S80" s="115">
        <f>IFERROR(VLOOKUP($B80,MMWR_APP_STATE_PEN[],S$1,0),"ERROR")</f>
        <v>152</v>
      </c>
      <c r="T80" s="28"/>
    </row>
    <row r="81" spans="1:20" s="123" customFormat="1" x14ac:dyDescent="0.2">
      <c r="A81" s="28"/>
      <c r="B81" s="127" t="s">
        <v>374</v>
      </c>
      <c r="C81" s="109">
        <f>IFERROR(VLOOKUP($B81,MMWR_TRAD_AGG_STATE_PEN[],C$1,0),"ERROR")</f>
        <v>1634</v>
      </c>
      <c r="D81" s="110">
        <f>IFERROR(VLOOKUP($B81,MMWR_TRAD_AGG_STATE_PEN[],D$1,0),"ERROR")</f>
        <v>103.1927784578</v>
      </c>
      <c r="E81" s="111">
        <f>IFERROR(VLOOKUP($B81,MMWR_TRAD_AGG_STATE_PEN[],E$1,0),"ERROR")</f>
        <v>2538</v>
      </c>
      <c r="F81" s="112">
        <f>IFERROR(VLOOKUP($B81,MMWR_TRAD_AGG_STATE_PEN[],F$1,0),"ERROR")</f>
        <v>485</v>
      </c>
      <c r="G81" s="113">
        <f t="shared" si="8"/>
        <v>0.19109535066981875</v>
      </c>
      <c r="H81" s="111">
        <f>IFERROR(VLOOKUP($B81,MMWR_TRAD_AGG_STATE_PEN[],H$1,0),"ERROR")</f>
        <v>2302</v>
      </c>
      <c r="I81" s="112">
        <f>IFERROR(VLOOKUP($B81,MMWR_TRAD_AGG_STATE_PEN[],I$1,0),"ERROR")</f>
        <v>729</v>
      </c>
      <c r="J81" s="114">
        <f t="shared" si="9"/>
        <v>0.31668114682884446</v>
      </c>
      <c r="K81" s="111">
        <f>IFERROR(VLOOKUP($B81,MMWR_TRAD_AGG_STATE_PEN[],K$1,0),"ERROR")</f>
        <v>2</v>
      </c>
      <c r="L81" s="112">
        <f>IFERROR(VLOOKUP($B81,MMWR_TRAD_AGG_STATE_PEN[],L$1,0),"ERROR")</f>
        <v>1</v>
      </c>
      <c r="M81" s="114">
        <f t="shared" si="10"/>
        <v>0.5</v>
      </c>
      <c r="N81" s="111">
        <f>IFERROR(VLOOKUP($B81,MMWR_TRAD_AGG_STATE_PEN[],N$1,0),"ERROR")</f>
        <v>126</v>
      </c>
      <c r="O81" s="112">
        <f>IFERROR(VLOOKUP($B81,MMWR_TRAD_AGG_STATE_PEN[],O$1,0),"ERROR")</f>
        <v>24</v>
      </c>
      <c r="P81" s="114">
        <f t="shared" si="11"/>
        <v>0.19047619047619047</v>
      </c>
      <c r="Q81" s="115">
        <f>IFERROR(VLOOKUP($B81,MMWR_TRAD_AGG_STATE_PEN[],Q$1,0),"ERROR")</f>
        <v>194</v>
      </c>
      <c r="R81" s="115">
        <f>IFERROR(VLOOKUP($B81,MMWR_TRAD_AGG_STATE_PEN[],R$1,0),"ERROR")</f>
        <v>343</v>
      </c>
      <c r="S81" s="115">
        <f>IFERROR(VLOOKUP($B81,MMWR_APP_STATE_PEN[],S$1,0),"ERROR")</f>
        <v>176</v>
      </c>
      <c r="T81" s="28"/>
    </row>
    <row r="82" spans="1:20" s="123" customFormat="1" x14ac:dyDescent="0.2">
      <c r="A82" s="28"/>
      <c r="B82" s="127" t="s">
        <v>371</v>
      </c>
      <c r="C82" s="109">
        <f>IFERROR(VLOOKUP($B82,MMWR_TRAD_AGG_STATE_PEN[],C$1,0),"ERROR")</f>
        <v>103</v>
      </c>
      <c r="D82" s="110">
        <f>IFERROR(VLOOKUP($B82,MMWR_TRAD_AGG_STATE_PEN[],D$1,0),"ERROR")</f>
        <v>95.339805825200003</v>
      </c>
      <c r="E82" s="111">
        <f>IFERROR(VLOOKUP($B82,MMWR_TRAD_AGG_STATE_PEN[],E$1,0),"ERROR")</f>
        <v>145</v>
      </c>
      <c r="F82" s="112">
        <f>IFERROR(VLOOKUP($B82,MMWR_TRAD_AGG_STATE_PEN[],F$1,0),"ERROR")</f>
        <v>22</v>
      </c>
      <c r="G82" s="113">
        <f t="shared" si="8"/>
        <v>0.15172413793103448</v>
      </c>
      <c r="H82" s="111">
        <f>IFERROR(VLOOKUP($B82,MMWR_TRAD_AGG_STATE_PEN[],H$1,0),"ERROR")</f>
        <v>127</v>
      </c>
      <c r="I82" s="112">
        <f>IFERROR(VLOOKUP($B82,MMWR_TRAD_AGG_STATE_PEN[],I$1,0),"ERROR")</f>
        <v>40</v>
      </c>
      <c r="J82" s="114">
        <f t="shared" si="9"/>
        <v>0.31496062992125984</v>
      </c>
      <c r="K82" s="111">
        <f>IFERROR(VLOOKUP($B82,MMWR_TRAD_AGG_STATE_PEN[],K$1,0),"ERROR")</f>
        <v>0</v>
      </c>
      <c r="L82" s="112">
        <f>IFERROR(VLOOKUP($B82,MMWR_TRAD_AGG_STATE_PEN[],L$1,0),"ERROR")</f>
        <v>0</v>
      </c>
      <c r="M82" s="114" t="str">
        <f t="shared" si="10"/>
        <v>0%</v>
      </c>
      <c r="N82" s="111">
        <f>IFERROR(VLOOKUP($B82,MMWR_TRAD_AGG_STATE_PEN[],N$1,0),"ERROR")</f>
        <v>11</v>
      </c>
      <c r="O82" s="112">
        <f>IFERROR(VLOOKUP($B82,MMWR_TRAD_AGG_STATE_PEN[],O$1,0),"ERROR")</f>
        <v>4</v>
      </c>
      <c r="P82" s="114">
        <f t="shared" si="11"/>
        <v>0.36363636363636365</v>
      </c>
      <c r="Q82" s="115">
        <f>IFERROR(VLOOKUP($B82,MMWR_TRAD_AGG_STATE_PEN[],Q$1,0),"ERROR")</f>
        <v>19</v>
      </c>
      <c r="R82" s="115">
        <f>IFERROR(VLOOKUP($B82,MMWR_TRAD_AGG_STATE_PEN[],R$1,0),"ERROR")</f>
        <v>16</v>
      </c>
      <c r="S82" s="115">
        <f>IFERROR(VLOOKUP($B82,MMWR_APP_STATE_PEN[],S$1,0),"ERROR")</f>
        <v>19</v>
      </c>
      <c r="T82" s="28"/>
    </row>
    <row r="83" spans="1:20" s="123" customFormat="1" x14ac:dyDescent="0.2">
      <c r="A83" s="28"/>
      <c r="B83" s="127" t="s">
        <v>416</v>
      </c>
      <c r="C83" s="109">
        <f>IFERROR(VLOOKUP($B83,MMWR_TRAD_AGG_STATE_PEN[],C$1,0),"ERROR")</f>
        <v>43</v>
      </c>
      <c r="D83" s="110">
        <f>IFERROR(VLOOKUP($B83,MMWR_TRAD_AGG_STATE_PEN[],D$1,0),"ERROR")</f>
        <v>115.90697674419999</v>
      </c>
      <c r="E83" s="111">
        <f>IFERROR(VLOOKUP($B83,MMWR_TRAD_AGG_STATE_PEN[],E$1,0),"ERROR")</f>
        <v>47</v>
      </c>
      <c r="F83" s="112">
        <f>IFERROR(VLOOKUP($B83,MMWR_TRAD_AGG_STATE_PEN[],F$1,0),"ERROR")</f>
        <v>10</v>
      </c>
      <c r="G83" s="113">
        <f t="shared" si="8"/>
        <v>0.21276595744680851</v>
      </c>
      <c r="H83" s="111">
        <f>IFERROR(VLOOKUP($B83,MMWR_TRAD_AGG_STATE_PEN[],H$1,0),"ERROR")</f>
        <v>55</v>
      </c>
      <c r="I83" s="112">
        <f>IFERROR(VLOOKUP($B83,MMWR_TRAD_AGG_STATE_PEN[],I$1,0),"ERROR")</f>
        <v>19</v>
      </c>
      <c r="J83" s="114">
        <f t="shared" si="9"/>
        <v>0.34545454545454546</v>
      </c>
      <c r="K83" s="111">
        <f>IFERROR(VLOOKUP($B83,MMWR_TRAD_AGG_STATE_PEN[],K$1,0),"ERROR")</f>
        <v>0</v>
      </c>
      <c r="L83" s="112">
        <f>IFERROR(VLOOKUP($B83,MMWR_TRAD_AGG_STATE_PEN[],L$1,0),"ERROR")</f>
        <v>0</v>
      </c>
      <c r="M83" s="114" t="str">
        <f t="shared" si="10"/>
        <v>0%</v>
      </c>
      <c r="N83" s="111">
        <f>IFERROR(VLOOKUP($B83,MMWR_TRAD_AGG_STATE_PEN[],N$1,0),"ERROR")</f>
        <v>2</v>
      </c>
      <c r="O83" s="112">
        <f>IFERROR(VLOOKUP($B83,MMWR_TRAD_AGG_STATE_PEN[],O$1,0),"ERROR")</f>
        <v>1</v>
      </c>
      <c r="P83" s="114">
        <f t="shared" si="11"/>
        <v>0.5</v>
      </c>
      <c r="Q83" s="115">
        <f>IFERROR(VLOOKUP($B83,MMWR_TRAD_AGG_STATE_PEN[],Q$1,0),"ERROR")</f>
        <v>9</v>
      </c>
      <c r="R83" s="115">
        <f>IFERROR(VLOOKUP($B83,MMWR_TRAD_AGG_STATE_PEN[],R$1,0),"ERROR")</f>
        <v>8</v>
      </c>
      <c r="S83" s="115">
        <f>IFERROR(VLOOKUP($B83,MMWR_APP_STATE_PEN[],S$1,0),"ERROR")</f>
        <v>8</v>
      </c>
      <c r="T83" s="28"/>
    </row>
    <row r="84" spans="1:20" s="123" customFormat="1" x14ac:dyDescent="0.2">
      <c r="A84" s="28"/>
      <c r="B84" s="127" t="s">
        <v>377</v>
      </c>
      <c r="C84" s="109">
        <f>IFERROR(VLOOKUP($B84,MMWR_TRAD_AGG_STATE_PEN[],C$1,0),"ERROR")</f>
        <v>851</v>
      </c>
      <c r="D84" s="110">
        <f>IFERROR(VLOOKUP($B84,MMWR_TRAD_AGG_STATE_PEN[],D$1,0),"ERROR")</f>
        <v>106.9976498237</v>
      </c>
      <c r="E84" s="111">
        <f>IFERROR(VLOOKUP($B84,MMWR_TRAD_AGG_STATE_PEN[],E$1,0),"ERROR")</f>
        <v>908</v>
      </c>
      <c r="F84" s="112">
        <f>IFERROR(VLOOKUP($B84,MMWR_TRAD_AGG_STATE_PEN[],F$1,0),"ERROR")</f>
        <v>159</v>
      </c>
      <c r="G84" s="113">
        <f t="shared" si="8"/>
        <v>0.17511013215859031</v>
      </c>
      <c r="H84" s="111">
        <f>IFERROR(VLOOKUP($B84,MMWR_TRAD_AGG_STATE_PEN[],H$1,0),"ERROR")</f>
        <v>1109</v>
      </c>
      <c r="I84" s="112">
        <f>IFERROR(VLOOKUP($B84,MMWR_TRAD_AGG_STATE_PEN[],I$1,0),"ERROR")</f>
        <v>359</v>
      </c>
      <c r="J84" s="114">
        <f t="shared" si="9"/>
        <v>0.32371505861136157</v>
      </c>
      <c r="K84" s="111">
        <f>IFERROR(VLOOKUP($B84,MMWR_TRAD_AGG_STATE_PEN[],K$1,0),"ERROR")</f>
        <v>134</v>
      </c>
      <c r="L84" s="112">
        <f>IFERROR(VLOOKUP($B84,MMWR_TRAD_AGG_STATE_PEN[],L$1,0),"ERROR")</f>
        <v>132</v>
      </c>
      <c r="M84" s="114">
        <f t="shared" si="10"/>
        <v>0.9850746268656716</v>
      </c>
      <c r="N84" s="111">
        <f>IFERROR(VLOOKUP($B84,MMWR_TRAD_AGG_STATE_PEN[],N$1,0),"ERROR")</f>
        <v>38</v>
      </c>
      <c r="O84" s="112">
        <f>IFERROR(VLOOKUP($B84,MMWR_TRAD_AGG_STATE_PEN[],O$1,0),"ERROR")</f>
        <v>19</v>
      </c>
      <c r="P84" s="114">
        <f t="shared" si="11"/>
        <v>0.5</v>
      </c>
      <c r="Q84" s="115">
        <f>IFERROR(VLOOKUP($B84,MMWR_TRAD_AGG_STATE_PEN[],Q$1,0),"ERROR")</f>
        <v>210</v>
      </c>
      <c r="R84" s="115">
        <f>IFERROR(VLOOKUP($B84,MMWR_TRAD_AGG_STATE_PEN[],R$1,0),"ERROR")</f>
        <v>253</v>
      </c>
      <c r="S84" s="115">
        <f>IFERROR(VLOOKUP($B84,MMWR_APP_STATE_PEN[],S$1,0),"ERROR")</f>
        <v>105</v>
      </c>
      <c r="T84" s="28"/>
    </row>
    <row r="85" spans="1:20" s="123" customFormat="1" x14ac:dyDescent="0.2">
      <c r="A85" s="28"/>
      <c r="B85" s="127" t="s">
        <v>378</v>
      </c>
      <c r="C85" s="109">
        <f>IFERROR(VLOOKUP($B85,MMWR_TRAD_AGG_STATE_PEN[],C$1,0),"ERROR")</f>
        <v>312</v>
      </c>
      <c r="D85" s="110">
        <f>IFERROR(VLOOKUP($B85,MMWR_TRAD_AGG_STATE_PEN[],D$1,0),"ERROR")</f>
        <v>110.55128205130001</v>
      </c>
      <c r="E85" s="111">
        <f>IFERROR(VLOOKUP($B85,MMWR_TRAD_AGG_STATE_PEN[],E$1,0),"ERROR")</f>
        <v>244</v>
      </c>
      <c r="F85" s="112">
        <f>IFERROR(VLOOKUP($B85,MMWR_TRAD_AGG_STATE_PEN[],F$1,0),"ERROR")</f>
        <v>39</v>
      </c>
      <c r="G85" s="113">
        <f t="shared" si="8"/>
        <v>0.1598360655737705</v>
      </c>
      <c r="H85" s="111">
        <f>IFERROR(VLOOKUP($B85,MMWR_TRAD_AGG_STATE_PEN[],H$1,0),"ERROR")</f>
        <v>393</v>
      </c>
      <c r="I85" s="112">
        <f>IFERROR(VLOOKUP($B85,MMWR_TRAD_AGG_STATE_PEN[],I$1,0),"ERROR")</f>
        <v>138</v>
      </c>
      <c r="J85" s="114">
        <f t="shared" si="9"/>
        <v>0.35114503816793891</v>
      </c>
      <c r="K85" s="111">
        <f>IFERROR(VLOOKUP($B85,MMWR_TRAD_AGG_STATE_PEN[],K$1,0),"ERROR")</f>
        <v>0</v>
      </c>
      <c r="L85" s="112">
        <f>IFERROR(VLOOKUP($B85,MMWR_TRAD_AGG_STATE_PEN[],L$1,0),"ERROR")</f>
        <v>0</v>
      </c>
      <c r="M85" s="114" t="str">
        <f t="shared" si="10"/>
        <v>0%</v>
      </c>
      <c r="N85" s="111">
        <f>IFERROR(VLOOKUP($B85,MMWR_TRAD_AGG_STATE_PEN[],N$1,0),"ERROR")</f>
        <v>14</v>
      </c>
      <c r="O85" s="112">
        <f>IFERROR(VLOOKUP($B85,MMWR_TRAD_AGG_STATE_PEN[],O$1,0),"ERROR")</f>
        <v>3</v>
      </c>
      <c r="P85" s="114">
        <f t="shared" si="11"/>
        <v>0.21428571428571427</v>
      </c>
      <c r="Q85" s="115">
        <f>IFERROR(VLOOKUP($B85,MMWR_TRAD_AGG_STATE_PEN[],Q$1,0),"ERROR")</f>
        <v>65</v>
      </c>
      <c r="R85" s="115">
        <f>IFERROR(VLOOKUP($B85,MMWR_TRAD_AGG_STATE_PEN[],R$1,0),"ERROR")</f>
        <v>69</v>
      </c>
      <c r="S85" s="115">
        <f>IFERROR(VLOOKUP($B85,MMWR_APP_STATE_PEN[],S$1,0),"ERROR")</f>
        <v>39</v>
      </c>
      <c r="T85" s="28"/>
    </row>
    <row r="86" spans="1:20" s="123" customFormat="1" x14ac:dyDescent="0.2">
      <c r="A86" s="28"/>
      <c r="B86" s="126" t="s">
        <v>389</v>
      </c>
      <c r="C86" s="102">
        <f>IFERROR(VLOOKUP($B86,MMWR_TRAD_AGG_ST_DISTRICT_PEN[],C$1,0),"ERROR")</f>
        <v>3531</v>
      </c>
      <c r="D86" s="103">
        <f>IFERROR(VLOOKUP($B86,MMWR_TRAD_AGG_ST_DISTRICT_PEN[],D$1,0),"ERROR")</f>
        <v>63.9824412348</v>
      </c>
      <c r="E86" s="102">
        <f>IFERROR(VLOOKUP($B86,MMWR_TRAD_AGG_ST_DISTRICT_PEN[],E$1,0),"ERROR")</f>
        <v>5683</v>
      </c>
      <c r="F86" s="102">
        <f>IFERROR(VLOOKUP($B86,MMWR_TRAD_AGG_ST_DISTRICT_PEN[],F$1,0),"ERROR")</f>
        <v>590</v>
      </c>
      <c r="G86" s="104">
        <f t="shared" si="8"/>
        <v>0.10381840577159951</v>
      </c>
      <c r="H86" s="102">
        <f>IFERROR(VLOOKUP($B86,MMWR_TRAD_AGG_ST_DISTRICT_PEN[],H$1,0),"ERROR")</f>
        <v>5334</v>
      </c>
      <c r="I86" s="102">
        <f>IFERROR(VLOOKUP($B86,MMWR_TRAD_AGG_ST_DISTRICT_PEN[],I$1,0),"ERROR")</f>
        <v>515</v>
      </c>
      <c r="J86" s="104">
        <f t="shared" si="9"/>
        <v>9.6550431196100489E-2</v>
      </c>
      <c r="K86" s="102">
        <f>IFERROR(VLOOKUP($B86,MMWR_TRAD_AGG_ST_DISTRICT_PEN[],K$1,0),"ERROR")</f>
        <v>13</v>
      </c>
      <c r="L86" s="102">
        <f>IFERROR(VLOOKUP($B86,MMWR_TRAD_AGG_ST_DISTRICT_PEN[],L$1,0),"ERROR")</f>
        <v>12</v>
      </c>
      <c r="M86" s="104">
        <f t="shared" si="10"/>
        <v>0.92307692307692313</v>
      </c>
      <c r="N86" s="102">
        <f>IFERROR(VLOOKUP($B86,MMWR_TRAD_AGG_ST_DISTRICT_PEN[],N$1,0),"ERROR")</f>
        <v>380</v>
      </c>
      <c r="O86" s="102">
        <f>IFERROR(VLOOKUP($B86,MMWR_TRAD_AGG_ST_DISTRICT_PEN[],O$1,0),"ERROR")</f>
        <v>101</v>
      </c>
      <c r="P86" s="104">
        <f t="shared" si="11"/>
        <v>0.26578947368421052</v>
      </c>
      <c r="Q86" s="102">
        <f>IFERROR(VLOOKUP($B86,MMWR_TRAD_AGG_ST_DISTRICT_PEN[],Q$1,0),"ERROR")</f>
        <v>2385</v>
      </c>
      <c r="R86" s="106">
        <f>IFERROR(VLOOKUP($B86,MMWR_TRAD_AGG_ST_DISTRICT_PEN[],R$1,0),"ERROR")</f>
        <v>742</v>
      </c>
      <c r="S86" s="106">
        <f>IFERROR(VLOOKUP($B86,MMWR_APP_STATE_PEN[],S$1,0),"ERROR")</f>
        <v>1390</v>
      </c>
      <c r="T86" s="28"/>
    </row>
    <row r="87" spans="1:20" s="123" customFormat="1" x14ac:dyDescent="0.2">
      <c r="A87" s="28"/>
      <c r="B87" s="127" t="s">
        <v>393</v>
      </c>
      <c r="C87" s="109">
        <f>IFERROR(VLOOKUP($B87,MMWR_TRAD_AGG_STATE_PEN[],C$1,0),"ERROR")</f>
        <v>497</v>
      </c>
      <c r="D87" s="110">
        <f>IFERROR(VLOOKUP($B87,MMWR_TRAD_AGG_STATE_PEN[],D$1,0),"ERROR")</f>
        <v>72.676056337999995</v>
      </c>
      <c r="E87" s="111">
        <f>IFERROR(VLOOKUP($B87,MMWR_TRAD_AGG_STATE_PEN[],E$1,0),"ERROR")</f>
        <v>839</v>
      </c>
      <c r="F87" s="112">
        <f>IFERROR(VLOOKUP($B87,MMWR_TRAD_AGG_STATE_PEN[],F$1,0),"ERROR")</f>
        <v>97</v>
      </c>
      <c r="G87" s="113">
        <f t="shared" si="8"/>
        <v>0.11561382598331346</v>
      </c>
      <c r="H87" s="111">
        <f>IFERROR(VLOOKUP($B87,MMWR_TRAD_AGG_STATE_PEN[],H$1,0),"ERROR")</f>
        <v>685</v>
      </c>
      <c r="I87" s="112">
        <f>IFERROR(VLOOKUP($B87,MMWR_TRAD_AGG_STATE_PEN[],I$1,0),"ERROR")</f>
        <v>59</v>
      </c>
      <c r="J87" s="114">
        <f t="shared" si="9"/>
        <v>8.6131386861313872E-2</v>
      </c>
      <c r="K87" s="111">
        <f>IFERROR(VLOOKUP($B87,MMWR_TRAD_AGG_STATE_PEN[],K$1,0),"ERROR")</f>
        <v>0</v>
      </c>
      <c r="L87" s="112">
        <f>IFERROR(VLOOKUP($B87,MMWR_TRAD_AGG_STATE_PEN[],L$1,0),"ERROR")</f>
        <v>0</v>
      </c>
      <c r="M87" s="114" t="str">
        <f t="shared" si="10"/>
        <v>0%</v>
      </c>
      <c r="N87" s="111">
        <f>IFERROR(VLOOKUP($B87,MMWR_TRAD_AGG_STATE_PEN[],N$1,0),"ERROR")</f>
        <v>51</v>
      </c>
      <c r="O87" s="112">
        <f>IFERROR(VLOOKUP($B87,MMWR_TRAD_AGG_STATE_PEN[],O$1,0),"ERROR")</f>
        <v>13</v>
      </c>
      <c r="P87" s="114">
        <f t="shared" si="11"/>
        <v>0.25490196078431371</v>
      </c>
      <c r="Q87" s="115">
        <f>IFERROR(VLOOKUP($B87,MMWR_TRAD_AGG_STATE_PEN[],Q$1,0),"ERROR")</f>
        <v>92</v>
      </c>
      <c r="R87" s="115">
        <f>IFERROR(VLOOKUP($B87,MMWR_TRAD_AGG_STATE_PEN[],R$1,0),"ERROR")</f>
        <v>144</v>
      </c>
      <c r="S87" s="115">
        <f>IFERROR(VLOOKUP($B87,MMWR_APP_STATE_PEN[],S$1,0),"ERROR")</f>
        <v>302</v>
      </c>
      <c r="T87" s="28"/>
    </row>
    <row r="88" spans="1:20" s="123" customFormat="1" x14ac:dyDescent="0.2">
      <c r="A88" s="28"/>
      <c r="B88" s="127" t="s">
        <v>391</v>
      </c>
      <c r="C88" s="109">
        <f>IFERROR(VLOOKUP($B88,MMWR_TRAD_AGG_STATE_PEN[],C$1,0),"ERROR")</f>
        <v>297</v>
      </c>
      <c r="D88" s="110">
        <f>IFERROR(VLOOKUP($B88,MMWR_TRAD_AGG_STATE_PEN[],D$1,0),"ERROR")</f>
        <v>64.730639730600004</v>
      </c>
      <c r="E88" s="111">
        <f>IFERROR(VLOOKUP($B88,MMWR_TRAD_AGG_STATE_PEN[],E$1,0),"ERROR")</f>
        <v>565</v>
      </c>
      <c r="F88" s="112">
        <f>IFERROR(VLOOKUP($B88,MMWR_TRAD_AGG_STATE_PEN[],F$1,0),"ERROR")</f>
        <v>66</v>
      </c>
      <c r="G88" s="113">
        <f t="shared" si="8"/>
        <v>0.1168141592920354</v>
      </c>
      <c r="H88" s="111">
        <f>IFERROR(VLOOKUP($B88,MMWR_TRAD_AGG_STATE_PEN[],H$1,0),"ERROR")</f>
        <v>499</v>
      </c>
      <c r="I88" s="112">
        <f>IFERROR(VLOOKUP($B88,MMWR_TRAD_AGG_STATE_PEN[],I$1,0),"ERROR")</f>
        <v>53</v>
      </c>
      <c r="J88" s="114">
        <f t="shared" si="9"/>
        <v>0.10621242484969939</v>
      </c>
      <c r="K88" s="111">
        <f>IFERROR(VLOOKUP($B88,MMWR_TRAD_AGG_STATE_PEN[],K$1,0),"ERROR")</f>
        <v>2</v>
      </c>
      <c r="L88" s="112">
        <f>IFERROR(VLOOKUP($B88,MMWR_TRAD_AGG_STATE_PEN[],L$1,0),"ERROR")</f>
        <v>2</v>
      </c>
      <c r="M88" s="114">
        <f t="shared" si="10"/>
        <v>1</v>
      </c>
      <c r="N88" s="111">
        <f>IFERROR(VLOOKUP($B88,MMWR_TRAD_AGG_STATE_PEN[],N$1,0),"ERROR")</f>
        <v>49</v>
      </c>
      <c r="O88" s="112">
        <f>IFERROR(VLOOKUP($B88,MMWR_TRAD_AGG_STATE_PEN[],O$1,0),"ERROR")</f>
        <v>17</v>
      </c>
      <c r="P88" s="114">
        <f t="shared" si="11"/>
        <v>0.34693877551020408</v>
      </c>
      <c r="Q88" s="115">
        <f>IFERROR(VLOOKUP($B88,MMWR_TRAD_AGG_STATE_PEN[],Q$1,0),"ERROR")</f>
        <v>58</v>
      </c>
      <c r="R88" s="115">
        <f>IFERROR(VLOOKUP($B88,MMWR_TRAD_AGG_STATE_PEN[],R$1,0),"ERROR")</f>
        <v>81</v>
      </c>
      <c r="S88" s="115">
        <f>IFERROR(VLOOKUP($B88,MMWR_APP_STATE_PEN[],S$1,0),"ERROR")</f>
        <v>143</v>
      </c>
      <c r="T88" s="28"/>
    </row>
    <row r="89" spans="1:20" s="123" customFormat="1" x14ac:dyDescent="0.2">
      <c r="A89" s="28"/>
      <c r="B89" s="127" t="s">
        <v>398</v>
      </c>
      <c r="C89" s="109">
        <f>IFERROR(VLOOKUP($B89,MMWR_TRAD_AGG_STATE_PEN[],C$1,0),"ERROR")</f>
        <v>184</v>
      </c>
      <c r="D89" s="110">
        <f>IFERROR(VLOOKUP($B89,MMWR_TRAD_AGG_STATE_PEN[],D$1,0),"ERROR")</f>
        <v>60.782608695699999</v>
      </c>
      <c r="E89" s="111">
        <f>IFERROR(VLOOKUP($B89,MMWR_TRAD_AGG_STATE_PEN[],E$1,0),"ERROR")</f>
        <v>272</v>
      </c>
      <c r="F89" s="112">
        <f>IFERROR(VLOOKUP($B89,MMWR_TRAD_AGG_STATE_PEN[],F$1,0),"ERROR")</f>
        <v>8</v>
      </c>
      <c r="G89" s="113">
        <f t="shared" si="8"/>
        <v>2.9411764705882353E-2</v>
      </c>
      <c r="H89" s="111">
        <f>IFERROR(VLOOKUP($B89,MMWR_TRAD_AGG_STATE_PEN[],H$1,0),"ERROR")</f>
        <v>289</v>
      </c>
      <c r="I89" s="112">
        <f>IFERROR(VLOOKUP($B89,MMWR_TRAD_AGG_STATE_PEN[],I$1,0),"ERROR")</f>
        <v>20</v>
      </c>
      <c r="J89" s="114">
        <f t="shared" si="9"/>
        <v>6.9204152249134954E-2</v>
      </c>
      <c r="K89" s="111">
        <f>IFERROR(VLOOKUP($B89,MMWR_TRAD_AGG_STATE_PEN[],K$1,0),"ERROR")</f>
        <v>0</v>
      </c>
      <c r="L89" s="112">
        <f>IFERROR(VLOOKUP($B89,MMWR_TRAD_AGG_STATE_PEN[],L$1,0),"ERROR")</f>
        <v>0</v>
      </c>
      <c r="M89" s="114" t="str">
        <f t="shared" si="10"/>
        <v>0%</v>
      </c>
      <c r="N89" s="111">
        <f>IFERROR(VLOOKUP($B89,MMWR_TRAD_AGG_STATE_PEN[],N$1,0),"ERROR")</f>
        <v>12</v>
      </c>
      <c r="O89" s="112">
        <f>IFERROR(VLOOKUP($B89,MMWR_TRAD_AGG_STATE_PEN[],O$1,0),"ERROR")</f>
        <v>4</v>
      </c>
      <c r="P89" s="114">
        <f t="shared" si="11"/>
        <v>0.33333333333333331</v>
      </c>
      <c r="Q89" s="115">
        <f>IFERROR(VLOOKUP($B89,MMWR_TRAD_AGG_STATE_PEN[],Q$1,0),"ERROR")</f>
        <v>344</v>
      </c>
      <c r="R89" s="115">
        <f>IFERROR(VLOOKUP($B89,MMWR_TRAD_AGG_STATE_PEN[],R$1,0),"ERROR")</f>
        <v>43</v>
      </c>
      <c r="S89" s="115">
        <f>IFERROR(VLOOKUP($B89,MMWR_APP_STATE_PEN[],S$1,0),"ERROR")</f>
        <v>31</v>
      </c>
      <c r="T89" s="28"/>
    </row>
    <row r="90" spans="1:20" s="123" customFormat="1" x14ac:dyDescent="0.2">
      <c r="A90" s="28"/>
      <c r="B90" s="127" t="s">
        <v>421</v>
      </c>
      <c r="C90" s="109">
        <f>IFERROR(VLOOKUP($B90,MMWR_TRAD_AGG_STATE_PEN[],C$1,0),"ERROR")</f>
        <v>150</v>
      </c>
      <c r="D90" s="110">
        <f>IFERROR(VLOOKUP($B90,MMWR_TRAD_AGG_STATE_PEN[],D$1,0),"ERROR")</f>
        <v>71.886666666699995</v>
      </c>
      <c r="E90" s="111">
        <f>IFERROR(VLOOKUP($B90,MMWR_TRAD_AGG_STATE_PEN[],E$1,0),"ERROR")</f>
        <v>187</v>
      </c>
      <c r="F90" s="112">
        <f>IFERROR(VLOOKUP($B90,MMWR_TRAD_AGG_STATE_PEN[],F$1,0),"ERROR")</f>
        <v>8</v>
      </c>
      <c r="G90" s="113">
        <f t="shared" si="8"/>
        <v>4.2780748663101602E-2</v>
      </c>
      <c r="H90" s="111">
        <f>IFERROR(VLOOKUP($B90,MMWR_TRAD_AGG_STATE_PEN[],H$1,0),"ERROR")</f>
        <v>220</v>
      </c>
      <c r="I90" s="112">
        <f>IFERROR(VLOOKUP($B90,MMWR_TRAD_AGG_STATE_PEN[],I$1,0),"ERROR")</f>
        <v>29</v>
      </c>
      <c r="J90" s="114">
        <f t="shared" si="9"/>
        <v>0.13181818181818181</v>
      </c>
      <c r="K90" s="111">
        <f>IFERROR(VLOOKUP($B90,MMWR_TRAD_AGG_STATE_PEN[],K$1,0),"ERROR")</f>
        <v>1</v>
      </c>
      <c r="L90" s="112">
        <f>IFERROR(VLOOKUP($B90,MMWR_TRAD_AGG_STATE_PEN[],L$1,0),"ERROR")</f>
        <v>0</v>
      </c>
      <c r="M90" s="114">
        <f t="shared" si="10"/>
        <v>0</v>
      </c>
      <c r="N90" s="111">
        <f>IFERROR(VLOOKUP($B90,MMWR_TRAD_AGG_STATE_PEN[],N$1,0),"ERROR")</f>
        <v>15</v>
      </c>
      <c r="O90" s="112">
        <f>IFERROR(VLOOKUP($B90,MMWR_TRAD_AGG_STATE_PEN[],O$1,0),"ERROR")</f>
        <v>8</v>
      </c>
      <c r="P90" s="114">
        <f t="shared" si="11"/>
        <v>0.53333333333333333</v>
      </c>
      <c r="Q90" s="115">
        <f>IFERROR(VLOOKUP($B90,MMWR_TRAD_AGG_STATE_PEN[],Q$1,0),"ERROR")</f>
        <v>194</v>
      </c>
      <c r="R90" s="115">
        <f>IFERROR(VLOOKUP($B90,MMWR_TRAD_AGG_STATE_PEN[],R$1,0),"ERROR")</f>
        <v>35</v>
      </c>
      <c r="S90" s="115">
        <f>IFERROR(VLOOKUP($B90,MMWR_APP_STATE_PEN[],S$1,0),"ERROR")</f>
        <v>24</v>
      </c>
      <c r="T90" s="28"/>
    </row>
    <row r="91" spans="1:20" s="123" customFormat="1" x14ac:dyDescent="0.2">
      <c r="A91" s="28"/>
      <c r="B91" s="127" t="s">
        <v>394</v>
      </c>
      <c r="C91" s="109">
        <f>IFERROR(VLOOKUP($B91,MMWR_TRAD_AGG_STATE_PEN[],C$1,0),"ERROR")</f>
        <v>612</v>
      </c>
      <c r="D91" s="110">
        <f>IFERROR(VLOOKUP($B91,MMWR_TRAD_AGG_STATE_PEN[],D$1,0),"ERROR")</f>
        <v>59.166666666700003</v>
      </c>
      <c r="E91" s="111">
        <f>IFERROR(VLOOKUP($B91,MMWR_TRAD_AGG_STATE_PEN[],E$1,0),"ERROR")</f>
        <v>1090</v>
      </c>
      <c r="F91" s="112">
        <f>IFERROR(VLOOKUP($B91,MMWR_TRAD_AGG_STATE_PEN[],F$1,0),"ERROR")</f>
        <v>140</v>
      </c>
      <c r="G91" s="113">
        <f t="shared" si="8"/>
        <v>0.12844036697247707</v>
      </c>
      <c r="H91" s="111">
        <f>IFERROR(VLOOKUP($B91,MMWR_TRAD_AGG_STATE_PEN[],H$1,0),"ERROR")</f>
        <v>908</v>
      </c>
      <c r="I91" s="112">
        <f>IFERROR(VLOOKUP($B91,MMWR_TRAD_AGG_STATE_PEN[],I$1,0),"ERROR")</f>
        <v>96</v>
      </c>
      <c r="J91" s="114">
        <f t="shared" si="9"/>
        <v>0.10572687224669604</v>
      </c>
      <c r="K91" s="111">
        <f>IFERROR(VLOOKUP($B91,MMWR_TRAD_AGG_STATE_PEN[],K$1,0),"ERROR")</f>
        <v>1</v>
      </c>
      <c r="L91" s="112">
        <f>IFERROR(VLOOKUP($B91,MMWR_TRAD_AGG_STATE_PEN[],L$1,0),"ERROR")</f>
        <v>1</v>
      </c>
      <c r="M91" s="114">
        <f t="shared" si="10"/>
        <v>1</v>
      </c>
      <c r="N91" s="111">
        <f>IFERROR(VLOOKUP($B91,MMWR_TRAD_AGG_STATE_PEN[],N$1,0),"ERROR")</f>
        <v>66</v>
      </c>
      <c r="O91" s="112">
        <f>IFERROR(VLOOKUP($B91,MMWR_TRAD_AGG_STATE_PEN[],O$1,0),"ERROR")</f>
        <v>15</v>
      </c>
      <c r="P91" s="114">
        <f t="shared" si="11"/>
        <v>0.22727272727272727</v>
      </c>
      <c r="Q91" s="115">
        <f>IFERROR(VLOOKUP($B91,MMWR_TRAD_AGG_STATE_PEN[],Q$1,0),"ERROR")</f>
        <v>125</v>
      </c>
      <c r="R91" s="115">
        <f>IFERROR(VLOOKUP($B91,MMWR_TRAD_AGG_STATE_PEN[],R$1,0),"ERROR")</f>
        <v>106</v>
      </c>
      <c r="S91" s="115">
        <f>IFERROR(VLOOKUP($B91,MMWR_APP_STATE_PEN[],S$1,0),"ERROR")</f>
        <v>224</v>
      </c>
      <c r="T91" s="28"/>
    </row>
    <row r="92" spans="1:20" s="123" customFormat="1" x14ac:dyDescent="0.2">
      <c r="A92" s="28"/>
      <c r="B92" s="127" t="s">
        <v>400</v>
      </c>
      <c r="C92" s="109">
        <f>IFERROR(VLOOKUP($B92,MMWR_TRAD_AGG_STATE_PEN[],C$1,0),"ERROR")</f>
        <v>241</v>
      </c>
      <c r="D92" s="110">
        <f>IFERROR(VLOOKUP($B92,MMWR_TRAD_AGG_STATE_PEN[],D$1,0),"ERROR")</f>
        <v>66.618257261400004</v>
      </c>
      <c r="E92" s="111">
        <f>IFERROR(VLOOKUP($B92,MMWR_TRAD_AGG_STATE_PEN[],E$1,0),"ERROR")</f>
        <v>271</v>
      </c>
      <c r="F92" s="112">
        <f>IFERROR(VLOOKUP($B92,MMWR_TRAD_AGG_STATE_PEN[],F$1,0),"ERROR")</f>
        <v>5</v>
      </c>
      <c r="G92" s="113">
        <f t="shared" si="8"/>
        <v>1.8450184501845018E-2</v>
      </c>
      <c r="H92" s="111">
        <f>IFERROR(VLOOKUP($B92,MMWR_TRAD_AGG_STATE_PEN[],H$1,0),"ERROR")</f>
        <v>348</v>
      </c>
      <c r="I92" s="112">
        <f>IFERROR(VLOOKUP($B92,MMWR_TRAD_AGG_STATE_PEN[],I$1,0),"ERROR")</f>
        <v>38</v>
      </c>
      <c r="J92" s="114">
        <f t="shared" si="9"/>
        <v>0.10919540229885058</v>
      </c>
      <c r="K92" s="111">
        <f>IFERROR(VLOOKUP($B92,MMWR_TRAD_AGG_STATE_PEN[],K$1,0),"ERROR")</f>
        <v>1</v>
      </c>
      <c r="L92" s="112">
        <f>IFERROR(VLOOKUP($B92,MMWR_TRAD_AGG_STATE_PEN[],L$1,0),"ERROR")</f>
        <v>1</v>
      </c>
      <c r="M92" s="114">
        <f t="shared" si="10"/>
        <v>1</v>
      </c>
      <c r="N92" s="111">
        <f>IFERROR(VLOOKUP($B92,MMWR_TRAD_AGG_STATE_PEN[],N$1,0),"ERROR")</f>
        <v>21</v>
      </c>
      <c r="O92" s="112">
        <f>IFERROR(VLOOKUP($B92,MMWR_TRAD_AGG_STATE_PEN[],O$1,0),"ERROR")</f>
        <v>6</v>
      </c>
      <c r="P92" s="114">
        <f t="shared" si="11"/>
        <v>0.2857142857142857</v>
      </c>
      <c r="Q92" s="115">
        <f>IFERROR(VLOOKUP($B92,MMWR_TRAD_AGG_STATE_PEN[],Q$1,0),"ERROR")</f>
        <v>847</v>
      </c>
      <c r="R92" s="115">
        <f>IFERROR(VLOOKUP($B92,MMWR_TRAD_AGG_STATE_PEN[],R$1,0),"ERROR")</f>
        <v>66</v>
      </c>
      <c r="S92" s="115">
        <f>IFERROR(VLOOKUP($B92,MMWR_APP_STATE_PEN[],S$1,0),"ERROR")</f>
        <v>31</v>
      </c>
      <c r="T92" s="28"/>
    </row>
    <row r="93" spans="1:20" s="123" customFormat="1" x14ac:dyDescent="0.2">
      <c r="A93" s="28"/>
      <c r="B93" s="127" t="s">
        <v>396</v>
      </c>
      <c r="C93" s="109">
        <f>IFERROR(VLOOKUP($B93,MMWR_TRAD_AGG_STATE_PEN[],C$1,0),"ERROR")</f>
        <v>493</v>
      </c>
      <c r="D93" s="110">
        <f>IFERROR(VLOOKUP($B93,MMWR_TRAD_AGG_STATE_PEN[],D$1,0),"ERROR")</f>
        <v>67.050709939100003</v>
      </c>
      <c r="E93" s="111">
        <f>IFERROR(VLOOKUP($B93,MMWR_TRAD_AGG_STATE_PEN[],E$1,0),"ERROR")</f>
        <v>719</v>
      </c>
      <c r="F93" s="112">
        <f>IFERROR(VLOOKUP($B93,MMWR_TRAD_AGG_STATE_PEN[],F$1,0),"ERROR")</f>
        <v>86</v>
      </c>
      <c r="G93" s="113">
        <f t="shared" si="8"/>
        <v>0.11961057023643949</v>
      </c>
      <c r="H93" s="111">
        <f>IFERROR(VLOOKUP($B93,MMWR_TRAD_AGG_STATE_PEN[],H$1,0),"ERROR")</f>
        <v>712</v>
      </c>
      <c r="I93" s="112">
        <f>IFERROR(VLOOKUP($B93,MMWR_TRAD_AGG_STATE_PEN[],I$1,0),"ERROR")</f>
        <v>62</v>
      </c>
      <c r="J93" s="114">
        <f t="shared" si="9"/>
        <v>8.7078651685393263E-2</v>
      </c>
      <c r="K93" s="111">
        <f>IFERROR(VLOOKUP($B93,MMWR_TRAD_AGG_STATE_PEN[],K$1,0),"ERROR")</f>
        <v>3</v>
      </c>
      <c r="L93" s="112">
        <f>IFERROR(VLOOKUP($B93,MMWR_TRAD_AGG_STATE_PEN[],L$1,0),"ERROR")</f>
        <v>3</v>
      </c>
      <c r="M93" s="114">
        <f t="shared" si="10"/>
        <v>1</v>
      </c>
      <c r="N93" s="111">
        <f>IFERROR(VLOOKUP($B93,MMWR_TRAD_AGG_STATE_PEN[],N$1,0),"ERROR")</f>
        <v>44</v>
      </c>
      <c r="O93" s="112">
        <f>IFERROR(VLOOKUP($B93,MMWR_TRAD_AGG_STATE_PEN[],O$1,0),"ERROR")</f>
        <v>14</v>
      </c>
      <c r="P93" s="114">
        <f t="shared" si="11"/>
        <v>0.31818181818181818</v>
      </c>
      <c r="Q93" s="115">
        <f>IFERROR(VLOOKUP($B93,MMWR_TRAD_AGG_STATE_PEN[],Q$1,0),"ERROR")</f>
        <v>111</v>
      </c>
      <c r="R93" s="115">
        <f>IFERROR(VLOOKUP($B93,MMWR_TRAD_AGG_STATE_PEN[],R$1,0),"ERROR")</f>
        <v>62</v>
      </c>
      <c r="S93" s="115">
        <f>IFERROR(VLOOKUP($B93,MMWR_APP_STATE_PEN[],S$1,0),"ERROR")</f>
        <v>219</v>
      </c>
      <c r="T93" s="28"/>
    </row>
    <row r="94" spans="1:20" s="123" customFormat="1" x14ac:dyDescent="0.2">
      <c r="A94" s="28"/>
      <c r="B94" s="127" t="s">
        <v>399</v>
      </c>
      <c r="C94" s="109">
        <f>IFERROR(VLOOKUP($B94,MMWR_TRAD_AGG_STATE_PEN[],C$1,0),"ERROR")</f>
        <v>74</v>
      </c>
      <c r="D94" s="110">
        <f>IFERROR(VLOOKUP($B94,MMWR_TRAD_AGG_STATE_PEN[],D$1,0),"ERROR")</f>
        <v>59.837837837800002</v>
      </c>
      <c r="E94" s="111">
        <f>IFERROR(VLOOKUP($B94,MMWR_TRAD_AGG_STATE_PEN[],E$1,0),"ERROR")</f>
        <v>79</v>
      </c>
      <c r="F94" s="112">
        <f>IFERROR(VLOOKUP($B94,MMWR_TRAD_AGG_STATE_PEN[],F$1,0),"ERROR")</f>
        <v>1</v>
      </c>
      <c r="G94" s="113">
        <f t="shared" si="8"/>
        <v>1.2658227848101266E-2</v>
      </c>
      <c r="H94" s="111">
        <f>IFERROR(VLOOKUP($B94,MMWR_TRAD_AGG_STATE_PEN[],H$1,0),"ERROR")</f>
        <v>119</v>
      </c>
      <c r="I94" s="112">
        <f>IFERROR(VLOOKUP($B94,MMWR_TRAD_AGG_STATE_PEN[],I$1,0),"ERROR")</f>
        <v>9</v>
      </c>
      <c r="J94" s="114">
        <f t="shared" si="9"/>
        <v>7.5630252100840331E-2</v>
      </c>
      <c r="K94" s="111">
        <f>IFERROR(VLOOKUP($B94,MMWR_TRAD_AGG_STATE_PEN[],K$1,0),"ERROR")</f>
        <v>0</v>
      </c>
      <c r="L94" s="112">
        <f>IFERROR(VLOOKUP($B94,MMWR_TRAD_AGG_STATE_PEN[],L$1,0),"ERROR")</f>
        <v>0</v>
      </c>
      <c r="M94" s="114" t="str">
        <f t="shared" si="10"/>
        <v>0%</v>
      </c>
      <c r="N94" s="111">
        <f>IFERROR(VLOOKUP($B94,MMWR_TRAD_AGG_STATE_PEN[],N$1,0),"ERROR")</f>
        <v>1</v>
      </c>
      <c r="O94" s="112">
        <f>IFERROR(VLOOKUP($B94,MMWR_TRAD_AGG_STATE_PEN[],O$1,0),"ERROR")</f>
        <v>1</v>
      </c>
      <c r="P94" s="114">
        <f t="shared" si="11"/>
        <v>1</v>
      </c>
      <c r="Q94" s="115">
        <f>IFERROR(VLOOKUP($B94,MMWR_TRAD_AGG_STATE_PEN[],Q$1,0),"ERROR")</f>
        <v>222</v>
      </c>
      <c r="R94" s="115">
        <f>IFERROR(VLOOKUP($B94,MMWR_TRAD_AGG_STATE_PEN[],R$1,0),"ERROR")</f>
        <v>24</v>
      </c>
      <c r="S94" s="115">
        <f>IFERROR(VLOOKUP($B94,MMWR_APP_STATE_PEN[],S$1,0),"ERROR")</f>
        <v>18</v>
      </c>
      <c r="T94" s="28"/>
    </row>
    <row r="95" spans="1:20" s="123" customFormat="1" x14ac:dyDescent="0.2">
      <c r="A95" s="28"/>
      <c r="B95" s="127" t="s">
        <v>418</v>
      </c>
      <c r="C95" s="109">
        <f>IFERROR(VLOOKUP($B95,MMWR_TRAD_AGG_STATE_PEN[],C$1,0),"ERROR")</f>
        <v>37</v>
      </c>
      <c r="D95" s="110">
        <f>IFERROR(VLOOKUP($B95,MMWR_TRAD_AGG_STATE_PEN[],D$1,0),"ERROR")</f>
        <v>78.513513513500001</v>
      </c>
      <c r="E95" s="111">
        <f>IFERROR(VLOOKUP($B95,MMWR_TRAD_AGG_STATE_PEN[],E$1,0),"ERROR")</f>
        <v>24</v>
      </c>
      <c r="F95" s="112">
        <f>IFERROR(VLOOKUP($B95,MMWR_TRAD_AGG_STATE_PEN[],F$1,0),"ERROR")</f>
        <v>0</v>
      </c>
      <c r="G95" s="113">
        <f t="shared" si="8"/>
        <v>0</v>
      </c>
      <c r="H95" s="111">
        <f>IFERROR(VLOOKUP($B95,MMWR_TRAD_AGG_STATE_PEN[],H$1,0),"ERROR")</f>
        <v>54</v>
      </c>
      <c r="I95" s="112">
        <f>IFERROR(VLOOKUP($B95,MMWR_TRAD_AGG_STATE_PEN[],I$1,0),"ERROR")</f>
        <v>8</v>
      </c>
      <c r="J95" s="114">
        <f t="shared" si="9"/>
        <v>0.14814814814814814</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66</v>
      </c>
      <c r="R95" s="115">
        <f>IFERROR(VLOOKUP($B95,MMWR_TRAD_AGG_STATE_PEN[],R$1,0),"ERROR")</f>
        <v>11</v>
      </c>
      <c r="S95" s="115">
        <f>IFERROR(VLOOKUP($B95,MMWR_APP_STATE_PEN[],S$1,0),"ERROR")</f>
        <v>4</v>
      </c>
      <c r="T95" s="28"/>
    </row>
    <row r="96" spans="1:20" s="123" customFormat="1" x14ac:dyDescent="0.2">
      <c r="A96" s="28"/>
      <c r="B96" s="127" t="s">
        <v>390</v>
      </c>
      <c r="C96" s="109">
        <f>IFERROR(VLOOKUP($B96,MMWR_TRAD_AGG_STATE_PEN[],C$1,0),"ERROR")</f>
        <v>606</v>
      </c>
      <c r="D96" s="110">
        <f>IFERROR(VLOOKUP($B96,MMWR_TRAD_AGG_STATE_PEN[],D$1,0),"ERROR")</f>
        <v>58.4339933993</v>
      </c>
      <c r="E96" s="111">
        <f>IFERROR(VLOOKUP($B96,MMWR_TRAD_AGG_STATE_PEN[],E$1,0),"ERROR")</f>
        <v>1157</v>
      </c>
      <c r="F96" s="112">
        <f>IFERROR(VLOOKUP($B96,MMWR_TRAD_AGG_STATE_PEN[],F$1,0),"ERROR")</f>
        <v>125</v>
      </c>
      <c r="G96" s="113">
        <f t="shared" si="8"/>
        <v>0.10803802938634399</v>
      </c>
      <c r="H96" s="111">
        <f>IFERROR(VLOOKUP($B96,MMWR_TRAD_AGG_STATE_PEN[],H$1,0),"ERROR")</f>
        <v>1012</v>
      </c>
      <c r="I96" s="112">
        <f>IFERROR(VLOOKUP($B96,MMWR_TRAD_AGG_STATE_PEN[],I$1,0),"ERROR")</f>
        <v>99</v>
      </c>
      <c r="J96" s="114">
        <f t="shared" si="9"/>
        <v>9.7826086956521743E-2</v>
      </c>
      <c r="K96" s="111">
        <f>IFERROR(VLOOKUP($B96,MMWR_TRAD_AGG_STATE_PEN[],K$1,0),"ERROR")</f>
        <v>3</v>
      </c>
      <c r="L96" s="112">
        <f>IFERROR(VLOOKUP($B96,MMWR_TRAD_AGG_STATE_PEN[],L$1,0),"ERROR")</f>
        <v>3</v>
      </c>
      <c r="M96" s="114">
        <f t="shared" si="10"/>
        <v>1</v>
      </c>
      <c r="N96" s="111">
        <f>IFERROR(VLOOKUP($B96,MMWR_TRAD_AGG_STATE_PEN[],N$1,0),"ERROR")</f>
        <v>79</v>
      </c>
      <c r="O96" s="112">
        <f>IFERROR(VLOOKUP($B96,MMWR_TRAD_AGG_STATE_PEN[],O$1,0),"ERROR")</f>
        <v>14</v>
      </c>
      <c r="P96" s="114">
        <f t="shared" si="11"/>
        <v>0.17721518987341772</v>
      </c>
      <c r="Q96" s="115">
        <f>IFERROR(VLOOKUP($B96,MMWR_TRAD_AGG_STATE_PEN[],Q$1,0),"ERROR")</f>
        <v>134</v>
      </c>
      <c r="R96" s="115">
        <f>IFERROR(VLOOKUP($B96,MMWR_TRAD_AGG_STATE_PEN[],R$1,0),"ERROR")</f>
        <v>127</v>
      </c>
      <c r="S96" s="115">
        <f>IFERROR(VLOOKUP($B96,MMWR_APP_STATE_PEN[],S$1,0),"ERROR")</f>
        <v>292</v>
      </c>
      <c r="T96" s="28"/>
    </row>
    <row r="97" spans="1:20" s="123" customFormat="1" x14ac:dyDescent="0.2">
      <c r="A97" s="28"/>
      <c r="B97" s="127" t="s">
        <v>419</v>
      </c>
      <c r="C97" s="109">
        <f>IFERROR(VLOOKUP($B97,MMWR_TRAD_AGG_STATE_PEN[],C$1,0),"ERROR")</f>
        <v>48</v>
      </c>
      <c r="D97" s="110">
        <f>IFERROR(VLOOKUP($B97,MMWR_TRAD_AGG_STATE_PEN[],D$1,0),"ERROR")</f>
        <v>71.791666666699996</v>
      </c>
      <c r="E97" s="111">
        <f>IFERROR(VLOOKUP($B97,MMWR_TRAD_AGG_STATE_PEN[],E$1,0),"ERROR")</f>
        <v>40</v>
      </c>
      <c r="F97" s="112">
        <f>IFERROR(VLOOKUP($B97,MMWR_TRAD_AGG_STATE_PEN[],F$1,0),"ERROR")</f>
        <v>1</v>
      </c>
      <c r="G97" s="113">
        <f t="shared" si="8"/>
        <v>2.5000000000000001E-2</v>
      </c>
      <c r="H97" s="111">
        <f>IFERROR(VLOOKUP($B97,MMWR_TRAD_AGG_STATE_PEN[],H$1,0),"ERROR")</f>
        <v>81</v>
      </c>
      <c r="I97" s="112">
        <f>IFERROR(VLOOKUP($B97,MMWR_TRAD_AGG_STATE_PEN[],I$1,0),"ERROR")</f>
        <v>6</v>
      </c>
      <c r="J97" s="114">
        <f t="shared" si="9"/>
        <v>7.407407407407407E-2</v>
      </c>
      <c r="K97" s="111">
        <f>IFERROR(VLOOKUP($B97,MMWR_TRAD_AGG_STATE_PEN[],K$1,0),"ERROR")</f>
        <v>1</v>
      </c>
      <c r="L97" s="112">
        <f>IFERROR(VLOOKUP($B97,MMWR_TRAD_AGG_STATE_PEN[],L$1,0),"ERROR")</f>
        <v>1</v>
      </c>
      <c r="M97" s="114">
        <f t="shared" si="10"/>
        <v>1</v>
      </c>
      <c r="N97" s="111">
        <f>IFERROR(VLOOKUP($B97,MMWR_TRAD_AGG_STATE_PEN[],N$1,0),"ERROR")</f>
        <v>3</v>
      </c>
      <c r="O97" s="112">
        <f>IFERROR(VLOOKUP($B97,MMWR_TRAD_AGG_STATE_PEN[],O$1,0),"ERROR")</f>
        <v>1</v>
      </c>
      <c r="P97" s="114">
        <f t="shared" si="11"/>
        <v>0.33333333333333331</v>
      </c>
      <c r="Q97" s="115">
        <f>IFERROR(VLOOKUP($B97,MMWR_TRAD_AGG_STATE_PEN[],Q$1,0),"ERROR")</f>
        <v>124</v>
      </c>
      <c r="R97" s="115">
        <f>IFERROR(VLOOKUP($B97,MMWR_TRAD_AGG_STATE_PEN[],R$1,0),"ERROR")</f>
        <v>8</v>
      </c>
      <c r="S97" s="115">
        <f>IFERROR(VLOOKUP($B97,MMWR_APP_STATE_PEN[],S$1,0),"ERROR")</f>
        <v>7</v>
      </c>
      <c r="T97" s="28"/>
    </row>
    <row r="98" spans="1:20" s="123" customFormat="1" x14ac:dyDescent="0.2">
      <c r="A98" s="28"/>
      <c r="B98" s="127" t="s">
        <v>395</v>
      </c>
      <c r="C98" s="109">
        <f>IFERROR(VLOOKUP($B98,MMWR_TRAD_AGG_STATE_PEN[],C$1,0),"ERROR")</f>
        <v>292</v>
      </c>
      <c r="D98" s="110">
        <f>IFERROR(VLOOKUP($B98,MMWR_TRAD_AGG_STATE_PEN[],D$1,0),"ERROR")</f>
        <v>58.558219178100003</v>
      </c>
      <c r="E98" s="111">
        <f>IFERROR(VLOOKUP($B98,MMWR_TRAD_AGG_STATE_PEN[],E$1,0),"ERROR")</f>
        <v>440</v>
      </c>
      <c r="F98" s="112">
        <f>IFERROR(VLOOKUP($B98,MMWR_TRAD_AGG_STATE_PEN[],F$1,0),"ERROR")</f>
        <v>53</v>
      </c>
      <c r="G98" s="113">
        <f t="shared" si="8"/>
        <v>0.12045454545454545</v>
      </c>
      <c r="H98" s="111">
        <f>IFERROR(VLOOKUP($B98,MMWR_TRAD_AGG_STATE_PEN[],H$1,0),"ERROR")</f>
        <v>407</v>
      </c>
      <c r="I98" s="112">
        <f>IFERROR(VLOOKUP($B98,MMWR_TRAD_AGG_STATE_PEN[],I$1,0),"ERROR")</f>
        <v>36</v>
      </c>
      <c r="J98" s="114">
        <f t="shared" si="9"/>
        <v>8.8452088452088448E-2</v>
      </c>
      <c r="K98" s="111">
        <f>IFERROR(VLOOKUP($B98,MMWR_TRAD_AGG_STATE_PEN[],K$1,0),"ERROR")</f>
        <v>1</v>
      </c>
      <c r="L98" s="112">
        <f>IFERROR(VLOOKUP($B98,MMWR_TRAD_AGG_STATE_PEN[],L$1,0),"ERROR")</f>
        <v>1</v>
      </c>
      <c r="M98" s="114">
        <f t="shared" si="10"/>
        <v>1</v>
      </c>
      <c r="N98" s="111">
        <f>IFERROR(VLOOKUP($B98,MMWR_TRAD_AGG_STATE_PEN[],N$1,0),"ERROR")</f>
        <v>39</v>
      </c>
      <c r="O98" s="112">
        <f>IFERROR(VLOOKUP($B98,MMWR_TRAD_AGG_STATE_PEN[],O$1,0),"ERROR")</f>
        <v>8</v>
      </c>
      <c r="P98" s="114">
        <f t="shared" si="11"/>
        <v>0.20512820512820512</v>
      </c>
      <c r="Q98" s="115">
        <f>IFERROR(VLOOKUP($B98,MMWR_TRAD_AGG_STATE_PEN[],Q$1,0),"ERROR")</f>
        <v>68</v>
      </c>
      <c r="R98" s="115">
        <f>IFERROR(VLOOKUP($B98,MMWR_TRAD_AGG_STATE_PEN[],R$1,0),"ERROR")</f>
        <v>35</v>
      </c>
      <c r="S98" s="115">
        <f>IFERROR(VLOOKUP($B98,MMWR_APP_STATE_PEN[],S$1,0),"ERROR")</f>
        <v>95</v>
      </c>
      <c r="T98" s="28"/>
    </row>
    <row r="99" spans="1:20" s="123" customFormat="1" x14ac:dyDescent="0.2">
      <c r="A99" s="28"/>
      <c r="B99" s="126" t="s">
        <v>384</v>
      </c>
      <c r="C99" s="102">
        <f>IFERROR(VLOOKUP($B99,MMWR_TRAD_AGG_ST_DISTRICT_PEN[],C$1,0),"ERROR")</f>
        <v>2536</v>
      </c>
      <c r="D99" s="103">
        <f>IFERROR(VLOOKUP($B99,MMWR_TRAD_AGG_ST_DISTRICT_PEN[],D$1,0),"ERROR")</f>
        <v>68.719637223999996</v>
      </c>
      <c r="E99" s="102">
        <f>IFERROR(VLOOKUP($B99,MMWR_TRAD_AGG_ST_DISTRICT_PEN[],E$1,0),"ERROR")</f>
        <v>2955</v>
      </c>
      <c r="F99" s="102">
        <f>IFERROR(VLOOKUP($B99,MMWR_TRAD_AGG_ST_DISTRICT_PEN[],F$1,0),"ERROR")</f>
        <v>184</v>
      </c>
      <c r="G99" s="104">
        <f t="shared" si="8"/>
        <v>6.2267343485617598E-2</v>
      </c>
      <c r="H99" s="102">
        <f>IFERROR(VLOOKUP($B99,MMWR_TRAD_AGG_ST_DISTRICT_PEN[],H$1,0),"ERROR")</f>
        <v>3947</v>
      </c>
      <c r="I99" s="102">
        <f>IFERROR(VLOOKUP($B99,MMWR_TRAD_AGG_ST_DISTRICT_PEN[],I$1,0),"ERROR")</f>
        <v>420</v>
      </c>
      <c r="J99" s="104">
        <f t="shared" si="9"/>
        <v>0.10640993159361541</v>
      </c>
      <c r="K99" s="102">
        <f>IFERROR(VLOOKUP($B99,MMWR_TRAD_AGG_ST_DISTRICT_PEN[],K$1,0),"ERROR")</f>
        <v>24</v>
      </c>
      <c r="L99" s="102">
        <f>IFERROR(VLOOKUP($B99,MMWR_TRAD_AGG_ST_DISTRICT_PEN[],L$1,0),"ERROR")</f>
        <v>22</v>
      </c>
      <c r="M99" s="104">
        <f t="shared" si="10"/>
        <v>0.91666666666666663</v>
      </c>
      <c r="N99" s="102">
        <f>IFERROR(VLOOKUP($B99,MMWR_TRAD_AGG_ST_DISTRICT_PEN[],N$1,0),"ERROR")</f>
        <v>219</v>
      </c>
      <c r="O99" s="102">
        <f>IFERROR(VLOOKUP($B99,MMWR_TRAD_AGG_ST_DISTRICT_PEN[],O$1,0),"ERROR")</f>
        <v>80</v>
      </c>
      <c r="P99" s="104">
        <f t="shared" si="11"/>
        <v>0.36529680365296802</v>
      </c>
      <c r="Q99" s="102">
        <f>IFERROR(VLOOKUP($B99,MMWR_TRAD_AGG_ST_DISTRICT_PEN[],Q$1,0),"ERROR")</f>
        <v>3252</v>
      </c>
      <c r="R99" s="106">
        <f>IFERROR(VLOOKUP($B99,MMWR_TRAD_AGG_ST_DISTRICT_PEN[],R$1,0),"ERROR")</f>
        <v>838</v>
      </c>
      <c r="S99" s="106">
        <f>IFERROR(VLOOKUP($B99,MMWR_APP_STATE_PEN[],S$1,0),"ERROR")</f>
        <v>913</v>
      </c>
      <c r="T99" s="28"/>
    </row>
    <row r="100" spans="1:20" s="123" customFormat="1" x14ac:dyDescent="0.2">
      <c r="A100" s="28"/>
      <c r="B100" s="127" t="s">
        <v>410</v>
      </c>
      <c r="C100" s="109">
        <f>IFERROR(VLOOKUP($B100,MMWR_TRAD_AGG_STATE_PEN[],C$1,0),"ERROR")</f>
        <v>258</v>
      </c>
      <c r="D100" s="110">
        <f>IFERROR(VLOOKUP($B100,MMWR_TRAD_AGG_STATE_PEN[],D$1,0),"ERROR")</f>
        <v>66.813953488400003</v>
      </c>
      <c r="E100" s="111">
        <f>IFERROR(VLOOKUP($B100,MMWR_TRAD_AGG_STATE_PEN[],E$1,0),"ERROR")</f>
        <v>271</v>
      </c>
      <c r="F100" s="112">
        <f>IFERROR(VLOOKUP($B100,MMWR_TRAD_AGG_STATE_PEN[],F$1,0),"ERROR")</f>
        <v>22</v>
      </c>
      <c r="G100" s="113">
        <f t="shared" si="8"/>
        <v>8.1180811808118078E-2</v>
      </c>
      <c r="H100" s="111">
        <f>IFERROR(VLOOKUP($B100,MMWR_TRAD_AGG_STATE_PEN[],H$1,0),"ERROR")</f>
        <v>353</v>
      </c>
      <c r="I100" s="112">
        <f>IFERROR(VLOOKUP($B100,MMWR_TRAD_AGG_STATE_PEN[],I$1,0),"ERROR")</f>
        <v>38</v>
      </c>
      <c r="J100" s="114">
        <f t="shared" si="9"/>
        <v>0.10764872521246459</v>
      </c>
      <c r="K100" s="111">
        <f>IFERROR(VLOOKUP($B100,MMWR_TRAD_AGG_STATE_PEN[],K$1,0),"ERROR")</f>
        <v>4</v>
      </c>
      <c r="L100" s="112">
        <f>IFERROR(VLOOKUP($B100,MMWR_TRAD_AGG_STATE_PEN[],L$1,0),"ERROR")</f>
        <v>4</v>
      </c>
      <c r="M100" s="114">
        <f t="shared" si="10"/>
        <v>1</v>
      </c>
      <c r="N100" s="111">
        <f>IFERROR(VLOOKUP($B100,MMWR_TRAD_AGG_STATE_PEN[],N$1,0),"ERROR")</f>
        <v>20</v>
      </c>
      <c r="O100" s="112">
        <f>IFERROR(VLOOKUP($B100,MMWR_TRAD_AGG_STATE_PEN[],O$1,0),"ERROR")</f>
        <v>5</v>
      </c>
      <c r="P100" s="114">
        <f t="shared" si="11"/>
        <v>0.25</v>
      </c>
      <c r="Q100" s="115">
        <f>IFERROR(VLOOKUP($B100,MMWR_TRAD_AGG_STATE_PEN[],Q$1,0),"ERROR")</f>
        <v>84</v>
      </c>
      <c r="R100" s="115">
        <f>IFERROR(VLOOKUP($B100,MMWR_TRAD_AGG_STATE_PEN[],R$1,0),"ERROR")</f>
        <v>41</v>
      </c>
      <c r="S100" s="115">
        <f>IFERROR(VLOOKUP($B100,MMWR_APP_STATE_PEN[],S$1,0),"ERROR")</f>
        <v>141</v>
      </c>
      <c r="T100" s="28"/>
    </row>
    <row r="101" spans="1:20" s="123" customFormat="1" x14ac:dyDescent="0.2">
      <c r="A101" s="28"/>
      <c r="B101" s="127" t="s">
        <v>402</v>
      </c>
      <c r="C101" s="109">
        <f>IFERROR(VLOOKUP($B101,MMWR_TRAD_AGG_STATE_PEN[],C$1,0),"ERROR")</f>
        <v>160</v>
      </c>
      <c r="D101" s="110">
        <f>IFERROR(VLOOKUP($B101,MMWR_TRAD_AGG_STATE_PEN[],D$1,0),"ERROR")</f>
        <v>83.037499999999994</v>
      </c>
      <c r="E101" s="111">
        <f>IFERROR(VLOOKUP($B101,MMWR_TRAD_AGG_STATE_PEN[],E$1,0),"ERROR")</f>
        <v>208</v>
      </c>
      <c r="F101" s="112">
        <f>IFERROR(VLOOKUP($B101,MMWR_TRAD_AGG_STATE_PEN[],F$1,0),"ERROR")</f>
        <v>11</v>
      </c>
      <c r="G101" s="113">
        <f t="shared" ref="G101:G127" si="12">IFERROR(F101/E101,"0%")</f>
        <v>5.2884615384615384E-2</v>
      </c>
      <c r="H101" s="111">
        <f>IFERROR(VLOOKUP($B101,MMWR_TRAD_AGG_STATE_PEN[],H$1,0),"ERROR")</f>
        <v>348</v>
      </c>
      <c r="I101" s="112">
        <f>IFERROR(VLOOKUP($B101,MMWR_TRAD_AGG_STATE_PEN[],I$1,0),"ERROR")</f>
        <v>56</v>
      </c>
      <c r="J101" s="114">
        <f t="shared" ref="J101:J127" si="13">IFERROR(I101/H101,"0%")</f>
        <v>0.16091954022988506</v>
      </c>
      <c r="K101" s="111">
        <f>IFERROR(VLOOKUP($B101,MMWR_TRAD_AGG_STATE_PEN[],K$1,0),"ERROR")</f>
        <v>5</v>
      </c>
      <c r="L101" s="112">
        <f>IFERROR(VLOOKUP($B101,MMWR_TRAD_AGG_STATE_PEN[],L$1,0),"ERROR")</f>
        <v>4</v>
      </c>
      <c r="M101" s="114">
        <f t="shared" ref="M101:M127" si="14">IFERROR(L101/K101,"0%")</f>
        <v>0.8</v>
      </c>
      <c r="N101" s="111">
        <f>IFERROR(VLOOKUP($B101,MMWR_TRAD_AGG_STATE_PEN[],N$1,0),"ERROR")</f>
        <v>14</v>
      </c>
      <c r="O101" s="112">
        <f>IFERROR(VLOOKUP($B101,MMWR_TRAD_AGG_STATE_PEN[],O$1,0),"ERROR")</f>
        <v>9</v>
      </c>
      <c r="P101" s="114">
        <f t="shared" ref="P101:P127" si="15">IFERROR(O101/N101,"0%")</f>
        <v>0.6428571428571429</v>
      </c>
      <c r="Q101" s="115">
        <f>IFERROR(VLOOKUP($B101,MMWR_TRAD_AGG_STATE_PEN[],Q$1,0),"ERROR")</f>
        <v>372</v>
      </c>
      <c r="R101" s="115">
        <f>IFERROR(VLOOKUP($B101,MMWR_TRAD_AGG_STATE_PEN[],R$1,0),"ERROR")</f>
        <v>78</v>
      </c>
      <c r="S101" s="115">
        <f>IFERROR(VLOOKUP($B101,MMWR_APP_STATE_PEN[],S$1,0),"ERROR")</f>
        <v>66</v>
      </c>
      <c r="T101" s="28"/>
    </row>
    <row r="102" spans="1:20" s="123" customFormat="1" x14ac:dyDescent="0.2">
      <c r="A102" s="28"/>
      <c r="B102" s="127" t="s">
        <v>386</v>
      </c>
      <c r="C102" s="109">
        <f>IFERROR(VLOOKUP($B102,MMWR_TRAD_AGG_STATE_PEN[],C$1,0),"ERROR")</f>
        <v>416</v>
      </c>
      <c r="D102" s="110">
        <f>IFERROR(VLOOKUP($B102,MMWR_TRAD_AGG_STATE_PEN[],D$1,0),"ERROR")</f>
        <v>67.810096153800004</v>
      </c>
      <c r="E102" s="111">
        <f>IFERROR(VLOOKUP($B102,MMWR_TRAD_AGG_STATE_PEN[],E$1,0),"ERROR")</f>
        <v>477</v>
      </c>
      <c r="F102" s="112">
        <f>IFERROR(VLOOKUP($B102,MMWR_TRAD_AGG_STATE_PEN[],F$1,0),"ERROR")</f>
        <v>43</v>
      </c>
      <c r="G102" s="113">
        <f t="shared" si="12"/>
        <v>9.0146750524109018E-2</v>
      </c>
      <c r="H102" s="111">
        <f>IFERROR(VLOOKUP($B102,MMWR_TRAD_AGG_STATE_PEN[],H$1,0),"ERROR")</f>
        <v>570</v>
      </c>
      <c r="I102" s="112">
        <f>IFERROR(VLOOKUP($B102,MMWR_TRAD_AGG_STATE_PEN[],I$1,0),"ERROR")</f>
        <v>66</v>
      </c>
      <c r="J102" s="114">
        <f t="shared" si="13"/>
        <v>0.11578947368421053</v>
      </c>
      <c r="K102" s="111">
        <f>IFERROR(VLOOKUP($B102,MMWR_TRAD_AGG_STATE_PEN[],K$1,0),"ERROR")</f>
        <v>2</v>
      </c>
      <c r="L102" s="112">
        <f>IFERROR(VLOOKUP($B102,MMWR_TRAD_AGG_STATE_PEN[],L$1,0),"ERROR")</f>
        <v>2</v>
      </c>
      <c r="M102" s="114">
        <f t="shared" si="14"/>
        <v>1</v>
      </c>
      <c r="N102" s="111">
        <f>IFERROR(VLOOKUP($B102,MMWR_TRAD_AGG_STATE_PEN[],N$1,0),"ERROR")</f>
        <v>40</v>
      </c>
      <c r="O102" s="112">
        <f>IFERROR(VLOOKUP($B102,MMWR_TRAD_AGG_STATE_PEN[],O$1,0),"ERROR")</f>
        <v>8</v>
      </c>
      <c r="P102" s="114">
        <f t="shared" si="15"/>
        <v>0.2</v>
      </c>
      <c r="Q102" s="115">
        <f>IFERROR(VLOOKUP($B102,MMWR_TRAD_AGG_STATE_PEN[],Q$1,0),"ERROR")</f>
        <v>104</v>
      </c>
      <c r="R102" s="115">
        <f>IFERROR(VLOOKUP($B102,MMWR_TRAD_AGG_STATE_PEN[],R$1,0),"ERROR")</f>
        <v>78</v>
      </c>
      <c r="S102" s="115">
        <f>IFERROR(VLOOKUP($B102,MMWR_APP_STATE_PEN[],S$1,0),"ERROR")</f>
        <v>164</v>
      </c>
      <c r="T102" s="28"/>
    </row>
    <row r="103" spans="1:20" s="123" customFormat="1" x14ac:dyDescent="0.2">
      <c r="A103" s="28"/>
      <c r="B103" s="127" t="s">
        <v>388</v>
      </c>
      <c r="C103" s="109">
        <f>IFERROR(VLOOKUP($B103,MMWR_TRAD_AGG_STATE_PEN[],C$1,0),"ERROR")</f>
        <v>241</v>
      </c>
      <c r="D103" s="110">
        <f>IFERROR(VLOOKUP($B103,MMWR_TRAD_AGG_STATE_PEN[],D$1,0),"ERROR")</f>
        <v>70.605809128600001</v>
      </c>
      <c r="E103" s="111">
        <f>IFERROR(VLOOKUP($B103,MMWR_TRAD_AGG_STATE_PEN[],E$1,0),"ERROR")</f>
        <v>310</v>
      </c>
      <c r="F103" s="112">
        <f>IFERROR(VLOOKUP($B103,MMWR_TRAD_AGG_STATE_PEN[],F$1,0),"ERROR")</f>
        <v>36</v>
      </c>
      <c r="G103" s="113">
        <f t="shared" si="12"/>
        <v>0.11612903225806452</v>
      </c>
      <c r="H103" s="111">
        <f>IFERROR(VLOOKUP($B103,MMWR_TRAD_AGG_STATE_PEN[],H$1,0),"ERROR")</f>
        <v>350</v>
      </c>
      <c r="I103" s="112">
        <f>IFERROR(VLOOKUP($B103,MMWR_TRAD_AGG_STATE_PEN[],I$1,0),"ERROR")</f>
        <v>59</v>
      </c>
      <c r="J103" s="114">
        <f t="shared" si="13"/>
        <v>0.16857142857142857</v>
      </c>
      <c r="K103" s="111">
        <f>IFERROR(VLOOKUP($B103,MMWR_TRAD_AGG_STATE_PEN[],K$1,0),"ERROR")</f>
        <v>4</v>
      </c>
      <c r="L103" s="112">
        <f>IFERROR(VLOOKUP($B103,MMWR_TRAD_AGG_STATE_PEN[],L$1,0),"ERROR")</f>
        <v>4</v>
      </c>
      <c r="M103" s="114">
        <f t="shared" si="14"/>
        <v>1</v>
      </c>
      <c r="N103" s="111">
        <f>IFERROR(VLOOKUP($B103,MMWR_TRAD_AGG_STATE_PEN[],N$1,0),"ERROR")</f>
        <v>39</v>
      </c>
      <c r="O103" s="112">
        <f>IFERROR(VLOOKUP($B103,MMWR_TRAD_AGG_STATE_PEN[],O$1,0),"ERROR")</f>
        <v>6</v>
      </c>
      <c r="P103" s="114">
        <f t="shared" si="15"/>
        <v>0.15384615384615385</v>
      </c>
      <c r="Q103" s="115">
        <f>IFERROR(VLOOKUP($B103,MMWR_TRAD_AGG_STATE_PEN[],Q$1,0),"ERROR")</f>
        <v>78</v>
      </c>
      <c r="R103" s="115">
        <f>IFERROR(VLOOKUP($B103,MMWR_TRAD_AGG_STATE_PEN[],R$1,0),"ERROR")</f>
        <v>29</v>
      </c>
      <c r="S103" s="115">
        <f>IFERROR(VLOOKUP($B103,MMWR_APP_STATE_PEN[],S$1,0),"ERROR")</f>
        <v>142</v>
      </c>
      <c r="T103" s="28"/>
    </row>
    <row r="104" spans="1:20" s="123" customFormat="1" x14ac:dyDescent="0.2">
      <c r="A104" s="28"/>
      <c r="B104" s="127" t="s">
        <v>417</v>
      </c>
      <c r="C104" s="109">
        <f>IFERROR(VLOOKUP($B104,MMWR_TRAD_AGG_STATE_PEN[],C$1,0),"ERROR")</f>
        <v>39</v>
      </c>
      <c r="D104" s="110">
        <f>IFERROR(VLOOKUP($B104,MMWR_TRAD_AGG_STATE_PEN[],D$1,0),"ERROR")</f>
        <v>83.307692307699995</v>
      </c>
      <c r="E104" s="111">
        <f>IFERROR(VLOOKUP($B104,MMWR_TRAD_AGG_STATE_PEN[],E$1,0),"ERROR")</f>
        <v>65</v>
      </c>
      <c r="F104" s="112">
        <f>IFERROR(VLOOKUP($B104,MMWR_TRAD_AGG_STATE_PEN[],F$1,0),"ERROR")</f>
        <v>5</v>
      </c>
      <c r="G104" s="113">
        <f t="shared" si="12"/>
        <v>7.6923076923076927E-2</v>
      </c>
      <c r="H104" s="111">
        <f>IFERROR(VLOOKUP($B104,MMWR_TRAD_AGG_STATE_PEN[],H$1,0),"ERROR")</f>
        <v>82</v>
      </c>
      <c r="I104" s="112">
        <f>IFERROR(VLOOKUP($B104,MMWR_TRAD_AGG_STATE_PEN[],I$1,0),"ERROR")</f>
        <v>10</v>
      </c>
      <c r="J104" s="114">
        <f t="shared" si="13"/>
        <v>0.12195121951219512</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1</v>
      </c>
      <c r="P104" s="114">
        <f t="shared" si="15"/>
        <v>1</v>
      </c>
      <c r="Q104" s="115">
        <f>IFERROR(VLOOKUP($B104,MMWR_TRAD_AGG_STATE_PEN[],Q$1,0),"ERROR")</f>
        <v>127</v>
      </c>
      <c r="R104" s="115">
        <f>IFERROR(VLOOKUP($B104,MMWR_TRAD_AGG_STATE_PEN[],R$1,0),"ERROR")</f>
        <v>24</v>
      </c>
      <c r="S104" s="115">
        <f>IFERROR(VLOOKUP($B104,MMWR_APP_STATE_PEN[],S$1,0),"ERROR")</f>
        <v>4</v>
      </c>
      <c r="T104" s="28"/>
    </row>
    <row r="105" spans="1:20" s="123" customFormat="1" x14ac:dyDescent="0.2">
      <c r="A105" s="28"/>
      <c r="B105" s="127" t="s">
        <v>411</v>
      </c>
      <c r="C105" s="109">
        <f>IFERROR(VLOOKUP($B105,MMWR_TRAD_AGG_STATE_PEN[],C$1,0),"ERROR")</f>
        <v>251</v>
      </c>
      <c r="D105" s="110">
        <f>IFERROR(VLOOKUP($B105,MMWR_TRAD_AGG_STATE_PEN[],D$1,0),"ERROR")</f>
        <v>64.318725099600002</v>
      </c>
      <c r="E105" s="111">
        <f>IFERROR(VLOOKUP($B105,MMWR_TRAD_AGG_STATE_PEN[],E$1,0),"ERROR")</f>
        <v>213</v>
      </c>
      <c r="F105" s="112">
        <f>IFERROR(VLOOKUP($B105,MMWR_TRAD_AGG_STATE_PEN[],F$1,0),"ERROR")</f>
        <v>10</v>
      </c>
      <c r="G105" s="113">
        <f t="shared" si="12"/>
        <v>4.6948356807511735E-2</v>
      </c>
      <c r="H105" s="111">
        <f>IFERROR(VLOOKUP($B105,MMWR_TRAD_AGG_STATE_PEN[],H$1,0),"ERROR")</f>
        <v>368</v>
      </c>
      <c r="I105" s="112">
        <f>IFERROR(VLOOKUP($B105,MMWR_TRAD_AGG_STATE_PEN[],I$1,0),"ERROR")</f>
        <v>30</v>
      </c>
      <c r="J105" s="114">
        <f t="shared" si="13"/>
        <v>8.1521739130434784E-2</v>
      </c>
      <c r="K105" s="111">
        <f>IFERROR(VLOOKUP($B105,MMWR_TRAD_AGG_STATE_PEN[],K$1,0),"ERROR")</f>
        <v>2</v>
      </c>
      <c r="L105" s="112">
        <f>IFERROR(VLOOKUP($B105,MMWR_TRAD_AGG_STATE_PEN[],L$1,0),"ERROR")</f>
        <v>2</v>
      </c>
      <c r="M105" s="114">
        <f t="shared" si="14"/>
        <v>1</v>
      </c>
      <c r="N105" s="111">
        <f>IFERROR(VLOOKUP($B105,MMWR_TRAD_AGG_STATE_PEN[],N$1,0),"ERROR")</f>
        <v>25</v>
      </c>
      <c r="O105" s="112">
        <f>IFERROR(VLOOKUP($B105,MMWR_TRAD_AGG_STATE_PEN[],O$1,0),"ERROR")</f>
        <v>14</v>
      </c>
      <c r="P105" s="114">
        <f t="shared" si="15"/>
        <v>0.56000000000000005</v>
      </c>
      <c r="Q105" s="115">
        <f>IFERROR(VLOOKUP($B105,MMWR_TRAD_AGG_STATE_PEN[],Q$1,0),"ERROR")</f>
        <v>639</v>
      </c>
      <c r="R105" s="115">
        <f>IFERROR(VLOOKUP($B105,MMWR_TRAD_AGG_STATE_PEN[],R$1,0),"ERROR")</f>
        <v>73</v>
      </c>
      <c r="S105" s="115">
        <f>IFERROR(VLOOKUP($B105,MMWR_APP_STATE_PEN[],S$1,0),"ERROR")</f>
        <v>87</v>
      </c>
      <c r="T105" s="28"/>
    </row>
    <row r="106" spans="1:20" s="123" customFormat="1" x14ac:dyDescent="0.2">
      <c r="A106" s="28"/>
      <c r="B106" s="127" t="s">
        <v>409</v>
      </c>
      <c r="C106" s="109">
        <f>IFERROR(VLOOKUP($B106,MMWR_TRAD_AGG_STATE_PEN[],C$1,0),"ERROR")</f>
        <v>1074</v>
      </c>
      <c r="D106" s="110">
        <f>IFERROR(VLOOKUP($B106,MMWR_TRAD_AGG_STATE_PEN[],D$1,0),"ERROR")</f>
        <v>68.072625698300001</v>
      </c>
      <c r="E106" s="111">
        <f>IFERROR(VLOOKUP($B106,MMWR_TRAD_AGG_STATE_PEN[],E$1,0),"ERROR")</f>
        <v>1234</v>
      </c>
      <c r="F106" s="112">
        <f>IFERROR(VLOOKUP($B106,MMWR_TRAD_AGG_STATE_PEN[],F$1,0),"ERROR")</f>
        <v>52</v>
      </c>
      <c r="G106" s="113">
        <f t="shared" si="12"/>
        <v>4.2139384116693678E-2</v>
      </c>
      <c r="H106" s="111">
        <f>IFERROR(VLOOKUP($B106,MMWR_TRAD_AGG_STATE_PEN[],H$1,0),"ERROR")</f>
        <v>1693</v>
      </c>
      <c r="I106" s="112">
        <f>IFERROR(VLOOKUP($B106,MMWR_TRAD_AGG_STATE_PEN[],I$1,0),"ERROR")</f>
        <v>142</v>
      </c>
      <c r="J106" s="114">
        <f t="shared" si="13"/>
        <v>8.3874778499704664E-2</v>
      </c>
      <c r="K106" s="111">
        <f>IFERROR(VLOOKUP($B106,MMWR_TRAD_AGG_STATE_PEN[],K$1,0),"ERROR")</f>
        <v>7</v>
      </c>
      <c r="L106" s="112">
        <f>IFERROR(VLOOKUP($B106,MMWR_TRAD_AGG_STATE_PEN[],L$1,0),"ERROR")</f>
        <v>6</v>
      </c>
      <c r="M106" s="114">
        <f t="shared" si="14"/>
        <v>0.8571428571428571</v>
      </c>
      <c r="N106" s="111">
        <f>IFERROR(VLOOKUP($B106,MMWR_TRAD_AGG_STATE_PEN[],N$1,0),"ERROR")</f>
        <v>78</v>
      </c>
      <c r="O106" s="112">
        <f>IFERROR(VLOOKUP($B106,MMWR_TRAD_AGG_STATE_PEN[],O$1,0),"ERROR")</f>
        <v>37</v>
      </c>
      <c r="P106" s="114">
        <f t="shared" si="15"/>
        <v>0.47435897435897434</v>
      </c>
      <c r="Q106" s="115">
        <f>IFERROR(VLOOKUP($B106,MMWR_TRAD_AGG_STATE_PEN[],Q$1,0),"ERROR")</f>
        <v>1594</v>
      </c>
      <c r="R106" s="115">
        <f>IFERROR(VLOOKUP($B106,MMWR_TRAD_AGG_STATE_PEN[],R$1,0),"ERROR")</f>
        <v>484</v>
      </c>
      <c r="S106" s="115">
        <f>IFERROR(VLOOKUP($B106,MMWR_APP_STATE_PEN[],S$1,0),"ERROR")</f>
        <v>291</v>
      </c>
      <c r="T106" s="28"/>
    </row>
    <row r="107" spans="1:20" s="123" customFormat="1" x14ac:dyDescent="0.2">
      <c r="A107" s="28"/>
      <c r="B107" s="127" t="s">
        <v>405</v>
      </c>
      <c r="C107" s="109">
        <f>IFERROR(VLOOKUP($B107,MMWR_TRAD_AGG_STATE_PEN[],C$1,0),"ERROR")</f>
        <v>77</v>
      </c>
      <c r="D107" s="110">
        <f>IFERROR(VLOOKUP($B107,MMWR_TRAD_AGG_STATE_PEN[],D$1,0),"ERROR")</f>
        <v>64.077922077899998</v>
      </c>
      <c r="E107" s="111">
        <f>IFERROR(VLOOKUP($B107,MMWR_TRAD_AGG_STATE_PEN[],E$1,0),"ERROR")</f>
        <v>150</v>
      </c>
      <c r="F107" s="112">
        <f>IFERROR(VLOOKUP($B107,MMWR_TRAD_AGG_STATE_PEN[],F$1,0),"ERROR")</f>
        <v>4</v>
      </c>
      <c r="G107" s="113">
        <f t="shared" si="12"/>
        <v>2.6666666666666668E-2</v>
      </c>
      <c r="H107" s="111">
        <f>IFERROR(VLOOKUP($B107,MMWR_TRAD_AGG_STATE_PEN[],H$1,0),"ERROR")</f>
        <v>145</v>
      </c>
      <c r="I107" s="112">
        <f>IFERROR(VLOOKUP($B107,MMWR_TRAD_AGG_STATE_PEN[],I$1,0),"ERROR")</f>
        <v>14</v>
      </c>
      <c r="J107" s="114">
        <f t="shared" si="13"/>
        <v>9.6551724137931033E-2</v>
      </c>
      <c r="K107" s="111">
        <f>IFERROR(VLOOKUP($B107,MMWR_TRAD_AGG_STATE_PEN[],K$1,0),"ERROR")</f>
        <v>0</v>
      </c>
      <c r="L107" s="112">
        <f>IFERROR(VLOOKUP($B107,MMWR_TRAD_AGG_STATE_PEN[],L$1,0),"ERROR")</f>
        <v>0</v>
      </c>
      <c r="M107" s="114" t="str">
        <f t="shared" si="14"/>
        <v>0%</v>
      </c>
      <c r="N107" s="111">
        <f>IFERROR(VLOOKUP($B107,MMWR_TRAD_AGG_STATE_PEN[],N$1,0),"ERROR")</f>
        <v>2</v>
      </c>
      <c r="O107" s="112">
        <f>IFERROR(VLOOKUP($B107,MMWR_TRAD_AGG_STATE_PEN[],O$1,0),"ERROR")</f>
        <v>0</v>
      </c>
      <c r="P107" s="114">
        <f t="shared" si="15"/>
        <v>0</v>
      </c>
      <c r="Q107" s="115">
        <f>IFERROR(VLOOKUP($B107,MMWR_TRAD_AGG_STATE_PEN[],Q$1,0),"ERROR")</f>
        <v>189</v>
      </c>
      <c r="R107" s="115">
        <f>IFERROR(VLOOKUP($B107,MMWR_TRAD_AGG_STATE_PEN[],R$1,0),"ERROR")</f>
        <v>25</v>
      </c>
      <c r="S107" s="115">
        <f>IFERROR(VLOOKUP($B107,MMWR_APP_STATE_PEN[],S$1,0),"ERROR")</f>
        <v>16</v>
      </c>
      <c r="T107" s="28"/>
    </row>
    <row r="108" spans="1:20" s="123" customFormat="1" x14ac:dyDescent="0.2">
      <c r="A108" s="28"/>
      <c r="B108" s="127" t="s">
        <v>420</v>
      </c>
      <c r="C108" s="109">
        <f>IFERROR(VLOOKUP($B108,MMWR_TRAD_AGG_STATE_PEN[],C$1,0),"ERROR")</f>
        <v>20</v>
      </c>
      <c r="D108" s="110">
        <f>IFERROR(VLOOKUP($B108,MMWR_TRAD_AGG_STATE_PEN[],D$1,0),"ERROR")</f>
        <v>54.35</v>
      </c>
      <c r="E108" s="111">
        <f>IFERROR(VLOOKUP($B108,MMWR_TRAD_AGG_STATE_PEN[],E$1,0),"ERROR")</f>
        <v>27</v>
      </c>
      <c r="F108" s="112">
        <f>IFERROR(VLOOKUP($B108,MMWR_TRAD_AGG_STATE_PEN[],F$1,0),"ERROR")</f>
        <v>1</v>
      </c>
      <c r="G108" s="113">
        <f t="shared" si="12"/>
        <v>3.7037037037037035E-2</v>
      </c>
      <c r="H108" s="111">
        <f>IFERROR(VLOOKUP($B108,MMWR_TRAD_AGG_STATE_PEN[],H$1,0),"ERROR")</f>
        <v>38</v>
      </c>
      <c r="I108" s="112">
        <f>IFERROR(VLOOKUP($B108,MMWR_TRAD_AGG_STATE_PEN[],I$1,0),"ERROR")</f>
        <v>5</v>
      </c>
      <c r="J108" s="114">
        <f t="shared" si="13"/>
        <v>0.13157894736842105</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65</v>
      </c>
      <c r="R108" s="115">
        <f>IFERROR(VLOOKUP($B108,MMWR_TRAD_AGG_STATE_PEN[],R$1,0),"ERROR")</f>
        <v>6</v>
      </c>
      <c r="S108" s="115">
        <f>IFERROR(VLOOKUP($B108,MMWR_APP_STATE_PEN[],S$1,0),"ERROR")</f>
        <v>2</v>
      </c>
      <c r="T108" s="28"/>
    </row>
    <row r="109" spans="1:20" s="123" customFormat="1" x14ac:dyDescent="0.2">
      <c r="A109" s="28"/>
      <c r="B109" s="126" t="s">
        <v>403</v>
      </c>
      <c r="C109" s="102">
        <f>IFERROR(VLOOKUP($B109,MMWR_TRAD_AGG_ST_DISTRICT_PEN[],C$1,0),"ERROR")</f>
        <v>2068</v>
      </c>
      <c r="D109" s="103">
        <f>IFERROR(VLOOKUP($B109,MMWR_TRAD_AGG_ST_DISTRICT_PEN[],D$1,0),"ERROR")</f>
        <v>66.8176982592</v>
      </c>
      <c r="E109" s="102">
        <f>IFERROR(VLOOKUP($B109,MMWR_TRAD_AGG_ST_DISTRICT_PEN[],E$1,0),"ERROR")</f>
        <v>2967</v>
      </c>
      <c r="F109" s="102">
        <f>IFERROR(VLOOKUP($B109,MMWR_TRAD_AGG_ST_DISTRICT_PEN[],F$1,0),"ERROR")</f>
        <v>128</v>
      </c>
      <c r="G109" s="104">
        <f t="shared" si="12"/>
        <v>4.3141220087630605E-2</v>
      </c>
      <c r="H109" s="102">
        <f>IFERROR(VLOOKUP($B109,MMWR_TRAD_AGG_ST_DISTRICT_PEN[],H$1,0),"ERROR")</f>
        <v>3815</v>
      </c>
      <c r="I109" s="102">
        <f>IFERROR(VLOOKUP($B109,MMWR_TRAD_AGG_ST_DISTRICT_PEN[],I$1,0),"ERROR")</f>
        <v>468</v>
      </c>
      <c r="J109" s="104">
        <f t="shared" si="13"/>
        <v>0.12267365661861075</v>
      </c>
      <c r="K109" s="102">
        <f>IFERROR(VLOOKUP($B109,MMWR_TRAD_AGG_ST_DISTRICT_PEN[],K$1,0),"ERROR")</f>
        <v>14</v>
      </c>
      <c r="L109" s="102">
        <f>IFERROR(VLOOKUP($B109,MMWR_TRAD_AGG_ST_DISTRICT_PEN[],L$1,0),"ERROR")</f>
        <v>12</v>
      </c>
      <c r="M109" s="104">
        <f t="shared" si="14"/>
        <v>0.8571428571428571</v>
      </c>
      <c r="N109" s="102">
        <f>IFERROR(VLOOKUP($B109,MMWR_TRAD_AGG_ST_DISTRICT_PEN[],N$1,0),"ERROR")</f>
        <v>178</v>
      </c>
      <c r="O109" s="102">
        <f>IFERROR(VLOOKUP($B109,MMWR_TRAD_AGG_ST_DISTRICT_PEN[],O$1,0),"ERROR")</f>
        <v>83</v>
      </c>
      <c r="P109" s="104">
        <f t="shared" si="15"/>
        <v>0.46629213483146065</v>
      </c>
      <c r="Q109" s="102">
        <f>IFERROR(VLOOKUP($B109,MMWR_TRAD_AGG_ST_DISTRICT_PEN[],Q$1,0),"ERROR")</f>
        <v>3791</v>
      </c>
      <c r="R109" s="106">
        <f>IFERROR(VLOOKUP($B109,MMWR_TRAD_AGG_ST_DISTRICT_PEN[],R$1,0),"ERROR")</f>
        <v>879</v>
      </c>
      <c r="S109" s="106">
        <f>IFERROR(VLOOKUP($B109,MMWR_APP_STATE_PEN[],S$1,0),"ERROR")</f>
        <v>492</v>
      </c>
      <c r="T109" s="28"/>
    </row>
    <row r="110" spans="1:20" s="123" customFormat="1" x14ac:dyDescent="0.2">
      <c r="A110" s="28"/>
      <c r="B110" s="127" t="s">
        <v>423</v>
      </c>
      <c r="C110" s="109">
        <f>IFERROR(VLOOKUP($B110,MMWR_TRAD_AGG_STATE_PEN[],C$1,0),"ERROR")</f>
        <v>11</v>
      </c>
      <c r="D110" s="110">
        <f>IFERROR(VLOOKUP($B110,MMWR_TRAD_AGG_STATE_PEN[],D$1,0),"ERROR")</f>
        <v>67.272727272699996</v>
      </c>
      <c r="E110" s="111">
        <f>IFERROR(VLOOKUP($B110,MMWR_TRAD_AGG_STATE_PEN[],E$1,0),"ERROR")</f>
        <v>16</v>
      </c>
      <c r="F110" s="112">
        <f>IFERROR(VLOOKUP($B110,MMWR_TRAD_AGG_STATE_PEN[],F$1,0),"ERROR")</f>
        <v>1</v>
      </c>
      <c r="G110" s="113">
        <f t="shared" si="12"/>
        <v>6.25E-2</v>
      </c>
      <c r="H110" s="111">
        <f>IFERROR(VLOOKUP($B110,MMWR_TRAD_AGG_STATE_PEN[],H$1,0),"ERROR")</f>
        <v>27</v>
      </c>
      <c r="I110" s="112">
        <f>IFERROR(VLOOKUP($B110,MMWR_TRAD_AGG_STATE_PEN[],I$1,0),"ERROR")</f>
        <v>2</v>
      </c>
      <c r="J110" s="114">
        <f t="shared" si="13"/>
        <v>7.407407407407407E-2</v>
      </c>
      <c r="K110" s="111">
        <f>IFERROR(VLOOKUP($B110,MMWR_TRAD_AGG_STATE_PEN[],K$1,0),"ERROR")</f>
        <v>0</v>
      </c>
      <c r="L110" s="112">
        <f>IFERROR(VLOOKUP($B110,MMWR_TRAD_AGG_STATE_PEN[],L$1,0),"ERROR")</f>
        <v>0</v>
      </c>
      <c r="M110" s="114" t="str">
        <f t="shared" si="14"/>
        <v>0%</v>
      </c>
      <c r="N110" s="111">
        <f>IFERROR(VLOOKUP($B110,MMWR_TRAD_AGG_STATE_PEN[],N$1,0),"ERROR")</f>
        <v>2</v>
      </c>
      <c r="O110" s="112">
        <f>IFERROR(VLOOKUP($B110,MMWR_TRAD_AGG_STATE_PEN[],O$1,0),"ERROR")</f>
        <v>1</v>
      </c>
      <c r="P110" s="114">
        <f t="shared" si="15"/>
        <v>0.5</v>
      </c>
      <c r="Q110" s="115">
        <f>IFERROR(VLOOKUP($B110,MMWR_TRAD_AGG_STATE_PEN[],Q$1,0),"ERROR")</f>
        <v>39</v>
      </c>
      <c r="R110" s="115">
        <f>IFERROR(VLOOKUP($B110,MMWR_TRAD_AGG_STATE_PEN[],R$1,0),"ERROR")</f>
        <v>12</v>
      </c>
      <c r="S110" s="115">
        <f>IFERROR(VLOOKUP($B110,MMWR_APP_STATE_PEN[],S$1,0),"ERROR")</f>
        <v>3</v>
      </c>
      <c r="T110" s="28"/>
    </row>
    <row r="111" spans="1:20" s="123" customFormat="1" x14ac:dyDescent="0.2">
      <c r="A111" s="28"/>
      <c r="B111" s="127" t="s">
        <v>425</v>
      </c>
      <c r="C111" s="109">
        <f>IFERROR(VLOOKUP($B111,MMWR_TRAD_AGG_STATE_PEN[],C$1,0),"ERROR")</f>
        <v>273</v>
      </c>
      <c r="D111" s="110">
        <f>IFERROR(VLOOKUP($B111,MMWR_TRAD_AGG_STATE_PEN[],D$1,0),"ERROR")</f>
        <v>64.051282051300007</v>
      </c>
      <c r="E111" s="111">
        <f>IFERROR(VLOOKUP($B111,MMWR_TRAD_AGG_STATE_PEN[],E$1,0),"ERROR")</f>
        <v>399</v>
      </c>
      <c r="F111" s="112">
        <f>IFERROR(VLOOKUP($B111,MMWR_TRAD_AGG_STATE_PEN[],F$1,0),"ERROR")</f>
        <v>25</v>
      </c>
      <c r="G111" s="113">
        <f t="shared" si="12"/>
        <v>6.2656641604010022E-2</v>
      </c>
      <c r="H111" s="111">
        <f>IFERROR(VLOOKUP($B111,MMWR_TRAD_AGG_STATE_PEN[],H$1,0),"ERROR")</f>
        <v>449</v>
      </c>
      <c r="I111" s="112">
        <f>IFERROR(VLOOKUP($B111,MMWR_TRAD_AGG_STATE_PEN[],I$1,0),"ERROR")</f>
        <v>45</v>
      </c>
      <c r="J111" s="114">
        <f t="shared" si="13"/>
        <v>0.10022271714922049</v>
      </c>
      <c r="K111" s="111">
        <f>IFERROR(VLOOKUP($B111,MMWR_TRAD_AGG_STATE_PEN[],K$1,0),"ERROR")</f>
        <v>0</v>
      </c>
      <c r="L111" s="112">
        <f>IFERROR(VLOOKUP($B111,MMWR_TRAD_AGG_STATE_PEN[],L$1,0),"ERROR")</f>
        <v>0</v>
      </c>
      <c r="M111" s="114" t="str">
        <f t="shared" si="14"/>
        <v>0%</v>
      </c>
      <c r="N111" s="111">
        <f>IFERROR(VLOOKUP($B111,MMWR_TRAD_AGG_STATE_PEN[],N$1,0),"ERROR")</f>
        <v>19</v>
      </c>
      <c r="O111" s="112">
        <f>IFERROR(VLOOKUP($B111,MMWR_TRAD_AGG_STATE_PEN[],O$1,0),"ERROR")</f>
        <v>5</v>
      </c>
      <c r="P111" s="114">
        <f t="shared" si="15"/>
        <v>0.26315789473684209</v>
      </c>
      <c r="Q111" s="115">
        <f>IFERROR(VLOOKUP($B111,MMWR_TRAD_AGG_STATE_PEN[],Q$1,0),"ERROR")</f>
        <v>475</v>
      </c>
      <c r="R111" s="115">
        <f>IFERROR(VLOOKUP($B111,MMWR_TRAD_AGG_STATE_PEN[],R$1,0),"ERROR")</f>
        <v>112</v>
      </c>
      <c r="S111" s="115">
        <f>IFERROR(VLOOKUP($B111,MMWR_APP_STATE_PEN[],S$1,0),"ERROR")</f>
        <v>53</v>
      </c>
      <c r="T111" s="28"/>
    </row>
    <row r="112" spans="1:20" s="123" customFormat="1" x14ac:dyDescent="0.2">
      <c r="A112" s="28"/>
      <c r="B112" s="127" t="s">
        <v>406</v>
      </c>
      <c r="C112" s="109">
        <f>IFERROR(VLOOKUP($B112,MMWR_TRAD_AGG_STATE_PEN[],C$1,0),"ERROR")</f>
        <v>1123</v>
      </c>
      <c r="D112" s="110">
        <f>IFERROR(VLOOKUP($B112,MMWR_TRAD_AGG_STATE_PEN[],D$1,0),"ERROR")</f>
        <v>67.910952804999994</v>
      </c>
      <c r="E112" s="111">
        <f>IFERROR(VLOOKUP($B112,MMWR_TRAD_AGG_STATE_PEN[],E$1,0),"ERROR")</f>
        <v>1631</v>
      </c>
      <c r="F112" s="112">
        <f>IFERROR(VLOOKUP($B112,MMWR_TRAD_AGG_STATE_PEN[],F$1,0),"ERROR")</f>
        <v>70</v>
      </c>
      <c r="G112" s="113">
        <f t="shared" si="12"/>
        <v>4.2918454935622317E-2</v>
      </c>
      <c r="H112" s="111">
        <f>IFERROR(VLOOKUP($B112,MMWR_TRAD_AGG_STATE_PEN[],H$1,0),"ERROR")</f>
        <v>2045</v>
      </c>
      <c r="I112" s="112">
        <f>IFERROR(VLOOKUP($B112,MMWR_TRAD_AGG_STATE_PEN[],I$1,0),"ERROR")</f>
        <v>244</v>
      </c>
      <c r="J112" s="114">
        <f t="shared" si="13"/>
        <v>0.11931540342298289</v>
      </c>
      <c r="K112" s="111">
        <f>IFERROR(VLOOKUP($B112,MMWR_TRAD_AGG_STATE_PEN[],K$1,0),"ERROR")</f>
        <v>11</v>
      </c>
      <c r="L112" s="112">
        <f>IFERROR(VLOOKUP($B112,MMWR_TRAD_AGG_STATE_PEN[],L$1,0),"ERROR")</f>
        <v>9</v>
      </c>
      <c r="M112" s="114">
        <f t="shared" si="14"/>
        <v>0.81818181818181823</v>
      </c>
      <c r="N112" s="111">
        <f>IFERROR(VLOOKUP($B112,MMWR_TRAD_AGG_STATE_PEN[],N$1,0),"ERROR")</f>
        <v>101</v>
      </c>
      <c r="O112" s="112">
        <f>IFERROR(VLOOKUP($B112,MMWR_TRAD_AGG_STATE_PEN[],O$1,0),"ERROR")</f>
        <v>49</v>
      </c>
      <c r="P112" s="114">
        <f t="shared" si="15"/>
        <v>0.48514851485148514</v>
      </c>
      <c r="Q112" s="115">
        <f>IFERROR(VLOOKUP($B112,MMWR_TRAD_AGG_STATE_PEN[],Q$1,0),"ERROR")</f>
        <v>1627</v>
      </c>
      <c r="R112" s="115">
        <f>IFERROR(VLOOKUP($B112,MMWR_TRAD_AGG_STATE_PEN[],R$1,0),"ERROR")</f>
        <v>466</v>
      </c>
      <c r="S112" s="115">
        <f>IFERROR(VLOOKUP($B112,MMWR_APP_STATE_PEN[],S$1,0),"ERROR")</f>
        <v>278</v>
      </c>
      <c r="T112" s="28"/>
    </row>
    <row r="113" spans="1:20" s="123" customFormat="1" x14ac:dyDescent="0.2">
      <c r="A113" s="28"/>
      <c r="B113" s="127" t="s">
        <v>427</v>
      </c>
      <c r="C113" s="109">
        <f>IFERROR(VLOOKUP($B113,MMWR_TRAD_AGG_STATE_PEN[],C$1,0),"ERROR")</f>
        <v>24</v>
      </c>
      <c r="D113" s="110">
        <f>IFERROR(VLOOKUP($B113,MMWR_TRAD_AGG_STATE_PEN[],D$1,0),"ERROR")</f>
        <v>86.791666666699996</v>
      </c>
      <c r="E113" s="111">
        <f>IFERROR(VLOOKUP($B113,MMWR_TRAD_AGG_STATE_PEN[],E$1,0),"ERROR")</f>
        <v>20</v>
      </c>
      <c r="F113" s="112">
        <f>IFERROR(VLOOKUP($B113,MMWR_TRAD_AGG_STATE_PEN[],F$1,0),"ERROR")</f>
        <v>2</v>
      </c>
      <c r="G113" s="113">
        <f t="shared" si="12"/>
        <v>0.1</v>
      </c>
      <c r="H113" s="111">
        <f>IFERROR(VLOOKUP($B113,MMWR_TRAD_AGG_STATE_PEN[],H$1,0),"ERROR")</f>
        <v>50</v>
      </c>
      <c r="I113" s="112">
        <f>IFERROR(VLOOKUP($B113,MMWR_TRAD_AGG_STATE_PEN[],I$1,0),"ERROR")</f>
        <v>8</v>
      </c>
      <c r="J113" s="114">
        <f t="shared" si="13"/>
        <v>0.16</v>
      </c>
      <c r="K113" s="111">
        <f>IFERROR(VLOOKUP($B113,MMWR_TRAD_AGG_STATE_PEN[],K$1,0),"ERROR")</f>
        <v>1</v>
      </c>
      <c r="L113" s="112">
        <f>IFERROR(VLOOKUP($B113,MMWR_TRAD_AGG_STATE_PEN[],L$1,0),"ERROR")</f>
        <v>1</v>
      </c>
      <c r="M113" s="114">
        <f t="shared" si="14"/>
        <v>1</v>
      </c>
      <c r="N113" s="111">
        <f>IFERROR(VLOOKUP($B113,MMWR_TRAD_AGG_STATE_PEN[],N$1,0),"ERROR")</f>
        <v>1</v>
      </c>
      <c r="O113" s="112">
        <f>IFERROR(VLOOKUP($B113,MMWR_TRAD_AGG_STATE_PEN[],O$1,0),"ERROR")</f>
        <v>0</v>
      </c>
      <c r="P113" s="114">
        <f t="shared" si="15"/>
        <v>0</v>
      </c>
      <c r="Q113" s="115">
        <f>IFERROR(VLOOKUP($B113,MMWR_TRAD_AGG_STATE_PEN[],Q$1,0),"ERROR")</f>
        <v>100</v>
      </c>
      <c r="R113" s="115">
        <f>IFERROR(VLOOKUP($B113,MMWR_TRAD_AGG_STATE_PEN[],R$1,0),"ERROR")</f>
        <v>13</v>
      </c>
      <c r="S113" s="115">
        <f>IFERROR(VLOOKUP($B113,MMWR_APP_STATE_PEN[],S$1,0),"ERROR")</f>
        <v>12</v>
      </c>
      <c r="T113" s="28"/>
    </row>
    <row r="114" spans="1:20" s="123" customFormat="1" x14ac:dyDescent="0.2">
      <c r="A114" s="28"/>
      <c r="B114" s="127" t="s">
        <v>407</v>
      </c>
      <c r="C114" s="109">
        <f>IFERROR(VLOOKUP($B114,MMWR_TRAD_AGG_STATE_PEN[],C$1,0),"ERROR")</f>
        <v>69</v>
      </c>
      <c r="D114" s="110">
        <f>IFERROR(VLOOKUP($B114,MMWR_TRAD_AGG_STATE_PEN[],D$1,0),"ERROR")</f>
        <v>65.391304347800002</v>
      </c>
      <c r="E114" s="111">
        <f>IFERROR(VLOOKUP($B114,MMWR_TRAD_AGG_STATE_PEN[],E$1,0),"ERROR")</f>
        <v>92</v>
      </c>
      <c r="F114" s="112">
        <f>IFERROR(VLOOKUP($B114,MMWR_TRAD_AGG_STATE_PEN[],F$1,0),"ERROR")</f>
        <v>3</v>
      </c>
      <c r="G114" s="113">
        <f t="shared" si="12"/>
        <v>3.2608695652173912E-2</v>
      </c>
      <c r="H114" s="111">
        <f>IFERROR(VLOOKUP($B114,MMWR_TRAD_AGG_STATE_PEN[],H$1,0),"ERROR")</f>
        <v>126</v>
      </c>
      <c r="I114" s="112">
        <f>IFERROR(VLOOKUP($B114,MMWR_TRAD_AGG_STATE_PEN[],I$1,0),"ERROR")</f>
        <v>15</v>
      </c>
      <c r="J114" s="114">
        <f t="shared" si="13"/>
        <v>0.11904761904761904</v>
      </c>
      <c r="K114" s="111">
        <f>IFERROR(VLOOKUP($B114,MMWR_TRAD_AGG_STATE_PEN[],K$1,0),"ERROR")</f>
        <v>1</v>
      </c>
      <c r="L114" s="112">
        <f>IFERROR(VLOOKUP($B114,MMWR_TRAD_AGG_STATE_PEN[],L$1,0),"ERROR")</f>
        <v>1</v>
      </c>
      <c r="M114" s="114">
        <f t="shared" si="14"/>
        <v>1</v>
      </c>
      <c r="N114" s="111">
        <f>IFERROR(VLOOKUP($B114,MMWR_TRAD_AGG_STATE_PEN[],N$1,0),"ERROR")</f>
        <v>3</v>
      </c>
      <c r="O114" s="112">
        <f>IFERROR(VLOOKUP($B114,MMWR_TRAD_AGG_STATE_PEN[],O$1,0),"ERROR")</f>
        <v>1</v>
      </c>
      <c r="P114" s="114">
        <f t="shared" si="15"/>
        <v>0.33333333333333331</v>
      </c>
      <c r="Q114" s="115">
        <f>IFERROR(VLOOKUP($B114,MMWR_TRAD_AGG_STATE_PEN[],Q$1,0),"ERROR")</f>
        <v>123</v>
      </c>
      <c r="R114" s="115">
        <f>IFERROR(VLOOKUP($B114,MMWR_TRAD_AGG_STATE_PEN[],R$1,0),"ERROR")</f>
        <v>20</v>
      </c>
      <c r="S114" s="115">
        <f>IFERROR(VLOOKUP($B114,MMWR_APP_STATE_PEN[],S$1,0),"ERROR")</f>
        <v>5</v>
      </c>
      <c r="T114" s="28"/>
    </row>
    <row r="115" spans="1:20" s="123" customFormat="1" x14ac:dyDescent="0.2">
      <c r="A115" s="28"/>
      <c r="B115" s="127" t="s">
        <v>412</v>
      </c>
      <c r="C115" s="109">
        <f>IFERROR(VLOOKUP($B115,MMWR_TRAD_AGG_STATE_PEN[],C$1,0),"ERROR")</f>
        <v>106</v>
      </c>
      <c r="D115" s="110">
        <f>IFERROR(VLOOKUP($B115,MMWR_TRAD_AGG_STATE_PEN[],D$1,0),"ERROR")</f>
        <v>73.547169811299995</v>
      </c>
      <c r="E115" s="111">
        <f>IFERROR(VLOOKUP($B115,MMWR_TRAD_AGG_STATE_PEN[],E$1,0),"ERROR")</f>
        <v>127</v>
      </c>
      <c r="F115" s="112">
        <f>IFERROR(VLOOKUP($B115,MMWR_TRAD_AGG_STATE_PEN[],F$1,0),"ERROR")</f>
        <v>3</v>
      </c>
      <c r="G115" s="113">
        <f t="shared" si="12"/>
        <v>2.3622047244094488E-2</v>
      </c>
      <c r="H115" s="111">
        <f>IFERROR(VLOOKUP($B115,MMWR_TRAD_AGG_STATE_PEN[],H$1,0),"ERROR")</f>
        <v>190</v>
      </c>
      <c r="I115" s="112">
        <f>IFERROR(VLOOKUP($B115,MMWR_TRAD_AGG_STATE_PEN[],I$1,0),"ERROR")</f>
        <v>26</v>
      </c>
      <c r="J115" s="114">
        <f t="shared" si="13"/>
        <v>0.1368421052631579</v>
      </c>
      <c r="K115" s="111">
        <f>IFERROR(VLOOKUP($B115,MMWR_TRAD_AGG_STATE_PEN[],K$1,0),"ERROR")</f>
        <v>0</v>
      </c>
      <c r="L115" s="112">
        <f>IFERROR(VLOOKUP($B115,MMWR_TRAD_AGG_STATE_PEN[],L$1,0),"ERROR")</f>
        <v>0</v>
      </c>
      <c r="M115" s="114" t="str">
        <f t="shared" si="14"/>
        <v>0%</v>
      </c>
      <c r="N115" s="111">
        <f>IFERROR(VLOOKUP($B115,MMWR_TRAD_AGG_STATE_PEN[],N$1,0),"ERROR")</f>
        <v>13</v>
      </c>
      <c r="O115" s="112">
        <f>IFERROR(VLOOKUP($B115,MMWR_TRAD_AGG_STATE_PEN[],O$1,0),"ERROR")</f>
        <v>7</v>
      </c>
      <c r="P115" s="114">
        <f t="shared" si="15"/>
        <v>0.53846153846153844</v>
      </c>
      <c r="Q115" s="115">
        <f>IFERROR(VLOOKUP($B115,MMWR_TRAD_AGG_STATE_PEN[],Q$1,0),"ERROR")</f>
        <v>213</v>
      </c>
      <c r="R115" s="115">
        <f>IFERROR(VLOOKUP($B115,MMWR_TRAD_AGG_STATE_PEN[],R$1,0),"ERROR")</f>
        <v>41</v>
      </c>
      <c r="S115" s="115">
        <f>IFERROR(VLOOKUP($B115,MMWR_APP_STATE_PEN[],S$1,0),"ERROR")</f>
        <v>31</v>
      </c>
      <c r="T115" s="28"/>
    </row>
    <row r="116" spans="1:20" s="123" customFormat="1" x14ac:dyDescent="0.2">
      <c r="A116" s="28"/>
      <c r="B116" s="127" t="s">
        <v>404</v>
      </c>
      <c r="C116" s="109">
        <f>IFERROR(VLOOKUP($B116,MMWR_TRAD_AGG_STATE_PEN[],C$1,0),"ERROR")</f>
        <v>74</v>
      </c>
      <c r="D116" s="110">
        <f>IFERROR(VLOOKUP($B116,MMWR_TRAD_AGG_STATE_PEN[],D$1,0),"ERROR")</f>
        <v>60.121621621599999</v>
      </c>
      <c r="E116" s="111">
        <f>IFERROR(VLOOKUP($B116,MMWR_TRAD_AGG_STATE_PEN[],E$1,0),"ERROR")</f>
        <v>126</v>
      </c>
      <c r="F116" s="112">
        <f>IFERROR(VLOOKUP($B116,MMWR_TRAD_AGG_STATE_PEN[],F$1,0),"ERROR")</f>
        <v>6</v>
      </c>
      <c r="G116" s="113">
        <f t="shared" si="12"/>
        <v>4.7619047619047616E-2</v>
      </c>
      <c r="H116" s="111">
        <f>IFERROR(VLOOKUP($B116,MMWR_TRAD_AGG_STATE_PEN[],H$1,0),"ERROR")</f>
        <v>161</v>
      </c>
      <c r="I116" s="112">
        <f>IFERROR(VLOOKUP($B116,MMWR_TRAD_AGG_STATE_PEN[],I$1,0),"ERROR")</f>
        <v>18</v>
      </c>
      <c r="J116" s="114">
        <f t="shared" si="13"/>
        <v>0.11180124223602485</v>
      </c>
      <c r="K116" s="111">
        <f>IFERROR(VLOOKUP($B116,MMWR_TRAD_AGG_STATE_PEN[],K$1,0),"ERROR")</f>
        <v>0</v>
      </c>
      <c r="L116" s="112">
        <f>IFERROR(VLOOKUP($B116,MMWR_TRAD_AGG_STATE_PEN[],L$1,0),"ERROR")</f>
        <v>0</v>
      </c>
      <c r="M116" s="114" t="str">
        <f t="shared" si="14"/>
        <v>0%</v>
      </c>
      <c r="N116" s="111">
        <f>IFERROR(VLOOKUP($B116,MMWR_TRAD_AGG_STATE_PEN[],N$1,0),"ERROR")</f>
        <v>7</v>
      </c>
      <c r="O116" s="112">
        <f>IFERROR(VLOOKUP($B116,MMWR_TRAD_AGG_STATE_PEN[],O$1,0),"ERROR")</f>
        <v>4</v>
      </c>
      <c r="P116" s="114">
        <f t="shared" si="15"/>
        <v>0.5714285714285714</v>
      </c>
      <c r="Q116" s="115">
        <f>IFERROR(VLOOKUP($B116,MMWR_TRAD_AGG_STATE_PEN[],Q$1,0),"ERROR")</f>
        <v>283</v>
      </c>
      <c r="R116" s="115">
        <f>IFERROR(VLOOKUP($B116,MMWR_TRAD_AGG_STATE_PEN[],R$1,0),"ERROR")</f>
        <v>26</v>
      </c>
      <c r="S116" s="115">
        <f>IFERROR(VLOOKUP($B116,MMWR_APP_STATE_PEN[],S$1,0),"ERROR")</f>
        <v>17</v>
      </c>
      <c r="T116" s="28"/>
    </row>
    <row r="117" spans="1:20" s="123" customFormat="1" x14ac:dyDescent="0.2">
      <c r="A117" s="28"/>
      <c r="B117" s="127" t="s">
        <v>408</v>
      </c>
      <c r="C117" s="109">
        <f>IFERROR(VLOOKUP($B117,MMWR_TRAD_AGG_STATE_PEN[],C$1,0),"ERROR")</f>
        <v>182</v>
      </c>
      <c r="D117" s="110">
        <f>IFERROR(VLOOKUP($B117,MMWR_TRAD_AGG_STATE_PEN[],D$1,0),"ERROR")</f>
        <v>62.736263736300003</v>
      </c>
      <c r="E117" s="111">
        <f>IFERROR(VLOOKUP($B117,MMWR_TRAD_AGG_STATE_PEN[],E$1,0),"ERROR")</f>
        <v>215</v>
      </c>
      <c r="F117" s="112">
        <f>IFERROR(VLOOKUP($B117,MMWR_TRAD_AGG_STATE_PEN[],F$1,0),"ERROR")</f>
        <v>5</v>
      </c>
      <c r="G117" s="113">
        <f t="shared" si="12"/>
        <v>2.3255813953488372E-2</v>
      </c>
      <c r="H117" s="111">
        <f>IFERROR(VLOOKUP($B117,MMWR_TRAD_AGG_STATE_PEN[],H$1,0),"ERROR")</f>
        <v>322</v>
      </c>
      <c r="I117" s="112">
        <f>IFERROR(VLOOKUP($B117,MMWR_TRAD_AGG_STATE_PEN[],I$1,0),"ERROR")</f>
        <v>41</v>
      </c>
      <c r="J117" s="114">
        <f t="shared" si="13"/>
        <v>0.12732919254658384</v>
      </c>
      <c r="K117" s="111">
        <f>IFERROR(VLOOKUP($B117,MMWR_TRAD_AGG_STATE_PEN[],K$1,0),"ERROR")</f>
        <v>1</v>
      </c>
      <c r="L117" s="112">
        <f>IFERROR(VLOOKUP($B117,MMWR_TRAD_AGG_STATE_PEN[],L$1,0),"ERROR")</f>
        <v>1</v>
      </c>
      <c r="M117" s="114">
        <f t="shared" si="14"/>
        <v>1</v>
      </c>
      <c r="N117" s="111">
        <f>IFERROR(VLOOKUP($B117,MMWR_TRAD_AGG_STATE_PEN[],N$1,0),"ERROR")</f>
        <v>11</v>
      </c>
      <c r="O117" s="112">
        <f>IFERROR(VLOOKUP($B117,MMWR_TRAD_AGG_STATE_PEN[],O$1,0),"ERROR")</f>
        <v>6</v>
      </c>
      <c r="P117" s="114">
        <f t="shared" si="15"/>
        <v>0.54545454545454541</v>
      </c>
      <c r="Q117" s="115">
        <f>IFERROR(VLOOKUP($B117,MMWR_TRAD_AGG_STATE_PEN[],Q$1,0),"ERROR")</f>
        <v>380</v>
      </c>
      <c r="R117" s="115">
        <f>IFERROR(VLOOKUP($B117,MMWR_TRAD_AGG_STATE_PEN[],R$1,0),"ERROR")</f>
        <v>69</v>
      </c>
      <c r="S117" s="115">
        <f>IFERROR(VLOOKUP($B117,MMWR_APP_STATE_PEN[],S$1,0),"ERROR")</f>
        <v>39</v>
      </c>
      <c r="T117" s="28"/>
    </row>
    <row r="118" spans="1:20" s="123" customFormat="1" x14ac:dyDescent="0.2">
      <c r="A118" s="28"/>
      <c r="B118" s="127" t="s">
        <v>80</v>
      </c>
      <c r="C118" s="109">
        <f>IFERROR(VLOOKUP($B118,MMWR_TRAD_AGG_STATE_PEN[],C$1,0),"ERROR")</f>
        <v>206</v>
      </c>
      <c r="D118" s="110">
        <f>IFERROR(VLOOKUP($B118,MMWR_TRAD_AGG_STATE_PEN[],D$1,0),"ERROR")</f>
        <v>65.199029126200003</v>
      </c>
      <c r="E118" s="111">
        <f>IFERROR(VLOOKUP($B118,MMWR_TRAD_AGG_STATE_PEN[],E$1,0),"ERROR")</f>
        <v>341</v>
      </c>
      <c r="F118" s="112">
        <f>IFERROR(VLOOKUP($B118,MMWR_TRAD_AGG_STATE_PEN[],F$1,0),"ERROR")</f>
        <v>13</v>
      </c>
      <c r="G118" s="113">
        <f t="shared" si="12"/>
        <v>3.8123167155425221E-2</v>
      </c>
      <c r="H118" s="111">
        <f>IFERROR(VLOOKUP($B118,MMWR_TRAD_AGG_STATE_PEN[],H$1,0),"ERROR")</f>
        <v>445</v>
      </c>
      <c r="I118" s="112">
        <f>IFERROR(VLOOKUP($B118,MMWR_TRAD_AGG_STATE_PEN[],I$1,0),"ERROR")</f>
        <v>69</v>
      </c>
      <c r="J118" s="114">
        <f t="shared" si="13"/>
        <v>0.15505617977528091</v>
      </c>
      <c r="K118" s="111">
        <f>IFERROR(VLOOKUP($B118,MMWR_TRAD_AGG_STATE_PEN[],K$1,0),"ERROR")</f>
        <v>0</v>
      </c>
      <c r="L118" s="112">
        <f>IFERROR(VLOOKUP($B118,MMWR_TRAD_AGG_STATE_PEN[],L$1,0),"ERROR")</f>
        <v>0</v>
      </c>
      <c r="M118" s="114" t="str">
        <f t="shared" si="14"/>
        <v>0%</v>
      </c>
      <c r="N118" s="111">
        <f>IFERROR(VLOOKUP($B118,MMWR_TRAD_AGG_STATE_PEN[],N$1,0),"ERROR")</f>
        <v>21</v>
      </c>
      <c r="O118" s="112">
        <f>IFERROR(VLOOKUP($B118,MMWR_TRAD_AGG_STATE_PEN[],O$1,0),"ERROR")</f>
        <v>10</v>
      </c>
      <c r="P118" s="114">
        <f t="shared" si="15"/>
        <v>0.47619047619047616</v>
      </c>
      <c r="Q118" s="115">
        <f>IFERROR(VLOOKUP($B118,MMWR_TRAD_AGG_STATE_PEN[],Q$1,0),"ERROR")</f>
        <v>551</v>
      </c>
      <c r="R118" s="115">
        <f>IFERROR(VLOOKUP($B118,MMWR_TRAD_AGG_STATE_PEN[],R$1,0),"ERROR")</f>
        <v>120</v>
      </c>
      <c r="S118" s="115">
        <f>IFERROR(VLOOKUP($B118,MMWR_APP_STATE_PEN[],S$1,0),"ERROR")</f>
        <v>54</v>
      </c>
      <c r="T118" s="28"/>
    </row>
    <row r="119" spans="1:20" s="123" customFormat="1" x14ac:dyDescent="0.2">
      <c r="A119" s="28"/>
      <c r="B119" s="126" t="s">
        <v>379</v>
      </c>
      <c r="C119" s="102">
        <f>IFERROR(VLOOKUP($B119,MMWR_TRAD_AGG_ST_DISTRICT_PEN[],C$1,0),"ERROR")</f>
        <v>8428</v>
      </c>
      <c r="D119" s="103">
        <f>IFERROR(VLOOKUP($B119,MMWR_TRAD_AGG_ST_DISTRICT_PEN[],D$1,0),"ERROR")</f>
        <v>102.615448505</v>
      </c>
      <c r="E119" s="102">
        <f>IFERROR(VLOOKUP($B119,MMWR_TRAD_AGG_ST_DISTRICT_PEN[],E$1,0),"ERROR")</f>
        <v>8998</v>
      </c>
      <c r="F119" s="102">
        <f>IFERROR(VLOOKUP($B119,MMWR_TRAD_AGG_ST_DISTRICT_PEN[],F$1,0),"ERROR")</f>
        <v>1514</v>
      </c>
      <c r="G119" s="104">
        <f t="shared" si="12"/>
        <v>0.16825961324738831</v>
      </c>
      <c r="H119" s="102">
        <f>IFERROR(VLOOKUP($B119,MMWR_TRAD_AGG_ST_DISTRICT_PEN[],H$1,0),"ERROR")</f>
        <v>10896</v>
      </c>
      <c r="I119" s="102">
        <f>IFERROR(VLOOKUP($B119,MMWR_TRAD_AGG_ST_DISTRICT_PEN[],I$1,0),"ERROR")</f>
        <v>3677</v>
      </c>
      <c r="J119" s="104">
        <f t="shared" si="13"/>
        <v>0.33746328928046992</v>
      </c>
      <c r="K119" s="102">
        <f>IFERROR(VLOOKUP($B119,MMWR_TRAD_AGG_ST_DISTRICT_PEN[],K$1,0),"ERROR")</f>
        <v>27</v>
      </c>
      <c r="L119" s="102">
        <f>IFERROR(VLOOKUP($B119,MMWR_TRAD_AGG_ST_DISTRICT_PEN[],L$1,0),"ERROR")</f>
        <v>24</v>
      </c>
      <c r="M119" s="104">
        <f t="shared" si="14"/>
        <v>0.88888888888888884</v>
      </c>
      <c r="N119" s="102">
        <f>IFERROR(VLOOKUP($B119,MMWR_TRAD_AGG_ST_DISTRICT_PEN[],N$1,0),"ERROR")</f>
        <v>445</v>
      </c>
      <c r="O119" s="102">
        <f>IFERROR(VLOOKUP($B119,MMWR_TRAD_AGG_ST_DISTRICT_PEN[],O$1,0),"ERROR")</f>
        <v>128</v>
      </c>
      <c r="P119" s="104">
        <f t="shared" si="15"/>
        <v>0.28764044943820227</v>
      </c>
      <c r="Q119" s="102">
        <f>IFERROR(VLOOKUP($B119,MMWR_TRAD_AGG_ST_DISTRICT_PEN[],Q$1,0),"ERROR")</f>
        <v>1350</v>
      </c>
      <c r="R119" s="106">
        <f>IFERROR(VLOOKUP($B119,MMWR_TRAD_AGG_ST_DISTRICT_PEN[],R$1,0),"ERROR")</f>
        <v>1554</v>
      </c>
      <c r="S119" s="106">
        <f>IFERROR(VLOOKUP($B119,MMWR_APP_STATE_PEN[],S$1,0),"ERROR")</f>
        <v>1397</v>
      </c>
      <c r="T119" s="28"/>
    </row>
    <row r="120" spans="1:20" s="123" customFormat="1" x14ac:dyDescent="0.2">
      <c r="A120" s="28"/>
      <c r="B120" s="127" t="s">
        <v>387</v>
      </c>
      <c r="C120" s="109">
        <f>IFERROR(VLOOKUP($B120,MMWR_TRAD_AGG_STATE_PEN[],C$1,0),"ERROR")</f>
        <v>654</v>
      </c>
      <c r="D120" s="110">
        <f>IFERROR(VLOOKUP($B120,MMWR_TRAD_AGG_STATE_PEN[],D$1,0),"ERROR")</f>
        <v>60.0443425076</v>
      </c>
      <c r="E120" s="111">
        <f>IFERROR(VLOOKUP($B120,MMWR_TRAD_AGG_STATE_PEN[],E$1,0),"ERROR")</f>
        <v>833</v>
      </c>
      <c r="F120" s="112">
        <f>IFERROR(VLOOKUP($B120,MMWR_TRAD_AGG_STATE_PEN[],F$1,0),"ERROR")</f>
        <v>91</v>
      </c>
      <c r="G120" s="113">
        <f t="shared" si="12"/>
        <v>0.1092436974789916</v>
      </c>
      <c r="H120" s="111">
        <f>IFERROR(VLOOKUP($B120,MMWR_TRAD_AGG_STATE_PEN[],H$1,0),"ERROR")</f>
        <v>926</v>
      </c>
      <c r="I120" s="112">
        <f>IFERROR(VLOOKUP($B120,MMWR_TRAD_AGG_STATE_PEN[],I$1,0),"ERROR")</f>
        <v>89</v>
      </c>
      <c r="J120" s="114">
        <f t="shared" si="13"/>
        <v>9.6112311015118787E-2</v>
      </c>
      <c r="K120" s="111">
        <f>IFERROR(VLOOKUP($B120,MMWR_TRAD_AGG_STATE_PEN[],K$1,0),"ERROR")</f>
        <v>4</v>
      </c>
      <c r="L120" s="112">
        <f>IFERROR(VLOOKUP($B120,MMWR_TRAD_AGG_STATE_PEN[],L$1,0),"ERROR")</f>
        <v>4</v>
      </c>
      <c r="M120" s="114">
        <f t="shared" si="14"/>
        <v>1</v>
      </c>
      <c r="N120" s="111">
        <f>IFERROR(VLOOKUP($B120,MMWR_TRAD_AGG_STATE_PEN[],N$1,0),"ERROR")</f>
        <v>50</v>
      </c>
      <c r="O120" s="112">
        <f>IFERROR(VLOOKUP($B120,MMWR_TRAD_AGG_STATE_PEN[],O$1,0),"ERROR")</f>
        <v>10</v>
      </c>
      <c r="P120" s="114">
        <f t="shared" si="15"/>
        <v>0.2</v>
      </c>
      <c r="Q120" s="115">
        <f>IFERROR(VLOOKUP($B120,MMWR_TRAD_AGG_STATE_PEN[],Q$1,0),"ERROR")</f>
        <v>152</v>
      </c>
      <c r="R120" s="115">
        <f>IFERROR(VLOOKUP($B120,MMWR_TRAD_AGG_STATE_PEN[],R$1,0),"ERROR")</f>
        <v>107</v>
      </c>
      <c r="S120" s="115">
        <f>IFERROR(VLOOKUP($B120,MMWR_APP_STATE_PEN[],S$1,0),"ERROR")</f>
        <v>247</v>
      </c>
      <c r="T120" s="28"/>
    </row>
    <row r="121" spans="1:20" s="123" customFormat="1" x14ac:dyDescent="0.2">
      <c r="A121" s="28"/>
      <c r="B121" s="127" t="s">
        <v>424</v>
      </c>
      <c r="C121" s="109">
        <f>IFERROR(VLOOKUP($B121,MMWR_TRAD_AGG_STATE_PEN[],C$1,0),"ERROR")</f>
        <v>2808</v>
      </c>
      <c r="D121" s="110">
        <f>IFERROR(VLOOKUP($B121,MMWR_TRAD_AGG_STATE_PEN[],D$1,0),"ERROR")</f>
        <v>102.76103988600001</v>
      </c>
      <c r="E121" s="111">
        <f>IFERROR(VLOOKUP($B121,MMWR_TRAD_AGG_STATE_PEN[],E$1,0),"ERROR")</f>
        <v>3553</v>
      </c>
      <c r="F121" s="112">
        <f>IFERROR(VLOOKUP($B121,MMWR_TRAD_AGG_STATE_PEN[],F$1,0),"ERROR")</f>
        <v>632</v>
      </c>
      <c r="G121" s="113">
        <f t="shared" si="12"/>
        <v>0.17787784970447509</v>
      </c>
      <c r="H121" s="111">
        <f>IFERROR(VLOOKUP($B121,MMWR_TRAD_AGG_STATE_PEN[],H$1,0),"ERROR")</f>
        <v>3696</v>
      </c>
      <c r="I121" s="112">
        <f>IFERROR(VLOOKUP($B121,MMWR_TRAD_AGG_STATE_PEN[],I$1,0),"ERROR")</f>
        <v>1266</v>
      </c>
      <c r="J121" s="114">
        <f t="shared" si="13"/>
        <v>0.34253246753246752</v>
      </c>
      <c r="K121" s="111">
        <f>IFERROR(VLOOKUP($B121,MMWR_TRAD_AGG_STATE_PEN[],K$1,0),"ERROR")</f>
        <v>16</v>
      </c>
      <c r="L121" s="112">
        <f>IFERROR(VLOOKUP($B121,MMWR_TRAD_AGG_STATE_PEN[],L$1,0),"ERROR")</f>
        <v>15</v>
      </c>
      <c r="M121" s="114">
        <f t="shared" si="14"/>
        <v>0.9375</v>
      </c>
      <c r="N121" s="111">
        <f>IFERROR(VLOOKUP($B121,MMWR_TRAD_AGG_STATE_PEN[],N$1,0),"ERROR")</f>
        <v>136</v>
      </c>
      <c r="O121" s="112">
        <f>IFERROR(VLOOKUP($B121,MMWR_TRAD_AGG_STATE_PEN[],O$1,0),"ERROR")</f>
        <v>44</v>
      </c>
      <c r="P121" s="114">
        <f t="shared" si="15"/>
        <v>0.3235294117647059</v>
      </c>
      <c r="Q121" s="115">
        <f>IFERROR(VLOOKUP($B121,MMWR_TRAD_AGG_STATE_PEN[],Q$1,0),"ERROR")</f>
        <v>482</v>
      </c>
      <c r="R121" s="115">
        <f>IFERROR(VLOOKUP($B121,MMWR_TRAD_AGG_STATE_PEN[],R$1,0),"ERROR")</f>
        <v>595</v>
      </c>
      <c r="S121" s="115">
        <f>IFERROR(VLOOKUP($B121,MMWR_APP_STATE_PEN[],S$1,0),"ERROR")</f>
        <v>375</v>
      </c>
      <c r="T121" s="28"/>
    </row>
    <row r="122" spans="1:20" s="123" customFormat="1" x14ac:dyDescent="0.2">
      <c r="A122" s="28"/>
      <c r="B122" s="127" t="s">
        <v>380</v>
      </c>
      <c r="C122" s="109">
        <f>IFERROR(VLOOKUP($B122,MMWR_TRAD_AGG_STATE_PEN[],C$1,0),"ERROR")</f>
        <v>1349</v>
      </c>
      <c r="D122" s="110">
        <f>IFERROR(VLOOKUP($B122,MMWR_TRAD_AGG_STATE_PEN[],D$1,0),"ERROR")</f>
        <v>108.72127501849999</v>
      </c>
      <c r="E122" s="111">
        <f>IFERROR(VLOOKUP($B122,MMWR_TRAD_AGG_STATE_PEN[],E$1,0),"ERROR")</f>
        <v>1641</v>
      </c>
      <c r="F122" s="112">
        <f>IFERROR(VLOOKUP($B122,MMWR_TRAD_AGG_STATE_PEN[],F$1,0),"ERROR")</f>
        <v>328</v>
      </c>
      <c r="G122" s="113">
        <f t="shared" si="12"/>
        <v>0.19987812309567338</v>
      </c>
      <c r="H122" s="111">
        <f>IFERROR(VLOOKUP($B122,MMWR_TRAD_AGG_STATE_PEN[],H$1,0),"ERROR")</f>
        <v>1809</v>
      </c>
      <c r="I122" s="112">
        <f>IFERROR(VLOOKUP($B122,MMWR_TRAD_AGG_STATE_PEN[],I$1,0),"ERROR")</f>
        <v>700</v>
      </c>
      <c r="J122" s="114">
        <f t="shared" si="13"/>
        <v>0.38695411829740189</v>
      </c>
      <c r="K122" s="111">
        <f>IFERROR(VLOOKUP($B122,MMWR_TRAD_AGG_STATE_PEN[],K$1,0),"ERROR")</f>
        <v>2</v>
      </c>
      <c r="L122" s="112">
        <f>IFERROR(VLOOKUP($B122,MMWR_TRAD_AGG_STATE_PEN[],L$1,0),"ERROR")</f>
        <v>1</v>
      </c>
      <c r="M122" s="114">
        <f t="shared" si="14"/>
        <v>0.5</v>
      </c>
      <c r="N122" s="111">
        <f>IFERROR(VLOOKUP($B122,MMWR_TRAD_AGG_STATE_PEN[],N$1,0),"ERROR")</f>
        <v>80</v>
      </c>
      <c r="O122" s="112">
        <f>IFERROR(VLOOKUP($B122,MMWR_TRAD_AGG_STATE_PEN[],O$1,0),"ERROR")</f>
        <v>24</v>
      </c>
      <c r="P122" s="114">
        <f t="shared" si="15"/>
        <v>0.3</v>
      </c>
      <c r="Q122" s="115">
        <f>IFERROR(VLOOKUP($B122,MMWR_TRAD_AGG_STATE_PEN[],Q$1,0),"ERROR")</f>
        <v>239</v>
      </c>
      <c r="R122" s="115">
        <f>IFERROR(VLOOKUP($B122,MMWR_TRAD_AGG_STATE_PEN[],R$1,0),"ERROR")</f>
        <v>386</v>
      </c>
      <c r="S122" s="115">
        <f>IFERROR(VLOOKUP($B122,MMWR_APP_STATE_PEN[],S$1,0),"ERROR")</f>
        <v>216</v>
      </c>
      <c r="T122" s="28"/>
    </row>
    <row r="123" spans="1:20" s="123" customFormat="1" x14ac:dyDescent="0.2">
      <c r="A123" s="28"/>
      <c r="B123" s="127" t="s">
        <v>392</v>
      </c>
      <c r="C123" s="109">
        <f>IFERROR(VLOOKUP($B123,MMWR_TRAD_AGG_STATE_PEN[],C$1,0),"ERROR")</f>
        <v>269</v>
      </c>
      <c r="D123" s="110">
        <f>IFERROR(VLOOKUP($B123,MMWR_TRAD_AGG_STATE_PEN[],D$1,0),"ERROR")</f>
        <v>67.572490706300002</v>
      </c>
      <c r="E123" s="111">
        <f>IFERROR(VLOOKUP($B123,MMWR_TRAD_AGG_STATE_PEN[],E$1,0),"ERROR")</f>
        <v>432</v>
      </c>
      <c r="F123" s="112">
        <f>IFERROR(VLOOKUP($B123,MMWR_TRAD_AGG_STATE_PEN[],F$1,0),"ERROR")</f>
        <v>49</v>
      </c>
      <c r="G123" s="113">
        <f t="shared" si="12"/>
        <v>0.11342592592592593</v>
      </c>
      <c r="H123" s="111">
        <f>IFERROR(VLOOKUP($B123,MMWR_TRAD_AGG_STATE_PEN[],H$1,0),"ERROR")</f>
        <v>453</v>
      </c>
      <c r="I123" s="112">
        <f>IFERROR(VLOOKUP($B123,MMWR_TRAD_AGG_STATE_PEN[],I$1,0),"ERROR")</f>
        <v>57</v>
      </c>
      <c r="J123" s="114">
        <f t="shared" si="13"/>
        <v>0.12582781456953643</v>
      </c>
      <c r="K123" s="111">
        <f>IFERROR(VLOOKUP($B123,MMWR_TRAD_AGG_STATE_PEN[],K$1,0),"ERROR")</f>
        <v>2</v>
      </c>
      <c r="L123" s="112">
        <f>IFERROR(VLOOKUP($B123,MMWR_TRAD_AGG_STATE_PEN[],L$1,0),"ERROR")</f>
        <v>1</v>
      </c>
      <c r="M123" s="114">
        <f t="shared" si="14"/>
        <v>0.5</v>
      </c>
      <c r="N123" s="111">
        <f>IFERROR(VLOOKUP($B123,MMWR_TRAD_AGG_STATE_PEN[],N$1,0),"ERROR")</f>
        <v>44</v>
      </c>
      <c r="O123" s="112">
        <f>IFERROR(VLOOKUP($B123,MMWR_TRAD_AGG_STATE_PEN[],O$1,0),"ERROR")</f>
        <v>10</v>
      </c>
      <c r="P123" s="114">
        <f t="shared" si="15"/>
        <v>0.22727272727272727</v>
      </c>
      <c r="Q123" s="115">
        <f>IFERROR(VLOOKUP($B123,MMWR_TRAD_AGG_STATE_PEN[],Q$1,0),"ERROR")</f>
        <v>84</v>
      </c>
      <c r="R123" s="115">
        <f>IFERROR(VLOOKUP($B123,MMWR_TRAD_AGG_STATE_PEN[],R$1,0),"ERROR")</f>
        <v>64</v>
      </c>
      <c r="S123" s="115">
        <f>IFERROR(VLOOKUP($B123,MMWR_APP_STATE_PEN[],S$1,0),"ERROR")</f>
        <v>103</v>
      </c>
      <c r="T123" s="28"/>
    </row>
    <row r="124" spans="1:20" s="123" customFormat="1" x14ac:dyDescent="0.2">
      <c r="A124" s="28"/>
      <c r="B124" s="127" t="s">
        <v>426</v>
      </c>
      <c r="C124" s="109">
        <f>IFERROR(VLOOKUP($B124,MMWR_TRAD_AGG_STATE_PEN[],C$1,0),"ERROR")</f>
        <v>1841</v>
      </c>
      <c r="D124" s="110">
        <f>IFERROR(VLOOKUP($B124,MMWR_TRAD_AGG_STATE_PEN[],D$1,0),"ERROR")</f>
        <v>123.6784356328</v>
      </c>
      <c r="E124" s="111">
        <f>IFERROR(VLOOKUP($B124,MMWR_TRAD_AGG_STATE_PEN[],E$1,0),"ERROR")</f>
        <v>728</v>
      </c>
      <c r="F124" s="112">
        <f>IFERROR(VLOOKUP($B124,MMWR_TRAD_AGG_STATE_PEN[],F$1,0),"ERROR")</f>
        <v>145</v>
      </c>
      <c r="G124" s="113">
        <f t="shared" si="12"/>
        <v>0.19917582417582416</v>
      </c>
      <c r="H124" s="111">
        <f>IFERROR(VLOOKUP($B124,MMWR_TRAD_AGG_STATE_PEN[],H$1,0),"ERROR")</f>
        <v>2048</v>
      </c>
      <c r="I124" s="112">
        <f>IFERROR(VLOOKUP($B124,MMWR_TRAD_AGG_STATE_PEN[],I$1,0),"ERROR")</f>
        <v>989</v>
      </c>
      <c r="J124" s="114">
        <f t="shared" si="13"/>
        <v>0.48291015625</v>
      </c>
      <c r="K124" s="111">
        <f>IFERROR(VLOOKUP($B124,MMWR_TRAD_AGG_STATE_PEN[],K$1,0),"ERROR")</f>
        <v>2</v>
      </c>
      <c r="L124" s="112">
        <f>IFERROR(VLOOKUP($B124,MMWR_TRAD_AGG_STATE_PEN[],L$1,0),"ERROR")</f>
        <v>2</v>
      </c>
      <c r="M124" s="114">
        <f t="shared" si="14"/>
        <v>1</v>
      </c>
      <c r="N124" s="111">
        <f>IFERROR(VLOOKUP($B124,MMWR_TRAD_AGG_STATE_PEN[],N$1,0),"ERROR")</f>
        <v>13</v>
      </c>
      <c r="O124" s="112">
        <f>IFERROR(VLOOKUP($B124,MMWR_TRAD_AGG_STATE_PEN[],O$1,0),"ERROR")</f>
        <v>7</v>
      </c>
      <c r="P124" s="114">
        <f t="shared" si="15"/>
        <v>0.53846153846153844</v>
      </c>
      <c r="Q124" s="115">
        <f>IFERROR(VLOOKUP($B124,MMWR_TRAD_AGG_STATE_PEN[],Q$1,0),"ERROR")</f>
        <v>87</v>
      </c>
      <c r="R124" s="115">
        <f>IFERROR(VLOOKUP($B124,MMWR_TRAD_AGG_STATE_PEN[],R$1,0),"ERROR")</f>
        <v>83</v>
      </c>
      <c r="S124" s="115">
        <f>IFERROR(VLOOKUP($B124,MMWR_APP_STATE_PEN[],S$1,0),"ERROR")</f>
        <v>82</v>
      </c>
      <c r="T124" s="28"/>
    </row>
    <row r="125" spans="1:20" s="123" customFormat="1" x14ac:dyDescent="0.2">
      <c r="A125" s="28"/>
      <c r="B125" s="127" t="s">
        <v>382</v>
      </c>
      <c r="C125" s="109">
        <f>IFERROR(VLOOKUP($B125,MMWR_TRAD_AGG_STATE_PEN[],C$1,0),"ERROR")</f>
        <v>1000</v>
      </c>
      <c r="D125" s="110">
        <f>IFERROR(VLOOKUP($B125,MMWR_TRAD_AGG_STATE_PEN[],D$1,0),"ERROR")</f>
        <v>112.551</v>
      </c>
      <c r="E125" s="111">
        <f>IFERROR(VLOOKUP($B125,MMWR_TRAD_AGG_STATE_PEN[],E$1,0),"ERROR")</f>
        <v>1047</v>
      </c>
      <c r="F125" s="112">
        <f>IFERROR(VLOOKUP($B125,MMWR_TRAD_AGG_STATE_PEN[],F$1,0),"ERROR")</f>
        <v>200</v>
      </c>
      <c r="G125" s="113">
        <f t="shared" si="12"/>
        <v>0.19102196752626552</v>
      </c>
      <c r="H125" s="111">
        <f>IFERROR(VLOOKUP($B125,MMWR_TRAD_AGG_STATE_PEN[],H$1,0),"ERROR")</f>
        <v>1217</v>
      </c>
      <c r="I125" s="112">
        <f>IFERROR(VLOOKUP($B125,MMWR_TRAD_AGG_STATE_PEN[],I$1,0),"ERROR")</f>
        <v>481</v>
      </c>
      <c r="J125" s="114">
        <f t="shared" si="13"/>
        <v>0.39523418241577651</v>
      </c>
      <c r="K125" s="111">
        <f>IFERROR(VLOOKUP($B125,MMWR_TRAD_AGG_STATE_PEN[],K$1,0),"ERROR")</f>
        <v>0</v>
      </c>
      <c r="L125" s="112">
        <f>IFERROR(VLOOKUP($B125,MMWR_TRAD_AGG_STATE_PEN[],L$1,0),"ERROR")</f>
        <v>0</v>
      </c>
      <c r="M125" s="114" t="str">
        <f t="shared" si="14"/>
        <v>0%</v>
      </c>
      <c r="N125" s="111">
        <f>IFERROR(VLOOKUP($B125,MMWR_TRAD_AGG_STATE_PEN[],N$1,0),"ERROR")</f>
        <v>53</v>
      </c>
      <c r="O125" s="112">
        <f>IFERROR(VLOOKUP($B125,MMWR_TRAD_AGG_STATE_PEN[],O$1,0),"ERROR")</f>
        <v>11</v>
      </c>
      <c r="P125" s="114">
        <f t="shared" si="15"/>
        <v>0.20754716981132076</v>
      </c>
      <c r="Q125" s="115">
        <f>IFERROR(VLOOKUP($B125,MMWR_TRAD_AGG_STATE_PEN[],Q$1,0),"ERROR")</f>
        <v>164</v>
      </c>
      <c r="R125" s="115">
        <f>IFERROR(VLOOKUP($B125,MMWR_TRAD_AGG_STATE_PEN[],R$1,0),"ERROR")</f>
        <v>227</v>
      </c>
      <c r="S125" s="115">
        <f>IFERROR(VLOOKUP($B125,MMWR_APP_STATE_PEN[],S$1,0),"ERROR")</f>
        <v>141</v>
      </c>
      <c r="T125" s="28"/>
    </row>
    <row r="126" spans="1:20" s="123" customFormat="1" x14ac:dyDescent="0.2">
      <c r="A126" s="28"/>
      <c r="B126" s="127" t="s">
        <v>383</v>
      </c>
      <c r="C126" s="109">
        <f>IFERROR(VLOOKUP($B126,MMWR_TRAD_AGG_STATE_PEN[],C$1,0),"ERROR")</f>
        <v>507</v>
      </c>
      <c r="D126" s="110">
        <f>IFERROR(VLOOKUP($B126,MMWR_TRAD_AGG_STATE_PEN[],D$1,0),"ERROR")</f>
        <v>62.990138067099998</v>
      </c>
      <c r="E126" s="111">
        <f>IFERROR(VLOOKUP($B126,MMWR_TRAD_AGG_STATE_PEN[],E$1,0),"ERROR")</f>
        <v>764</v>
      </c>
      <c r="F126" s="112">
        <f>IFERROR(VLOOKUP($B126,MMWR_TRAD_AGG_STATE_PEN[],F$1,0),"ERROR")</f>
        <v>69</v>
      </c>
      <c r="G126" s="113">
        <f t="shared" si="12"/>
        <v>9.0314136125654448E-2</v>
      </c>
      <c r="H126" s="111">
        <f>IFERROR(VLOOKUP($B126,MMWR_TRAD_AGG_STATE_PEN[],H$1,0),"ERROR")</f>
        <v>747</v>
      </c>
      <c r="I126" s="112">
        <f>IFERROR(VLOOKUP($B126,MMWR_TRAD_AGG_STATE_PEN[],I$1,0),"ERROR")</f>
        <v>95</v>
      </c>
      <c r="J126" s="114">
        <f t="shared" si="13"/>
        <v>0.12717536813922356</v>
      </c>
      <c r="K126" s="111">
        <f>IFERROR(VLOOKUP($B126,MMWR_TRAD_AGG_STATE_PEN[],K$1,0),"ERROR")</f>
        <v>1</v>
      </c>
      <c r="L126" s="112">
        <f>IFERROR(VLOOKUP($B126,MMWR_TRAD_AGG_STATE_PEN[],L$1,0),"ERROR")</f>
        <v>1</v>
      </c>
      <c r="M126" s="114">
        <f t="shared" si="14"/>
        <v>1</v>
      </c>
      <c r="N126" s="111">
        <f>IFERROR(VLOOKUP($B126,MMWR_TRAD_AGG_STATE_PEN[],N$1,0),"ERROR")</f>
        <v>69</v>
      </c>
      <c r="O126" s="112">
        <f>IFERROR(VLOOKUP($B126,MMWR_TRAD_AGG_STATE_PEN[],O$1,0),"ERROR")</f>
        <v>22</v>
      </c>
      <c r="P126" s="114">
        <f t="shared" si="15"/>
        <v>0.3188405797101449</v>
      </c>
      <c r="Q126" s="115">
        <f>IFERROR(VLOOKUP($B126,MMWR_TRAD_AGG_STATE_PEN[],Q$1,0),"ERROR")</f>
        <v>142</v>
      </c>
      <c r="R126" s="115">
        <f>IFERROR(VLOOKUP($B126,MMWR_TRAD_AGG_STATE_PEN[],R$1,0),"ERROR")</f>
        <v>92</v>
      </c>
      <c r="S126" s="115">
        <f>IFERROR(VLOOKUP($B126,MMWR_APP_STATE_PEN[],S$1,0),"ERROR")</f>
        <v>233</v>
      </c>
      <c r="T126" s="28"/>
    </row>
    <row r="127" spans="1:20" s="123" customFormat="1" x14ac:dyDescent="0.2">
      <c r="A127" s="28"/>
      <c r="B127" s="128" t="s">
        <v>8</v>
      </c>
      <c r="C127" s="102">
        <f>IFERROR(VLOOKUP($B127,MMWR_TRAD_AGG_ST_DISTRICT_PEN[],C$1,0),"ERROR")</f>
        <v>180</v>
      </c>
      <c r="D127" s="103">
        <f>IFERROR(VLOOKUP($B127,MMWR_TRAD_AGG_ST_DISTRICT_PEN[],D$1,0),"ERROR")</f>
        <v>101.85</v>
      </c>
      <c r="E127" s="102">
        <f>IFERROR(VLOOKUP($B127,MMWR_TRAD_AGG_ST_DISTRICT_PEN[],E$1,0),"ERROR")</f>
        <v>222</v>
      </c>
      <c r="F127" s="102">
        <f>IFERROR(VLOOKUP($B127,MMWR_TRAD_AGG_ST_DISTRICT_PEN[],F$1,0),"ERROR")</f>
        <v>118</v>
      </c>
      <c r="G127" s="104">
        <f t="shared" si="12"/>
        <v>0.53153153153153154</v>
      </c>
      <c r="H127" s="102">
        <f>IFERROR(VLOOKUP($B127,MMWR_TRAD_AGG_ST_DISTRICT_PEN[],H$1,0),"ERROR")</f>
        <v>366</v>
      </c>
      <c r="I127" s="102">
        <f>IFERROR(VLOOKUP($B127,MMWR_TRAD_AGG_ST_DISTRICT_PEN[],I$1,0),"ERROR")</f>
        <v>213</v>
      </c>
      <c r="J127" s="104">
        <f t="shared" si="13"/>
        <v>0.58196721311475408</v>
      </c>
      <c r="K127" s="102">
        <f>IFERROR(VLOOKUP($B127,MMWR_TRAD_AGG_ST_DISTRICT_PEN[],K$1,0),"ERROR")</f>
        <v>6</v>
      </c>
      <c r="L127" s="102">
        <f>IFERROR(VLOOKUP($B127,MMWR_TRAD_AGG_ST_DISTRICT_PEN[],L$1,0),"ERROR")</f>
        <v>6</v>
      </c>
      <c r="M127" s="104">
        <f t="shared" si="14"/>
        <v>1</v>
      </c>
      <c r="N127" s="102">
        <f>IFERROR(VLOOKUP($B127,MMWR_TRAD_AGG_ST_DISTRICT_PEN[],N$1,0),"ERROR")</f>
        <v>9</v>
      </c>
      <c r="O127" s="102">
        <f>IFERROR(VLOOKUP($B127,MMWR_TRAD_AGG_ST_DISTRICT_PEN[],O$1,0),"ERROR")</f>
        <v>4</v>
      </c>
      <c r="P127" s="104">
        <f t="shared" si="15"/>
        <v>0.44444444444444442</v>
      </c>
      <c r="Q127" s="102">
        <f>IFERROR(VLOOKUP($B127,MMWR_TRAD_AGG_ST_DISTRICT_PEN[],Q$1,0),"ERROR")</f>
        <v>62</v>
      </c>
      <c r="R127" s="106">
        <f>IFERROR(VLOOKUP($B127,MMWR_TRAD_AGG_ST_DISTRICT_PEN[],R$1,0),"ERROR")</f>
        <v>26</v>
      </c>
      <c r="S127" s="106">
        <f>IFERROR(VLOOKUP($B127,MMWR_APP_STATE_PEN[],S$1,0),"ERROR")</f>
        <v>1</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652</v>
      </c>
      <c r="C2" t="s">
        <v>455</v>
      </c>
      <c r="D2" t="s">
        <v>457</v>
      </c>
      <c r="F2" t="s">
        <v>651</v>
      </c>
      <c r="G2" t="s">
        <v>306</v>
      </c>
      <c r="H2" t="s">
        <v>133</v>
      </c>
      <c r="I2" t="s">
        <v>214</v>
      </c>
      <c r="J2" t="s">
        <v>215</v>
      </c>
      <c r="K2" t="s">
        <v>216</v>
      </c>
      <c r="L2" t="s">
        <v>217</v>
      </c>
      <c r="M2" t="s">
        <v>218</v>
      </c>
      <c r="N2" t="s">
        <v>219</v>
      </c>
      <c r="O2" t="s">
        <v>220</v>
      </c>
      <c r="P2" t="s">
        <v>221</v>
      </c>
      <c r="Q2" t="s">
        <v>222</v>
      </c>
      <c r="R2" t="s">
        <v>223</v>
      </c>
      <c r="T2" t="s">
        <v>650</v>
      </c>
      <c r="U2" t="s">
        <v>306</v>
      </c>
      <c r="V2" t="s">
        <v>133</v>
      </c>
      <c r="W2" t="s">
        <v>214</v>
      </c>
      <c r="X2" t="s">
        <v>458</v>
      </c>
      <c r="Y2" t="s">
        <v>216</v>
      </c>
      <c r="Z2" t="s">
        <v>217</v>
      </c>
      <c r="AA2" t="s">
        <v>218</v>
      </c>
      <c r="AB2" t="s">
        <v>459</v>
      </c>
      <c r="AC2" t="s">
        <v>220</v>
      </c>
      <c r="AD2" t="s">
        <v>221</v>
      </c>
      <c r="AE2" t="s">
        <v>222</v>
      </c>
      <c r="AF2" t="s">
        <v>223</v>
      </c>
      <c r="AH2" t="s">
        <v>649</v>
      </c>
      <c r="AI2" t="s">
        <v>306</v>
      </c>
      <c r="AJ2" t="s">
        <v>133</v>
      </c>
      <c r="AK2" t="s">
        <v>214</v>
      </c>
      <c r="AL2" t="s">
        <v>215</v>
      </c>
      <c r="AM2" t="s">
        <v>216</v>
      </c>
      <c r="AN2" t="s">
        <v>217</v>
      </c>
      <c r="AO2" t="s">
        <v>218</v>
      </c>
      <c r="AP2" t="s">
        <v>219</v>
      </c>
      <c r="AQ2" t="s">
        <v>220</v>
      </c>
      <c r="AR2" t="s">
        <v>221</v>
      </c>
      <c r="AS2" t="s">
        <v>222</v>
      </c>
      <c r="AT2" t="s">
        <v>223</v>
      </c>
      <c r="AV2" t="s">
        <v>648</v>
      </c>
      <c r="AW2" t="s">
        <v>306</v>
      </c>
      <c r="AX2" t="s">
        <v>133</v>
      </c>
      <c r="AY2" t="s">
        <v>214</v>
      </c>
      <c r="AZ2" t="s">
        <v>458</v>
      </c>
      <c r="BA2" t="s">
        <v>216</v>
      </c>
      <c r="BB2" t="s">
        <v>217</v>
      </c>
      <c r="BC2" t="s">
        <v>218</v>
      </c>
      <c r="BD2" t="s">
        <v>459</v>
      </c>
      <c r="BE2" t="s">
        <v>220</v>
      </c>
      <c r="BF2" t="s">
        <v>221</v>
      </c>
      <c r="BG2" t="s">
        <v>222</v>
      </c>
      <c r="BH2" t="s">
        <v>223</v>
      </c>
      <c r="BJ2" t="s">
        <v>710</v>
      </c>
      <c r="BK2" t="s">
        <v>729</v>
      </c>
      <c r="BL2" t="s">
        <v>698</v>
      </c>
      <c r="BM2" t="s">
        <v>699</v>
      </c>
      <c r="BN2" t="s">
        <v>700</v>
      </c>
      <c r="BO2" t="s">
        <v>701</v>
      </c>
      <c r="BP2" t="s">
        <v>702</v>
      </c>
      <c r="BQ2" t="s">
        <v>711</v>
      </c>
      <c r="BR2" t="s">
        <v>712</v>
      </c>
      <c r="BS2" t="s">
        <v>703</v>
      </c>
      <c r="BT2" t="s">
        <v>704</v>
      </c>
      <c r="BU2" t="s">
        <v>705</v>
      </c>
      <c r="BV2" t="s">
        <v>706</v>
      </c>
      <c r="BW2" t="s">
        <v>707</v>
      </c>
      <c r="BX2" t="s">
        <v>708</v>
      </c>
      <c r="BY2" t="s">
        <v>709</v>
      </c>
      <c r="CA2" t="s">
        <v>1029</v>
      </c>
      <c r="CB2" t="s">
        <v>734</v>
      </c>
      <c r="CC2" t="s">
        <v>735</v>
      </c>
      <c r="CD2" t="s">
        <v>713</v>
      </c>
      <c r="CE2" t="s">
        <v>714</v>
      </c>
      <c r="CF2" t="s">
        <v>715</v>
      </c>
      <c r="CG2" t="s">
        <v>716</v>
      </c>
      <c r="CH2" t="s">
        <v>717</v>
      </c>
      <c r="CI2" t="s">
        <v>718</v>
      </c>
      <c r="CJ2" t="s">
        <v>719</v>
      </c>
      <c r="CL2" t="s">
        <v>1030</v>
      </c>
      <c r="CM2" t="s">
        <v>734</v>
      </c>
      <c r="CN2" t="s">
        <v>735</v>
      </c>
      <c r="CO2" t="s">
        <v>713</v>
      </c>
      <c r="CP2" t="s">
        <v>714</v>
      </c>
      <c r="CQ2" t="s">
        <v>715</v>
      </c>
      <c r="CR2" t="s">
        <v>716</v>
      </c>
      <c r="CS2" t="s">
        <v>717</v>
      </c>
      <c r="CT2" t="s">
        <v>718</v>
      </c>
      <c r="CU2" t="s">
        <v>719</v>
      </c>
      <c r="CW2" t="s">
        <v>1031</v>
      </c>
      <c r="CX2" t="s">
        <v>734</v>
      </c>
      <c r="CY2" t="s">
        <v>735</v>
      </c>
      <c r="CZ2" t="s">
        <v>713</v>
      </c>
      <c r="DA2" t="s">
        <v>714</v>
      </c>
      <c r="DB2" t="s">
        <v>715</v>
      </c>
      <c r="DC2" t="s">
        <v>716</v>
      </c>
      <c r="DD2" t="s">
        <v>717</v>
      </c>
      <c r="DE2" t="s">
        <v>718</v>
      </c>
      <c r="DF2" t="s">
        <v>719</v>
      </c>
      <c r="DH2" t="s">
        <v>1032</v>
      </c>
      <c r="DI2" t="s">
        <v>734</v>
      </c>
      <c r="DJ2" t="s">
        <v>735</v>
      </c>
      <c r="DK2" t="s">
        <v>713</v>
      </c>
      <c r="DL2" t="s">
        <v>714</v>
      </c>
      <c r="DM2" t="s">
        <v>715</v>
      </c>
      <c r="DN2" t="s">
        <v>716</v>
      </c>
      <c r="DO2" t="s">
        <v>717</v>
      </c>
      <c r="DP2" t="s">
        <v>718</v>
      </c>
      <c r="DQ2" t="s">
        <v>719</v>
      </c>
    </row>
    <row r="3" spans="2:121" x14ac:dyDescent="0.2">
      <c r="C3">
        <v>357568</v>
      </c>
      <c r="D3">
        <v>286681</v>
      </c>
      <c r="F3" t="s">
        <v>69</v>
      </c>
      <c r="G3">
        <v>14803</v>
      </c>
      <c r="H3">
        <v>344.0844423428</v>
      </c>
      <c r="I3">
        <v>11422</v>
      </c>
      <c r="J3">
        <v>2119</v>
      </c>
      <c r="K3">
        <v>20723</v>
      </c>
      <c r="L3">
        <v>10916</v>
      </c>
      <c r="M3">
        <v>8084</v>
      </c>
      <c r="N3">
        <v>6642</v>
      </c>
      <c r="O3">
        <v>4636</v>
      </c>
      <c r="P3">
        <v>4025</v>
      </c>
      <c r="Q3">
        <v>5</v>
      </c>
      <c r="R3">
        <v>7</v>
      </c>
      <c r="T3" t="s">
        <v>209</v>
      </c>
      <c r="U3">
        <v>5113</v>
      </c>
      <c r="V3">
        <v>62.167220809699998</v>
      </c>
      <c r="W3">
        <v>7875</v>
      </c>
      <c r="X3">
        <v>869</v>
      </c>
      <c r="Y3">
        <v>7289</v>
      </c>
      <c r="Z3">
        <v>636</v>
      </c>
      <c r="AA3">
        <v>3</v>
      </c>
      <c r="AB3">
        <v>3</v>
      </c>
      <c r="AC3">
        <v>580</v>
      </c>
      <c r="AD3">
        <v>132</v>
      </c>
      <c r="AE3">
        <v>1184</v>
      </c>
      <c r="AF3">
        <v>936</v>
      </c>
      <c r="AH3" t="s">
        <v>387</v>
      </c>
      <c r="AI3">
        <v>10685</v>
      </c>
      <c r="AJ3">
        <v>353.87281235379999</v>
      </c>
      <c r="AK3">
        <v>8252</v>
      </c>
      <c r="AL3">
        <v>1992</v>
      </c>
      <c r="AM3">
        <v>16542</v>
      </c>
      <c r="AN3">
        <v>9582</v>
      </c>
      <c r="AO3">
        <v>4972</v>
      </c>
      <c r="AP3">
        <v>4203</v>
      </c>
      <c r="AQ3">
        <v>3319</v>
      </c>
      <c r="AR3">
        <v>1952</v>
      </c>
      <c r="AS3">
        <v>541</v>
      </c>
      <c r="AT3">
        <v>414</v>
      </c>
      <c r="AV3" t="s">
        <v>411</v>
      </c>
      <c r="AW3">
        <v>251</v>
      </c>
      <c r="AX3">
        <v>64.318725099600002</v>
      </c>
      <c r="AY3">
        <v>213</v>
      </c>
      <c r="AZ3">
        <v>10</v>
      </c>
      <c r="BA3">
        <v>368</v>
      </c>
      <c r="BB3">
        <v>30</v>
      </c>
      <c r="BC3">
        <v>2</v>
      </c>
      <c r="BD3">
        <v>2</v>
      </c>
      <c r="BE3">
        <v>25</v>
      </c>
      <c r="BF3">
        <v>14</v>
      </c>
      <c r="BG3">
        <v>639</v>
      </c>
      <c r="BH3">
        <v>73</v>
      </c>
      <c r="BJ3" t="s">
        <v>727</v>
      </c>
      <c r="BK3" t="s">
        <v>730</v>
      </c>
      <c r="BL3">
        <v>336721</v>
      </c>
      <c r="BM3">
        <v>72292</v>
      </c>
      <c r="BN3">
        <v>91.765265605600007</v>
      </c>
      <c r="BO3">
        <v>854746</v>
      </c>
      <c r="BP3">
        <v>60966</v>
      </c>
      <c r="BQ3">
        <v>128.81267300459999</v>
      </c>
      <c r="BR3">
        <v>127.2399862218</v>
      </c>
      <c r="BS3">
        <v>336722</v>
      </c>
      <c r="BT3">
        <v>72293</v>
      </c>
      <c r="BU3">
        <v>91.766543320599993</v>
      </c>
      <c r="BV3">
        <v>854746</v>
      </c>
      <c r="BW3">
        <v>60966</v>
      </c>
      <c r="BX3">
        <v>128.81267300459999</v>
      </c>
      <c r="BY3">
        <v>127.2399862218</v>
      </c>
      <c r="CA3" t="s">
        <v>1035</v>
      </c>
      <c r="CB3" t="s">
        <v>730</v>
      </c>
      <c r="CC3" t="s">
        <v>916</v>
      </c>
      <c r="CD3">
        <v>7746</v>
      </c>
      <c r="CE3">
        <v>967</v>
      </c>
      <c r="CF3">
        <v>67.789052414099999</v>
      </c>
      <c r="CG3">
        <v>23688</v>
      </c>
      <c r="CH3">
        <v>1443</v>
      </c>
      <c r="CI3">
        <v>131.4363390746</v>
      </c>
      <c r="CJ3">
        <v>116.4913374913</v>
      </c>
      <c r="CL3" t="s">
        <v>1035</v>
      </c>
      <c r="CM3" t="s">
        <v>730</v>
      </c>
      <c r="CN3" t="s">
        <v>916</v>
      </c>
      <c r="CO3">
        <v>7746</v>
      </c>
      <c r="CP3">
        <v>967</v>
      </c>
      <c r="CQ3">
        <v>67.789052414099999</v>
      </c>
      <c r="CR3">
        <v>23688</v>
      </c>
      <c r="CS3">
        <v>1443</v>
      </c>
      <c r="CT3">
        <v>131.4363390746</v>
      </c>
      <c r="CU3">
        <v>116.4913374913</v>
      </c>
      <c r="CW3" t="s">
        <v>1035</v>
      </c>
      <c r="CX3" t="s">
        <v>730</v>
      </c>
      <c r="CY3" t="s">
        <v>916</v>
      </c>
      <c r="CZ3">
        <v>7746</v>
      </c>
      <c r="DA3">
        <v>967</v>
      </c>
      <c r="DB3">
        <v>67.789052414099999</v>
      </c>
      <c r="DC3">
        <v>23688</v>
      </c>
      <c r="DD3">
        <v>1443</v>
      </c>
      <c r="DE3">
        <v>131.4363390746</v>
      </c>
      <c r="DF3">
        <v>116.4913374913</v>
      </c>
      <c r="DH3" t="s">
        <v>1035</v>
      </c>
      <c r="DI3" t="s">
        <v>730</v>
      </c>
      <c r="DJ3" t="s">
        <v>916</v>
      </c>
      <c r="DK3">
        <v>7746</v>
      </c>
      <c r="DL3">
        <v>967</v>
      </c>
      <c r="DM3">
        <v>67.789052414099999</v>
      </c>
      <c r="DN3">
        <v>23688</v>
      </c>
      <c r="DO3">
        <v>1443</v>
      </c>
      <c r="DP3">
        <v>131.4363390746</v>
      </c>
      <c r="DQ3">
        <v>116.4913374913</v>
      </c>
    </row>
    <row r="4" spans="2:121" x14ac:dyDescent="0.2">
      <c r="B4" t="s">
        <v>96</v>
      </c>
      <c r="C4">
        <v>194036</v>
      </c>
      <c r="D4">
        <v>59792</v>
      </c>
      <c r="F4" t="s">
        <v>25</v>
      </c>
      <c r="G4">
        <v>11674</v>
      </c>
      <c r="H4">
        <v>373.52946719210001</v>
      </c>
      <c r="I4">
        <v>17837</v>
      </c>
      <c r="J4">
        <v>5095</v>
      </c>
      <c r="K4">
        <v>21410</v>
      </c>
      <c r="L4">
        <v>12187</v>
      </c>
      <c r="M4">
        <v>8413</v>
      </c>
      <c r="N4">
        <v>6794</v>
      </c>
      <c r="O4">
        <v>7094</v>
      </c>
      <c r="P4">
        <v>6129</v>
      </c>
      <c r="Q4">
        <v>78</v>
      </c>
      <c r="R4">
        <v>24</v>
      </c>
      <c r="T4" t="s">
        <v>224</v>
      </c>
      <c r="U4">
        <v>0</v>
      </c>
      <c r="W4">
        <v>389</v>
      </c>
      <c r="X4">
        <v>163</v>
      </c>
      <c r="Y4">
        <v>3343</v>
      </c>
      <c r="Z4">
        <v>1219</v>
      </c>
      <c r="AA4">
        <v>203</v>
      </c>
      <c r="AB4">
        <v>203</v>
      </c>
      <c r="AC4">
        <v>172</v>
      </c>
      <c r="AD4">
        <v>105</v>
      </c>
      <c r="AE4">
        <v>9</v>
      </c>
      <c r="AF4">
        <v>0</v>
      </c>
      <c r="AH4" t="s">
        <v>423</v>
      </c>
      <c r="AI4">
        <v>1892</v>
      </c>
      <c r="AJ4">
        <v>530.3705073996</v>
      </c>
      <c r="AK4">
        <v>1162</v>
      </c>
      <c r="AL4">
        <v>307</v>
      </c>
      <c r="AM4">
        <v>3076</v>
      </c>
      <c r="AN4">
        <v>2071</v>
      </c>
      <c r="AO4">
        <v>1408</v>
      </c>
      <c r="AP4">
        <v>1118</v>
      </c>
      <c r="AQ4">
        <v>359</v>
      </c>
      <c r="AR4">
        <v>252</v>
      </c>
      <c r="AS4">
        <v>0</v>
      </c>
      <c r="AT4">
        <v>3</v>
      </c>
      <c r="AV4" t="s">
        <v>393</v>
      </c>
      <c r="AW4">
        <v>497</v>
      </c>
      <c r="AX4">
        <v>72.676056337999995</v>
      </c>
      <c r="AY4">
        <v>839</v>
      </c>
      <c r="AZ4">
        <v>97</v>
      </c>
      <c r="BA4">
        <v>685</v>
      </c>
      <c r="BB4">
        <v>59</v>
      </c>
      <c r="BC4">
        <v>0</v>
      </c>
      <c r="BE4">
        <v>51</v>
      </c>
      <c r="BF4">
        <v>13</v>
      </c>
      <c r="BG4">
        <v>92</v>
      </c>
      <c r="BH4">
        <v>144</v>
      </c>
      <c r="BJ4" t="s">
        <v>636</v>
      </c>
      <c r="BK4" t="s">
        <v>384</v>
      </c>
      <c r="BL4">
        <v>713</v>
      </c>
      <c r="BM4">
        <v>74</v>
      </c>
      <c r="BN4">
        <v>68.467040673200003</v>
      </c>
      <c r="BO4">
        <v>2295</v>
      </c>
      <c r="BP4">
        <v>153</v>
      </c>
      <c r="BQ4">
        <v>118.1416122004</v>
      </c>
      <c r="BR4">
        <v>110.2614379085</v>
      </c>
      <c r="BS4">
        <v>305</v>
      </c>
      <c r="BT4">
        <v>80</v>
      </c>
      <c r="BU4">
        <v>99.193442622999996</v>
      </c>
      <c r="BV4">
        <v>2841</v>
      </c>
      <c r="BW4">
        <v>240</v>
      </c>
      <c r="BX4">
        <v>124.6529391059</v>
      </c>
      <c r="BY4">
        <v>138.94999999999999</v>
      </c>
      <c r="CA4" t="s">
        <v>1034</v>
      </c>
      <c r="CB4" t="s">
        <v>730</v>
      </c>
      <c r="CC4" t="s">
        <v>916</v>
      </c>
      <c r="CD4">
        <v>336722</v>
      </c>
      <c r="CE4">
        <v>72293</v>
      </c>
      <c r="CF4">
        <v>91.766543320599993</v>
      </c>
      <c r="CG4">
        <v>854746</v>
      </c>
      <c r="CH4">
        <v>60966</v>
      </c>
      <c r="CI4">
        <v>128.81267300459999</v>
      </c>
      <c r="CJ4">
        <v>127.2399862218</v>
      </c>
      <c r="CL4" t="s">
        <v>1034</v>
      </c>
      <c r="CM4" t="s">
        <v>730</v>
      </c>
      <c r="CN4" t="s">
        <v>916</v>
      </c>
      <c r="CO4">
        <v>336722</v>
      </c>
      <c r="CP4">
        <v>72293</v>
      </c>
      <c r="CQ4">
        <v>91.766543320599993</v>
      </c>
      <c r="CR4">
        <v>854746</v>
      </c>
      <c r="CS4">
        <v>60966</v>
      </c>
      <c r="CT4">
        <v>128.81267300459999</v>
      </c>
      <c r="CU4">
        <v>127.2399862218</v>
      </c>
      <c r="CW4" t="s">
        <v>1034</v>
      </c>
      <c r="CX4" t="s">
        <v>730</v>
      </c>
      <c r="CY4" t="s">
        <v>916</v>
      </c>
      <c r="CZ4">
        <v>336722</v>
      </c>
      <c r="DA4">
        <v>72293</v>
      </c>
      <c r="DB4">
        <v>91.766543320599993</v>
      </c>
      <c r="DC4">
        <v>854746</v>
      </c>
      <c r="DD4">
        <v>60966</v>
      </c>
      <c r="DE4">
        <v>128.81267300459999</v>
      </c>
      <c r="DF4">
        <v>127.2399862218</v>
      </c>
      <c r="DH4" t="s">
        <v>1034</v>
      </c>
      <c r="DI4" t="s">
        <v>730</v>
      </c>
      <c r="DJ4" t="s">
        <v>916</v>
      </c>
      <c r="DK4">
        <v>336722</v>
      </c>
      <c r="DL4">
        <v>72293</v>
      </c>
      <c r="DM4">
        <v>91.766543320599993</v>
      </c>
      <c r="DN4">
        <v>854746</v>
      </c>
      <c r="DO4">
        <v>60966</v>
      </c>
      <c r="DP4">
        <v>128.81267300459999</v>
      </c>
      <c r="DQ4">
        <v>127.2399862218</v>
      </c>
    </row>
    <row r="5" spans="2:121" x14ac:dyDescent="0.2">
      <c r="B5" t="s">
        <v>88</v>
      </c>
      <c r="C5">
        <v>83229</v>
      </c>
      <c r="D5">
        <v>19488</v>
      </c>
      <c r="F5" t="s">
        <v>61</v>
      </c>
      <c r="G5">
        <v>471</v>
      </c>
      <c r="H5">
        <v>244.7558386412</v>
      </c>
      <c r="I5">
        <v>2738</v>
      </c>
      <c r="J5">
        <v>723</v>
      </c>
      <c r="K5">
        <v>1705</v>
      </c>
      <c r="L5">
        <v>361</v>
      </c>
      <c r="M5">
        <v>526</v>
      </c>
      <c r="N5">
        <v>490</v>
      </c>
      <c r="O5">
        <v>1445</v>
      </c>
      <c r="P5">
        <v>1204</v>
      </c>
      <c r="Q5">
        <v>0</v>
      </c>
      <c r="R5">
        <v>1</v>
      </c>
      <c r="T5" t="s">
        <v>210</v>
      </c>
      <c r="U5">
        <v>14733</v>
      </c>
      <c r="V5">
        <v>109.1994841512</v>
      </c>
      <c r="W5">
        <v>16829</v>
      </c>
      <c r="X5">
        <v>3193</v>
      </c>
      <c r="Y5">
        <v>17542</v>
      </c>
      <c r="Z5">
        <v>6242</v>
      </c>
      <c r="AA5">
        <v>16</v>
      </c>
      <c r="AB5">
        <v>16</v>
      </c>
      <c r="AC5">
        <v>644</v>
      </c>
      <c r="AD5">
        <v>182</v>
      </c>
      <c r="AE5">
        <v>2251</v>
      </c>
      <c r="AF5">
        <v>3218</v>
      </c>
      <c r="AH5" t="s">
        <v>425</v>
      </c>
      <c r="AI5">
        <v>3850</v>
      </c>
      <c r="AJ5">
        <v>275.40519480519998</v>
      </c>
      <c r="AK5">
        <v>5554</v>
      </c>
      <c r="AL5">
        <v>948</v>
      </c>
      <c r="AM5">
        <v>7431</v>
      </c>
      <c r="AN5">
        <v>3165</v>
      </c>
      <c r="AO5">
        <v>1630</v>
      </c>
      <c r="AP5">
        <v>1050</v>
      </c>
      <c r="AQ5">
        <v>2649</v>
      </c>
      <c r="AR5">
        <v>1688</v>
      </c>
      <c r="AS5">
        <v>7</v>
      </c>
      <c r="AT5">
        <v>91</v>
      </c>
      <c r="AV5" t="s">
        <v>412</v>
      </c>
      <c r="AW5">
        <v>106</v>
      </c>
      <c r="AX5">
        <v>73.547169811299995</v>
      </c>
      <c r="AY5">
        <v>127</v>
      </c>
      <c r="AZ5">
        <v>3</v>
      </c>
      <c r="BA5">
        <v>190</v>
      </c>
      <c r="BB5">
        <v>26</v>
      </c>
      <c r="BC5">
        <v>0</v>
      </c>
      <c r="BE5">
        <v>13</v>
      </c>
      <c r="BF5">
        <v>7</v>
      </c>
      <c r="BG5">
        <v>213</v>
      </c>
      <c r="BH5">
        <v>41</v>
      </c>
      <c r="BJ5" t="s">
        <v>384</v>
      </c>
      <c r="BK5" t="s">
        <v>384</v>
      </c>
      <c r="BL5">
        <v>64844</v>
      </c>
      <c r="BM5">
        <v>12776</v>
      </c>
      <c r="BN5">
        <v>88.696286472099999</v>
      </c>
      <c r="BO5">
        <v>166411</v>
      </c>
      <c r="BP5">
        <v>11734</v>
      </c>
      <c r="BQ5">
        <v>132.87137869489999</v>
      </c>
      <c r="BR5">
        <v>130.62638486450001</v>
      </c>
      <c r="BS5">
        <v>22460</v>
      </c>
      <c r="BT5">
        <v>5726</v>
      </c>
      <c r="BU5">
        <v>100.67617987529999</v>
      </c>
      <c r="BV5">
        <v>166577</v>
      </c>
      <c r="BW5">
        <v>12635</v>
      </c>
      <c r="BX5">
        <v>133.2813473649</v>
      </c>
      <c r="BY5">
        <v>130.55314602300001</v>
      </c>
      <c r="CA5" t="s">
        <v>1036</v>
      </c>
      <c r="CB5" t="s">
        <v>730</v>
      </c>
      <c r="CC5" t="s">
        <v>916</v>
      </c>
      <c r="CD5">
        <v>27421</v>
      </c>
      <c r="CE5">
        <v>3420</v>
      </c>
      <c r="CF5">
        <v>70.245797016899999</v>
      </c>
      <c r="CG5">
        <v>119177</v>
      </c>
      <c r="CH5">
        <v>9778</v>
      </c>
      <c r="CI5">
        <v>78.834875856899998</v>
      </c>
      <c r="CJ5">
        <v>84.823072202899993</v>
      </c>
      <c r="CL5" t="s">
        <v>1036</v>
      </c>
      <c r="CM5" t="s">
        <v>730</v>
      </c>
      <c r="CN5" t="s">
        <v>916</v>
      </c>
      <c r="CO5">
        <v>27421</v>
      </c>
      <c r="CP5">
        <v>3420</v>
      </c>
      <c r="CQ5">
        <v>70.245797016899999</v>
      </c>
      <c r="CR5">
        <v>119177</v>
      </c>
      <c r="CS5">
        <v>9778</v>
      </c>
      <c r="CT5">
        <v>78.834875856899998</v>
      </c>
      <c r="CU5">
        <v>84.823072202899993</v>
      </c>
      <c r="CW5" t="s">
        <v>1036</v>
      </c>
      <c r="CX5" t="s">
        <v>730</v>
      </c>
      <c r="CY5" t="s">
        <v>916</v>
      </c>
      <c r="CZ5">
        <v>27421</v>
      </c>
      <c r="DA5">
        <v>3420</v>
      </c>
      <c r="DB5">
        <v>70.245797016899999</v>
      </c>
      <c r="DC5">
        <v>119177</v>
      </c>
      <c r="DD5">
        <v>9778</v>
      </c>
      <c r="DE5">
        <v>78.834875856899998</v>
      </c>
      <c r="DF5">
        <v>84.823072202899993</v>
      </c>
      <c r="DH5" t="s">
        <v>1036</v>
      </c>
      <c r="DI5" t="s">
        <v>730</v>
      </c>
      <c r="DJ5" t="s">
        <v>916</v>
      </c>
      <c r="DK5">
        <v>27421</v>
      </c>
      <c r="DL5">
        <v>3420</v>
      </c>
      <c r="DM5">
        <v>70.245797016899999</v>
      </c>
      <c r="DN5">
        <v>119177</v>
      </c>
      <c r="DO5">
        <v>9778</v>
      </c>
      <c r="DP5">
        <v>78.834875856899998</v>
      </c>
      <c r="DQ5">
        <v>84.823072202899993</v>
      </c>
    </row>
    <row r="6" spans="2:121" x14ac:dyDescent="0.2">
      <c r="B6" t="s">
        <v>106</v>
      </c>
      <c r="C6">
        <v>78966</v>
      </c>
      <c r="D6">
        <v>46636</v>
      </c>
      <c r="F6" t="s">
        <v>41</v>
      </c>
      <c r="G6">
        <v>585</v>
      </c>
      <c r="H6">
        <v>122.69230769230001</v>
      </c>
      <c r="I6">
        <v>2418</v>
      </c>
      <c r="J6">
        <v>349</v>
      </c>
      <c r="K6">
        <v>2028</v>
      </c>
      <c r="L6">
        <v>262</v>
      </c>
      <c r="M6">
        <v>144</v>
      </c>
      <c r="N6">
        <v>91</v>
      </c>
      <c r="O6">
        <v>210</v>
      </c>
      <c r="P6">
        <v>100</v>
      </c>
      <c r="Q6">
        <v>0</v>
      </c>
      <c r="R6">
        <v>9</v>
      </c>
      <c r="T6" t="s">
        <v>212</v>
      </c>
      <c r="U6">
        <v>4395</v>
      </c>
      <c r="V6">
        <v>67.284869169499999</v>
      </c>
      <c r="W6">
        <v>5745</v>
      </c>
      <c r="X6">
        <v>205</v>
      </c>
      <c r="Y6">
        <v>6207</v>
      </c>
      <c r="Z6">
        <v>537</v>
      </c>
      <c r="AA6">
        <v>35</v>
      </c>
      <c r="AB6">
        <v>22</v>
      </c>
      <c r="AC6">
        <v>278</v>
      </c>
      <c r="AD6">
        <v>110</v>
      </c>
      <c r="AE6">
        <v>8685</v>
      </c>
      <c r="AF6">
        <v>1742</v>
      </c>
      <c r="AH6" t="s">
        <v>410</v>
      </c>
      <c r="AI6">
        <v>3591</v>
      </c>
      <c r="AJ6">
        <v>271.29713171819998</v>
      </c>
      <c r="AK6">
        <v>3640</v>
      </c>
      <c r="AL6">
        <v>492</v>
      </c>
      <c r="AM6">
        <v>6493</v>
      </c>
      <c r="AN6">
        <v>2695</v>
      </c>
      <c r="AO6">
        <v>2342</v>
      </c>
      <c r="AP6">
        <v>1610</v>
      </c>
      <c r="AQ6">
        <v>2726</v>
      </c>
      <c r="AR6">
        <v>1747</v>
      </c>
      <c r="AS6">
        <v>461</v>
      </c>
      <c r="AT6">
        <v>103</v>
      </c>
      <c r="AV6" t="s">
        <v>383</v>
      </c>
      <c r="AW6">
        <v>507</v>
      </c>
      <c r="AX6">
        <v>62.990138067099998</v>
      </c>
      <c r="AY6">
        <v>764</v>
      </c>
      <c r="AZ6">
        <v>69</v>
      </c>
      <c r="BA6">
        <v>747</v>
      </c>
      <c r="BB6">
        <v>95</v>
      </c>
      <c r="BC6">
        <v>1</v>
      </c>
      <c r="BD6">
        <v>1</v>
      </c>
      <c r="BE6">
        <v>69</v>
      </c>
      <c r="BF6">
        <v>22</v>
      </c>
      <c r="BG6">
        <v>142</v>
      </c>
      <c r="BH6">
        <v>92</v>
      </c>
      <c r="BJ6" t="s">
        <v>583</v>
      </c>
      <c r="BK6" t="s">
        <v>384</v>
      </c>
      <c r="BL6">
        <v>5679</v>
      </c>
      <c r="BM6">
        <v>1268</v>
      </c>
      <c r="BN6">
        <v>94.702412396499994</v>
      </c>
      <c r="BO6">
        <v>15850</v>
      </c>
      <c r="BP6">
        <v>929</v>
      </c>
      <c r="BQ6">
        <v>145.53867507890001</v>
      </c>
      <c r="BR6">
        <v>141.94940796559999</v>
      </c>
      <c r="BS6">
        <v>1910</v>
      </c>
      <c r="BT6">
        <v>555</v>
      </c>
      <c r="BU6">
        <v>105.78848167540001</v>
      </c>
      <c r="BV6">
        <v>15708</v>
      </c>
      <c r="BW6">
        <v>1221</v>
      </c>
      <c r="BX6">
        <v>143.48987776929999</v>
      </c>
      <c r="BY6">
        <v>136.25634725629999</v>
      </c>
      <c r="CA6" t="s">
        <v>1037</v>
      </c>
      <c r="CB6" t="s">
        <v>730</v>
      </c>
      <c r="CC6" t="s">
        <v>916</v>
      </c>
      <c r="CD6">
        <v>7627</v>
      </c>
      <c r="CE6">
        <v>987</v>
      </c>
      <c r="CF6">
        <v>69.450898125099997</v>
      </c>
      <c r="CG6">
        <v>20739</v>
      </c>
      <c r="CH6">
        <v>1517</v>
      </c>
      <c r="CI6">
        <v>138.77626693670001</v>
      </c>
      <c r="CJ6">
        <v>119.551087673</v>
      </c>
      <c r="CL6" t="s">
        <v>1037</v>
      </c>
      <c r="CM6" t="s">
        <v>730</v>
      </c>
      <c r="CN6" t="s">
        <v>916</v>
      </c>
      <c r="CO6">
        <v>7627</v>
      </c>
      <c r="CP6">
        <v>987</v>
      </c>
      <c r="CQ6">
        <v>69.450898125099997</v>
      </c>
      <c r="CR6">
        <v>20739</v>
      </c>
      <c r="CS6">
        <v>1517</v>
      </c>
      <c r="CT6">
        <v>138.77626693670001</v>
      </c>
      <c r="CU6">
        <v>119.551087673</v>
      </c>
      <c r="CW6" t="s">
        <v>1037</v>
      </c>
      <c r="CX6" t="s">
        <v>730</v>
      </c>
      <c r="CY6" t="s">
        <v>916</v>
      </c>
      <c r="CZ6">
        <v>7627</v>
      </c>
      <c r="DA6">
        <v>987</v>
      </c>
      <c r="DB6">
        <v>69.450898125099997</v>
      </c>
      <c r="DC6">
        <v>20739</v>
      </c>
      <c r="DD6">
        <v>1517</v>
      </c>
      <c r="DE6">
        <v>138.77626693670001</v>
      </c>
      <c r="DF6">
        <v>119.551087673</v>
      </c>
      <c r="DH6" t="s">
        <v>1037</v>
      </c>
      <c r="DI6" t="s">
        <v>730</v>
      </c>
      <c r="DJ6" t="s">
        <v>916</v>
      </c>
      <c r="DK6">
        <v>7627</v>
      </c>
      <c r="DL6">
        <v>987</v>
      </c>
      <c r="DM6">
        <v>69.450898125099997</v>
      </c>
      <c r="DN6">
        <v>20739</v>
      </c>
      <c r="DO6">
        <v>1517</v>
      </c>
      <c r="DP6">
        <v>138.77626693670001</v>
      </c>
      <c r="DQ6">
        <v>119.551087673</v>
      </c>
    </row>
    <row r="7" spans="2:121" x14ac:dyDescent="0.2">
      <c r="B7" t="s">
        <v>105</v>
      </c>
      <c r="C7">
        <v>8274</v>
      </c>
      <c r="D7">
        <v>6320</v>
      </c>
      <c r="F7" t="s">
        <v>31</v>
      </c>
      <c r="G7">
        <v>564</v>
      </c>
      <c r="H7">
        <v>189.15070921989999</v>
      </c>
      <c r="I7">
        <v>2866</v>
      </c>
      <c r="J7">
        <v>605</v>
      </c>
      <c r="K7">
        <v>1560</v>
      </c>
      <c r="L7">
        <v>366</v>
      </c>
      <c r="M7">
        <v>278</v>
      </c>
      <c r="N7">
        <v>119</v>
      </c>
      <c r="O7">
        <v>430</v>
      </c>
      <c r="P7">
        <v>285</v>
      </c>
      <c r="Q7">
        <v>0</v>
      </c>
      <c r="R7">
        <v>9</v>
      </c>
      <c r="T7" t="s">
        <v>461</v>
      </c>
      <c r="U7">
        <v>24241</v>
      </c>
      <c r="V7">
        <v>91.679963697900007</v>
      </c>
      <c r="W7">
        <v>30838</v>
      </c>
      <c r="X7">
        <v>4430</v>
      </c>
      <c r="Y7">
        <v>34381</v>
      </c>
      <c r="Z7">
        <v>8634</v>
      </c>
      <c r="AA7">
        <v>257</v>
      </c>
      <c r="AB7">
        <v>244</v>
      </c>
      <c r="AC7">
        <v>1674</v>
      </c>
      <c r="AD7">
        <v>529</v>
      </c>
      <c r="AE7">
        <v>12129</v>
      </c>
      <c r="AF7">
        <v>5896</v>
      </c>
      <c r="AH7" t="s">
        <v>406</v>
      </c>
      <c r="AI7">
        <v>19342</v>
      </c>
      <c r="AJ7">
        <v>406.93315065659999</v>
      </c>
      <c r="AK7">
        <v>33781</v>
      </c>
      <c r="AL7">
        <v>6756</v>
      </c>
      <c r="AM7">
        <v>39183</v>
      </c>
      <c r="AN7">
        <v>20929</v>
      </c>
      <c r="AO7">
        <v>10395</v>
      </c>
      <c r="AP7">
        <v>8319</v>
      </c>
      <c r="AQ7">
        <v>15168</v>
      </c>
      <c r="AR7">
        <v>10835</v>
      </c>
      <c r="AS7">
        <v>58</v>
      </c>
      <c r="AT7">
        <v>158</v>
      </c>
      <c r="AV7" t="s">
        <v>414</v>
      </c>
      <c r="AW7">
        <v>124</v>
      </c>
      <c r="AX7">
        <v>96.911290322599996</v>
      </c>
      <c r="AY7">
        <v>162</v>
      </c>
      <c r="AZ7">
        <v>34</v>
      </c>
      <c r="BA7">
        <v>145</v>
      </c>
      <c r="BB7">
        <v>40</v>
      </c>
      <c r="BC7">
        <v>0</v>
      </c>
      <c r="BE7">
        <v>4</v>
      </c>
      <c r="BF7">
        <v>1</v>
      </c>
      <c r="BG7">
        <v>14</v>
      </c>
      <c r="BH7">
        <v>22</v>
      </c>
      <c r="BJ7" t="s">
        <v>630</v>
      </c>
      <c r="BK7" t="s">
        <v>384</v>
      </c>
      <c r="BL7">
        <v>701</v>
      </c>
      <c r="BM7">
        <v>50</v>
      </c>
      <c r="BN7">
        <v>61.9957203994</v>
      </c>
      <c r="BO7">
        <v>3038</v>
      </c>
      <c r="BP7">
        <v>202</v>
      </c>
      <c r="BQ7">
        <v>83.1211323239</v>
      </c>
      <c r="BR7">
        <v>81.653465346499999</v>
      </c>
      <c r="BS7">
        <v>591</v>
      </c>
      <c r="BT7">
        <v>58</v>
      </c>
      <c r="BU7">
        <v>68.835871404399995</v>
      </c>
      <c r="BV7">
        <v>5602</v>
      </c>
      <c r="BW7">
        <v>406</v>
      </c>
      <c r="BX7">
        <v>108.3131024634</v>
      </c>
      <c r="BY7">
        <v>96.894088670000002</v>
      </c>
      <c r="CA7" t="s">
        <v>410</v>
      </c>
      <c r="CB7" t="s">
        <v>766</v>
      </c>
      <c r="CC7" t="s">
        <v>992</v>
      </c>
      <c r="CD7">
        <v>3699</v>
      </c>
      <c r="CE7">
        <v>446</v>
      </c>
      <c r="CF7">
        <v>74.031900513699995</v>
      </c>
      <c r="CG7">
        <v>10787</v>
      </c>
      <c r="CH7">
        <v>714</v>
      </c>
      <c r="CI7">
        <v>115.8856030407</v>
      </c>
      <c r="CJ7">
        <v>123.31652661059999</v>
      </c>
      <c r="CL7" t="s">
        <v>410</v>
      </c>
      <c r="CM7" t="s">
        <v>747</v>
      </c>
      <c r="CN7" t="s">
        <v>746</v>
      </c>
      <c r="CO7">
        <v>312</v>
      </c>
      <c r="CP7">
        <v>49</v>
      </c>
      <c r="CQ7">
        <v>68.823717948699993</v>
      </c>
      <c r="CR7">
        <v>1748</v>
      </c>
      <c r="CS7">
        <v>134</v>
      </c>
      <c r="CT7">
        <v>65.180205949699996</v>
      </c>
      <c r="CU7">
        <v>69.694029850700005</v>
      </c>
      <c r="CW7" t="s">
        <v>410</v>
      </c>
      <c r="CX7" t="s">
        <v>757</v>
      </c>
      <c r="CY7" t="s">
        <v>756</v>
      </c>
      <c r="CZ7">
        <v>53</v>
      </c>
      <c r="DA7">
        <v>9</v>
      </c>
      <c r="DB7">
        <v>78.3018867925</v>
      </c>
      <c r="DC7">
        <v>119</v>
      </c>
      <c r="DD7">
        <v>7</v>
      </c>
      <c r="DE7">
        <v>133.08403361340001</v>
      </c>
      <c r="DF7">
        <v>138.8571428571</v>
      </c>
      <c r="DH7" t="s">
        <v>410</v>
      </c>
      <c r="DI7" t="s">
        <v>737</v>
      </c>
      <c r="DJ7" t="s">
        <v>736</v>
      </c>
      <c r="DK7">
        <v>44</v>
      </c>
      <c r="DL7">
        <v>6</v>
      </c>
      <c r="DM7">
        <v>75.181818181799997</v>
      </c>
      <c r="DN7">
        <v>98</v>
      </c>
      <c r="DO7">
        <v>10</v>
      </c>
      <c r="DP7">
        <v>138.28571428570001</v>
      </c>
      <c r="DQ7">
        <v>157.4</v>
      </c>
    </row>
    <row r="8" spans="2:121" x14ac:dyDescent="0.2">
      <c r="B8" t="s">
        <v>111</v>
      </c>
      <c r="C8">
        <v>7940</v>
      </c>
      <c r="D8">
        <v>548</v>
      </c>
      <c r="F8" t="s">
        <v>77</v>
      </c>
      <c r="G8">
        <v>15843</v>
      </c>
      <c r="H8">
        <v>328.19030486650001</v>
      </c>
      <c r="I8">
        <v>24238</v>
      </c>
      <c r="J8">
        <v>5492</v>
      </c>
      <c r="K8">
        <v>24696</v>
      </c>
      <c r="L8">
        <v>13351</v>
      </c>
      <c r="M8">
        <v>5003</v>
      </c>
      <c r="N8">
        <v>4009</v>
      </c>
      <c r="O8">
        <v>13273</v>
      </c>
      <c r="P8">
        <v>9846</v>
      </c>
      <c r="Q8">
        <v>6</v>
      </c>
      <c r="R8">
        <v>292</v>
      </c>
      <c r="AH8" t="s">
        <v>402</v>
      </c>
      <c r="AI8">
        <v>5177</v>
      </c>
      <c r="AJ8">
        <v>383.74599188719998</v>
      </c>
      <c r="AK8">
        <v>6181</v>
      </c>
      <c r="AL8">
        <v>1321</v>
      </c>
      <c r="AM8">
        <v>10201</v>
      </c>
      <c r="AN8">
        <v>5006</v>
      </c>
      <c r="AO8">
        <v>3928</v>
      </c>
      <c r="AP8">
        <v>3233</v>
      </c>
      <c r="AQ8">
        <v>1785</v>
      </c>
      <c r="AR8">
        <v>1222</v>
      </c>
      <c r="AS8">
        <v>4</v>
      </c>
      <c r="AT8">
        <v>55</v>
      </c>
      <c r="AV8" t="s">
        <v>420</v>
      </c>
      <c r="AW8">
        <v>20</v>
      </c>
      <c r="AX8">
        <v>54.35</v>
      </c>
      <c r="AY8">
        <v>27</v>
      </c>
      <c r="AZ8">
        <v>1</v>
      </c>
      <c r="BA8">
        <v>38</v>
      </c>
      <c r="BB8">
        <v>5</v>
      </c>
      <c r="BC8">
        <v>0</v>
      </c>
      <c r="BE8">
        <v>0</v>
      </c>
      <c r="BG8">
        <v>65</v>
      </c>
      <c r="BH8">
        <v>6</v>
      </c>
      <c r="BJ8" t="s">
        <v>618</v>
      </c>
      <c r="BK8" t="s">
        <v>384</v>
      </c>
      <c r="BL8">
        <v>18355</v>
      </c>
      <c r="BM8">
        <v>4335</v>
      </c>
      <c r="BN8">
        <v>95.301607191499997</v>
      </c>
      <c r="BO8">
        <v>39942</v>
      </c>
      <c r="BP8">
        <v>3046</v>
      </c>
      <c r="BQ8">
        <v>143.7546943067</v>
      </c>
      <c r="BR8">
        <v>141.67957977680001</v>
      </c>
      <c r="BS8">
        <v>4156</v>
      </c>
      <c r="BT8">
        <v>1959</v>
      </c>
      <c r="BU8">
        <v>135.30293551490001</v>
      </c>
      <c r="BV8">
        <v>28982</v>
      </c>
      <c r="BW8">
        <v>2523</v>
      </c>
      <c r="BX8">
        <v>139.4243323442</v>
      </c>
      <c r="BY8">
        <v>148.88545382480001</v>
      </c>
      <c r="CA8" t="s">
        <v>402</v>
      </c>
      <c r="CB8" t="s">
        <v>766</v>
      </c>
      <c r="CC8" t="s">
        <v>993</v>
      </c>
      <c r="CD8">
        <v>5946</v>
      </c>
      <c r="CE8">
        <v>1285</v>
      </c>
      <c r="CF8">
        <v>93.742011436300004</v>
      </c>
      <c r="CG8">
        <v>17781</v>
      </c>
      <c r="CH8">
        <v>1137</v>
      </c>
      <c r="CI8">
        <v>133.49507901690001</v>
      </c>
      <c r="CJ8">
        <v>125.9956024626</v>
      </c>
      <c r="CL8" t="s">
        <v>402</v>
      </c>
      <c r="CM8" t="s">
        <v>747</v>
      </c>
      <c r="CN8" t="s">
        <v>748</v>
      </c>
      <c r="CO8">
        <v>339</v>
      </c>
      <c r="CP8">
        <v>41</v>
      </c>
      <c r="CQ8">
        <v>72.3274336283</v>
      </c>
      <c r="CR8">
        <v>1749</v>
      </c>
      <c r="CS8">
        <v>170</v>
      </c>
      <c r="CT8">
        <v>69.263007432799995</v>
      </c>
      <c r="CU8">
        <v>84.341176470600004</v>
      </c>
      <c r="CW8" t="s">
        <v>402</v>
      </c>
      <c r="CX8" t="s">
        <v>757</v>
      </c>
      <c r="CY8" t="s">
        <v>758</v>
      </c>
      <c r="CZ8">
        <v>189</v>
      </c>
      <c r="DA8">
        <v>24</v>
      </c>
      <c r="DB8">
        <v>66.888888888899999</v>
      </c>
      <c r="DC8">
        <v>649</v>
      </c>
      <c r="DD8">
        <v>50</v>
      </c>
      <c r="DE8">
        <v>129.76579352850001</v>
      </c>
      <c r="DF8">
        <v>107.16</v>
      </c>
      <c r="DH8" t="s">
        <v>402</v>
      </c>
      <c r="DI8" t="s">
        <v>737</v>
      </c>
      <c r="DJ8" t="s">
        <v>738</v>
      </c>
      <c r="DK8">
        <v>295</v>
      </c>
      <c r="DL8">
        <v>11</v>
      </c>
      <c r="DM8">
        <v>46.796610169499999</v>
      </c>
      <c r="DN8">
        <v>966</v>
      </c>
      <c r="DO8">
        <v>56</v>
      </c>
      <c r="DP8">
        <v>113.8395445135</v>
      </c>
      <c r="DQ8">
        <v>102.0178571429</v>
      </c>
    </row>
    <row r="9" spans="2:121" x14ac:dyDescent="0.2">
      <c r="B9" t="s">
        <v>121</v>
      </c>
      <c r="C9">
        <v>879</v>
      </c>
      <c r="D9">
        <v>385</v>
      </c>
      <c r="F9" t="s">
        <v>66</v>
      </c>
      <c r="G9">
        <v>5488</v>
      </c>
      <c r="H9">
        <v>398.16599854229997</v>
      </c>
      <c r="I9">
        <v>4662</v>
      </c>
      <c r="J9">
        <v>927</v>
      </c>
      <c r="K9">
        <v>8239</v>
      </c>
      <c r="L9">
        <v>4783</v>
      </c>
      <c r="M9">
        <v>3216</v>
      </c>
      <c r="N9">
        <v>2805</v>
      </c>
      <c r="O9">
        <v>2183</v>
      </c>
      <c r="P9">
        <v>1636</v>
      </c>
      <c r="Q9">
        <v>0</v>
      </c>
      <c r="R9">
        <v>102</v>
      </c>
      <c r="AH9" t="s">
        <v>372</v>
      </c>
      <c r="AI9">
        <v>712</v>
      </c>
      <c r="AJ9">
        <v>279.5547752809</v>
      </c>
      <c r="AK9">
        <v>1909</v>
      </c>
      <c r="AL9">
        <v>308</v>
      </c>
      <c r="AM9">
        <v>2623</v>
      </c>
      <c r="AN9">
        <v>792</v>
      </c>
      <c r="AO9">
        <v>601</v>
      </c>
      <c r="AP9">
        <v>369</v>
      </c>
      <c r="AQ9">
        <v>1118</v>
      </c>
      <c r="AR9">
        <v>846</v>
      </c>
      <c r="AS9">
        <v>309</v>
      </c>
      <c r="AT9">
        <v>5</v>
      </c>
      <c r="AV9" t="s">
        <v>404</v>
      </c>
      <c r="AW9">
        <v>74</v>
      </c>
      <c r="AX9">
        <v>60.121621621599999</v>
      </c>
      <c r="AY9">
        <v>126</v>
      </c>
      <c r="AZ9">
        <v>6</v>
      </c>
      <c r="BA9">
        <v>161</v>
      </c>
      <c r="BB9">
        <v>18</v>
      </c>
      <c r="BC9">
        <v>0</v>
      </c>
      <c r="BE9">
        <v>7</v>
      </c>
      <c r="BF9">
        <v>4</v>
      </c>
      <c r="BG9">
        <v>283</v>
      </c>
      <c r="BH9">
        <v>26</v>
      </c>
      <c r="BJ9" t="s">
        <v>554</v>
      </c>
      <c r="BK9" t="s">
        <v>384</v>
      </c>
      <c r="BL9">
        <v>4750</v>
      </c>
      <c r="BM9">
        <v>1543</v>
      </c>
      <c r="BN9">
        <v>124.67936842109999</v>
      </c>
      <c r="BO9">
        <v>8716</v>
      </c>
      <c r="BP9">
        <v>660</v>
      </c>
      <c r="BQ9">
        <v>164.10073428179999</v>
      </c>
      <c r="BR9">
        <v>196.4060606061</v>
      </c>
      <c r="BS9">
        <v>1494</v>
      </c>
      <c r="BT9">
        <v>706</v>
      </c>
      <c r="BU9">
        <v>154.35475234270001</v>
      </c>
      <c r="BV9">
        <v>11996</v>
      </c>
      <c r="BW9">
        <v>1138</v>
      </c>
      <c r="BX9">
        <v>157.40396798930001</v>
      </c>
      <c r="BY9">
        <v>162.99824253080001</v>
      </c>
      <c r="CA9" t="s">
        <v>386</v>
      </c>
      <c r="CB9" t="s">
        <v>766</v>
      </c>
      <c r="CC9" t="s">
        <v>994</v>
      </c>
      <c r="CD9">
        <v>5557</v>
      </c>
      <c r="CE9">
        <v>1059</v>
      </c>
      <c r="CF9">
        <v>86.877271909300006</v>
      </c>
      <c r="CG9">
        <v>15547</v>
      </c>
      <c r="CH9">
        <v>1250</v>
      </c>
      <c r="CI9">
        <v>133.13172959409999</v>
      </c>
      <c r="CJ9">
        <v>133.3304</v>
      </c>
      <c r="CL9" t="s">
        <v>386</v>
      </c>
      <c r="CM9" t="s">
        <v>747</v>
      </c>
      <c r="CN9" t="s">
        <v>749</v>
      </c>
      <c r="CO9">
        <v>434</v>
      </c>
      <c r="CP9">
        <v>63</v>
      </c>
      <c r="CQ9">
        <v>73.313364055299999</v>
      </c>
      <c r="CR9">
        <v>2280</v>
      </c>
      <c r="CS9">
        <v>169</v>
      </c>
      <c r="CT9">
        <v>67.164912280699994</v>
      </c>
      <c r="CU9">
        <v>66.461538461499998</v>
      </c>
      <c r="CW9" t="s">
        <v>386</v>
      </c>
      <c r="CX9" t="s">
        <v>757</v>
      </c>
      <c r="CY9" t="s">
        <v>759</v>
      </c>
      <c r="CZ9">
        <v>80</v>
      </c>
      <c r="DA9">
        <v>15</v>
      </c>
      <c r="DB9">
        <v>70</v>
      </c>
      <c r="DC9">
        <v>180</v>
      </c>
      <c r="DD9">
        <v>18</v>
      </c>
      <c r="DE9">
        <v>134.0277777778</v>
      </c>
      <c r="DF9">
        <v>125.2777777778</v>
      </c>
      <c r="DH9" t="s">
        <v>386</v>
      </c>
      <c r="DI9" t="s">
        <v>737</v>
      </c>
      <c r="DJ9" t="s">
        <v>739</v>
      </c>
      <c r="DK9">
        <v>98</v>
      </c>
      <c r="DL9">
        <v>13</v>
      </c>
      <c r="DM9">
        <v>69.693877551</v>
      </c>
      <c r="DN9">
        <v>340</v>
      </c>
      <c r="DO9">
        <v>19</v>
      </c>
      <c r="DP9">
        <v>118.1735294118</v>
      </c>
      <c r="DQ9">
        <v>113.2105263158</v>
      </c>
    </row>
    <row r="10" spans="2:121" x14ac:dyDescent="0.2">
      <c r="B10" t="s">
        <v>20</v>
      </c>
      <c r="C10">
        <v>305</v>
      </c>
      <c r="D10">
        <v>165</v>
      </c>
      <c r="F10" t="s">
        <v>75</v>
      </c>
      <c r="G10">
        <v>3233</v>
      </c>
      <c r="H10">
        <v>227.78348283330001</v>
      </c>
      <c r="I10">
        <v>6432</v>
      </c>
      <c r="J10">
        <v>1171</v>
      </c>
      <c r="K10">
        <v>6797</v>
      </c>
      <c r="L10">
        <v>2806</v>
      </c>
      <c r="M10">
        <v>2070</v>
      </c>
      <c r="N10">
        <v>1775</v>
      </c>
      <c r="O10">
        <v>1400</v>
      </c>
      <c r="P10">
        <v>1171</v>
      </c>
      <c r="Q10">
        <v>0</v>
      </c>
      <c r="R10">
        <v>52</v>
      </c>
      <c r="AH10" t="s">
        <v>422</v>
      </c>
      <c r="AI10">
        <v>667</v>
      </c>
      <c r="AJ10">
        <v>415.66266866569998</v>
      </c>
      <c r="AK10">
        <v>1004</v>
      </c>
      <c r="AL10">
        <v>223</v>
      </c>
      <c r="AM10">
        <v>1299</v>
      </c>
      <c r="AN10">
        <v>627</v>
      </c>
      <c r="AO10">
        <v>260</v>
      </c>
      <c r="AP10">
        <v>186</v>
      </c>
      <c r="AQ10">
        <v>396</v>
      </c>
      <c r="AR10">
        <v>236</v>
      </c>
      <c r="AS10">
        <v>74</v>
      </c>
      <c r="AT10">
        <v>0</v>
      </c>
      <c r="AV10" t="s">
        <v>425</v>
      </c>
      <c r="AW10">
        <v>273</v>
      </c>
      <c r="AX10">
        <v>64.051282051300007</v>
      </c>
      <c r="AY10">
        <v>399</v>
      </c>
      <c r="AZ10">
        <v>25</v>
      </c>
      <c r="BA10">
        <v>449</v>
      </c>
      <c r="BB10">
        <v>45</v>
      </c>
      <c r="BC10">
        <v>0</v>
      </c>
      <c r="BE10">
        <v>19</v>
      </c>
      <c r="BF10">
        <v>5</v>
      </c>
      <c r="BG10">
        <v>475</v>
      </c>
      <c r="BH10">
        <v>112</v>
      </c>
      <c r="BJ10" t="s">
        <v>606</v>
      </c>
      <c r="BK10" t="s">
        <v>384</v>
      </c>
      <c r="BL10">
        <v>3730</v>
      </c>
      <c r="BM10">
        <v>436</v>
      </c>
      <c r="BN10">
        <v>73.883914209099999</v>
      </c>
      <c r="BO10">
        <v>10405</v>
      </c>
      <c r="BP10">
        <v>714</v>
      </c>
      <c r="BQ10">
        <v>116.4961076406</v>
      </c>
      <c r="BR10">
        <v>122.7240896359</v>
      </c>
      <c r="BS10">
        <v>1311</v>
      </c>
      <c r="BT10">
        <v>142</v>
      </c>
      <c r="BU10">
        <v>78.444698703300006</v>
      </c>
      <c r="BV10">
        <v>12150</v>
      </c>
      <c r="BW10">
        <v>985</v>
      </c>
      <c r="BX10">
        <v>122.8708641975</v>
      </c>
      <c r="BY10">
        <v>126.0741116751</v>
      </c>
      <c r="CA10" t="s">
        <v>388</v>
      </c>
      <c r="CB10" t="s">
        <v>766</v>
      </c>
      <c r="CC10" t="s">
        <v>995</v>
      </c>
      <c r="CD10">
        <v>4882</v>
      </c>
      <c r="CE10">
        <v>1556</v>
      </c>
      <c r="CF10">
        <v>122.43670626789999</v>
      </c>
      <c r="CG10">
        <v>9779</v>
      </c>
      <c r="CH10">
        <v>681</v>
      </c>
      <c r="CI10">
        <v>158.61550260760001</v>
      </c>
      <c r="CJ10">
        <v>176.98531571219999</v>
      </c>
      <c r="CL10" t="s">
        <v>388</v>
      </c>
      <c r="CM10" t="s">
        <v>747</v>
      </c>
      <c r="CN10" t="s">
        <v>750</v>
      </c>
      <c r="CO10">
        <v>344</v>
      </c>
      <c r="CP10">
        <v>56</v>
      </c>
      <c r="CQ10">
        <v>76.0174418605</v>
      </c>
      <c r="CR10">
        <v>1641</v>
      </c>
      <c r="CS10">
        <v>87</v>
      </c>
      <c r="CT10">
        <v>76.104204753199994</v>
      </c>
      <c r="CU10">
        <v>88.103448275900007</v>
      </c>
      <c r="CW10" t="s">
        <v>388</v>
      </c>
      <c r="CX10" t="s">
        <v>757</v>
      </c>
      <c r="CY10" t="s">
        <v>760</v>
      </c>
      <c r="CZ10">
        <v>62</v>
      </c>
      <c r="DA10">
        <v>17</v>
      </c>
      <c r="DB10">
        <v>94.854838709700005</v>
      </c>
      <c r="DC10">
        <v>158</v>
      </c>
      <c r="DD10">
        <v>10</v>
      </c>
      <c r="DE10">
        <v>144.46835443040001</v>
      </c>
      <c r="DF10">
        <v>147.5</v>
      </c>
      <c r="DH10" t="s">
        <v>388</v>
      </c>
      <c r="DI10" t="s">
        <v>737</v>
      </c>
      <c r="DJ10" t="s">
        <v>740</v>
      </c>
      <c r="DK10">
        <v>46</v>
      </c>
      <c r="DL10">
        <v>9</v>
      </c>
      <c r="DM10">
        <v>86.108695652199998</v>
      </c>
      <c r="DN10">
        <v>189</v>
      </c>
      <c r="DO10">
        <v>24</v>
      </c>
      <c r="DP10">
        <v>127.1798941799</v>
      </c>
      <c r="DQ10">
        <v>87.5</v>
      </c>
    </row>
    <row r="11" spans="2:121" x14ac:dyDescent="0.2">
      <c r="B11" t="s">
        <v>97</v>
      </c>
      <c r="C11">
        <v>119</v>
      </c>
      <c r="D11">
        <v>79</v>
      </c>
      <c r="F11" t="s">
        <v>83</v>
      </c>
      <c r="G11">
        <v>16285</v>
      </c>
      <c r="H11">
        <v>313.34639238559998</v>
      </c>
      <c r="I11">
        <v>18300</v>
      </c>
      <c r="J11">
        <v>4285</v>
      </c>
      <c r="K11">
        <v>28633</v>
      </c>
      <c r="L11">
        <v>17098</v>
      </c>
      <c r="M11">
        <v>12384</v>
      </c>
      <c r="N11">
        <v>9193</v>
      </c>
      <c r="O11">
        <v>4271</v>
      </c>
      <c r="P11">
        <v>3160</v>
      </c>
      <c r="Q11">
        <v>1</v>
      </c>
      <c r="R11">
        <v>15</v>
      </c>
      <c r="AH11" t="s">
        <v>413</v>
      </c>
      <c r="AI11">
        <v>416</v>
      </c>
      <c r="AJ11">
        <v>592.04326923079998</v>
      </c>
      <c r="AK11">
        <v>454</v>
      </c>
      <c r="AL11">
        <v>91</v>
      </c>
      <c r="AM11">
        <v>765</v>
      </c>
      <c r="AN11">
        <v>391</v>
      </c>
      <c r="AO11">
        <v>204</v>
      </c>
      <c r="AP11">
        <v>173</v>
      </c>
      <c r="AQ11">
        <v>370</v>
      </c>
      <c r="AR11">
        <v>283</v>
      </c>
      <c r="AS11">
        <v>30</v>
      </c>
      <c r="AT11">
        <v>0</v>
      </c>
      <c r="AV11" t="s">
        <v>374</v>
      </c>
      <c r="AW11">
        <v>1634</v>
      </c>
      <c r="AX11">
        <v>103.1927784578</v>
      </c>
      <c r="AY11">
        <v>2538</v>
      </c>
      <c r="AZ11">
        <v>485</v>
      </c>
      <c r="BA11">
        <v>2302</v>
      </c>
      <c r="BB11">
        <v>729</v>
      </c>
      <c r="BC11">
        <v>2</v>
      </c>
      <c r="BD11">
        <v>1</v>
      </c>
      <c r="BE11">
        <v>126</v>
      </c>
      <c r="BF11">
        <v>24</v>
      </c>
      <c r="BG11">
        <v>194</v>
      </c>
      <c r="BH11">
        <v>343</v>
      </c>
      <c r="BJ11" t="s">
        <v>608</v>
      </c>
      <c r="BK11" t="s">
        <v>384</v>
      </c>
      <c r="BL11">
        <v>5770</v>
      </c>
      <c r="BM11">
        <v>558</v>
      </c>
      <c r="BN11">
        <v>65.629289428099995</v>
      </c>
      <c r="BO11">
        <v>21376</v>
      </c>
      <c r="BP11">
        <v>1242</v>
      </c>
      <c r="BQ11">
        <v>108.9347866766</v>
      </c>
      <c r="BR11">
        <v>85.117552334899997</v>
      </c>
      <c r="BS11">
        <v>2882</v>
      </c>
      <c r="BT11">
        <v>265</v>
      </c>
      <c r="BU11">
        <v>74.332755031199994</v>
      </c>
      <c r="BV11">
        <v>27564</v>
      </c>
      <c r="BW11">
        <v>2083</v>
      </c>
      <c r="BX11">
        <v>116.34795385290001</v>
      </c>
      <c r="BY11">
        <v>84.741718675000001</v>
      </c>
      <c r="CA11" t="s">
        <v>417</v>
      </c>
      <c r="CB11" t="s">
        <v>766</v>
      </c>
      <c r="CC11" t="s">
        <v>996</v>
      </c>
      <c r="CD11">
        <v>725</v>
      </c>
      <c r="CE11">
        <v>52</v>
      </c>
      <c r="CF11">
        <v>60.3544827586</v>
      </c>
      <c r="CG11">
        <v>3327</v>
      </c>
      <c r="CH11">
        <v>209</v>
      </c>
      <c r="CI11">
        <v>83.954012624000001</v>
      </c>
      <c r="CJ11">
        <v>78.244019138799999</v>
      </c>
      <c r="CL11" t="s">
        <v>417</v>
      </c>
      <c r="CM11" t="s">
        <v>747</v>
      </c>
      <c r="CN11" t="s">
        <v>751</v>
      </c>
      <c r="CO11">
        <v>78</v>
      </c>
      <c r="CP11">
        <v>5</v>
      </c>
      <c r="CQ11">
        <v>54.512820512799998</v>
      </c>
      <c r="CR11">
        <v>511</v>
      </c>
      <c r="CS11">
        <v>34</v>
      </c>
      <c r="CT11">
        <v>60.911937377699999</v>
      </c>
      <c r="CU11">
        <v>70.029411764700001</v>
      </c>
      <c r="CW11" t="s">
        <v>417</v>
      </c>
      <c r="CX11" t="s">
        <v>757</v>
      </c>
      <c r="CY11" t="s">
        <v>761</v>
      </c>
      <c r="CZ11">
        <v>10</v>
      </c>
      <c r="DA11">
        <v>1</v>
      </c>
      <c r="DB11">
        <v>46.1</v>
      </c>
      <c r="DC11">
        <v>61</v>
      </c>
      <c r="DD11">
        <v>1</v>
      </c>
      <c r="DE11">
        <v>133.3606557377</v>
      </c>
      <c r="DF11">
        <v>114</v>
      </c>
      <c r="DH11" t="s">
        <v>417</v>
      </c>
      <c r="DI11" t="s">
        <v>737</v>
      </c>
      <c r="DJ11" t="s">
        <v>741</v>
      </c>
      <c r="DK11">
        <v>15</v>
      </c>
      <c r="DL11">
        <v>1</v>
      </c>
      <c r="DM11">
        <v>60.266666666699997</v>
      </c>
      <c r="DN11">
        <v>43</v>
      </c>
      <c r="DO11">
        <v>3</v>
      </c>
      <c r="DP11">
        <v>114.9534883721</v>
      </c>
      <c r="DQ11">
        <v>94</v>
      </c>
    </row>
    <row r="12" spans="2:121" x14ac:dyDescent="0.2">
      <c r="B12" t="s">
        <v>22</v>
      </c>
      <c r="C12">
        <v>213116</v>
      </c>
      <c r="D12">
        <v>41216</v>
      </c>
      <c r="F12" t="s">
        <v>45</v>
      </c>
      <c r="G12">
        <v>1207</v>
      </c>
      <c r="H12">
        <v>222.07787903889999</v>
      </c>
      <c r="I12">
        <v>2485</v>
      </c>
      <c r="J12">
        <v>381</v>
      </c>
      <c r="K12">
        <v>2338</v>
      </c>
      <c r="L12">
        <v>751</v>
      </c>
      <c r="M12">
        <v>930</v>
      </c>
      <c r="N12">
        <v>503</v>
      </c>
      <c r="O12">
        <v>166</v>
      </c>
      <c r="P12">
        <v>104</v>
      </c>
      <c r="Q12">
        <v>0</v>
      </c>
      <c r="R12">
        <v>0</v>
      </c>
      <c r="T12" t="s">
        <v>647</v>
      </c>
      <c r="U12" t="s">
        <v>306</v>
      </c>
      <c r="V12" t="s">
        <v>133</v>
      </c>
      <c r="W12" t="s">
        <v>214</v>
      </c>
      <c r="X12" t="s">
        <v>215</v>
      </c>
      <c r="Y12" t="s">
        <v>216</v>
      </c>
      <c r="Z12" t="s">
        <v>217</v>
      </c>
      <c r="AA12" t="s">
        <v>218</v>
      </c>
      <c r="AB12" t="s">
        <v>219</v>
      </c>
      <c r="AC12" t="s">
        <v>220</v>
      </c>
      <c r="AD12" t="s">
        <v>221</v>
      </c>
      <c r="AE12" t="s">
        <v>222</v>
      </c>
      <c r="AF12" t="s">
        <v>223</v>
      </c>
      <c r="AH12" t="s">
        <v>424</v>
      </c>
      <c r="AI12">
        <v>18746</v>
      </c>
      <c r="AJ12">
        <v>340.28795476369999</v>
      </c>
      <c r="AK12">
        <v>26643</v>
      </c>
      <c r="AL12">
        <v>6255</v>
      </c>
      <c r="AM12">
        <v>31919</v>
      </c>
      <c r="AN12">
        <v>17676</v>
      </c>
      <c r="AO12">
        <v>7839</v>
      </c>
      <c r="AP12">
        <v>6171</v>
      </c>
      <c r="AQ12">
        <v>18887</v>
      </c>
      <c r="AR12">
        <v>13371</v>
      </c>
      <c r="AS12">
        <v>2291</v>
      </c>
      <c r="AT12">
        <v>318</v>
      </c>
      <c r="AV12" t="s">
        <v>388</v>
      </c>
      <c r="AW12">
        <v>241</v>
      </c>
      <c r="AX12">
        <v>70.605809128600001</v>
      </c>
      <c r="AY12">
        <v>310</v>
      </c>
      <c r="AZ12">
        <v>36</v>
      </c>
      <c r="BA12">
        <v>350</v>
      </c>
      <c r="BB12">
        <v>59</v>
      </c>
      <c r="BC12">
        <v>4</v>
      </c>
      <c r="BD12">
        <v>4</v>
      </c>
      <c r="BE12">
        <v>39</v>
      </c>
      <c r="BF12">
        <v>6</v>
      </c>
      <c r="BG12">
        <v>78</v>
      </c>
      <c r="BH12">
        <v>29</v>
      </c>
      <c r="BJ12" t="s">
        <v>550</v>
      </c>
      <c r="BK12" t="s">
        <v>384</v>
      </c>
      <c r="BL12">
        <v>5179</v>
      </c>
      <c r="BM12">
        <v>1028</v>
      </c>
      <c r="BN12">
        <v>89.698783548899996</v>
      </c>
      <c r="BO12">
        <v>14542</v>
      </c>
      <c r="BP12">
        <v>1164</v>
      </c>
      <c r="BQ12">
        <v>137.8886673085</v>
      </c>
      <c r="BR12">
        <v>136.3470790378</v>
      </c>
      <c r="BS12">
        <v>1017</v>
      </c>
      <c r="BT12">
        <v>336</v>
      </c>
      <c r="BU12">
        <v>104.0137659784</v>
      </c>
      <c r="BV12">
        <v>11352</v>
      </c>
      <c r="BW12">
        <v>1127</v>
      </c>
      <c r="BX12">
        <v>140.65477448909999</v>
      </c>
      <c r="BY12">
        <v>143.3859804791</v>
      </c>
      <c r="CA12" t="s">
        <v>411</v>
      </c>
      <c r="CB12" t="s">
        <v>766</v>
      </c>
      <c r="CC12" t="s">
        <v>997</v>
      </c>
      <c r="CD12">
        <v>5782</v>
      </c>
      <c r="CE12">
        <v>580</v>
      </c>
      <c r="CF12">
        <v>65.950017295099997</v>
      </c>
      <c r="CG12">
        <v>21591</v>
      </c>
      <c r="CH12">
        <v>1258</v>
      </c>
      <c r="CI12">
        <v>96.255059978700004</v>
      </c>
      <c r="CJ12">
        <v>81.518282988899998</v>
      </c>
      <c r="CL12" t="s">
        <v>411</v>
      </c>
      <c r="CM12" t="s">
        <v>747</v>
      </c>
      <c r="CN12" t="s">
        <v>752</v>
      </c>
      <c r="CO12">
        <v>422</v>
      </c>
      <c r="CP12">
        <v>35</v>
      </c>
      <c r="CQ12">
        <v>64.210900473899997</v>
      </c>
      <c r="CR12">
        <v>2484</v>
      </c>
      <c r="CS12">
        <v>203</v>
      </c>
      <c r="CT12">
        <v>66.829710144900005</v>
      </c>
      <c r="CU12">
        <v>72.147783251199996</v>
      </c>
      <c r="CW12" t="s">
        <v>411</v>
      </c>
      <c r="CX12" t="s">
        <v>757</v>
      </c>
      <c r="CY12" t="s">
        <v>762</v>
      </c>
      <c r="CZ12">
        <v>77</v>
      </c>
      <c r="DA12">
        <v>9</v>
      </c>
      <c r="DB12">
        <v>60.558441558399998</v>
      </c>
      <c r="DC12">
        <v>287</v>
      </c>
      <c r="DD12">
        <v>22</v>
      </c>
      <c r="DE12">
        <v>125.5052264808</v>
      </c>
      <c r="DF12">
        <v>118.13636363640001</v>
      </c>
      <c r="DH12" t="s">
        <v>411</v>
      </c>
      <c r="DI12" t="s">
        <v>737</v>
      </c>
      <c r="DJ12" t="s">
        <v>742</v>
      </c>
      <c r="DK12">
        <v>144</v>
      </c>
      <c r="DL12">
        <v>13</v>
      </c>
      <c r="DM12">
        <v>61.618055555600002</v>
      </c>
      <c r="DN12">
        <v>469</v>
      </c>
      <c r="DO12">
        <v>25</v>
      </c>
      <c r="DP12">
        <v>114.9658848614</v>
      </c>
      <c r="DQ12">
        <v>107.64</v>
      </c>
    </row>
    <row r="13" spans="2:121" x14ac:dyDescent="0.2">
      <c r="B13" t="s">
        <v>122</v>
      </c>
      <c r="C13">
        <v>528</v>
      </c>
      <c r="D13">
        <v>23</v>
      </c>
      <c r="F13" t="s">
        <v>32</v>
      </c>
      <c r="G13">
        <v>2123</v>
      </c>
      <c r="H13">
        <v>546.98916627409994</v>
      </c>
      <c r="I13">
        <v>1126</v>
      </c>
      <c r="J13">
        <v>305</v>
      </c>
      <c r="K13">
        <v>3200</v>
      </c>
      <c r="L13">
        <v>2294</v>
      </c>
      <c r="M13">
        <v>1548</v>
      </c>
      <c r="N13">
        <v>1264</v>
      </c>
      <c r="O13">
        <v>157</v>
      </c>
      <c r="P13">
        <v>127</v>
      </c>
      <c r="Q13">
        <v>0</v>
      </c>
      <c r="R13">
        <v>3</v>
      </c>
      <c r="T13" t="s">
        <v>384</v>
      </c>
      <c r="U13">
        <v>39461</v>
      </c>
      <c r="V13">
        <v>338.59266110840002</v>
      </c>
      <c r="W13">
        <v>65122</v>
      </c>
      <c r="X13">
        <v>13297</v>
      </c>
      <c r="Y13">
        <v>79816</v>
      </c>
      <c r="Z13">
        <v>36020</v>
      </c>
      <c r="AA13">
        <v>21574</v>
      </c>
      <c r="AB13">
        <v>15241</v>
      </c>
      <c r="AC13">
        <v>19019</v>
      </c>
      <c r="AD13">
        <v>11567</v>
      </c>
      <c r="AE13">
        <v>56</v>
      </c>
      <c r="AF13">
        <v>1177</v>
      </c>
      <c r="AH13" t="s">
        <v>380</v>
      </c>
      <c r="AI13">
        <v>13396</v>
      </c>
      <c r="AJ13">
        <v>367.85174679009998</v>
      </c>
      <c r="AK13">
        <v>19648</v>
      </c>
      <c r="AL13">
        <v>5371</v>
      </c>
      <c r="AM13">
        <v>24217</v>
      </c>
      <c r="AN13">
        <v>13714</v>
      </c>
      <c r="AO13">
        <v>8750</v>
      </c>
      <c r="AP13">
        <v>7263</v>
      </c>
      <c r="AQ13">
        <v>10994</v>
      </c>
      <c r="AR13">
        <v>8314</v>
      </c>
      <c r="AS13">
        <v>1151</v>
      </c>
      <c r="AT13">
        <v>42</v>
      </c>
      <c r="AV13" t="s">
        <v>399</v>
      </c>
      <c r="AW13">
        <v>74</v>
      </c>
      <c r="AX13">
        <v>59.837837837800002</v>
      </c>
      <c r="AY13">
        <v>79</v>
      </c>
      <c r="AZ13">
        <v>1</v>
      </c>
      <c r="BA13">
        <v>119</v>
      </c>
      <c r="BB13">
        <v>9</v>
      </c>
      <c r="BC13">
        <v>0</v>
      </c>
      <c r="BE13">
        <v>1</v>
      </c>
      <c r="BF13">
        <v>1</v>
      </c>
      <c r="BG13">
        <v>222</v>
      </c>
      <c r="BH13">
        <v>24</v>
      </c>
      <c r="BJ13" t="s">
        <v>587</v>
      </c>
      <c r="BK13" t="s">
        <v>384</v>
      </c>
      <c r="BL13">
        <v>3189</v>
      </c>
      <c r="BM13">
        <v>447</v>
      </c>
      <c r="BN13">
        <v>79.833803700199994</v>
      </c>
      <c r="BO13">
        <v>5579</v>
      </c>
      <c r="BP13">
        <v>646</v>
      </c>
      <c r="BQ13">
        <v>131.364222979</v>
      </c>
      <c r="BR13">
        <v>118.69504643960001</v>
      </c>
      <c r="BS13">
        <v>1653</v>
      </c>
      <c r="BT13">
        <v>232</v>
      </c>
      <c r="BU13">
        <v>82.238354506999997</v>
      </c>
      <c r="BV13">
        <v>9767</v>
      </c>
      <c r="BW13">
        <v>844</v>
      </c>
      <c r="BX13">
        <v>141.61523497490001</v>
      </c>
      <c r="BY13">
        <v>121.3127962085</v>
      </c>
      <c r="CA13" t="s">
        <v>409</v>
      </c>
      <c r="CB13" t="s">
        <v>766</v>
      </c>
      <c r="CC13" t="s">
        <v>998</v>
      </c>
      <c r="CD13">
        <v>36835</v>
      </c>
      <c r="CE13">
        <v>7573</v>
      </c>
      <c r="CF13">
        <v>89.157051717100003</v>
      </c>
      <c r="CG13">
        <v>92269</v>
      </c>
      <c r="CH13">
        <v>6754</v>
      </c>
      <c r="CI13">
        <v>129.74502812430001</v>
      </c>
      <c r="CJ13">
        <v>125.9428486823</v>
      </c>
      <c r="CL13" t="s">
        <v>409</v>
      </c>
      <c r="CM13" t="s">
        <v>747</v>
      </c>
      <c r="CN13" t="s">
        <v>753</v>
      </c>
      <c r="CO13">
        <v>1749</v>
      </c>
      <c r="CP13">
        <v>168</v>
      </c>
      <c r="CQ13">
        <v>63.742138364799999</v>
      </c>
      <c r="CR13">
        <v>9938</v>
      </c>
      <c r="CS13">
        <v>809</v>
      </c>
      <c r="CT13">
        <v>68.0811028376</v>
      </c>
      <c r="CU13">
        <v>72.652657602000005</v>
      </c>
      <c r="CW13" t="s">
        <v>409</v>
      </c>
      <c r="CX13" t="s">
        <v>757</v>
      </c>
      <c r="CY13" t="s">
        <v>763</v>
      </c>
      <c r="CZ13">
        <v>861</v>
      </c>
      <c r="DA13">
        <v>123</v>
      </c>
      <c r="DB13">
        <v>70.382113821100006</v>
      </c>
      <c r="DC13">
        <v>2554</v>
      </c>
      <c r="DD13">
        <v>204</v>
      </c>
      <c r="DE13">
        <v>131.88841033669999</v>
      </c>
      <c r="DF13">
        <v>113.54901960780001</v>
      </c>
      <c r="DH13" t="s">
        <v>409</v>
      </c>
      <c r="DI13" t="s">
        <v>737</v>
      </c>
      <c r="DJ13" t="s">
        <v>743</v>
      </c>
      <c r="DK13">
        <v>885</v>
      </c>
      <c r="DL13">
        <v>120</v>
      </c>
      <c r="DM13">
        <v>71.729943502799998</v>
      </c>
      <c r="DN13">
        <v>2642</v>
      </c>
      <c r="DO13">
        <v>142</v>
      </c>
      <c r="DP13">
        <v>125.5253595761</v>
      </c>
      <c r="DQ13">
        <v>119.7535211268</v>
      </c>
    </row>
    <row r="14" spans="2:121" x14ac:dyDescent="0.2">
      <c r="B14" t="s">
        <v>112</v>
      </c>
      <c r="C14">
        <v>7142</v>
      </c>
      <c r="D14">
        <v>562</v>
      </c>
      <c r="F14" t="s">
        <v>70</v>
      </c>
      <c r="G14">
        <v>3076</v>
      </c>
      <c r="H14">
        <v>260.16872561769998</v>
      </c>
      <c r="I14">
        <v>3194</v>
      </c>
      <c r="J14">
        <v>454</v>
      </c>
      <c r="K14">
        <v>6612</v>
      </c>
      <c r="L14">
        <v>2840</v>
      </c>
      <c r="M14">
        <v>1381</v>
      </c>
      <c r="N14">
        <v>725</v>
      </c>
      <c r="O14">
        <v>434</v>
      </c>
      <c r="P14">
        <v>225</v>
      </c>
      <c r="Q14">
        <v>0</v>
      </c>
      <c r="R14">
        <v>2</v>
      </c>
      <c r="T14" t="s">
        <v>389</v>
      </c>
      <c r="U14">
        <v>32502</v>
      </c>
      <c r="V14">
        <v>327.35154759710002</v>
      </c>
      <c r="W14">
        <v>59716</v>
      </c>
      <c r="X14">
        <v>11226</v>
      </c>
      <c r="Y14">
        <v>74145</v>
      </c>
      <c r="Z14">
        <v>29648</v>
      </c>
      <c r="AA14">
        <v>19430</v>
      </c>
      <c r="AB14">
        <v>15195</v>
      </c>
      <c r="AC14">
        <v>12139</v>
      </c>
      <c r="AD14">
        <v>8459</v>
      </c>
      <c r="AE14">
        <v>9229</v>
      </c>
      <c r="AF14">
        <v>1092</v>
      </c>
      <c r="AH14" t="s">
        <v>427</v>
      </c>
      <c r="AI14">
        <v>1074</v>
      </c>
      <c r="AJ14">
        <v>265.65921787709999</v>
      </c>
      <c r="AK14">
        <v>2093</v>
      </c>
      <c r="AL14">
        <v>299</v>
      </c>
      <c r="AM14">
        <v>2261</v>
      </c>
      <c r="AN14">
        <v>856</v>
      </c>
      <c r="AO14">
        <v>1041</v>
      </c>
      <c r="AP14">
        <v>576</v>
      </c>
      <c r="AQ14">
        <v>590</v>
      </c>
      <c r="AR14">
        <v>381</v>
      </c>
      <c r="AS14">
        <v>2</v>
      </c>
      <c r="AT14">
        <v>4</v>
      </c>
      <c r="AV14" t="s">
        <v>426</v>
      </c>
      <c r="AW14">
        <v>1841</v>
      </c>
      <c r="AX14">
        <v>123.6784356328</v>
      </c>
      <c r="AY14">
        <v>728</v>
      </c>
      <c r="AZ14">
        <v>145</v>
      </c>
      <c r="BA14">
        <v>2048</v>
      </c>
      <c r="BB14">
        <v>989</v>
      </c>
      <c r="BC14">
        <v>2</v>
      </c>
      <c r="BD14">
        <v>2</v>
      </c>
      <c r="BE14">
        <v>13</v>
      </c>
      <c r="BF14">
        <v>7</v>
      </c>
      <c r="BG14">
        <v>87</v>
      </c>
      <c r="BH14">
        <v>83</v>
      </c>
      <c r="BJ14" t="s">
        <v>604</v>
      </c>
      <c r="BK14" t="s">
        <v>384</v>
      </c>
      <c r="BL14">
        <v>16778</v>
      </c>
      <c r="BM14">
        <v>3037</v>
      </c>
      <c r="BN14">
        <v>83.826141375600002</v>
      </c>
      <c r="BO14">
        <v>44668</v>
      </c>
      <c r="BP14">
        <v>2978</v>
      </c>
      <c r="BQ14">
        <v>130.51562639919999</v>
      </c>
      <c r="BR14">
        <v>126.80490261920001</v>
      </c>
      <c r="BS14">
        <v>7141</v>
      </c>
      <c r="BT14">
        <v>1393</v>
      </c>
      <c r="BU14">
        <v>89.130373897200002</v>
      </c>
      <c r="BV14">
        <v>40615</v>
      </c>
      <c r="BW14">
        <v>2068</v>
      </c>
      <c r="BX14">
        <v>132.41364028070001</v>
      </c>
      <c r="BY14">
        <v>137.6542553191</v>
      </c>
      <c r="CA14" t="s">
        <v>405</v>
      </c>
      <c r="CB14" t="s">
        <v>766</v>
      </c>
      <c r="CC14" t="s">
        <v>999</v>
      </c>
      <c r="CD14">
        <v>1800</v>
      </c>
      <c r="CE14">
        <v>456</v>
      </c>
      <c r="CF14">
        <v>99.291666666699996</v>
      </c>
      <c r="CG14">
        <v>4697</v>
      </c>
      <c r="CH14">
        <v>493</v>
      </c>
      <c r="CI14">
        <v>134.10921865020001</v>
      </c>
      <c r="CJ14">
        <v>129.40973630830001</v>
      </c>
      <c r="CL14" t="s">
        <v>405</v>
      </c>
      <c r="CM14" t="s">
        <v>747</v>
      </c>
      <c r="CN14" t="s">
        <v>754</v>
      </c>
      <c r="CO14">
        <v>157</v>
      </c>
      <c r="CP14">
        <v>18</v>
      </c>
      <c r="CQ14">
        <v>65.216560509600001</v>
      </c>
      <c r="CR14">
        <v>857</v>
      </c>
      <c r="CS14">
        <v>70</v>
      </c>
      <c r="CT14">
        <v>68.499416569399997</v>
      </c>
      <c r="CU14">
        <v>74.685714285700001</v>
      </c>
      <c r="CW14" t="s">
        <v>405</v>
      </c>
      <c r="CX14" t="s">
        <v>757</v>
      </c>
      <c r="CY14" t="s">
        <v>764</v>
      </c>
      <c r="CZ14">
        <v>66</v>
      </c>
      <c r="DA14">
        <v>15</v>
      </c>
      <c r="DB14">
        <v>91.090909090899999</v>
      </c>
      <c r="DC14">
        <v>134</v>
      </c>
      <c r="DD14">
        <v>13</v>
      </c>
      <c r="DE14">
        <v>136.75373134329999</v>
      </c>
      <c r="DF14">
        <v>114.3846153846</v>
      </c>
      <c r="DH14" t="s">
        <v>405</v>
      </c>
      <c r="DI14" t="s">
        <v>737</v>
      </c>
      <c r="DJ14" t="s">
        <v>744</v>
      </c>
      <c r="DK14">
        <v>51</v>
      </c>
      <c r="DL14">
        <v>16</v>
      </c>
      <c r="DM14">
        <v>92.411764705899998</v>
      </c>
      <c r="DN14">
        <v>155</v>
      </c>
      <c r="DO14">
        <v>9</v>
      </c>
      <c r="DP14">
        <v>129.7032258065</v>
      </c>
      <c r="DQ14">
        <v>153.44444444440001</v>
      </c>
    </row>
    <row r="15" spans="2:121" x14ac:dyDescent="0.2">
      <c r="B15" t="s">
        <v>114</v>
      </c>
      <c r="C15">
        <v>5899</v>
      </c>
      <c r="D15">
        <v>385</v>
      </c>
      <c r="F15" t="s">
        <v>63</v>
      </c>
      <c r="G15">
        <v>4253</v>
      </c>
      <c r="H15">
        <v>431.53138960730001</v>
      </c>
      <c r="I15">
        <v>14089</v>
      </c>
      <c r="J15">
        <v>3685</v>
      </c>
      <c r="K15">
        <v>8470</v>
      </c>
      <c r="L15">
        <v>4593</v>
      </c>
      <c r="M15">
        <v>1695</v>
      </c>
      <c r="N15">
        <v>1459</v>
      </c>
      <c r="O15">
        <v>7024</v>
      </c>
      <c r="P15">
        <v>6374</v>
      </c>
      <c r="Q15">
        <v>14013</v>
      </c>
      <c r="R15">
        <v>0</v>
      </c>
      <c r="T15" t="s">
        <v>368</v>
      </c>
      <c r="U15">
        <v>65126</v>
      </c>
      <c r="V15">
        <v>406.89699966220002</v>
      </c>
      <c r="W15">
        <v>80043</v>
      </c>
      <c r="X15">
        <v>18308</v>
      </c>
      <c r="Y15">
        <v>112324</v>
      </c>
      <c r="Z15">
        <v>60789</v>
      </c>
      <c r="AA15">
        <v>36909</v>
      </c>
      <c r="AB15">
        <v>29381</v>
      </c>
      <c r="AC15">
        <v>28925</v>
      </c>
      <c r="AD15">
        <v>23319</v>
      </c>
      <c r="AE15">
        <v>14020</v>
      </c>
      <c r="AF15">
        <v>50</v>
      </c>
      <c r="AH15" t="s">
        <v>407</v>
      </c>
      <c r="AI15">
        <v>609</v>
      </c>
      <c r="AJ15">
        <v>209.34811165849999</v>
      </c>
      <c r="AK15">
        <v>1844</v>
      </c>
      <c r="AL15">
        <v>469</v>
      </c>
      <c r="AM15">
        <v>1589</v>
      </c>
      <c r="AN15">
        <v>386</v>
      </c>
      <c r="AO15">
        <v>289</v>
      </c>
      <c r="AP15">
        <v>172</v>
      </c>
      <c r="AQ15">
        <v>476</v>
      </c>
      <c r="AR15">
        <v>295</v>
      </c>
      <c r="AS15">
        <v>2</v>
      </c>
      <c r="AT15">
        <v>6</v>
      </c>
      <c r="AV15" t="s">
        <v>394</v>
      </c>
      <c r="AW15">
        <v>612</v>
      </c>
      <c r="AX15">
        <v>59.166666666700003</v>
      </c>
      <c r="AY15">
        <v>1090</v>
      </c>
      <c r="AZ15">
        <v>140</v>
      </c>
      <c r="BA15">
        <v>908</v>
      </c>
      <c r="BB15">
        <v>96</v>
      </c>
      <c r="BC15">
        <v>1</v>
      </c>
      <c r="BD15">
        <v>1</v>
      </c>
      <c r="BE15">
        <v>66</v>
      </c>
      <c r="BF15">
        <v>15</v>
      </c>
      <c r="BG15">
        <v>125</v>
      </c>
      <c r="BH15">
        <v>106</v>
      </c>
      <c r="BJ15" t="s">
        <v>566</v>
      </c>
      <c r="BK15" t="s">
        <v>389</v>
      </c>
      <c r="BL15">
        <v>6550</v>
      </c>
      <c r="BM15">
        <v>1683</v>
      </c>
      <c r="BN15">
        <v>101.17923664120001</v>
      </c>
      <c r="BO15">
        <v>16828</v>
      </c>
      <c r="BP15">
        <v>1193</v>
      </c>
      <c r="BQ15">
        <v>142.4730211552</v>
      </c>
      <c r="BR15">
        <v>132.15088013409999</v>
      </c>
      <c r="BS15">
        <v>1406</v>
      </c>
      <c r="BT15">
        <v>710</v>
      </c>
      <c r="BU15">
        <v>142.0056899004</v>
      </c>
      <c r="BV15">
        <v>11439</v>
      </c>
      <c r="BW15">
        <v>1067</v>
      </c>
      <c r="BX15">
        <v>129.07789142409999</v>
      </c>
      <c r="BY15">
        <v>142.10684161200001</v>
      </c>
      <c r="CA15" t="s">
        <v>420</v>
      </c>
      <c r="CB15" t="s">
        <v>766</v>
      </c>
      <c r="CC15" t="s">
        <v>1000</v>
      </c>
      <c r="CD15">
        <v>738</v>
      </c>
      <c r="CE15">
        <v>76</v>
      </c>
      <c r="CF15">
        <v>66.880758807600003</v>
      </c>
      <c r="CG15">
        <v>2463</v>
      </c>
      <c r="CH15">
        <v>162</v>
      </c>
      <c r="CI15">
        <v>118.12058465290001</v>
      </c>
      <c r="CJ15">
        <v>105.4320987654</v>
      </c>
      <c r="CL15" t="s">
        <v>420</v>
      </c>
      <c r="CM15" t="s">
        <v>747</v>
      </c>
      <c r="CN15" t="s">
        <v>755</v>
      </c>
      <c r="CO15">
        <v>20</v>
      </c>
      <c r="CP15">
        <v>3</v>
      </c>
      <c r="CQ15">
        <v>63.95</v>
      </c>
      <c r="CR15">
        <v>161</v>
      </c>
      <c r="CS15">
        <v>14</v>
      </c>
      <c r="CT15">
        <v>59.571428571399998</v>
      </c>
      <c r="CU15">
        <v>55.071428571399998</v>
      </c>
      <c r="CW15" t="s">
        <v>420</v>
      </c>
      <c r="CX15" t="s">
        <v>757</v>
      </c>
      <c r="CY15" t="s">
        <v>765</v>
      </c>
      <c r="CZ15">
        <v>12</v>
      </c>
      <c r="DA15">
        <v>0</v>
      </c>
      <c r="DB15">
        <v>50.666666666700003</v>
      </c>
      <c r="DC15">
        <v>42</v>
      </c>
      <c r="DD15">
        <v>0</v>
      </c>
      <c r="DE15">
        <v>141.26190476190001</v>
      </c>
      <c r="DF15">
        <v>0</v>
      </c>
      <c r="DH15" t="s">
        <v>420</v>
      </c>
      <c r="DI15" t="s">
        <v>737</v>
      </c>
      <c r="DJ15" t="s">
        <v>745</v>
      </c>
      <c r="DK15">
        <v>5</v>
      </c>
      <c r="DL15">
        <v>0</v>
      </c>
      <c r="DM15">
        <v>46.8</v>
      </c>
      <c r="DN15">
        <v>41</v>
      </c>
      <c r="DO15">
        <v>2</v>
      </c>
      <c r="DP15">
        <v>123.6097560976</v>
      </c>
      <c r="DQ15">
        <v>55.5</v>
      </c>
    </row>
    <row r="16" spans="2:121" x14ac:dyDescent="0.2">
      <c r="B16" t="s">
        <v>113</v>
      </c>
      <c r="C16">
        <v>15756</v>
      </c>
      <c r="D16">
        <v>3320</v>
      </c>
      <c r="F16" t="s">
        <v>73</v>
      </c>
      <c r="G16">
        <v>9690</v>
      </c>
      <c r="H16">
        <v>383.56253869969999</v>
      </c>
      <c r="I16">
        <v>7989</v>
      </c>
      <c r="J16">
        <v>1423</v>
      </c>
      <c r="K16">
        <v>18543</v>
      </c>
      <c r="L16">
        <v>9916</v>
      </c>
      <c r="M16">
        <v>4603</v>
      </c>
      <c r="N16">
        <v>3085</v>
      </c>
      <c r="O16">
        <v>4252</v>
      </c>
      <c r="P16">
        <v>3506</v>
      </c>
      <c r="Q16">
        <v>5</v>
      </c>
      <c r="R16">
        <v>158</v>
      </c>
      <c r="T16" t="s">
        <v>8</v>
      </c>
      <c r="U16">
        <v>86</v>
      </c>
      <c r="V16">
        <v>400.26744186050001</v>
      </c>
      <c r="W16">
        <v>114</v>
      </c>
      <c r="X16">
        <v>38</v>
      </c>
      <c r="Y16">
        <v>242</v>
      </c>
      <c r="Z16">
        <v>90</v>
      </c>
      <c r="AA16">
        <v>94</v>
      </c>
      <c r="AB16">
        <v>40</v>
      </c>
      <c r="AC16">
        <v>65120</v>
      </c>
      <c r="AD16">
        <v>39178</v>
      </c>
      <c r="AE16">
        <v>0</v>
      </c>
      <c r="AF16">
        <v>1</v>
      </c>
      <c r="AH16" t="s">
        <v>393</v>
      </c>
      <c r="AI16">
        <v>5260</v>
      </c>
      <c r="AJ16">
        <v>451.80722433459999</v>
      </c>
      <c r="AK16">
        <v>7848</v>
      </c>
      <c r="AL16">
        <v>1843</v>
      </c>
      <c r="AM16">
        <v>9503</v>
      </c>
      <c r="AN16">
        <v>5166</v>
      </c>
      <c r="AO16">
        <v>2336</v>
      </c>
      <c r="AP16">
        <v>2053</v>
      </c>
      <c r="AQ16">
        <v>3303</v>
      </c>
      <c r="AR16">
        <v>2039</v>
      </c>
      <c r="AS16">
        <v>1058</v>
      </c>
      <c r="AT16">
        <v>222</v>
      </c>
      <c r="AV16" t="s">
        <v>371</v>
      </c>
      <c r="AW16">
        <v>103</v>
      </c>
      <c r="AX16">
        <v>95.339805825200003</v>
      </c>
      <c r="AY16">
        <v>145</v>
      </c>
      <c r="AZ16">
        <v>22</v>
      </c>
      <c r="BA16">
        <v>127</v>
      </c>
      <c r="BB16">
        <v>40</v>
      </c>
      <c r="BC16">
        <v>0</v>
      </c>
      <c r="BE16">
        <v>11</v>
      </c>
      <c r="BF16">
        <v>4</v>
      </c>
      <c r="BG16">
        <v>19</v>
      </c>
      <c r="BH16">
        <v>16</v>
      </c>
      <c r="BJ16" t="s">
        <v>558</v>
      </c>
      <c r="BK16" t="s">
        <v>389</v>
      </c>
      <c r="BL16">
        <v>7740</v>
      </c>
      <c r="BM16">
        <v>1376</v>
      </c>
      <c r="BN16">
        <v>95.293540051700006</v>
      </c>
      <c r="BO16">
        <v>23030</v>
      </c>
      <c r="BP16">
        <v>1374</v>
      </c>
      <c r="BQ16">
        <v>130.5737733391</v>
      </c>
      <c r="BR16">
        <v>126.69141193599999</v>
      </c>
      <c r="BS16">
        <v>2943</v>
      </c>
      <c r="BT16">
        <v>705</v>
      </c>
      <c r="BU16">
        <v>102.72171253819999</v>
      </c>
      <c r="BV16">
        <v>25772</v>
      </c>
      <c r="BW16">
        <v>1711</v>
      </c>
      <c r="BX16">
        <v>136.27188421540001</v>
      </c>
      <c r="BY16">
        <v>123.0333138515</v>
      </c>
      <c r="CA16" t="s">
        <v>384</v>
      </c>
      <c r="CB16" t="s">
        <v>766</v>
      </c>
      <c r="CD16">
        <v>65964</v>
      </c>
      <c r="CE16">
        <v>13083</v>
      </c>
      <c r="CF16">
        <v>88.669728943099997</v>
      </c>
      <c r="CG16">
        <v>178241</v>
      </c>
      <c r="CH16">
        <v>12658</v>
      </c>
      <c r="CI16">
        <v>126.2026020949</v>
      </c>
      <c r="CJ16">
        <v>123.9449360088</v>
      </c>
      <c r="CL16" t="s">
        <v>384</v>
      </c>
      <c r="CM16" t="s">
        <v>747</v>
      </c>
      <c r="CO16">
        <v>3855</v>
      </c>
      <c r="CP16">
        <v>438</v>
      </c>
      <c r="CQ16">
        <v>67.007003891099998</v>
      </c>
      <c r="CR16">
        <v>21369</v>
      </c>
      <c r="CS16">
        <v>1690</v>
      </c>
      <c r="CT16">
        <v>68.094669848799995</v>
      </c>
      <c r="CU16">
        <v>73.595266272200007</v>
      </c>
      <c r="CW16" t="s">
        <v>384</v>
      </c>
      <c r="CX16" t="s">
        <v>757</v>
      </c>
      <c r="CZ16">
        <v>1410</v>
      </c>
      <c r="DA16">
        <v>213</v>
      </c>
      <c r="DB16">
        <v>71.358865248200004</v>
      </c>
      <c r="DC16">
        <v>4184</v>
      </c>
      <c r="DD16">
        <v>325</v>
      </c>
      <c r="DE16">
        <v>131.9937858509</v>
      </c>
      <c r="DF16">
        <v>115.15076923079999</v>
      </c>
      <c r="DH16" t="s">
        <v>384</v>
      </c>
      <c r="DI16" t="s">
        <v>737</v>
      </c>
      <c r="DK16">
        <v>1583</v>
      </c>
      <c r="DL16">
        <v>189</v>
      </c>
      <c r="DM16">
        <v>67.030322173100004</v>
      </c>
      <c r="DN16">
        <v>4943</v>
      </c>
      <c r="DO16">
        <v>290</v>
      </c>
      <c r="DP16">
        <v>122.0734371839</v>
      </c>
      <c r="DQ16">
        <v>113.8206896552</v>
      </c>
    </row>
    <row r="17" spans="2:121" x14ac:dyDescent="0.2">
      <c r="B17" t="s">
        <v>157</v>
      </c>
      <c r="C17">
        <v>3741</v>
      </c>
      <c r="D17">
        <v>3580</v>
      </c>
      <c r="F17" t="s">
        <v>65</v>
      </c>
      <c r="G17">
        <v>3169</v>
      </c>
      <c r="H17">
        <v>390.61754496690003</v>
      </c>
      <c r="I17">
        <v>4929</v>
      </c>
      <c r="J17">
        <v>1542</v>
      </c>
      <c r="K17">
        <v>5688</v>
      </c>
      <c r="L17">
        <v>3184</v>
      </c>
      <c r="M17">
        <v>490</v>
      </c>
      <c r="N17">
        <v>386</v>
      </c>
      <c r="O17">
        <v>801</v>
      </c>
      <c r="P17">
        <v>583</v>
      </c>
      <c r="Q17">
        <v>0</v>
      </c>
      <c r="R17">
        <v>1</v>
      </c>
      <c r="T17" t="s">
        <v>403</v>
      </c>
      <c r="U17">
        <v>44031</v>
      </c>
      <c r="V17">
        <v>391.63904976039998</v>
      </c>
      <c r="W17">
        <v>64468</v>
      </c>
      <c r="X17">
        <v>12802</v>
      </c>
      <c r="Y17">
        <v>87576</v>
      </c>
      <c r="Z17">
        <v>45667</v>
      </c>
      <c r="AA17">
        <v>23892</v>
      </c>
      <c r="AB17">
        <v>17954</v>
      </c>
      <c r="AC17">
        <v>18844</v>
      </c>
      <c r="AD17">
        <v>14614</v>
      </c>
      <c r="AE17">
        <v>463</v>
      </c>
      <c r="AF17">
        <v>794</v>
      </c>
      <c r="AH17" t="s">
        <v>391</v>
      </c>
      <c r="AI17">
        <v>4533</v>
      </c>
      <c r="AJ17">
        <v>618.24288550630001</v>
      </c>
      <c r="AK17">
        <v>5057</v>
      </c>
      <c r="AL17">
        <v>875</v>
      </c>
      <c r="AM17">
        <v>9486</v>
      </c>
      <c r="AN17">
        <v>5407</v>
      </c>
      <c r="AO17">
        <v>2796</v>
      </c>
      <c r="AP17">
        <v>2392</v>
      </c>
      <c r="AQ17">
        <v>2971</v>
      </c>
      <c r="AR17">
        <v>2258</v>
      </c>
      <c r="AS17">
        <v>780</v>
      </c>
      <c r="AT17">
        <v>229</v>
      </c>
      <c r="AV17" t="s">
        <v>419</v>
      </c>
      <c r="AW17">
        <v>48</v>
      </c>
      <c r="AX17">
        <v>71.791666666699996</v>
      </c>
      <c r="AY17">
        <v>40</v>
      </c>
      <c r="AZ17">
        <v>1</v>
      </c>
      <c r="BA17">
        <v>81</v>
      </c>
      <c r="BB17">
        <v>6</v>
      </c>
      <c r="BC17">
        <v>1</v>
      </c>
      <c r="BD17">
        <v>1</v>
      </c>
      <c r="BE17">
        <v>3</v>
      </c>
      <c r="BF17">
        <v>1</v>
      </c>
      <c r="BG17">
        <v>124</v>
      </c>
      <c r="BH17">
        <v>8</v>
      </c>
      <c r="BJ17" t="s">
        <v>575</v>
      </c>
      <c r="BK17" t="s">
        <v>389</v>
      </c>
      <c r="BL17">
        <v>2485</v>
      </c>
      <c r="BM17">
        <v>354</v>
      </c>
      <c r="BN17">
        <v>77.591549295799993</v>
      </c>
      <c r="BO17">
        <v>7063</v>
      </c>
      <c r="BP17">
        <v>450</v>
      </c>
      <c r="BQ17">
        <v>111.7822455047</v>
      </c>
      <c r="BR17">
        <v>116.0888888889</v>
      </c>
      <c r="BS17">
        <v>1025</v>
      </c>
      <c r="BT17">
        <v>248</v>
      </c>
      <c r="BU17">
        <v>94.884878048800005</v>
      </c>
      <c r="BV17">
        <v>9071</v>
      </c>
      <c r="BW17">
        <v>500</v>
      </c>
      <c r="BX17">
        <v>125.6241869695</v>
      </c>
      <c r="BY17">
        <v>126.286</v>
      </c>
      <c r="CA17" t="s">
        <v>393</v>
      </c>
      <c r="CB17" t="s">
        <v>806</v>
      </c>
      <c r="CC17" t="s">
        <v>1001</v>
      </c>
      <c r="CD17">
        <v>7425</v>
      </c>
      <c r="CE17">
        <v>1760</v>
      </c>
      <c r="CF17">
        <v>96.239057239100006</v>
      </c>
      <c r="CG17">
        <v>17908</v>
      </c>
      <c r="CH17">
        <v>1300</v>
      </c>
      <c r="CI17">
        <v>138.41171543440001</v>
      </c>
      <c r="CJ17">
        <v>123.46846153849999</v>
      </c>
      <c r="CL17" t="s">
        <v>393</v>
      </c>
      <c r="CM17" t="s">
        <v>781</v>
      </c>
      <c r="CN17" t="s">
        <v>780</v>
      </c>
      <c r="CO17">
        <v>675</v>
      </c>
      <c r="CP17">
        <v>83</v>
      </c>
      <c r="CQ17">
        <v>69.294814814800006</v>
      </c>
      <c r="CR17">
        <v>3649</v>
      </c>
      <c r="CS17">
        <v>191</v>
      </c>
      <c r="CT17">
        <v>73.074815017800006</v>
      </c>
      <c r="CU17">
        <v>73.874345549699996</v>
      </c>
      <c r="CW17" t="s">
        <v>393</v>
      </c>
      <c r="CX17" t="s">
        <v>794</v>
      </c>
      <c r="CY17" t="s">
        <v>793</v>
      </c>
      <c r="CZ17">
        <v>181</v>
      </c>
      <c r="DA17">
        <v>29</v>
      </c>
      <c r="DB17">
        <v>71.955801105000006</v>
      </c>
      <c r="DC17">
        <v>483</v>
      </c>
      <c r="DD17">
        <v>42</v>
      </c>
      <c r="DE17">
        <v>138.15734989649999</v>
      </c>
      <c r="DF17">
        <v>111.8571428571</v>
      </c>
      <c r="DH17" t="s">
        <v>393</v>
      </c>
      <c r="DI17" t="s">
        <v>768</v>
      </c>
      <c r="DJ17" t="s">
        <v>767</v>
      </c>
      <c r="DK17">
        <v>156</v>
      </c>
      <c r="DL17">
        <v>18</v>
      </c>
      <c r="DM17">
        <v>71.525641025599995</v>
      </c>
      <c r="DN17">
        <v>435</v>
      </c>
      <c r="DO17">
        <v>28</v>
      </c>
      <c r="DP17">
        <v>125.0229885057</v>
      </c>
      <c r="DQ17">
        <v>117.17857142859999</v>
      </c>
    </row>
    <row r="18" spans="2:121" x14ac:dyDescent="0.2">
      <c r="B18" t="s">
        <v>93</v>
      </c>
      <c r="C18">
        <v>218</v>
      </c>
      <c r="D18">
        <v>140</v>
      </c>
      <c r="F18" t="s">
        <v>51</v>
      </c>
      <c r="G18">
        <v>3495</v>
      </c>
      <c r="H18">
        <v>265.12360515019998</v>
      </c>
      <c r="I18">
        <v>3355</v>
      </c>
      <c r="J18">
        <v>414</v>
      </c>
      <c r="K18">
        <v>7882</v>
      </c>
      <c r="L18">
        <v>2965</v>
      </c>
      <c r="M18">
        <v>3769</v>
      </c>
      <c r="N18">
        <v>2580</v>
      </c>
      <c r="O18">
        <v>1659</v>
      </c>
      <c r="P18">
        <v>1109</v>
      </c>
      <c r="Q18">
        <v>0</v>
      </c>
      <c r="R18">
        <v>98</v>
      </c>
      <c r="T18" t="s">
        <v>379</v>
      </c>
      <c r="U18">
        <v>56068</v>
      </c>
      <c r="V18">
        <v>358.43803952339999</v>
      </c>
      <c r="W18">
        <v>74362</v>
      </c>
      <c r="X18">
        <v>17977</v>
      </c>
      <c r="Y18">
        <v>97186</v>
      </c>
      <c r="Z18">
        <v>53325</v>
      </c>
      <c r="AA18">
        <v>27663</v>
      </c>
      <c r="AB18">
        <v>23135</v>
      </c>
      <c r="AC18">
        <v>27414</v>
      </c>
      <c r="AD18">
        <v>20607</v>
      </c>
      <c r="AE18">
        <v>174</v>
      </c>
      <c r="AF18">
        <v>1383</v>
      </c>
      <c r="AH18" t="s">
        <v>398</v>
      </c>
      <c r="AI18">
        <v>844</v>
      </c>
      <c r="AJ18">
        <v>189.94194312799999</v>
      </c>
      <c r="AK18">
        <v>2667</v>
      </c>
      <c r="AL18">
        <v>382</v>
      </c>
      <c r="AM18">
        <v>2429</v>
      </c>
      <c r="AN18">
        <v>455</v>
      </c>
      <c r="AO18">
        <v>315</v>
      </c>
      <c r="AP18">
        <v>212</v>
      </c>
      <c r="AQ18">
        <v>563</v>
      </c>
      <c r="AR18">
        <v>333</v>
      </c>
      <c r="AS18">
        <v>2</v>
      </c>
      <c r="AT18">
        <v>10</v>
      </c>
      <c r="AV18" t="s">
        <v>387</v>
      </c>
      <c r="AW18">
        <v>654</v>
      </c>
      <c r="AX18">
        <v>60.0443425076</v>
      </c>
      <c r="AY18">
        <v>833</v>
      </c>
      <c r="AZ18">
        <v>91</v>
      </c>
      <c r="BA18">
        <v>926</v>
      </c>
      <c r="BB18">
        <v>89</v>
      </c>
      <c r="BC18">
        <v>4</v>
      </c>
      <c r="BD18">
        <v>4</v>
      </c>
      <c r="BE18">
        <v>50</v>
      </c>
      <c r="BF18">
        <v>10</v>
      </c>
      <c r="BG18">
        <v>152</v>
      </c>
      <c r="BH18">
        <v>107</v>
      </c>
      <c r="BJ18" t="s">
        <v>568</v>
      </c>
      <c r="BK18" t="s">
        <v>389</v>
      </c>
      <c r="BL18">
        <v>8062</v>
      </c>
      <c r="BM18">
        <v>1825</v>
      </c>
      <c r="BN18">
        <v>95.939593153100006</v>
      </c>
      <c r="BO18">
        <v>18427</v>
      </c>
      <c r="BP18">
        <v>1448</v>
      </c>
      <c r="BQ18">
        <v>136.6926792207</v>
      </c>
      <c r="BR18">
        <v>139.10704419890001</v>
      </c>
      <c r="BS18">
        <v>2031</v>
      </c>
      <c r="BT18">
        <v>780</v>
      </c>
      <c r="BU18">
        <v>121.2772033481</v>
      </c>
      <c r="BV18">
        <v>18882</v>
      </c>
      <c r="BW18">
        <v>1628</v>
      </c>
      <c r="BX18">
        <v>134.9320516894</v>
      </c>
      <c r="BY18">
        <v>138.68488943489999</v>
      </c>
      <c r="CA18" t="s">
        <v>391</v>
      </c>
      <c r="CB18" t="s">
        <v>806</v>
      </c>
      <c r="CC18" t="s">
        <v>1002</v>
      </c>
      <c r="CD18">
        <v>5185</v>
      </c>
      <c r="CE18">
        <v>928</v>
      </c>
      <c r="CF18">
        <v>86.853230472500002</v>
      </c>
      <c r="CG18">
        <v>14502</v>
      </c>
      <c r="CH18">
        <v>1104</v>
      </c>
      <c r="CI18">
        <v>124.2448627775</v>
      </c>
      <c r="CJ18">
        <v>128.59239130430001</v>
      </c>
      <c r="CL18" t="s">
        <v>391</v>
      </c>
      <c r="CM18" t="s">
        <v>781</v>
      </c>
      <c r="CN18" t="s">
        <v>782</v>
      </c>
      <c r="CO18">
        <v>391</v>
      </c>
      <c r="CP18">
        <v>42</v>
      </c>
      <c r="CQ18">
        <v>68.562659846499997</v>
      </c>
      <c r="CR18">
        <v>2184</v>
      </c>
      <c r="CS18">
        <v>131</v>
      </c>
      <c r="CT18">
        <v>73.286630036600002</v>
      </c>
      <c r="CU18">
        <v>69.816793893099998</v>
      </c>
      <c r="CW18" t="s">
        <v>391</v>
      </c>
      <c r="CX18" t="s">
        <v>794</v>
      </c>
      <c r="CY18" t="s">
        <v>795</v>
      </c>
      <c r="CZ18">
        <v>78</v>
      </c>
      <c r="DA18">
        <v>8</v>
      </c>
      <c r="DB18">
        <v>60.782051282099999</v>
      </c>
      <c r="DC18">
        <v>241</v>
      </c>
      <c r="DD18">
        <v>22</v>
      </c>
      <c r="DE18">
        <v>136.04564315350001</v>
      </c>
      <c r="DF18">
        <v>124.5909090909</v>
      </c>
      <c r="DH18" t="s">
        <v>391</v>
      </c>
      <c r="DI18" t="s">
        <v>768</v>
      </c>
      <c r="DJ18" t="s">
        <v>769</v>
      </c>
      <c r="DK18">
        <v>47</v>
      </c>
      <c r="DL18">
        <v>9</v>
      </c>
      <c r="DM18">
        <v>74.127659574500001</v>
      </c>
      <c r="DN18">
        <v>209</v>
      </c>
      <c r="DO18">
        <v>10</v>
      </c>
      <c r="DP18">
        <v>135.57894736840001</v>
      </c>
      <c r="DQ18">
        <v>132.69999999999999</v>
      </c>
    </row>
    <row r="19" spans="2:121" x14ac:dyDescent="0.2">
      <c r="B19" t="s">
        <v>89</v>
      </c>
      <c r="C19">
        <v>7</v>
      </c>
      <c r="D19">
        <v>1</v>
      </c>
      <c r="F19" t="s">
        <v>78</v>
      </c>
      <c r="G19">
        <v>1294</v>
      </c>
      <c r="H19">
        <v>283.69319938180001</v>
      </c>
      <c r="I19">
        <v>1465</v>
      </c>
      <c r="J19">
        <v>167</v>
      </c>
      <c r="K19">
        <v>2457</v>
      </c>
      <c r="L19">
        <v>1019</v>
      </c>
      <c r="M19">
        <v>858</v>
      </c>
      <c r="N19">
        <v>640</v>
      </c>
      <c r="O19">
        <v>234</v>
      </c>
      <c r="P19">
        <v>158</v>
      </c>
      <c r="Q19">
        <v>1</v>
      </c>
      <c r="R19">
        <v>0</v>
      </c>
      <c r="T19" t="s">
        <v>460</v>
      </c>
      <c r="U19">
        <v>237274</v>
      </c>
      <c r="V19">
        <v>370.35640230280001</v>
      </c>
      <c r="W19">
        <v>343825</v>
      </c>
      <c r="X19">
        <v>73648</v>
      </c>
      <c r="Y19">
        <v>451289</v>
      </c>
      <c r="Z19">
        <v>225539</v>
      </c>
      <c r="AA19">
        <v>129562</v>
      </c>
      <c r="AB19">
        <v>100946</v>
      </c>
      <c r="AC19">
        <v>171461</v>
      </c>
      <c r="AD19">
        <v>117744</v>
      </c>
      <c r="AE19">
        <v>23942</v>
      </c>
      <c r="AF19">
        <v>4497</v>
      </c>
      <c r="AH19" t="s">
        <v>421</v>
      </c>
      <c r="AI19">
        <v>1730</v>
      </c>
      <c r="AJ19">
        <v>224.1878612717</v>
      </c>
      <c r="AK19">
        <v>2364</v>
      </c>
      <c r="AL19">
        <v>377</v>
      </c>
      <c r="AM19">
        <v>3446</v>
      </c>
      <c r="AN19">
        <v>1279</v>
      </c>
      <c r="AO19">
        <v>1083</v>
      </c>
      <c r="AP19">
        <v>585</v>
      </c>
      <c r="AQ19">
        <v>846</v>
      </c>
      <c r="AR19">
        <v>528</v>
      </c>
      <c r="AS19">
        <v>7</v>
      </c>
      <c r="AT19">
        <v>13</v>
      </c>
      <c r="AV19" t="s">
        <v>427</v>
      </c>
      <c r="AW19">
        <v>24</v>
      </c>
      <c r="AX19">
        <v>86.791666666699996</v>
      </c>
      <c r="AY19">
        <v>20</v>
      </c>
      <c r="AZ19">
        <v>2</v>
      </c>
      <c r="BA19">
        <v>50</v>
      </c>
      <c r="BB19">
        <v>8</v>
      </c>
      <c r="BC19">
        <v>1</v>
      </c>
      <c r="BD19">
        <v>1</v>
      </c>
      <c r="BE19">
        <v>1</v>
      </c>
      <c r="BG19">
        <v>100</v>
      </c>
      <c r="BH19">
        <v>13</v>
      </c>
      <c r="BJ19" t="s">
        <v>632</v>
      </c>
      <c r="BK19" t="s">
        <v>389</v>
      </c>
      <c r="BL19">
        <v>1156</v>
      </c>
      <c r="BM19">
        <v>149</v>
      </c>
      <c r="BN19">
        <v>66.721453287200006</v>
      </c>
      <c r="BO19">
        <v>2797</v>
      </c>
      <c r="BP19">
        <v>174</v>
      </c>
      <c r="BQ19">
        <v>99.5337861995</v>
      </c>
      <c r="BR19">
        <v>85.551724137899996</v>
      </c>
      <c r="BS19">
        <v>457</v>
      </c>
      <c r="BT19">
        <v>135</v>
      </c>
      <c r="BU19">
        <v>98.026258205700003</v>
      </c>
      <c r="BV19">
        <v>3969</v>
      </c>
      <c r="BW19">
        <v>244</v>
      </c>
      <c r="BX19">
        <v>122.3570168808</v>
      </c>
      <c r="BY19">
        <v>121.106557377</v>
      </c>
      <c r="CA19" t="s">
        <v>398</v>
      </c>
      <c r="CB19" t="s">
        <v>806</v>
      </c>
      <c r="CC19" t="s">
        <v>1003</v>
      </c>
      <c r="CD19">
        <v>2568</v>
      </c>
      <c r="CE19">
        <v>365</v>
      </c>
      <c r="CF19">
        <v>77.946261682200003</v>
      </c>
      <c r="CG19">
        <v>7354</v>
      </c>
      <c r="CH19">
        <v>469</v>
      </c>
      <c r="CI19">
        <v>110.4651890128</v>
      </c>
      <c r="CJ19">
        <v>110.0980810235</v>
      </c>
      <c r="CL19" t="s">
        <v>398</v>
      </c>
      <c r="CM19" t="s">
        <v>781</v>
      </c>
      <c r="CN19" t="s">
        <v>783</v>
      </c>
      <c r="CO19">
        <v>266</v>
      </c>
      <c r="CP19">
        <v>18</v>
      </c>
      <c r="CQ19">
        <v>60.718045112799999</v>
      </c>
      <c r="CR19">
        <v>1380</v>
      </c>
      <c r="CS19">
        <v>108</v>
      </c>
      <c r="CT19">
        <v>66.012318840600003</v>
      </c>
      <c r="CU19">
        <v>68.75</v>
      </c>
      <c r="CW19" t="s">
        <v>398</v>
      </c>
      <c r="CX19" t="s">
        <v>794</v>
      </c>
      <c r="CY19" t="s">
        <v>796</v>
      </c>
      <c r="CZ19">
        <v>42</v>
      </c>
      <c r="DA19">
        <v>3</v>
      </c>
      <c r="DB19">
        <v>48.142857142899999</v>
      </c>
      <c r="DC19">
        <v>116</v>
      </c>
      <c r="DD19">
        <v>7</v>
      </c>
      <c r="DE19">
        <v>137.9913793103</v>
      </c>
      <c r="DF19">
        <v>109.2857142857</v>
      </c>
      <c r="DH19" t="s">
        <v>398</v>
      </c>
      <c r="DI19" t="s">
        <v>768</v>
      </c>
      <c r="DJ19" t="s">
        <v>770</v>
      </c>
      <c r="DK19">
        <v>32</v>
      </c>
      <c r="DL19">
        <v>3</v>
      </c>
      <c r="DM19">
        <v>64.15625</v>
      </c>
      <c r="DN19">
        <v>80</v>
      </c>
      <c r="DO19">
        <v>2</v>
      </c>
      <c r="DP19">
        <v>131.3125</v>
      </c>
      <c r="DQ19">
        <v>111</v>
      </c>
    </row>
    <row r="20" spans="2:121" x14ac:dyDescent="0.2">
      <c r="B20" t="s">
        <v>127</v>
      </c>
      <c r="C20">
        <v>66776</v>
      </c>
      <c r="D20">
        <v>56334</v>
      </c>
      <c r="F20" t="s">
        <v>81</v>
      </c>
      <c r="G20">
        <v>1651</v>
      </c>
      <c r="H20">
        <v>205.10539067229999</v>
      </c>
      <c r="I20">
        <v>2491</v>
      </c>
      <c r="J20">
        <v>392</v>
      </c>
      <c r="K20">
        <v>3207</v>
      </c>
      <c r="L20">
        <v>1140</v>
      </c>
      <c r="M20">
        <v>1018</v>
      </c>
      <c r="N20">
        <v>503</v>
      </c>
      <c r="O20">
        <v>216</v>
      </c>
      <c r="P20">
        <v>126</v>
      </c>
      <c r="Q20">
        <v>0</v>
      </c>
      <c r="R20">
        <v>7</v>
      </c>
      <c r="AH20" t="s">
        <v>392</v>
      </c>
      <c r="AI20">
        <v>5235</v>
      </c>
      <c r="AJ20">
        <v>527.49531996179996</v>
      </c>
      <c r="AK20">
        <v>3778</v>
      </c>
      <c r="AL20">
        <v>560</v>
      </c>
      <c r="AM20">
        <v>8604</v>
      </c>
      <c r="AN20">
        <v>5605</v>
      </c>
      <c r="AO20">
        <v>2299</v>
      </c>
      <c r="AP20">
        <v>1964</v>
      </c>
      <c r="AQ20">
        <v>2128</v>
      </c>
      <c r="AR20">
        <v>1493</v>
      </c>
      <c r="AS20">
        <v>708</v>
      </c>
      <c r="AT20">
        <v>157</v>
      </c>
      <c r="AV20" t="s">
        <v>422</v>
      </c>
      <c r="AW20">
        <v>63</v>
      </c>
      <c r="AX20">
        <v>113.0952380952</v>
      </c>
      <c r="AY20">
        <v>86</v>
      </c>
      <c r="AZ20">
        <v>12</v>
      </c>
      <c r="BA20">
        <v>94</v>
      </c>
      <c r="BB20">
        <v>27</v>
      </c>
      <c r="BC20">
        <v>2</v>
      </c>
      <c r="BD20">
        <v>2</v>
      </c>
      <c r="BE20">
        <v>8</v>
      </c>
      <c r="BF20">
        <v>2</v>
      </c>
      <c r="BG20">
        <v>15</v>
      </c>
      <c r="BH20">
        <v>10</v>
      </c>
      <c r="BJ20" t="s">
        <v>560</v>
      </c>
      <c r="BK20" t="s">
        <v>389</v>
      </c>
      <c r="BL20">
        <v>5061</v>
      </c>
      <c r="BM20">
        <v>941</v>
      </c>
      <c r="BN20">
        <v>88.562339458599993</v>
      </c>
      <c r="BO20">
        <v>13853</v>
      </c>
      <c r="BP20">
        <v>1082</v>
      </c>
      <c r="BQ20">
        <v>127.511441565</v>
      </c>
      <c r="BR20">
        <v>132.42883548980001</v>
      </c>
      <c r="BS20">
        <v>1355</v>
      </c>
      <c r="BT20">
        <v>408</v>
      </c>
      <c r="BU20">
        <v>104.5033210332</v>
      </c>
      <c r="BV20">
        <v>15315</v>
      </c>
      <c r="BW20">
        <v>1178</v>
      </c>
      <c r="BX20">
        <v>128.4216780934</v>
      </c>
      <c r="BY20">
        <v>135.16468590829999</v>
      </c>
      <c r="CA20" t="s">
        <v>421</v>
      </c>
      <c r="CB20" t="s">
        <v>806</v>
      </c>
      <c r="CC20" t="s">
        <v>1004</v>
      </c>
      <c r="CD20">
        <v>2350</v>
      </c>
      <c r="CE20">
        <v>356</v>
      </c>
      <c r="CF20">
        <v>77.312340425499997</v>
      </c>
      <c r="CG20">
        <v>7672</v>
      </c>
      <c r="CH20">
        <v>438</v>
      </c>
      <c r="CI20">
        <v>112.1929092805</v>
      </c>
      <c r="CJ20">
        <v>106.1050228311</v>
      </c>
      <c r="CL20" t="s">
        <v>421</v>
      </c>
      <c r="CM20" t="s">
        <v>781</v>
      </c>
      <c r="CN20" t="s">
        <v>784</v>
      </c>
      <c r="CO20">
        <v>202</v>
      </c>
      <c r="CP20">
        <v>21</v>
      </c>
      <c r="CQ20">
        <v>64.767326732699999</v>
      </c>
      <c r="CR20">
        <v>1236</v>
      </c>
      <c r="CS20">
        <v>103</v>
      </c>
      <c r="CT20">
        <v>68.216828479</v>
      </c>
      <c r="CU20">
        <v>68.815533980599994</v>
      </c>
      <c r="CW20" t="s">
        <v>421</v>
      </c>
      <c r="CX20" t="s">
        <v>794</v>
      </c>
      <c r="CY20" t="s">
        <v>797</v>
      </c>
      <c r="CZ20">
        <v>49</v>
      </c>
      <c r="DA20">
        <v>1</v>
      </c>
      <c r="DB20">
        <v>49.142857142899999</v>
      </c>
      <c r="DC20">
        <v>211</v>
      </c>
      <c r="DD20">
        <v>21</v>
      </c>
      <c r="DE20">
        <v>118.6492890995</v>
      </c>
      <c r="DF20">
        <v>126</v>
      </c>
      <c r="DH20" t="s">
        <v>421</v>
      </c>
      <c r="DI20" t="s">
        <v>768</v>
      </c>
      <c r="DJ20" t="s">
        <v>771</v>
      </c>
      <c r="DK20">
        <v>86</v>
      </c>
      <c r="DL20">
        <v>4</v>
      </c>
      <c r="DM20">
        <v>53.534883720899998</v>
      </c>
      <c r="DN20">
        <v>339</v>
      </c>
      <c r="DO20">
        <v>16</v>
      </c>
      <c r="DP20">
        <v>119.5398230088</v>
      </c>
      <c r="DQ20">
        <v>113</v>
      </c>
    </row>
    <row r="21" spans="2:121" x14ac:dyDescent="0.2">
      <c r="B21" t="s">
        <v>107</v>
      </c>
      <c r="C21">
        <v>64299</v>
      </c>
      <c r="D21">
        <v>49156</v>
      </c>
      <c r="F21" t="s">
        <v>181</v>
      </c>
      <c r="G21">
        <v>282</v>
      </c>
      <c r="H21">
        <v>188.32978723400001</v>
      </c>
      <c r="I21">
        <v>639</v>
      </c>
      <c r="J21">
        <v>44</v>
      </c>
      <c r="K21">
        <v>1127</v>
      </c>
      <c r="L21">
        <v>95</v>
      </c>
      <c r="M21">
        <v>396</v>
      </c>
      <c r="N21">
        <v>224</v>
      </c>
      <c r="O21">
        <v>230</v>
      </c>
      <c r="P21">
        <v>120</v>
      </c>
      <c r="Q21">
        <v>0</v>
      </c>
      <c r="R21">
        <v>3</v>
      </c>
      <c r="AH21" t="s">
        <v>386</v>
      </c>
      <c r="AI21">
        <v>3934</v>
      </c>
      <c r="AJ21">
        <v>417.71301474329999</v>
      </c>
      <c r="AK21">
        <v>5609</v>
      </c>
      <c r="AL21">
        <v>1113</v>
      </c>
      <c r="AM21">
        <v>7543</v>
      </c>
      <c r="AN21">
        <v>3731</v>
      </c>
      <c r="AO21">
        <v>1639</v>
      </c>
      <c r="AP21">
        <v>1153</v>
      </c>
      <c r="AQ21">
        <v>3052</v>
      </c>
      <c r="AR21">
        <v>2041</v>
      </c>
      <c r="AS21">
        <v>363</v>
      </c>
      <c r="AT21">
        <v>269</v>
      </c>
      <c r="AV21" t="s">
        <v>398</v>
      </c>
      <c r="AW21">
        <v>184</v>
      </c>
      <c r="AX21">
        <v>60.782608695699999</v>
      </c>
      <c r="AY21">
        <v>272</v>
      </c>
      <c r="AZ21">
        <v>8</v>
      </c>
      <c r="BA21">
        <v>289</v>
      </c>
      <c r="BB21">
        <v>20</v>
      </c>
      <c r="BC21">
        <v>0</v>
      </c>
      <c r="BE21">
        <v>12</v>
      </c>
      <c r="BF21">
        <v>4</v>
      </c>
      <c r="BG21">
        <v>344</v>
      </c>
      <c r="BH21">
        <v>43</v>
      </c>
      <c r="BJ21" t="s">
        <v>577</v>
      </c>
      <c r="BK21" t="s">
        <v>389</v>
      </c>
      <c r="BL21">
        <v>1800</v>
      </c>
      <c r="BM21">
        <v>225</v>
      </c>
      <c r="BN21">
        <v>71.139444444399999</v>
      </c>
      <c r="BO21">
        <v>5927</v>
      </c>
      <c r="BP21">
        <v>417</v>
      </c>
      <c r="BQ21">
        <v>116.16568247009999</v>
      </c>
      <c r="BR21">
        <v>106.5395683453</v>
      </c>
      <c r="BS21">
        <v>1900</v>
      </c>
      <c r="BT21">
        <v>210</v>
      </c>
      <c r="BU21">
        <v>70.256315789499993</v>
      </c>
      <c r="BV21">
        <v>14447</v>
      </c>
      <c r="BW21">
        <v>866</v>
      </c>
      <c r="BX21">
        <v>138.83906693430001</v>
      </c>
      <c r="BY21">
        <v>103.0207852194</v>
      </c>
      <c r="CA21" t="s">
        <v>394</v>
      </c>
      <c r="CB21" t="s">
        <v>806</v>
      </c>
      <c r="CC21" t="s">
        <v>1005</v>
      </c>
      <c r="CD21">
        <v>8170</v>
      </c>
      <c r="CE21">
        <v>1842</v>
      </c>
      <c r="CF21">
        <v>96.011138310899995</v>
      </c>
      <c r="CG21">
        <v>19068</v>
      </c>
      <c r="CH21">
        <v>1482</v>
      </c>
      <c r="CI21">
        <v>134.6371932033</v>
      </c>
      <c r="CJ21">
        <v>137.2395411606</v>
      </c>
      <c r="CL21" t="s">
        <v>394</v>
      </c>
      <c r="CM21" t="s">
        <v>781</v>
      </c>
      <c r="CN21" t="s">
        <v>785</v>
      </c>
      <c r="CO21">
        <v>801</v>
      </c>
      <c r="CP21">
        <v>114</v>
      </c>
      <c r="CQ21">
        <v>72.208489388299995</v>
      </c>
      <c r="CR21">
        <v>4121</v>
      </c>
      <c r="CS21">
        <v>257</v>
      </c>
      <c r="CT21">
        <v>71.860470759500004</v>
      </c>
      <c r="CU21">
        <v>72.050583657600001</v>
      </c>
      <c r="CW21" t="s">
        <v>394</v>
      </c>
      <c r="CX21" t="s">
        <v>794</v>
      </c>
      <c r="CY21" t="s">
        <v>798</v>
      </c>
      <c r="CZ21">
        <v>110</v>
      </c>
      <c r="DA21">
        <v>16</v>
      </c>
      <c r="DB21">
        <v>65.918181818199997</v>
      </c>
      <c r="DC21">
        <v>365</v>
      </c>
      <c r="DD21">
        <v>25</v>
      </c>
      <c r="DE21">
        <v>140.70684931509999</v>
      </c>
      <c r="DF21">
        <v>125.32</v>
      </c>
      <c r="DH21" t="s">
        <v>394</v>
      </c>
      <c r="DI21" t="s">
        <v>768</v>
      </c>
      <c r="DJ21" t="s">
        <v>772</v>
      </c>
      <c r="DK21">
        <v>106</v>
      </c>
      <c r="DL21">
        <v>20</v>
      </c>
      <c r="DM21">
        <v>72.273584905700005</v>
      </c>
      <c r="DN21">
        <v>299</v>
      </c>
      <c r="DO21">
        <v>27</v>
      </c>
      <c r="DP21">
        <v>123.4615384615</v>
      </c>
      <c r="DQ21">
        <v>120.44444444440001</v>
      </c>
    </row>
    <row r="22" spans="2:121" x14ac:dyDescent="0.2">
      <c r="B22" t="s">
        <v>98</v>
      </c>
      <c r="C22">
        <v>96409</v>
      </c>
      <c r="D22">
        <v>73200</v>
      </c>
      <c r="F22" t="s">
        <v>40</v>
      </c>
      <c r="G22">
        <v>4948</v>
      </c>
      <c r="H22">
        <v>405.47473726760001</v>
      </c>
      <c r="I22">
        <v>7186</v>
      </c>
      <c r="J22">
        <v>2125</v>
      </c>
      <c r="K22">
        <v>9515</v>
      </c>
      <c r="L22">
        <v>5064</v>
      </c>
      <c r="M22">
        <v>3838</v>
      </c>
      <c r="N22">
        <v>3265</v>
      </c>
      <c r="O22">
        <v>656</v>
      </c>
      <c r="P22">
        <v>483</v>
      </c>
      <c r="Q22">
        <v>0</v>
      </c>
      <c r="R22">
        <v>51</v>
      </c>
      <c r="AH22" t="s">
        <v>415</v>
      </c>
      <c r="AI22">
        <v>1092</v>
      </c>
      <c r="AJ22">
        <v>307.34523809519999</v>
      </c>
      <c r="AK22">
        <v>1289</v>
      </c>
      <c r="AL22">
        <v>177</v>
      </c>
      <c r="AM22">
        <v>2104</v>
      </c>
      <c r="AN22">
        <v>887</v>
      </c>
      <c r="AO22">
        <v>848</v>
      </c>
      <c r="AP22">
        <v>637</v>
      </c>
      <c r="AQ22">
        <v>460</v>
      </c>
      <c r="AR22">
        <v>283</v>
      </c>
      <c r="AS22">
        <v>392</v>
      </c>
      <c r="AT22">
        <v>2</v>
      </c>
      <c r="AV22" t="s">
        <v>408</v>
      </c>
      <c r="AW22">
        <v>182</v>
      </c>
      <c r="AX22">
        <v>62.736263736300003</v>
      </c>
      <c r="AY22">
        <v>215</v>
      </c>
      <c r="AZ22">
        <v>5</v>
      </c>
      <c r="BA22">
        <v>322</v>
      </c>
      <c r="BB22">
        <v>41</v>
      </c>
      <c r="BC22">
        <v>1</v>
      </c>
      <c r="BD22">
        <v>1</v>
      </c>
      <c r="BE22">
        <v>11</v>
      </c>
      <c r="BF22">
        <v>6</v>
      </c>
      <c r="BG22">
        <v>380</v>
      </c>
      <c r="BH22">
        <v>69</v>
      </c>
      <c r="BJ22" t="s">
        <v>389</v>
      </c>
      <c r="BK22" t="s">
        <v>389</v>
      </c>
      <c r="BL22">
        <v>55973</v>
      </c>
      <c r="BM22">
        <v>10537</v>
      </c>
      <c r="BN22">
        <v>88.336394333000001</v>
      </c>
      <c r="BO22">
        <v>145507</v>
      </c>
      <c r="BP22">
        <v>9825</v>
      </c>
      <c r="BQ22">
        <v>124.96503948260001</v>
      </c>
      <c r="BR22">
        <v>125.2784732824</v>
      </c>
      <c r="BS22">
        <v>18593</v>
      </c>
      <c r="BT22">
        <v>5063</v>
      </c>
      <c r="BU22">
        <v>102.1070295272</v>
      </c>
      <c r="BV22">
        <v>165430</v>
      </c>
      <c r="BW22">
        <v>11726</v>
      </c>
      <c r="BX22">
        <v>129.73976908660001</v>
      </c>
      <c r="BY22">
        <v>127.4824322019</v>
      </c>
      <c r="CA22" t="s">
        <v>400</v>
      </c>
      <c r="CB22" t="s">
        <v>806</v>
      </c>
      <c r="CC22" t="s">
        <v>1006</v>
      </c>
      <c r="CD22">
        <v>5282</v>
      </c>
      <c r="CE22">
        <v>709</v>
      </c>
      <c r="CF22">
        <v>76.931276031799996</v>
      </c>
      <c r="CG22">
        <v>15578</v>
      </c>
      <c r="CH22">
        <v>950</v>
      </c>
      <c r="CI22">
        <v>107.1966234433</v>
      </c>
      <c r="CJ22">
        <v>110.4568421053</v>
      </c>
      <c r="CL22" t="s">
        <v>400</v>
      </c>
      <c r="CM22" t="s">
        <v>781</v>
      </c>
      <c r="CN22" t="s">
        <v>786</v>
      </c>
      <c r="CO22">
        <v>285</v>
      </c>
      <c r="CP22">
        <v>13</v>
      </c>
      <c r="CQ22">
        <v>58.340350877200002</v>
      </c>
      <c r="CR22">
        <v>1727</v>
      </c>
      <c r="CS22">
        <v>127</v>
      </c>
      <c r="CT22">
        <v>63.049797336399998</v>
      </c>
      <c r="CU22">
        <v>64.015748031499996</v>
      </c>
      <c r="CW22" t="s">
        <v>400</v>
      </c>
      <c r="CX22" t="s">
        <v>794</v>
      </c>
      <c r="CY22" t="s">
        <v>799</v>
      </c>
      <c r="CZ22">
        <v>55</v>
      </c>
      <c r="DA22">
        <v>5</v>
      </c>
      <c r="DB22">
        <v>56.4</v>
      </c>
      <c r="DC22">
        <v>171</v>
      </c>
      <c r="DD22">
        <v>14</v>
      </c>
      <c r="DE22">
        <v>124.6023391813</v>
      </c>
      <c r="DF22">
        <v>89.285714285699996</v>
      </c>
      <c r="DH22" t="s">
        <v>400</v>
      </c>
      <c r="DI22" t="s">
        <v>768</v>
      </c>
      <c r="DJ22" t="s">
        <v>773</v>
      </c>
      <c r="DK22">
        <v>27</v>
      </c>
      <c r="DL22">
        <v>1</v>
      </c>
      <c r="DM22">
        <v>50.7037037037</v>
      </c>
      <c r="DN22">
        <v>98</v>
      </c>
      <c r="DO22">
        <v>6</v>
      </c>
      <c r="DP22">
        <v>130.5612244898</v>
      </c>
      <c r="DQ22">
        <v>210.8333333333</v>
      </c>
    </row>
    <row r="23" spans="2:121" x14ac:dyDescent="0.2">
      <c r="B23" t="s">
        <v>126</v>
      </c>
      <c r="C23">
        <v>10393</v>
      </c>
      <c r="D23">
        <v>6860</v>
      </c>
      <c r="F23" t="s">
        <v>50</v>
      </c>
      <c r="G23">
        <v>1512</v>
      </c>
      <c r="H23">
        <v>126.6712962963</v>
      </c>
      <c r="I23">
        <v>1860</v>
      </c>
      <c r="J23">
        <v>232</v>
      </c>
      <c r="K23">
        <v>3288</v>
      </c>
      <c r="L23">
        <v>902</v>
      </c>
      <c r="M23">
        <v>722</v>
      </c>
      <c r="N23">
        <v>463</v>
      </c>
      <c r="O23">
        <v>554</v>
      </c>
      <c r="P23">
        <v>392</v>
      </c>
      <c r="Q23">
        <v>2</v>
      </c>
      <c r="R23">
        <v>17</v>
      </c>
      <c r="AH23" t="s">
        <v>375</v>
      </c>
      <c r="AI23">
        <v>8168</v>
      </c>
      <c r="AJ23">
        <v>638.22575905969995</v>
      </c>
      <c r="AK23">
        <v>6529</v>
      </c>
      <c r="AL23">
        <v>1474</v>
      </c>
      <c r="AM23">
        <v>12574</v>
      </c>
      <c r="AN23">
        <v>7917</v>
      </c>
      <c r="AO23">
        <v>4295</v>
      </c>
      <c r="AP23">
        <v>3695</v>
      </c>
      <c r="AQ23">
        <v>3261</v>
      </c>
      <c r="AR23">
        <v>2297</v>
      </c>
      <c r="AS23">
        <v>498</v>
      </c>
      <c r="AT23">
        <v>6</v>
      </c>
      <c r="AV23" t="s">
        <v>381</v>
      </c>
      <c r="AW23">
        <v>1636</v>
      </c>
      <c r="AX23">
        <v>113.3881418093</v>
      </c>
      <c r="AY23">
        <v>1435</v>
      </c>
      <c r="AZ23">
        <v>266</v>
      </c>
      <c r="BA23">
        <v>1975</v>
      </c>
      <c r="BB23">
        <v>789</v>
      </c>
      <c r="BC23">
        <v>16</v>
      </c>
      <c r="BD23">
        <v>15</v>
      </c>
      <c r="BE23">
        <v>81</v>
      </c>
      <c r="BF23">
        <v>32</v>
      </c>
      <c r="BG23">
        <v>249</v>
      </c>
      <c r="BH23">
        <v>358</v>
      </c>
      <c r="BJ23" t="s">
        <v>570</v>
      </c>
      <c r="BK23" t="s">
        <v>389</v>
      </c>
      <c r="BL23">
        <v>4554</v>
      </c>
      <c r="BM23">
        <v>671</v>
      </c>
      <c r="BN23">
        <v>78.944883618800006</v>
      </c>
      <c r="BO23">
        <v>12003</v>
      </c>
      <c r="BP23">
        <v>747</v>
      </c>
      <c r="BQ23">
        <v>113.9027743064</v>
      </c>
      <c r="BR23">
        <v>109.94109772420001</v>
      </c>
      <c r="BS23">
        <v>1509</v>
      </c>
      <c r="BT23">
        <v>285</v>
      </c>
      <c r="BU23">
        <v>91.920477137199995</v>
      </c>
      <c r="BV23">
        <v>13643</v>
      </c>
      <c r="BW23">
        <v>772</v>
      </c>
      <c r="BX23">
        <v>126.703291065</v>
      </c>
      <c r="BY23">
        <v>120.6126943005</v>
      </c>
      <c r="CA23" t="s">
        <v>396</v>
      </c>
      <c r="CB23" t="s">
        <v>806</v>
      </c>
      <c r="CC23" t="s">
        <v>1007</v>
      </c>
      <c r="CD23">
        <v>6433</v>
      </c>
      <c r="CE23">
        <v>1289</v>
      </c>
      <c r="CF23">
        <v>89.677599875599995</v>
      </c>
      <c r="CG23">
        <v>16846</v>
      </c>
      <c r="CH23">
        <v>1047</v>
      </c>
      <c r="CI23">
        <v>117.7496141517</v>
      </c>
      <c r="CJ23">
        <v>127.4689589303</v>
      </c>
      <c r="CL23" t="s">
        <v>396</v>
      </c>
      <c r="CM23" t="s">
        <v>781</v>
      </c>
      <c r="CN23" t="s">
        <v>787</v>
      </c>
      <c r="CO23">
        <v>557</v>
      </c>
      <c r="CP23">
        <v>84</v>
      </c>
      <c r="CQ23">
        <v>72.624775583499996</v>
      </c>
      <c r="CR23">
        <v>2895</v>
      </c>
      <c r="CS23">
        <v>189</v>
      </c>
      <c r="CT23">
        <v>70.554749568199995</v>
      </c>
      <c r="CU23">
        <v>75.640211640199993</v>
      </c>
      <c r="CW23" t="s">
        <v>396</v>
      </c>
      <c r="CX23" t="s">
        <v>794</v>
      </c>
      <c r="CY23" t="s">
        <v>800</v>
      </c>
      <c r="CZ23">
        <v>95</v>
      </c>
      <c r="DA23">
        <v>7</v>
      </c>
      <c r="DB23">
        <v>57.147368421099998</v>
      </c>
      <c r="DC23">
        <v>411</v>
      </c>
      <c r="DD23">
        <v>24</v>
      </c>
      <c r="DE23">
        <v>124.5766423358</v>
      </c>
      <c r="DF23">
        <v>110.7083333333</v>
      </c>
      <c r="DH23" t="s">
        <v>396</v>
      </c>
      <c r="DI23" t="s">
        <v>768</v>
      </c>
      <c r="DJ23" t="s">
        <v>774</v>
      </c>
      <c r="DK23">
        <v>115</v>
      </c>
      <c r="DL23">
        <v>10</v>
      </c>
      <c r="DM23">
        <v>67.295652173899995</v>
      </c>
      <c r="DN23">
        <v>370</v>
      </c>
      <c r="DO23">
        <v>13</v>
      </c>
      <c r="DP23">
        <v>124.76486486490001</v>
      </c>
      <c r="DQ23">
        <v>117.5384615385</v>
      </c>
    </row>
    <row r="24" spans="2:121" x14ac:dyDescent="0.2">
      <c r="B24" t="s">
        <v>128</v>
      </c>
      <c r="C24">
        <v>1045</v>
      </c>
      <c r="D24">
        <v>49</v>
      </c>
      <c r="F24" t="s">
        <v>76</v>
      </c>
      <c r="G24">
        <v>3499</v>
      </c>
      <c r="H24">
        <v>166.80251500430001</v>
      </c>
      <c r="I24">
        <v>11077</v>
      </c>
      <c r="J24">
        <v>1866</v>
      </c>
      <c r="K24">
        <v>13312</v>
      </c>
      <c r="L24">
        <v>3458</v>
      </c>
      <c r="M24">
        <v>5398</v>
      </c>
      <c r="N24">
        <v>4094</v>
      </c>
      <c r="O24">
        <v>1096</v>
      </c>
      <c r="P24">
        <v>663</v>
      </c>
      <c r="Q24">
        <v>31</v>
      </c>
      <c r="R24">
        <v>0</v>
      </c>
      <c r="T24" t="s">
        <v>646</v>
      </c>
      <c r="U24" t="s">
        <v>306</v>
      </c>
      <c r="V24" t="s">
        <v>133</v>
      </c>
      <c r="W24" t="s">
        <v>214</v>
      </c>
      <c r="X24" t="s">
        <v>215</v>
      </c>
      <c r="Y24" t="s">
        <v>216</v>
      </c>
      <c r="Z24" t="s">
        <v>217</v>
      </c>
      <c r="AA24" t="s">
        <v>218</v>
      </c>
      <c r="AB24" t="s">
        <v>219</v>
      </c>
      <c r="AC24" t="s">
        <v>220</v>
      </c>
      <c r="AD24" t="s">
        <v>221</v>
      </c>
      <c r="AE24" t="s">
        <v>222</v>
      </c>
      <c r="AF24" t="s">
        <v>223</v>
      </c>
      <c r="AH24" t="s">
        <v>370</v>
      </c>
      <c r="AI24">
        <v>3529</v>
      </c>
      <c r="AJ24">
        <v>544.42759988670002</v>
      </c>
      <c r="AK24">
        <v>4384</v>
      </c>
      <c r="AL24">
        <v>888</v>
      </c>
      <c r="AM24">
        <v>7661</v>
      </c>
      <c r="AN24">
        <v>3754</v>
      </c>
      <c r="AO24">
        <v>2611</v>
      </c>
      <c r="AP24">
        <v>2111</v>
      </c>
      <c r="AQ24">
        <v>1363</v>
      </c>
      <c r="AR24">
        <v>1037</v>
      </c>
      <c r="AS24">
        <v>790</v>
      </c>
      <c r="AT24">
        <v>12</v>
      </c>
      <c r="AV24" t="s">
        <v>418</v>
      </c>
      <c r="AW24">
        <v>37</v>
      </c>
      <c r="AX24">
        <v>78.513513513500001</v>
      </c>
      <c r="AY24">
        <v>24</v>
      </c>
      <c r="BA24">
        <v>54</v>
      </c>
      <c r="BB24">
        <v>8</v>
      </c>
      <c r="BC24">
        <v>0</v>
      </c>
      <c r="BE24">
        <v>0</v>
      </c>
      <c r="BG24">
        <v>66</v>
      </c>
      <c r="BH24">
        <v>11</v>
      </c>
      <c r="BJ24" t="s">
        <v>634</v>
      </c>
      <c r="BK24" t="s">
        <v>389</v>
      </c>
      <c r="BL24">
        <v>1290</v>
      </c>
      <c r="BM24">
        <v>248</v>
      </c>
      <c r="BN24">
        <v>80.612403100799995</v>
      </c>
      <c r="BO24">
        <v>2515</v>
      </c>
      <c r="BP24">
        <v>229</v>
      </c>
      <c r="BQ24">
        <v>108.29145129219999</v>
      </c>
      <c r="BR24">
        <v>116.4454148472</v>
      </c>
      <c r="BS24">
        <v>560</v>
      </c>
      <c r="BT24">
        <v>159</v>
      </c>
      <c r="BU24">
        <v>97.719642857099998</v>
      </c>
      <c r="BV24">
        <v>4376</v>
      </c>
      <c r="BW24">
        <v>303</v>
      </c>
      <c r="BX24">
        <v>130.67070383910001</v>
      </c>
      <c r="BY24">
        <v>135.99339933990001</v>
      </c>
      <c r="CA24" t="s">
        <v>399</v>
      </c>
      <c r="CB24" t="s">
        <v>806</v>
      </c>
      <c r="CC24" t="s">
        <v>1008</v>
      </c>
      <c r="CD24">
        <v>1810</v>
      </c>
      <c r="CE24">
        <v>225</v>
      </c>
      <c r="CF24">
        <v>70.709944751400002</v>
      </c>
      <c r="CG24">
        <v>6043</v>
      </c>
      <c r="CH24">
        <v>424</v>
      </c>
      <c r="CI24">
        <v>112.6837663412</v>
      </c>
      <c r="CJ24">
        <v>103.5518867925</v>
      </c>
      <c r="CL24" t="s">
        <v>399</v>
      </c>
      <c r="CM24" t="s">
        <v>781</v>
      </c>
      <c r="CN24" t="s">
        <v>788</v>
      </c>
      <c r="CO24">
        <v>97</v>
      </c>
      <c r="CP24">
        <v>15</v>
      </c>
      <c r="CQ24">
        <v>88.721649484500006</v>
      </c>
      <c r="CR24">
        <v>533</v>
      </c>
      <c r="CS24">
        <v>56</v>
      </c>
      <c r="CT24">
        <v>73.303939962499996</v>
      </c>
      <c r="CU24">
        <v>82.267857142899999</v>
      </c>
      <c r="CW24" t="s">
        <v>399</v>
      </c>
      <c r="CX24" t="s">
        <v>794</v>
      </c>
      <c r="CY24" t="s">
        <v>801</v>
      </c>
      <c r="CZ24">
        <v>33</v>
      </c>
      <c r="DA24">
        <v>6</v>
      </c>
      <c r="DB24">
        <v>72.878787878799997</v>
      </c>
      <c r="DC24">
        <v>100</v>
      </c>
      <c r="DD24">
        <v>4</v>
      </c>
      <c r="DE24">
        <v>118.39</v>
      </c>
      <c r="DF24">
        <v>48</v>
      </c>
      <c r="DH24" t="s">
        <v>399</v>
      </c>
      <c r="DI24" t="s">
        <v>768</v>
      </c>
      <c r="DJ24" t="s">
        <v>775</v>
      </c>
      <c r="DK24">
        <v>69</v>
      </c>
      <c r="DL24">
        <v>1</v>
      </c>
      <c r="DM24">
        <v>46.768115942000001</v>
      </c>
      <c r="DN24">
        <v>190</v>
      </c>
      <c r="DO24">
        <v>11</v>
      </c>
      <c r="DP24">
        <v>117.92105263160001</v>
      </c>
      <c r="DQ24">
        <v>118.7272727273</v>
      </c>
    </row>
    <row r="25" spans="2:121" x14ac:dyDescent="0.2">
      <c r="B25" t="s">
        <v>1060</v>
      </c>
      <c r="C25">
        <v>250</v>
      </c>
      <c r="D25">
        <v>78</v>
      </c>
      <c r="F25" t="s">
        <v>67</v>
      </c>
      <c r="G25">
        <v>810</v>
      </c>
      <c r="H25">
        <v>294.72345679009999</v>
      </c>
      <c r="I25">
        <v>2402</v>
      </c>
      <c r="J25">
        <v>347</v>
      </c>
      <c r="K25">
        <v>3351</v>
      </c>
      <c r="L25">
        <v>787</v>
      </c>
      <c r="M25">
        <v>1482</v>
      </c>
      <c r="N25">
        <v>1374</v>
      </c>
      <c r="O25">
        <v>427</v>
      </c>
      <c r="P25">
        <v>250</v>
      </c>
      <c r="Q25">
        <v>0</v>
      </c>
      <c r="R25">
        <v>1</v>
      </c>
      <c r="T25" t="s">
        <v>384</v>
      </c>
      <c r="U25">
        <v>41461</v>
      </c>
      <c r="V25">
        <v>336.63020670029999</v>
      </c>
      <c r="W25">
        <v>66857</v>
      </c>
      <c r="X25">
        <v>13195</v>
      </c>
      <c r="Y25">
        <v>81719</v>
      </c>
      <c r="Z25">
        <v>36895</v>
      </c>
      <c r="AA25">
        <v>21581</v>
      </c>
      <c r="AB25">
        <v>15348</v>
      </c>
      <c r="AC25">
        <v>32617</v>
      </c>
      <c r="AD25">
        <v>19817</v>
      </c>
      <c r="AE25">
        <v>1366</v>
      </c>
      <c r="AF25">
        <v>1136</v>
      </c>
      <c r="AH25" t="s">
        <v>394</v>
      </c>
      <c r="AI25">
        <v>3189</v>
      </c>
      <c r="AJ25">
        <v>360.27845719660002</v>
      </c>
      <c r="AK25">
        <v>8062</v>
      </c>
      <c r="AL25">
        <v>1913</v>
      </c>
      <c r="AM25">
        <v>8043</v>
      </c>
      <c r="AN25">
        <v>3814</v>
      </c>
      <c r="AO25">
        <v>2159</v>
      </c>
      <c r="AP25">
        <v>1820</v>
      </c>
      <c r="AQ25">
        <v>2766</v>
      </c>
      <c r="AR25">
        <v>1557</v>
      </c>
      <c r="AS25">
        <v>1086</v>
      </c>
      <c r="AT25">
        <v>231</v>
      </c>
      <c r="AV25" t="s">
        <v>382</v>
      </c>
      <c r="AW25">
        <v>1000</v>
      </c>
      <c r="AX25">
        <v>112.551</v>
      </c>
      <c r="AY25">
        <v>1047</v>
      </c>
      <c r="AZ25">
        <v>200</v>
      </c>
      <c r="BA25">
        <v>1217</v>
      </c>
      <c r="BB25">
        <v>481</v>
      </c>
      <c r="BC25">
        <v>0</v>
      </c>
      <c r="BE25">
        <v>53</v>
      </c>
      <c r="BF25">
        <v>11</v>
      </c>
      <c r="BG25">
        <v>164</v>
      </c>
      <c r="BH25">
        <v>227</v>
      </c>
      <c r="BJ25" t="s">
        <v>573</v>
      </c>
      <c r="BK25" t="s">
        <v>389</v>
      </c>
      <c r="BL25">
        <v>6600</v>
      </c>
      <c r="BM25">
        <v>1290</v>
      </c>
      <c r="BN25">
        <v>89.421818181800006</v>
      </c>
      <c r="BO25">
        <v>15902</v>
      </c>
      <c r="BP25">
        <v>1012</v>
      </c>
      <c r="BQ25">
        <v>120.4883033581</v>
      </c>
      <c r="BR25">
        <v>129.21442687749999</v>
      </c>
      <c r="BS25">
        <v>2432</v>
      </c>
      <c r="BT25">
        <v>705</v>
      </c>
      <c r="BU25">
        <v>100.9638157895</v>
      </c>
      <c r="BV25">
        <v>17932</v>
      </c>
      <c r="BW25">
        <v>1203</v>
      </c>
      <c r="BX25">
        <v>123.6953490966</v>
      </c>
      <c r="BY25">
        <v>128.3408146301</v>
      </c>
      <c r="CA25" t="s">
        <v>418</v>
      </c>
      <c r="CB25" t="s">
        <v>806</v>
      </c>
      <c r="CC25" t="s">
        <v>1009</v>
      </c>
      <c r="CD25">
        <v>654</v>
      </c>
      <c r="CE25">
        <v>94</v>
      </c>
      <c r="CF25">
        <v>71.432721712499998</v>
      </c>
      <c r="CG25">
        <v>2093</v>
      </c>
      <c r="CH25">
        <v>134</v>
      </c>
      <c r="CI25">
        <v>98.441471571899996</v>
      </c>
      <c r="CJ25">
        <v>89.731343283599998</v>
      </c>
      <c r="CL25" t="s">
        <v>418</v>
      </c>
      <c r="CM25" t="s">
        <v>781</v>
      </c>
      <c r="CN25" t="s">
        <v>789</v>
      </c>
      <c r="CO25">
        <v>35</v>
      </c>
      <c r="CP25">
        <v>3</v>
      </c>
      <c r="CQ25">
        <v>54.457142857100003</v>
      </c>
      <c r="CR25">
        <v>199</v>
      </c>
      <c r="CS25">
        <v>9</v>
      </c>
      <c r="CT25">
        <v>64.150753768800001</v>
      </c>
      <c r="CU25">
        <v>82.111111111100001</v>
      </c>
      <c r="CW25" t="s">
        <v>418</v>
      </c>
      <c r="CX25" t="s">
        <v>794</v>
      </c>
      <c r="CY25" t="s">
        <v>802</v>
      </c>
      <c r="CZ25">
        <v>6</v>
      </c>
      <c r="DA25">
        <v>2</v>
      </c>
      <c r="DB25">
        <v>85.166666666699996</v>
      </c>
      <c r="DC25">
        <v>36</v>
      </c>
      <c r="DD25">
        <v>2</v>
      </c>
      <c r="DE25">
        <v>113.55555555559999</v>
      </c>
      <c r="DF25">
        <v>187</v>
      </c>
      <c r="DH25" t="s">
        <v>418</v>
      </c>
      <c r="DI25" t="s">
        <v>768</v>
      </c>
      <c r="DJ25" t="s">
        <v>776</v>
      </c>
      <c r="DK25">
        <v>12</v>
      </c>
      <c r="DL25">
        <v>1</v>
      </c>
      <c r="DM25">
        <v>54.75</v>
      </c>
      <c r="DN25">
        <v>14</v>
      </c>
      <c r="DO25">
        <v>2</v>
      </c>
      <c r="DP25">
        <v>99.142857142899999</v>
      </c>
      <c r="DQ25">
        <v>29</v>
      </c>
    </row>
    <row r="26" spans="2:121" x14ac:dyDescent="0.2">
      <c r="B26" t="s">
        <v>118</v>
      </c>
      <c r="C26">
        <v>28</v>
      </c>
      <c r="D26">
        <v>20</v>
      </c>
      <c r="F26" t="s">
        <v>27</v>
      </c>
      <c r="G26">
        <v>1252</v>
      </c>
      <c r="H26">
        <v>74.357028753999998</v>
      </c>
      <c r="I26">
        <v>5782</v>
      </c>
      <c r="J26">
        <v>551</v>
      </c>
      <c r="K26">
        <v>6044</v>
      </c>
      <c r="L26">
        <v>827</v>
      </c>
      <c r="M26">
        <v>1028</v>
      </c>
      <c r="N26">
        <v>351</v>
      </c>
      <c r="O26">
        <v>1589</v>
      </c>
      <c r="P26">
        <v>1008</v>
      </c>
      <c r="Q26">
        <v>1</v>
      </c>
      <c r="R26">
        <v>13</v>
      </c>
      <c r="T26" t="s">
        <v>389</v>
      </c>
      <c r="U26">
        <v>29785</v>
      </c>
      <c r="V26">
        <v>385.06318616750002</v>
      </c>
      <c r="W26">
        <v>53704</v>
      </c>
      <c r="X26">
        <v>10210</v>
      </c>
      <c r="Y26">
        <v>66124</v>
      </c>
      <c r="Z26">
        <v>27941</v>
      </c>
      <c r="AA26">
        <v>17327</v>
      </c>
      <c r="AB26">
        <v>13747</v>
      </c>
      <c r="AC26">
        <v>22794</v>
      </c>
      <c r="AD26">
        <v>15243</v>
      </c>
      <c r="AE26">
        <v>5899</v>
      </c>
      <c r="AF26">
        <v>1131</v>
      </c>
      <c r="AH26" t="s">
        <v>400</v>
      </c>
      <c r="AI26">
        <v>1520</v>
      </c>
      <c r="AJ26">
        <v>181.60789473680001</v>
      </c>
      <c r="AK26">
        <v>5177</v>
      </c>
      <c r="AL26">
        <v>724</v>
      </c>
      <c r="AM26">
        <v>5314</v>
      </c>
      <c r="AN26">
        <v>969</v>
      </c>
      <c r="AO26">
        <v>1004</v>
      </c>
      <c r="AP26">
        <v>584</v>
      </c>
      <c r="AQ26">
        <v>1155</v>
      </c>
      <c r="AR26">
        <v>687</v>
      </c>
      <c r="AS26">
        <v>9</v>
      </c>
      <c r="AT26">
        <v>5</v>
      </c>
      <c r="AV26" t="s">
        <v>416</v>
      </c>
      <c r="AW26">
        <v>43</v>
      </c>
      <c r="AX26">
        <v>115.90697674419999</v>
      </c>
      <c r="AY26">
        <v>47</v>
      </c>
      <c r="AZ26">
        <v>10</v>
      </c>
      <c r="BA26">
        <v>55</v>
      </c>
      <c r="BB26">
        <v>19</v>
      </c>
      <c r="BC26">
        <v>0</v>
      </c>
      <c r="BE26">
        <v>2</v>
      </c>
      <c r="BF26">
        <v>1</v>
      </c>
      <c r="BG26">
        <v>9</v>
      </c>
      <c r="BH26">
        <v>8</v>
      </c>
      <c r="BJ26" t="s">
        <v>579</v>
      </c>
      <c r="BK26" t="s">
        <v>389</v>
      </c>
      <c r="BL26">
        <v>8173</v>
      </c>
      <c r="BM26">
        <v>1398</v>
      </c>
      <c r="BN26">
        <v>83.198213630200001</v>
      </c>
      <c r="BO26">
        <v>20080</v>
      </c>
      <c r="BP26">
        <v>1293</v>
      </c>
      <c r="BQ26">
        <v>115.5083167331</v>
      </c>
      <c r="BR26">
        <v>121.18716163960001</v>
      </c>
      <c r="BS26">
        <v>2328</v>
      </c>
      <c r="BT26">
        <v>547</v>
      </c>
      <c r="BU26">
        <v>100.2332474227</v>
      </c>
      <c r="BV26">
        <v>24460</v>
      </c>
      <c r="BW26">
        <v>1695</v>
      </c>
      <c r="BX26">
        <v>125.118683565</v>
      </c>
      <c r="BY26">
        <v>124.0784660767</v>
      </c>
      <c r="CA26" t="s">
        <v>390</v>
      </c>
      <c r="CB26" t="s">
        <v>806</v>
      </c>
      <c r="CC26" t="s">
        <v>1010</v>
      </c>
      <c r="CD26">
        <v>8158</v>
      </c>
      <c r="CE26">
        <v>1488</v>
      </c>
      <c r="CF26">
        <v>94.591689139500005</v>
      </c>
      <c r="CG26">
        <v>24106</v>
      </c>
      <c r="CH26">
        <v>1479</v>
      </c>
      <c r="CI26">
        <v>127.9211399652</v>
      </c>
      <c r="CJ26">
        <v>125.83975659230001</v>
      </c>
      <c r="CL26" t="s">
        <v>390</v>
      </c>
      <c r="CM26" t="s">
        <v>781</v>
      </c>
      <c r="CN26" t="s">
        <v>790</v>
      </c>
      <c r="CO26">
        <v>818</v>
      </c>
      <c r="CP26">
        <v>94</v>
      </c>
      <c r="CQ26">
        <v>73.564792175999997</v>
      </c>
      <c r="CR26">
        <v>4624</v>
      </c>
      <c r="CS26">
        <v>261</v>
      </c>
      <c r="CT26">
        <v>71.666738754299999</v>
      </c>
      <c r="CU26">
        <v>77.789272030700005</v>
      </c>
      <c r="CW26" t="s">
        <v>390</v>
      </c>
      <c r="CX26" t="s">
        <v>794</v>
      </c>
      <c r="CY26" t="s">
        <v>803</v>
      </c>
      <c r="CZ26">
        <v>167</v>
      </c>
      <c r="DA26">
        <v>18</v>
      </c>
      <c r="DB26">
        <v>65.982035928100004</v>
      </c>
      <c r="DC26">
        <v>522</v>
      </c>
      <c r="DD26">
        <v>19</v>
      </c>
      <c r="DE26">
        <v>137.32183908050001</v>
      </c>
      <c r="DF26">
        <v>139.52631578949999</v>
      </c>
      <c r="DH26" t="s">
        <v>390</v>
      </c>
      <c r="DI26" t="s">
        <v>768</v>
      </c>
      <c r="DJ26" t="s">
        <v>777</v>
      </c>
      <c r="DK26">
        <v>134</v>
      </c>
      <c r="DL26">
        <v>32</v>
      </c>
      <c r="DM26">
        <v>82.246268656699996</v>
      </c>
      <c r="DN26">
        <v>368</v>
      </c>
      <c r="DO26">
        <v>26</v>
      </c>
      <c r="DP26">
        <v>130.80706521740001</v>
      </c>
      <c r="DQ26">
        <v>134.69230769230001</v>
      </c>
    </row>
    <row r="27" spans="2:121" x14ac:dyDescent="0.2">
      <c r="B27" t="s">
        <v>90</v>
      </c>
      <c r="C27">
        <v>10316</v>
      </c>
      <c r="D27">
        <v>1991</v>
      </c>
      <c r="F27" t="s">
        <v>72</v>
      </c>
      <c r="G27">
        <v>707</v>
      </c>
      <c r="H27">
        <v>279.82178217820001</v>
      </c>
      <c r="I27">
        <v>1713</v>
      </c>
      <c r="J27">
        <v>561</v>
      </c>
      <c r="K27">
        <v>3521</v>
      </c>
      <c r="L27">
        <v>1069</v>
      </c>
      <c r="M27">
        <v>863</v>
      </c>
      <c r="N27">
        <v>777</v>
      </c>
      <c r="O27">
        <v>762</v>
      </c>
      <c r="P27">
        <v>657</v>
      </c>
      <c r="Q27">
        <v>0</v>
      </c>
      <c r="R27">
        <v>2</v>
      </c>
      <c r="T27" t="s">
        <v>368</v>
      </c>
      <c r="U27">
        <v>57730</v>
      </c>
      <c r="V27">
        <v>386.07654599</v>
      </c>
      <c r="W27">
        <v>74530</v>
      </c>
      <c r="X27">
        <v>16767</v>
      </c>
      <c r="Y27">
        <v>104612</v>
      </c>
      <c r="Z27">
        <v>53172</v>
      </c>
      <c r="AA27">
        <v>34725</v>
      </c>
      <c r="AB27">
        <v>27903</v>
      </c>
      <c r="AC27">
        <v>39604</v>
      </c>
      <c r="AD27">
        <v>28666</v>
      </c>
      <c r="AE27">
        <v>9423</v>
      </c>
      <c r="AF27">
        <v>141</v>
      </c>
      <c r="AH27" t="s">
        <v>388</v>
      </c>
      <c r="AI27">
        <v>3368</v>
      </c>
      <c r="AJ27">
        <v>391.9183491686</v>
      </c>
      <c r="AK27">
        <v>4890</v>
      </c>
      <c r="AL27">
        <v>1480</v>
      </c>
      <c r="AM27">
        <v>7144</v>
      </c>
      <c r="AN27">
        <v>3940</v>
      </c>
      <c r="AO27">
        <v>1914</v>
      </c>
      <c r="AP27">
        <v>1350</v>
      </c>
      <c r="AQ27">
        <v>1763</v>
      </c>
      <c r="AR27">
        <v>1173</v>
      </c>
      <c r="AS27">
        <v>509</v>
      </c>
      <c r="AT27">
        <v>245</v>
      </c>
      <c r="AV27" t="s">
        <v>8</v>
      </c>
      <c r="AW27">
        <v>180</v>
      </c>
      <c r="AX27">
        <v>101.85</v>
      </c>
      <c r="AY27">
        <v>222</v>
      </c>
      <c r="AZ27">
        <v>118</v>
      </c>
      <c r="BA27">
        <v>366</v>
      </c>
      <c r="BB27">
        <v>213</v>
      </c>
      <c r="BC27">
        <v>6</v>
      </c>
      <c r="BD27">
        <v>6</v>
      </c>
      <c r="BE27">
        <v>9</v>
      </c>
      <c r="BF27">
        <v>4</v>
      </c>
      <c r="BG27">
        <v>62</v>
      </c>
      <c r="BH27">
        <v>26</v>
      </c>
      <c r="BJ27" t="s">
        <v>638</v>
      </c>
      <c r="BK27" t="s">
        <v>389</v>
      </c>
      <c r="BL27">
        <v>2502</v>
      </c>
      <c r="BM27">
        <v>377</v>
      </c>
      <c r="BN27">
        <v>76.264588329299997</v>
      </c>
      <c r="BO27">
        <v>7082</v>
      </c>
      <c r="BP27">
        <v>406</v>
      </c>
      <c r="BQ27">
        <v>121.7195707427</v>
      </c>
      <c r="BR27">
        <v>114.80541871920001</v>
      </c>
      <c r="BS27">
        <v>647</v>
      </c>
      <c r="BT27">
        <v>171</v>
      </c>
      <c r="BU27">
        <v>93.863987635200004</v>
      </c>
      <c r="BV27">
        <v>6124</v>
      </c>
      <c r="BW27">
        <v>559</v>
      </c>
      <c r="BX27">
        <v>122.4441541476</v>
      </c>
      <c r="BY27">
        <v>119.4686940966</v>
      </c>
      <c r="CA27" t="s">
        <v>419</v>
      </c>
      <c r="CB27" t="s">
        <v>806</v>
      </c>
      <c r="CC27" t="s">
        <v>1011</v>
      </c>
      <c r="CD27">
        <v>1054</v>
      </c>
      <c r="CE27">
        <v>260</v>
      </c>
      <c r="CF27">
        <v>91.757115749500002</v>
      </c>
      <c r="CG27">
        <v>2647</v>
      </c>
      <c r="CH27">
        <v>227</v>
      </c>
      <c r="CI27">
        <v>107.3513411409</v>
      </c>
      <c r="CJ27">
        <v>110.81497797359999</v>
      </c>
      <c r="CL27" t="s">
        <v>419</v>
      </c>
      <c r="CM27" t="s">
        <v>781</v>
      </c>
      <c r="CN27" t="s">
        <v>791</v>
      </c>
      <c r="CO27">
        <v>47</v>
      </c>
      <c r="CP27">
        <v>3</v>
      </c>
      <c r="CQ27">
        <v>63.042553191499998</v>
      </c>
      <c r="CR27">
        <v>374</v>
      </c>
      <c r="CS27">
        <v>38</v>
      </c>
      <c r="CT27">
        <v>62.467914438500003</v>
      </c>
      <c r="CU27">
        <v>72.210526315799996</v>
      </c>
      <c r="CW27" t="s">
        <v>419</v>
      </c>
      <c r="CX27" t="s">
        <v>794</v>
      </c>
      <c r="CY27" t="s">
        <v>804</v>
      </c>
      <c r="CZ27">
        <v>11</v>
      </c>
      <c r="DA27">
        <v>1</v>
      </c>
      <c r="DB27">
        <v>59.272727272700003</v>
      </c>
      <c r="DC27">
        <v>30</v>
      </c>
      <c r="DD27">
        <v>2</v>
      </c>
      <c r="DE27">
        <v>135.03333333329999</v>
      </c>
      <c r="DF27">
        <v>14</v>
      </c>
      <c r="DH27" t="s">
        <v>419</v>
      </c>
      <c r="DI27" t="s">
        <v>768</v>
      </c>
      <c r="DJ27" t="s">
        <v>778</v>
      </c>
      <c r="DK27">
        <v>8</v>
      </c>
      <c r="DL27">
        <v>0</v>
      </c>
      <c r="DM27">
        <v>66.375</v>
      </c>
      <c r="DN27">
        <v>24</v>
      </c>
      <c r="DO27">
        <v>2</v>
      </c>
      <c r="DP27">
        <v>153.375</v>
      </c>
      <c r="DQ27">
        <v>154</v>
      </c>
    </row>
    <row r="28" spans="2:121" x14ac:dyDescent="0.2">
      <c r="B28" t="s">
        <v>95</v>
      </c>
      <c r="C28">
        <v>1163</v>
      </c>
      <c r="D28">
        <v>709</v>
      </c>
      <c r="F28" t="s">
        <v>68</v>
      </c>
      <c r="G28">
        <v>2554</v>
      </c>
      <c r="H28">
        <v>445.53797963980003</v>
      </c>
      <c r="I28">
        <v>3760</v>
      </c>
      <c r="J28">
        <v>989</v>
      </c>
      <c r="K28">
        <v>3882</v>
      </c>
      <c r="L28">
        <v>2346</v>
      </c>
      <c r="M28">
        <v>611</v>
      </c>
      <c r="N28">
        <v>474</v>
      </c>
      <c r="O28">
        <v>1188</v>
      </c>
      <c r="P28">
        <v>969</v>
      </c>
      <c r="Q28">
        <v>0</v>
      </c>
      <c r="R28">
        <v>127</v>
      </c>
      <c r="T28" t="s">
        <v>8</v>
      </c>
      <c r="U28">
        <v>3108</v>
      </c>
      <c r="V28">
        <v>335.09652509649999</v>
      </c>
      <c r="W28">
        <v>4448</v>
      </c>
      <c r="X28">
        <v>1761</v>
      </c>
      <c r="Y28">
        <v>5090</v>
      </c>
      <c r="Z28">
        <v>2916</v>
      </c>
      <c r="AA28">
        <v>1489</v>
      </c>
      <c r="AB28">
        <v>986</v>
      </c>
      <c r="AC28">
        <v>1263</v>
      </c>
      <c r="AD28">
        <v>816</v>
      </c>
      <c r="AE28">
        <v>487</v>
      </c>
      <c r="AF28">
        <v>157</v>
      </c>
      <c r="AH28" t="s">
        <v>396</v>
      </c>
      <c r="AI28">
        <v>3641</v>
      </c>
      <c r="AJ28">
        <v>243.94918978300001</v>
      </c>
      <c r="AK28">
        <v>6462</v>
      </c>
      <c r="AL28">
        <v>1250</v>
      </c>
      <c r="AM28">
        <v>7719</v>
      </c>
      <c r="AN28">
        <v>3240</v>
      </c>
      <c r="AO28">
        <v>2471</v>
      </c>
      <c r="AP28">
        <v>2073</v>
      </c>
      <c r="AQ28">
        <v>4796</v>
      </c>
      <c r="AR28">
        <v>3522</v>
      </c>
      <c r="AS28">
        <v>1037</v>
      </c>
      <c r="AT28">
        <v>62</v>
      </c>
      <c r="AV28" t="s">
        <v>377</v>
      </c>
      <c r="AW28">
        <v>851</v>
      </c>
      <c r="AX28">
        <v>106.9976498237</v>
      </c>
      <c r="AY28">
        <v>908</v>
      </c>
      <c r="AZ28">
        <v>159</v>
      </c>
      <c r="BA28">
        <v>1109</v>
      </c>
      <c r="BB28">
        <v>359</v>
      </c>
      <c r="BC28">
        <v>134</v>
      </c>
      <c r="BD28">
        <v>132</v>
      </c>
      <c r="BE28">
        <v>38</v>
      </c>
      <c r="BF28">
        <v>19</v>
      </c>
      <c r="BG28">
        <v>210</v>
      </c>
      <c r="BH28">
        <v>253</v>
      </c>
      <c r="BJ28" t="s">
        <v>532</v>
      </c>
      <c r="BK28" t="s">
        <v>368</v>
      </c>
      <c r="BL28">
        <v>5688</v>
      </c>
      <c r="BM28">
        <v>1302</v>
      </c>
      <c r="BN28">
        <v>94.056258790399994</v>
      </c>
      <c r="BO28">
        <v>12475</v>
      </c>
      <c r="BP28">
        <v>1099</v>
      </c>
      <c r="BQ28">
        <v>142.73162324649999</v>
      </c>
      <c r="BR28">
        <v>141.30482256600001</v>
      </c>
      <c r="BS28">
        <v>753</v>
      </c>
      <c r="BT28">
        <v>294</v>
      </c>
      <c r="BU28">
        <v>117.86586985389999</v>
      </c>
      <c r="BV28">
        <v>6445</v>
      </c>
      <c r="BW28">
        <v>280</v>
      </c>
      <c r="BX28">
        <v>143.63211792089999</v>
      </c>
      <c r="BY28">
        <v>176.3714285714</v>
      </c>
      <c r="CA28" t="s">
        <v>395</v>
      </c>
      <c r="CB28" t="s">
        <v>806</v>
      </c>
      <c r="CC28" t="s">
        <v>1012</v>
      </c>
      <c r="CD28">
        <v>4069</v>
      </c>
      <c r="CE28">
        <v>617</v>
      </c>
      <c r="CF28">
        <v>79.962890145000003</v>
      </c>
      <c r="CG28">
        <v>11243</v>
      </c>
      <c r="CH28">
        <v>663</v>
      </c>
      <c r="CI28">
        <v>112.89397847550001</v>
      </c>
      <c r="CJ28">
        <v>111.11010558069999</v>
      </c>
      <c r="CL28" t="s">
        <v>395</v>
      </c>
      <c r="CM28" t="s">
        <v>781</v>
      </c>
      <c r="CN28" t="s">
        <v>792</v>
      </c>
      <c r="CO28">
        <v>296</v>
      </c>
      <c r="CP28">
        <v>31</v>
      </c>
      <c r="CQ28">
        <v>62.658783783799997</v>
      </c>
      <c r="CR28">
        <v>1793</v>
      </c>
      <c r="CS28">
        <v>117</v>
      </c>
      <c r="CT28">
        <v>60.155605131100003</v>
      </c>
      <c r="CU28">
        <v>62.512820512799998</v>
      </c>
      <c r="CW28" t="s">
        <v>395</v>
      </c>
      <c r="CX28" t="s">
        <v>794</v>
      </c>
      <c r="CY28" t="s">
        <v>805</v>
      </c>
      <c r="CZ28">
        <v>63</v>
      </c>
      <c r="DA28">
        <v>11</v>
      </c>
      <c r="DB28">
        <v>74.650793650799997</v>
      </c>
      <c r="DC28">
        <v>205</v>
      </c>
      <c r="DD28">
        <v>9</v>
      </c>
      <c r="DE28">
        <v>125.6585365854</v>
      </c>
      <c r="DF28">
        <v>100.8888888889</v>
      </c>
      <c r="DH28" t="s">
        <v>395</v>
      </c>
      <c r="DI28" t="s">
        <v>768</v>
      </c>
      <c r="DJ28" t="s">
        <v>779</v>
      </c>
      <c r="DK28">
        <v>46</v>
      </c>
      <c r="DL28">
        <v>14</v>
      </c>
      <c r="DM28">
        <v>99.695652173900001</v>
      </c>
      <c r="DN28">
        <v>135</v>
      </c>
      <c r="DO28">
        <v>9</v>
      </c>
      <c r="DP28">
        <v>123.74074074070001</v>
      </c>
      <c r="DQ28">
        <v>143.6666666667</v>
      </c>
    </row>
    <row r="29" spans="2:121" x14ac:dyDescent="0.2">
      <c r="B29" t="s">
        <v>94</v>
      </c>
      <c r="C29">
        <v>231</v>
      </c>
      <c r="D29">
        <v>196</v>
      </c>
      <c r="F29" t="s">
        <v>58</v>
      </c>
      <c r="G29">
        <v>3256</v>
      </c>
      <c r="H29">
        <v>286.02149877149998</v>
      </c>
      <c r="I29">
        <v>9289</v>
      </c>
      <c r="J29">
        <v>1519</v>
      </c>
      <c r="K29">
        <v>8585</v>
      </c>
      <c r="L29">
        <v>2903</v>
      </c>
      <c r="M29">
        <v>3090</v>
      </c>
      <c r="N29">
        <v>2472</v>
      </c>
      <c r="O29">
        <v>1446</v>
      </c>
      <c r="P29">
        <v>1106</v>
      </c>
      <c r="Q29">
        <v>1</v>
      </c>
      <c r="R29">
        <v>279</v>
      </c>
      <c r="T29" t="s">
        <v>403</v>
      </c>
      <c r="U29">
        <v>44760</v>
      </c>
      <c r="V29">
        <v>388.42701072390003</v>
      </c>
      <c r="W29">
        <v>63618</v>
      </c>
      <c r="X29">
        <v>12712</v>
      </c>
      <c r="Y29">
        <v>85452</v>
      </c>
      <c r="Z29">
        <v>45230</v>
      </c>
      <c r="AA29">
        <v>23718</v>
      </c>
      <c r="AB29">
        <v>17945</v>
      </c>
      <c r="AC29">
        <v>31274</v>
      </c>
      <c r="AD29">
        <v>22235</v>
      </c>
      <c r="AE29">
        <v>102</v>
      </c>
      <c r="AF29">
        <v>653</v>
      </c>
      <c r="AH29" t="s">
        <v>417</v>
      </c>
      <c r="AI29">
        <v>405</v>
      </c>
      <c r="AJ29">
        <v>253.4839506173</v>
      </c>
      <c r="AK29">
        <v>729</v>
      </c>
      <c r="AL29">
        <v>57</v>
      </c>
      <c r="AM29">
        <v>1263</v>
      </c>
      <c r="AN29">
        <v>286</v>
      </c>
      <c r="AO29">
        <v>372</v>
      </c>
      <c r="AP29">
        <v>224</v>
      </c>
      <c r="AQ29">
        <v>441</v>
      </c>
      <c r="AR29">
        <v>246</v>
      </c>
      <c r="AS29">
        <v>1</v>
      </c>
      <c r="AT29">
        <v>4</v>
      </c>
      <c r="AV29" t="s">
        <v>370</v>
      </c>
      <c r="AW29">
        <v>411</v>
      </c>
      <c r="AX29">
        <v>102.8102189781</v>
      </c>
      <c r="AY29">
        <v>582</v>
      </c>
      <c r="AZ29">
        <v>124</v>
      </c>
      <c r="BA29">
        <v>549</v>
      </c>
      <c r="BB29">
        <v>170</v>
      </c>
      <c r="BC29">
        <v>4</v>
      </c>
      <c r="BD29">
        <v>4</v>
      </c>
      <c r="BE29">
        <v>36</v>
      </c>
      <c r="BF29">
        <v>7</v>
      </c>
      <c r="BG29">
        <v>67</v>
      </c>
      <c r="BH29">
        <v>128</v>
      </c>
      <c r="BJ29" t="s">
        <v>511</v>
      </c>
      <c r="BK29" t="s">
        <v>368</v>
      </c>
      <c r="BL29">
        <v>3461</v>
      </c>
      <c r="BM29">
        <v>656</v>
      </c>
      <c r="BN29">
        <v>86.003178272200003</v>
      </c>
      <c r="BO29">
        <v>9223</v>
      </c>
      <c r="BP29">
        <v>604</v>
      </c>
      <c r="BQ29">
        <v>130.5486284289</v>
      </c>
      <c r="BR29">
        <v>123.6937086093</v>
      </c>
      <c r="BS29">
        <v>891</v>
      </c>
      <c r="BT29">
        <v>335</v>
      </c>
      <c r="BU29">
        <v>114.31537598200001</v>
      </c>
      <c r="BV29">
        <v>7861</v>
      </c>
      <c r="BW29">
        <v>617</v>
      </c>
      <c r="BX29">
        <v>130.86782852050001</v>
      </c>
      <c r="BY29">
        <v>121.39059967590001</v>
      </c>
      <c r="CA29" t="s">
        <v>389</v>
      </c>
      <c r="CB29" t="s">
        <v>806</v>
      </c>
      <c r="CD29">
        <v>53158</v>
      </c>
      <c r="CE29">
        <v>9933</v>
      </c>
      <c r="CF29">
        <v>88.093588923599995</v>
      </c>
      <c r="CG29">
        <v>145060</v>
      </c>
      <c r="CH29">
        <v>9717</v>
      </c>
      <c r="CI29">
        <v>122.0077278368</v>
      </c>
      <c r="CJ29">
        <v>121.7696820006</v>
      </c>
      <c r="CL29" t="s">
        <v>389</v>
      </c>
      <c r="CM29" t="s">
        <v>781</v>
      </c>
      <c r="CO29">
        <v>4470</v>
      </c>
      <c r="CP29">
        <v>521</v>
      </c>
      <c r="CQ29">
        <v>69.336017897100007</v>
      </c>
      <c r="CR29">
        <v>24715</v>
      </c>
      <c r="CS29">
        <v>1587</v>
      </c>
      <c r="CT29">
        <v>69.829941331200004</v>
      </c>
      <c r="CU29">
        <v>72.097668557000006</v>
      </c>
      <c r="CW29" t="s">
        <v>389</v>
      </c>
      <c r="CX29" t="s">
        <v>794</v>
      </c>
      <c r="CZ29">
        <v>890</v>
      </c>
      <c r="DA29">
        <v>107</v>
      </c>
      <c r="DB29">
        <v>64.344943820200001</v>
      </c>
      <c r="DC29">
        <v>2891</v>
      </c>
      <c r="DD29">
        <v>191</v>
      </c>
      <c r="DE29">
        <v>132.0805949498</v>
      </c>
      <c r="DF29">
        <v>115.4083769634</v>
      </c>
      <c r="DH29" t="s">
        <v>389</v>
      </c>
      <c r="DI29" t="s">
        <v>768</v>
      </c>
      <c r="DK29">
        <v>838</v>
      </c>
      <c r="DL29">
        <v>113</v>
      </c>
      <c r="DM29">
        <v>69.319809069200005</v>
      </c>
      <c r="DN29">
        <v>2561</v>
      </c>
      <c r="DO29">
        <v>152</v>
      </c>
      <c r="DP29">
        <v>125.70831706360001</v>
      </c>
      <c r="DQ29">
        <v>125.9868421053</v>
      </c>
    </row>
    <row r="30" spans="2:121" x14ac:dyDescent="0.2">
      <c r="B30" t="s">
        <v>119</v>
      </c>
      <c r="C30">
        <v>39</v>
      </c>
      <c r="D30">
        <v>34</v>
      </c>
      <c r="F30" t="s">
        <v>42</v>
      </c>
      <c r="G30">
        <v>2707</v>
      </c>
      <c r="H30">
        <v>371.75581824900001</v>
      </c>
      <c r="I30">
        <v>7466</v>
      </c>
      <c r="J30">
        <v>1786</v>
      </c>
      <c r="K30">
        <v>8392</v>
      </c>
      <c r="L30">
        <v>3765</v>
      </c>
      <c r="M30">
        <v>2782</v>
      </c>
      <c r="N30">
        <v>2504</v>
      </c>
      <c r="O30">
        <v>1088</v>
      </c>
      <c r="P30">
        <v>530</v>
      </c>
      <c r="Q30">
        <v>1</v>
      </c>
      <c r="R30">
        <v>225</v>
      </c>
      <c r="T30" t="s">
        <v>379</v>
      </c>
      <c r="U30">
        <v>60430</v>
      </c>
      <c r="V30">
        <v>359.65813337750001</v>
      </c>
      <c r="W30">
        <v>80668</v>
      </c>
      <c r="X30">
        <v>19003</v>
      </c>
      <c r="Y30">
        <v>108292</v>
      </c>
      <c r="Z30">
        <v>59385</v>
      </c>
      <c r="AA30">
        <v>30722</v>
      </c>
      <c r="AB30">
        <v>25017</v>
      </c>
      <c r="AC30">
        <v>43909</v>
      </c>
      <c r="AD30">
        <v>30967</v>
      </c>
      <c r="AE30">
        <v>6665</v>
      </c>
      <c r="AF30">
        <v>1279</v>
      </c>
      <c r="AH30" t="s">
        <v>399</v>
      </c>
      <c r="AI30">
        <v>740</v>
      </c>
      <c r="AJ30">
        <v>182.09594594590001</v>
      </c>
      <c r="AK30">
        <v>1901</v>
      </c>
      <c r="AL30">
        <v>246</v>
      </c>
      <c r="AM30">
        <v>2211</v>
      </c>
      <c r="AN30">
        <v>460</v>
      </c>
      <c r="AO30">
        <v>700</v>
      </c>
      <c r="AP30">
        <v>446</v>
      </c>
      <c r="AQ30">
        <v>680</v>
      </c>
      <c r="AR30">
        <v>351</v>
      </c>
      <c r="AS30">
        <v>5</v>
      </c>
      <c r="AT30">
        <v>14</v>
      </c>
      <c r="AV30" t="s">
        <v>375</v>
      </c>
      <c r="AW30">
        <v>335</v>
      </c>
      <c r="AX30">
        <v>100.4119402985</v>
      </c>
      <c r="AY30">
        <v>550</v>
      </c>
      <c r="AZ30">
        <v>106</v>
      </c>
      <c r="BA30">
        <v>525</v>
      </c>
      <c r="BB30">
        <v>163</v>
      </c>
      <c r="BC30">
        <v>7</v>
      </c>
      <c r="BD30">
        <v>6</v>
      </c>
      <c r="BE30">
        <v>23</v>
      </c>
      <c r="BF30">
        <v>8</v>
      </c>
      <c r="BG30">
        <v>93</v>
      </c>
      <c r="BH30">
        <v>146</v>
      </c>
      <c r="BJ30" t="s">
        <v>519</v>
      </c>
      <c r="BK30" t="s">
        <v>368</v>
      </c>
      <c r="BL30">
        <v>3905</v>
      </c>
      <c r="BM30">
        <v>761</v>
      </c>
      <c r="BN30">
        <v>86.471446862999997</v>
      </c>
      <c r="BO30">
        <v>10396</v>
      </c>
      <c r="BP30">
        <v>702</v>
      </c>
      <c r="BQ30">
        <v>133.77395151979999</v>
      </c>
      <c r="BR30">
        <v>126.8290598291</v>
      </c>
      <c r="BS30">
        <v>979</v>
      </c>
      <c r="BT30">
        <v>293</v>
      </c>
      <c r="BU30">
        <v>96.074565883600002</v>
      </c>
      <c r="BV30">
        <v>8375</v>
      </c>
      <c r="BW30">
        <v>492</v>
      </c>
      <c r="BX30">
        <v>133.00561194030001</v>
      </c>
      <c r="BY30">
        <v>147.36991869920001</v>
      </c>
      <c r="CA30" t="s">
        <v>372</v>
      </c>
      <c r="CB30" t="s">
        <v>855</v>
      </c>
      <c r="CC30" t="s">
        <v>978</v>
      </c>
      <c r="CD30">
        <v>1926</v>
      </c>
      <c r="CE30">
        <v>291</v>
      </c>
      <c r="CF30">
        <v>80.3909657321</v>
      </c>
      <c r="CG30">
        <v>5417</v>
      </c>
      <c r="CH30">
        <v>372</v>
      </c>
      <c r="CI30">
        <v>113.0284290198</v>
      </c>
      <c r="CJ30">
        <v>105.9516129032</v>
      </c>
      <c r="CL30" t="s">
        <v>372</v>
      </c>
      <c r="CM30" t="s">
        <v>824</v>
      </c>
      <c r="CN30" t="s">
        <v>823</v>
      </c>
      <c r="CO30">
        <v>264</v>
      </c>
      <c r="CP30">
        <v>27</v>
      </c>
      <c r="CQ30">
        <v>66.753787878799997</v>
      </c>
      <c r="CR30">
        <v>714</v>
      </c>
      <c r="CS30">
        <v>79</v>
      </c>
      <c r="CT30">
        <v>97.648459383800002</v>
      </c>
      <c r="CU30">
        <v>92.291139240500002</v>
      </c>
      <c r="CW30" t="s">
        <v>372</v>
      </c>
      <c r="CX30" t="s">
        <v>840</v>
      </c>
      <c r="CY30" t="s">
        <v>839</v>
      </c>
      <c r="CZ30">
        <v>50</v>
      </c>
      <c r="DA30">
        <v>4</v>
      </c>
      <c r="DB30">
        <v>62.5</v>
      </c>
      <c r="DC30">
        <v>118</v>
      </c>
      <c r="DD30">
        <v>10</v>
      </c>
      <c r="DE30">
        <v>136.23728813560001</v>
      </c>
      <c r="DF30">
        <v>84.7</v>
      </c>
      <c r="DH30" t="s">
        <v>372</v>
      </c>
      <c r="DI30" t="s">
        <v>808</v>
      </c>
      <c r="DJ30" t="s">
        <v>807</v>
      </c>
      <c r="DK30">
        <v>28</v>
      </c>
      <c r="DL30">
        <v>1</v>
      </c>
      <c r="DM30">
        <v>57.642857142899999</v>
      </c>
      <c r="DN30">
        <v>133</v>
      </c>
      <c r="DO30">
        <v>6</v>
      </c>
      <c r="DP30">
        <v>134.69924812030001</v>
      </c>
      <c r="DQ30">
        <v>141.3333333333</v>
      </c>
    </row>
    <row r="31" spans="2:121" x14ac:dyDescent="0.2">
      <c r="B31" t="s">
        <v>91</v>
      </c>
      <c r="C31">
        <v>430</v>
      </c>
      <c r="D31">
        <v>42</v>
      </c>
      <c r="F31" t="s">
        <v>53</v>
      </c>
      <c r="G31">
        <v>6654</v>
      </c>
      <c r="H31">
        <v>482.1445746919</v>
      </c>
      <c r="I31">
        <v>4155</v>
      </c>
      <c r="J31">
        <v>959</v>
      </c>
      <c r="K31">
        <v>10519</v>
      </c>
      <c r="L31">
        <v>7046</v>
      </c>
      <c r="M31">
        <v>3339</v>
      </c>
      <c r="N31">
        <v>3118</v>
      </c>
      <c r="O31">
        <v>1652</v>
      </c>
      <c r="P31">
        <v>1225</v>
      </c>
      <c r="Q31">
        <v>88</v>
      </c>
      <c r="R31">
        <v>311</v>
      </c>
      <c r="T31" t="s">
        <v>460</v>
      </c>
      <c r="U31">
        <v>237274</v>
      </c>
      <c r="V31">
        <v>370.35640230280001</v>
      </c>
      <c r="W31">
        <v>343825</v>
      </c>
      <c r="X31">
        <v>73648</v>
      </c>
      <c r="Y31">
        <v>451289</v>
      </c>
      <c r="Z31">
        <v>225539</v>
      </c>
      <c r="AA31">
        <v>129562</v>
      </c>
      <c r="AB31">
        <v>100946</v>
      </c>
      <c r="AC31">
        <v>171461</v>
      </c>
      <c r="AD31">
        <v>117744</v>
      </c>
      <c r="AE31">
        <v>23942</v>
      </c>
      <c r="AF31">
        <v>4497</v>
      </c>
      <c r="AH31" t="s">
        <v>412</v>
      </c>
      <c r="AI31">
        <v>2901</v>
      </c>
      <c r="AJ31">
        <v>429.49810410200001</v>
      </c>
      <c r="AK31">
        <v>4202</v>
      </c>
      <c r="AL31">
        <v>1017</v>
      </c>
      <c r="AM31">
        <v>4710</v>
      </c>
      <c r="AN31">
        <v>2808</v>
      </c>
      <c r="AO31">
        <v>1044</v>
      </c>
      <c r="AP31">
        <v>808</v>
      </c>
      <c r="AQ31">
        <v>1965</v>
      </c>
      <c r="AR31">
        <v>1480</v>
      </c>
      <c r="AS31">
        <v>3</v>
      </c>
      <c r="AT31">
        <v>126</v>
      </c>
      <c r="AV31" t="s">
        <v>390</v>
      </c>
      <c r="AW31">
        <v>606</v>
      </c>
      <c r="AX31">
        <v>58.4339933993</v>
      </c>
      <c r="AY31">
        <v>1157</v>
      </c>
      <c r="AZ31">
        <v>125</v>
      </c>
      <c r="BA31">
        <v>1012</v>
      </c>
      <c r="BB31">
        <v>99</v>
      </c>
      <c r="BC31">
        <v>3</v>
      </c>
      <c r="BD31">
        <v>3</v>
      </c>
      <c r="BE31">
        <v>79</v>
      </c>
      <c r="BF31">
        <v>14</v>
      </c>
      <c r="BG31">
        <v>134</v>
      </c>
      <c r="BH31">
        <v>127</v>
      </c>
      <c r="BJ31" t="s">
        <v>521</v>
      </c>
      <c r="BK31" t="s">
        <v>368</v>
      </c>
      <c r="BL31">
        <v>1944</v>
      </c>
      <c r="BM31">
        <v>347</v>
      </c>
      <c r="BN31">
        <v>84.641460905299994</v>
      </c>
      <c r="BO31">
        <v>5291</v>
      </c>
      <c r="BP31">
        <v>384</v>
      </c>
      <c r="BQ31">
        <v>115.2026082026</v>
      </c>
      <c r="BR31">
        <v>121.9895833333</v>
      </c>
      <c r="BS31">
        <v>785</v>
      </c>
      <c r="BT31">
        <v>154</v>
      </c>
      <c r="BU31">
        <v>93.085350318500005</v>
      </c>
      <c r="BV31">
        <v>7795</v>
      </c>
      <c r="BW31">
        <v>639</v>
      </c>
      <c r="BX31">
        <v>125.8735086594</v>
      </c>
      <c r="BY31">
        <v>116.3568075117</v>
      </c>
      <c r="CA31" t="s">
        <v>422</v>
      </c>
      <c r="CB31" t="s">
        <v>855</v>
      </c>
      <c r="CC31" t="s">
        <v>979</v>
      </c>
      <c r="CD31">
        <v>1012</v>
      </c>
      <c r="CE31">
        <v>233</v>
      </c>
      <c r="CF31">
        <v>100.56916996050001</v>
      </c>
      <c r="CG31">
        <v>2386</v>
      </c>
      <c r="CH31">
        <v>162</v>
      </c>
      <c r="CI31">
        <v>136.23134953900001</v>
      </c>
      <c r="CJ31">
        <v>137.537037037</v>
      </c>
      <c r="CL31" t="s">
        <v>422</v>
      </c>
      <c r="CM31" t="s">
        <v>824</v>
      </c>
      <c r="CN31" t="s">
        <v>825</v>
      </c>
      <c r="CO31">
        <v>86</v>
      </c>
      <c r="CP31">
        <v>13</v>
      </c>
      <c r="CQ31">
        <v>68.406976744199994</v>
      </c>
      <c r="CR31">
        <v>244</v>
      </c>
      <c r="CS31">
        <v>24</v>
      </c>
      <c r="CT31">
        <v>100.0327868852</v>
      </c>
      <c r="CU31">
        <v>107.9166666667</v>
      </c>
      <c r="CW31" t="s">
        <v>422</v>
      </c>
      <c r="CX31" t="s">
        <v>840</v>
      </c>
      <c r="CY31" t="s">
        <v>841</v>
      </c>
      <c r="CZ31">
        <v>14</v>
      </c>
      <c r="DA31">
        <v>3</v>
      </c>
      <c r="DB31">
        <v>66.285714285699996</v>
      </c>
      <c r="DC31">
        <v>38</v>
      </c>
      <c r="DD31">
        <v>7</v>
      </c>
      <c r="DE31">
        <v>156.15789473679999</v>
      </c>
      <c r="DF31">
        <v>155.57142857139999</v>
      </c>
      <c r="DH31" t="s">
        <v>422</v>
      </c>
      <c r="DI31" t="s">
        <v>808</v>
      </c>
      <c r="DJ31" t="s">
        <v>809</v>
      </c>
      <c r="DK31">
        <v>18</v>
      </c>
      <c r="DL31">
        <v>4</v>
      </c>
      <c r="DM31">
        <v>80.333333333300004</v>
      </c>
      <c r="DN31">
        <v>51</v>
      </c>
      <c r="DO31">
        <v>4</v>
      </c>
      <c r="DP31">
        <v>150.70588235290001</v>
      </c>
      <c r="DQ31">
        <v>128.25</v>
      </c>
    </row>
    <row r="32" spans="2:121" x14ac:dyDescent="0.2">
      <c r="B32" t="s">
        <v>1058</v>
      </c>
      <c r="C32">
        <v>115</v>
      </c>
      <c r="D32">
        <v>104</v>
      </c>
      <c r="F32" t="s">
        <v>48</v>
      </c>
      <c r="G32">
        <v>5554</v>
      </c>
      <c r="H32">
        <v>539.17788980909995</v>
      </c>
      <c r="I32">
        <v>4651</v>
      </c>
      <c r="J32">
        <v>820</v>
      </c>
      <c r="K32">
        <v>11144</v>
      </c>
      <c r="L32">
        <v>7052</v>
      </c>
      <c r="M32">
        <v>2201</v>
      </c>
      <c r="N32">
        <v>1624</v>
      </c>
      <c r="O32">
        <v>2433</v>
      </c>
      <c r="P32">
        <v>1844</v>
      </c>
      <c r="Q32">
        <v>1</v>
      </c>
      <c r="R32">
        <v>233</v>
      </c>
      <c r="AH32" t="s">
        <v>414</v>
      </c>
      <c r="AI32">
        <v>994</v>
      </c>
      <c r="AJ32">
        <v>263.46277665999997</v>
      </c>
      <c r="AK32">
        <v>1340</v>
      </c>
      <c r="AL32">
        <v>211</v>
      </c>
      <c r="AM32">
        <v>1995</v>
      </c>
      <c r="AN32">
        <v>848</v>
      </c>
      <c r="AO32">
        <v>350</v>
      </c>
      <c r="AP32">
        <v>253</v>
      </c>
      <c r="AQ32">
        <v>340</v>
      </c>
      <c r="AR32">
        <v>178</v>
      </c>
      <c r="AS32">
        <v>206</v>
      </c>
      <c r="AT32">
        <v>4</v>
      </c>
      <c r="AV32" t="s">
        <v>395</v>
      </c>
      <c r="AW32">
        <v>292</v>
      </c>
      <c r="AX32">
        <v>58.558219178100003</v>
      </c>
      <c r="AY32">
        <v>440</v>
      </c>
      <c r="AZ32">
        <v>53</v>
      </c>
      <c r="BA32">
        <v>407</v>
      </c>
      <c r="BB32">
        <v>36</v>
      </c>
      <c r="BC32">
        <v>1</v>
      </c>
      <c r="BD32">
        <v>1</v>
      </c>
      <c r="BE32">
        <v>39</v>
      </c>
      <c r="BF32">
        <v>8</v>
      </c>
      <c r="BG32">
        <v>68</v>
      </c>
      <c r="BH32">
        <v>35</v>
      </c>
      <c r="BJ32" t="s">
        <v>536</v>
      </c>
      <c r="BK32" t="s">
        <v>368</v>
      </c>
      <c r="BL32">
        <v>2393</v>
      </c>
      <c r="BM32">
        <v>436</v>
      </c>
      <c r="BN32">
        <v>86.177183451700003</v>
      </c>
      <c r="BO32">
        <v>7491</v>
      </c>
      <c r="BP32">
        <v>687</v>
      </c>
      <c r="BQ32">
        <v>116.6507809371</v>
      </c>
      <c r="BR32">
        <v>121.5109170306</v>
      </c>
      <c r="BS32">
        <v>2255</v>
      </c>
      <c r="BT32">
        <v>320</v>
      </c>
      <c r="BU32">
        <v>79.380931263899996</v>
      </c>
      <c r="BV32">
        <v>13364</v>
      </c>
      <c r="BW32">
        <v>986</v>
      </c>
      <c r="BX32">
        <v>127.8906016163</v>
      </c>
      <c r="BY32">
        <v>115.8519269777</v>
      </c>
      <c r="CA32" t="s">
        <v>413</v>
      </c>
      <c r="CB32" t="s">
        <v>855</v>
      </c>
      <c r="CC32" t="s">
        <v>980</v>
      </c>
      <c r="CD32">
        <v>432</v>
      </c>
      <c r="CE32">
        <v>89</v>
      </c>
      <c r="CF32">
        <v>96.460648148100006</v>
      </c>
      <c r="CG32">
        <v>1095</v>
      </c>
      <c r="CH32">
        <v>73</v>
      </c>
      <c r="CI32">
        <v>140.78538812790001</v>
      </c>
      <c r="CJ32">
        <v>173.0821917808</v>
      </c>
      <c r="CL32" t="s">
        <v>413</v>
      </c>
      <c r="CM32" t="s">
        <v>824</v>
      </c>
      <c r="CN32" t="s">
        <v>826</v>
      </c>
      <c r="CO32">
        <v>53</v>
      </c>
      <c r="CP32">
        <v>9</v>
      </c>
      <c r="CQ32">
        <v>91.283018867899997</v>
      </c>
      <c r="CR32">
        <v>205</v>
      </c>
      <c r="CS32">
        <v>13</v>
      </c>
      <c r="CT32">
        <v>107.0292682927</v>
      </c>
      <c r="CU32">
        <v>83.923076923099998</v>
      </c>
      <c r="CW32" t="s">
        <v>413</v>
      </c>
      <c r="CX32" t="s">
        <v>840</v>
      </c>
      <c r="CY32" t="s">
        <v>842</v>
      </c>
      <c r="CZ32">
        <v>9</v>
      </c>
      <c r="DA32">
        <v>0</v>
      </c>
      <c r="DB32">
        <v>41.222222222200003</v>
      </c>
      <c r="DC32">
        <v>38</v>
      </c>
      <c r="DD32">
        <v>5</v>
      </c>
      <c r="DE32">
        <v>155.13157894739999</v>
      </c>
      <c r="DF32">
        <v>128</v>
      </c>
      <c r="DH32" t="s">
        <v>413</v>
      </c>
      <c r="DI32" t="s">
        <v>808</v>
      </c>
      <c r="DJ32" t="s">
        <v>810</v>
      </c>
      <c r="DK32">
        <v>12</v>
      </c>
      <c r="DL32">
        <v>0</v>
      </c>
      <c r="DM32">
        <v>47.416666666700003</v>
      </c>
      <c r="DN32">
        <v>54</v>
      </c>
      <c r="DO32">
        <v>6</v>
      </c>
      <c r="DP32">
        <v>131.0185185185</v>
      </c>
      <c r="DQ32">
        <v>86.666666666699996</v>
      </c>
    </row>
    <row r="33" spans="2:121" x14ac:dyDescent="0.2">
      <c r="B33" t="s">
        <v>123</v>
      </c>
      <c r="C33">
        <v>42</v>
      </c>
      <c r="D33">
        <v>30</v>
      </c>
      <c r="F33" t="s">
        <v>74</v>
      </c>
      <c r="G33">
        <v>293</v>
      </c>
      <c r="H33">
        <v>86.051194539199997</v>
      </c>
      <c r="I33">
        <v>1222</v>
      </c>
      <c r="J33">
        <v>248</v>
      </c>
      <c r="K33">
        <v>1113</v>
      </c>
      <c r="L33">
        <v>62</v>
      </c>
      <c r="M33">
        <v>398</v>
      </c>
      <c r="N33">
        <v>113</v>
      </c>
      <c r="O33">
        <v>31</v>
      </c>
      <c r="P33">
        <v>16</v>
      </c>
      <c r="Q33">
        <v>0</v>
      </c>
      <c r="R33">
        <v>0</v>
      </c>
      <c r="AH33" t="s">
        <v>373</v>
      </c>
      <c r="AI33">
        <v>1570</v>
      </c>
      <c r="AJ33">
        <v>335.30318471340001</v>
      </c>
      <c r="AK33">
        <v>4556</v>
      </c>
      <c r="AL33">
        <v>1249</v>
      </c>
      <c r="AM33">
        <v>4354</v>
      </c>
      <c r="AN33">
        <v>1657</v>
      </c>
      <c r="AO33">
        <v>1372</v>
      </c>
      <c r="AP33">
        <v>1147</v>
      </c>
      <c r="AQ33">
        <v>2480</v>
      </c>
      <c r="AR33">
        <v>1807</v>
      </c>
      <c r="AS33">
        <v>790</v>
      </c>
      <c r="AT33">
        <v>6</v>
      </c>
      <c r="AV33" t="s">
        <v>421</v>
      </c>
      <c r="AW33">
        <v>150</v>
      </c>
      <c r="AX33">
        <v>71.886666666699995</v>
      </c>
      <c r="AY33">
        <v>187</v>
      </c>
      <c r="AZ33">
        <v>8</v>
      </c>
      <c r="BA33">
        <v>220</v>
      </c>
      <c r="BB33">
        <v>29</v>
      </c>
      <c r="BC33">
        <v>1</v>
      </c>
      <c r="BE33">
        <v>15</v>
      </c>
      <c r="BF33">
        <v>8</v>
      </c>
      <c r="BG33">
        <v>194</v>
      </c>
      <c r="BH33">
        <v>35</v>
      </c>
      <c r="BJ33" t="s">
        <v>621</v>
      </c>
      <c r="BK33" t="s">
        <v>368</v>
      </c>
      <c r="BL33">
        <v>1336</v>
      </c>
      <c r="BM33">
        <v>183</v>
      </c>
      <c r="BN33">
        <v>77.132485029899996</v>
      </c>
      <c r="BO33">
        <v>3164</v>
      </c>
      <c r="BP33">
        <v>232</v>
      </c>
      <c r="BQ33">
        <v>127.48482933</v>
      </c>
      <c r="BR33">
        <v>124.474137931</v>
      </c>
      <c r="BS33">
        <v>372</v>
      </c>
      <c r="BT33">
        <v>77</v>
      </c>
      <c r="BU33">
        <v>91.206989247300001</v>
      </c>
      <c r="BV33">
        <v>3338</v>
      </c>
      <c r="BW33">
        <v>216</v>
      </c>
      <c r="BX33">
        <v>132.39724385860001</v>
      </c>
      <c r="BY33">
        <v>137.0972222222</v>
      </c>
      <c r="CA33" t="s">
        <v>415</v>
      </c>
      <c r="CB33" t="s">
        <v>855</v>
      </c>
      <c r="CC33" t="s">
        <v>981</v>
      </c>
      <c r="CD33">
        <v>1239</v>
      </c>
      <c r="CE33">
        <v>173</v>
      </c>
      <c r="CF33">
        <v>73.146085552900004</v>
      </c>
      <c r="CG33">
        <v>4278</v>
      </c>
      <c r="CH33">
        <v>338</v>
      </c>
      <c r="CI33">
        <v>103.0273492286</v>
      </c>
      <c r="CJ33">
        <v>86.168639053299998</v>
      </c>
      <c r="CL33" t="s">
        <v>415</v>
      </c>
      <c r="CM33" t="s">
        <v>824</v>
      </c>
      <c r="CN33" t="s">
        <v>827</v>
      </c>
      <c r="CO33">
        <v>124</v>
      </c>
      <c r="CP33">
        <v>13</v>
      </c>
      <c r="CQ33">
        <v>66.645161290299995</v>
      </c>
      <c r="CR33">
        <v>456</v>
      </c>
      <c r="CS33">
        <v>36</v>
      </c>
      <c r="CT33">
        <v>87.736842105299999</v>
      </c>
      <c r="CU33">
        <v>90.055555555599994</v>
      </c>
      <c r="CW33" t="s">
        <v>415</v>
      </c>
      <c r="CX33" t="s">
        <v>840</v>
      </c>
      <c r="CY33" t="s">
        <v>843</v>
      </c>
      <c r="CZ33">
        <v>10</v>
      </c>
      <c r="DA33">
        <v>1</v>
      </c>
      <c r="DB33">
        <v>75.2</v>
      </c>
      <c r="DC33">
        <v>49</v>
      </c>
      <c r="DD33">
        <v>3</v>
      </c>
      <c r="DE33">
        <v>145.73469387759999</v>
      </c>
      <c r="DF33">
        <v>131.6666666667</v>
      </c>
      <c r="DH33" t="s">
        <v>415</v>
      </c>
      <c r="DI33" t="s">
        <v>808</v>
      </c>
      <c r="DJ33" t="s">
        <v>811</v>
      </c>
      <c r="DK33">
        <v>11</v>
      </c>
      <c r="DL33">
        <v>0</v>
      </c>
      <c r="DM33">
        <v>32</v>
      </c>
      <c r="DN33">
        <v>52</v>
      </c>
      <c r="DO33">
        <v>3</v>
      </c>
      <c r="DP33">
        <v>132.05769230769999</v>
      </c>
      <c r="DQ33">
        <v>36</v>
      </c>
    </row>
    <row r="34" spans="2:121" x14ac:dyDescent="0.2">
      <c r="B34" t="s">
        <v>116</v>
      </c>
      <c r="C34">
        <v>15673</v>
      </c>
      <c r="D34">
        <v>5327</v>
      </c>
      <c r="F34" t="s">
        <v>429</v>
      </c>
      <c r="G34">
        <v>5227</v>
      </c>
      <c r="H34">
        <v>518.06791658700001</v>
      </c>
      <c r="I34">
        <v>733</v>
      </c>
      <c r="J34">
        <v>122</v>
      </c>
      <c r="K34">
        <v>5633</v>
      </c>
      <c r="L34">
        <v>4252</v>
      </c>
      <c r="M34">
        <v>1063</v>
      </c>
      <c r="N34">
        <v>727</v>
      </c>
      <c r="O34">
        <v>1170</v>
      </c>
      <c r="P34">
        <v>1154</v>
      </c>
      <c r="Q34">
        <v>0</v>
      </c>
      <c r="R34">
        <v>0</v>
      </c>
      <c r="AH34" t="s">
        <v>404</v>
      </c>
      <c r="AI34">
        <v>780</v>
      </c>
      <c r="AJ34">
        <v>261.91410256410001</v>
      </c>
      <c r="AK34">
        <v>2729</v>
      </c>
      <c r="AL34">
        <v>606</v>
      </c>
      <c r="AM34">
        <v>1989</v>
      </c>
      <c r="AN34">
        <v>697</v>
      </c>
      <c r="AO34">
        <v>512</v>
      </c>
      <c r="AP34">
        <v>316</v>
      </c>
      <c r="AQ34">
        <v>978</v>
      </c>
      <c r="AR34">
        <v>592</v>
      </c>
      <c r="AS34">
        <v>6</v>
      </c>
      <c r="AT34">
        <v>11</v>
      </c>
      <c r="AV34" t="s">
        <v>413</v>
      </c>
      <c r="AW34">
        <v>43</v>
      </c>
      <c r="AX34">
        <v>79.348837209300001</v>
      </c>
      <c r="AY34">
        <v>47</v>
      </c>
      <c r="AZ34">
        <v>7</v>
      </c>
      <c r="BA34">
        <v>56</v>
      </c>
      <c r="BB34">
        <v>13</v>
      </c>
      <c r="BC34">
        <v>2</v>
      </c>
      <c r="BD34">
        <v>2</v>
      </c>
      <c r="BE34">
        <v>3</v>
      </c>
      <c r="BG34">
        <v>9</v>
      </c>
      <c r="BH34">
        <v>14</v>
      </c>
      <c r="BJ34" t="s">
        <v>517</v>
      </c>
      <c r="BK34" t="s">
        <v>368</v>
      </c>
      <c r="BL34">
        <v>5093</v>
      </c>
      <c r="BM34">
        <v>1421</v>
      </c>
      <c r="BN34">
        <v>109.32750834479999</v>
      </c>
      <c r="BO34">
        <v>11480</v>
      </c>
      <c r="BP34">
        <v>852</v>
      </c>
      <c r="BQ34">
        <v>137.16402439020001</v>
      </c>
      <c r="BR34">
        <v>141.7605633803</v>
      </c>
      <c r="BS34">
        <v>1269</v>
      </c>
      <c r="BT34">
        <v>553</v>
      </c>
      <c r="BU34">
        <v>133.80772261620001</v>
      </c>
      <c r="BV34">
        <v>9158</v>
      </c>
      <c r="BW34">
        <v>499</v>
      </c>
      <c r="BX34">
        <v>132.24011792970001</v>
      </c>
      <c r="BY34">
        <v>151.15631262529999</v>
      </c>
      <c r="CA34" t="s">
        <v>375</v>
      </c>
      <c r="CB34" t="s">
        <v>855</v>
      </c>
      <c r="CC34" t="s">
        <v>982</v>
      </c>
      <c r="CD34">
        <v>6272</v>
      </c>
      <c r="CE34">
        <v>1442</v>
      </c>
      <c r="CF34">
        <v>95.494260204100001</v>
      </c>
      <c r="CG34">
        <v>14430</v>
      </c>
      <c r="CH34">
        <v>1216</v>
      </c>
      <c r="CI34">
        <v>136.70595980600001</v>
      </c>
      <c r="CJ34">
        <v>140.68503289469999</v>
      </c>
      <c r="CL34" t="s">
        <v>375</v>
      </c>
      <c r="CM34" t="s">
        <v>824</v>
      </c>
      <c r="CN34" t="s">
        <v>828</v>
      </c>
      <c r="CO34">
        <v>488</v>
      </c>
      <c r="CP34">
        <v>72</v>
      </c>
      <c r="CQ34">
        <v>77.002049180300006</v>
      </c>
      <c r="CR34">
        <v>1572</v>
      </c>
      <c r="CS34">
        <v>179</v>
      </c>
      <c r="CT34">
        <v>101.010178117</v>
      </c>
      <c r="CU34">
        <v>98.201117318399994</v>
      </c>
      <c r="CW34" t="s">
        <v>375</v>
      </c>
      <c r="CX34" t="s">
        <v>840</v>
      </c>
      <c r="CY34" t="s">
        <v>844</v>
      </c>
      <c r="CZ34">
        <v>152</v>
      </c>
      <c r="DA34">
        <v>21</v>
      </c>
      <c r="DB34">
        <v>74.861842105299999</v>
      </c>
      <c r="DC34">
        <v>493</v>
      </c>
      <c r="DD34">
        <v>32</v>
      </c>
      <c r="DE34">
        <v>146.53144016229999</v>
      </c>
      <c r="DF34">
        <v>112.34375</v>
      </c>
      <c r="DH34" t="s">
        <v>375</v>
      </c>
      <c r="DI34" t="s">
        <v>808</v>
      </c>
      <c r="DJ34" t="s">
        <v>812</v>
      </c>
      <c r="DK34">
        <v>186</v>
      </c>
      <c r="DL34">
        <v>21</v>
      </c>
      <c r="DM34">
        <v>68.736559139799994</v>
      </c>
      <c r="DN34">
        <v>689</v>
      </c>
      <c r="DO34">
        <v>52</v>
      </c>
      <c r="DP34">
        <v>143.07982583450001</v>
      </c>
      <c r="DQ34">
        <v>121.1538461538</v>
      </c>
    </row>
    <row r="35" spans="2:121" x14ac:dyDescent="0.2">
      <c r="B35" t="s">
        <v>108</v>
      </c>
      <c r="C35">
        <v>476</v>
      </c>
      <c r="D35">
        <v>385</v>
      </c>
      <c r="F35" t="s">
        <v>71</v>
      </c>
      <c r="G35">
        <v>4976</v>
      </c>
      <c r="H35">
        <v>344.24819131829997</v>
      </c>
      <c r="I35">
        <v>12048</v>
      </c>
      <c r="J35">
        <v>1979</v>
      </c>
      <c r="K35">
        <v>18466</v>
      </c>
      <c r="L35">
        <v>8868</v>
      </c>
      <c r="M35">
        <v>6589</v>
      </c>
      <c r="N35">
        <v>4560</v>
      </c>
      <c r="O35">
        <v>2261</v>
      </c>
      <c r="P35">
        <v>1599</v>
      </c>
      <c r="Q35">
        <v>0</v>
      </c>
      <c r="R35">
        <v>61</v>
      </c>
      <c r="AH35" t="s">
        <v>60</v>
      </c>
      <c r="AI35">
        <v>3475</v>
      </c>
      <c r="AJ35">
        <v>291.74503597120002</v>
      </c>
      <c r="AK35">
        <v>9377</v>
      </c>
      <c r="AL35">
        <v>2235</v>
      </c>
      <c r="AM35">
        <v>9608</v>
      </c>
      <c r="AN35">
        <v>3750</v>
      </c>
      <c r="AO35">
        <v>3315</v>
      </c>
      <c r="AP35">
        <v>2640</v>
      </c>
      <c r="AQ35">
        <v>6025</v>
      </c>
      <c r="AR35">
        <v>3984</v>
      </c>
      <c r="AS35">
        <v>1714</v>
      </c>
      <c r="AT35">
        <v>11</v>
      </c>
      <c r="AV35" t="s">
        <v>402</v>
      </c>
      <c r="AW35">
        <v>160</v>
      </c>
      <c r="AX35">
        <v>83.037499999999994</v>
      </c>
      <c r="AY35">
        <v>208</v>
      </c>
      <c r="AZ35">
        <v>11</v>
      </c>
      <c r="BA35">
        <v>348</v>
      </c>
      <c r="BB35">
        <v>56</v>
      </c>
      <c r="BC35">
        <v>5</v>
      </c>
      <c r="BD35">
        <v>4</v>
      </c>
      <c r="BE35">
        <v>14</v>
      </c>
      <c r="BF35">
        <v>9</v>
      </c>
      <c r="BG35">
        <v>372</v>
      </c>
      <c r="BH35">
        <v>78</v>
      </c>
      <c r="BJ35" t="s">
        <v>523</v>
      </c>
      <c r="BK35" t="s">
        <v>368</v>
      </c>
      <c r="BL35">
        <v>2881</v>
      </c>
      <c r="BM35">
        <v>732</v>
      </c>
      <c r="BN35">
        <v>97.680666435299997</v>
      </c>
      <c r="BO35">
        <v>6436</v>
      </c>
      <c r="BP35">
        <v>466</v>
      </c>
      <c r="BQ35">
        <v>137.5379117464</v>
      </c>
      <c r="BR35">
        <v>144.9098712446</v>
      </c>
      <c r="BS35">
        <v>768</v>
      </c>
      <c r="BT35">
        <v>364</v>
      </c>
      <c r="BU35">
        <v>136.0690104167</v>
      </c>
      <c r="BV35">
        <v>4277</v>
      </c>
      <c r="BW35">
        <v>207</v>
      </c>
      <c r="BX35">
        <v>142.8157587094</v>
      </c>
      <c r="BY35">
        <v>179.0096618357</v>
      </c>
      <c r="CA35" t="s">
        <v>370</v>
      </c>
      <c r="CB35" t="s">
        <v>855</v>
      </c>
      <c r="CC35" t="s">
        <v>983</v>
      </c>
      <c r="CD35">
        <v>4336</v>
      </c>
      <c r="CE35">
        <v>846</v>
      </c>
      <c r="CF35">
        <v>87.122232472299999</v>
      </c>
      <c r="CG35">
        <v>11423</v>
      </c>
      <c r="CH35">
        <v>742</v>
      </c>
      <c r="CI35">
        <v>126.7868335814</v>
      </c>
      <c r="CJ35">
        <v>116.5997304582</v>
      </c>
      <c r="CL35" t="s">
        <v>370</v>
      </c>
      <c r="CM35" t="s">
        <v>824</v>
      </c>
      <c r="CN35" t="s">
        <v>829</v>
      </c>
      <c r="CO35">
        <v>450</v>
      </c>
      <c r="CP35">
        <v>65</v>
      </c>
      <c r="CQ35">
        <v>73.397777777800002</v>
      </c>
      <c r="CR35">
        <v>1508</v>
      </c>
      <c r="CS35">
        <v>130</v>
      </c>
      <c r="CT35">
        <v>93.794429708199999</v>
      </c>
      <c r="CU35">
        <v>111.68461538459999</v>
      </c>
      <c r="CW35" t="s">
        <v>370</v>
      </c>
      <c r="CX35" t="s">
        <v>840</v>
      </c>
      <c r="CY35" t="s">
        <v>845</v>
      </c>
      <c r="CZ35">
        <v>67</v>
      </c>
      <c r="DA35">
        <v>6</v>
      </c>
      <c r="DB35">
        <v>63.298507462700002</v>
      </c>
      <c r="DC35">
        <v>189</v>
      </c>
      <c r="DD35">
        <v>15</v>
      </c>
      <c r="DE35">
        <v>137.7724867725</v>
      </c>
      <c r="DF35">
        <v>86.066666666700002</v>
      </c>
      <c r="DH35" t="s">
        <v>370</v>
      </c>
      <c r="DI35" t="s">
        <v>808</v>
      </c>
      <c r="DJ35" t="s">
        <v>813</v>
      </c>
      <c r="DK35">
        <v>53</v>
      </c>
      <c r="DL35">
        <v>1</v>
      </c>
      <c r="DM35">
        <v>55.471698113199999</v>
      </c>
      <c r="DN35">
        <v>112</v>
      </c>
      <c r="DO35">
        <v>6</v>
      </c>
      <c r="DP35">
        <v>126.75</v>
      </c>
      <c r="DQ35">
        <v>78.666666666699996</v>
      </c>
    </row>
    <row r="36" spans="2:121" x14ac:dyDescent="0.2">
      <c r="B36" t="s">
        <v>115</v>
      </c>
      <c r="C36">
        <v>6273</v>
      </c>
      <c r="D36">
        <v>1751</v>
      </c>
      <c r="F36" t="s">
        <v>59</v>
      </c>
      <c r="G36">
        <v>3583</v>
      </c>
      <c r="H36">
        <v>442.6031258722</v>
      </c>
      <c r="I36">
        <v>5081</v>
      </c>
      <c r="J36">
        <v>1031</v>
      </c>
      <c r="K36">
        <v>6554</v>
      </c>
      <c r="L36">
        <v>3234</v>
      </c>
      <c r="M36">
        <v>1179</v>
      </c>
      <c r="N36">
        <v>806</v>
      </c>
      <c r="O36">
        <v>1884</v>
      </c>
      <c r="P36">
        <v>1318</v>
      </c>
      <c r="Q36">
        <v>2</v>
      </c>
      <c r="R36">
        <v>272</v>
      </c>
      <c r="T36" t="s">
        <v>645</v>
      </c>
      <c r="U36" t="s">
        <v>306</v>
      </c>
      <c r="V36" t="s">
        <v>133</v>
      </c>
      <c r="W36" t="s">
        <v>214</v>
      </c>
      <c r="X36" t="s">
        <v>458</v>
      </c>
      <c r="Y36" t="s">
        <v>216</v>
      </c>
      <c r="Z36" t="s">
        <v>217</v>
      </c>
      <c r="AA36" t="s">
        <v>218</v>
      </c>
      <c r="AB36" t="s">
        <v>459</v>
      </c>
      <c r="AC36" t="s">
        <v>220</v>
      </c>
      <c r="AD36" t="s">
        <v>221</v>
      </c>
      <c r="AE36" t="s">
        <v>222</v>
      </c>
      <c r="AF36" t="s">
        <v>223</v>
      </c>
      <c r="AH36" t="s">
        <v>381</v>
      </c>
      <c r="AI36">
        <v>13699</v>
      </c>
      <c r="AJ36">
        <v>305.5920870137</v>
      </c>
      <c r="AK36">
        <v>17754</v>
      </c>
      <c r="AL36">
        <v>4259</v>
      </c>
      <c r="AM36">
        <v>20950</v>
      </c>
      <c r="AN36">
        <v>12164</v>
      </c>
      <c r="AO36">
        <v>8964</v>
      </c>
      <c r="AP36">
        <v>7186</v>
      </c>
      <c r="AQ36">
        <v>7550</v>
      </c>
      <c r="AR36">
        <v>5207</v>
      </c>
      <c r="AS36">
        <v>1287</v>
      </c>
      <c r="AT36">
        <v>45</v>
      </c>
      <c r="AV36" t="s">
        <v>386</v>
      </c>
      <c r="AW36">
        <v>416</v>
      </c>
      <c r="AX36">
        <v>67.810096153800004</v>
      </c>
      <c r="AY36">
        <v>477</v>
      </c>
      <c r="AZ36">
        <v>43</v>
      </c>
      <c r="BA36">
        <v>570</v>
      </c>
      <c r="BB36">
        <v>66</v>
      </c>
      <c r="BC36">
        <v>2</v>
      </c>
      <c r="BD36">
        <v>2</v>
      </c>
      <c r="BE36">
        <v>40</v>
      </c>
      <c r="BF36">
        <v>8</v>
      </c>
      <c r="BG36">
        <v>104</v>
      </c>
      <c r="BH36">
        <v>78</v>
      </c>
      <c r="BJ36" t="s">
        <v>368</v>
      </c>
      <c r="BK36" t="s">
        <v>368</v>
      </c>
      <c r="BL36">
        <v>74911</v>
      </c>
      <c r="BM36">
        <v>17301</v>
      </c>
      <c r="BN36">
        <v>95.455500527300003</v>
      </c>
      <c r="BO36">
        <v>188966</v>
      </c>
      <c r="BP36">
        <v>14390</v>
      </c>
      <c r="BQ36">
        <v>130.6970724892</v>
      </c>
      <c r="BR36">
        <v>129.36073662269999</v>
      </c>
      <c r="BS36">
        <v>22688</v>
      </c>
      <c r="BT36">
        <v>6375</v>
      </c>
      <c r="BU36">
        <v>104.0320433709</v>
      </c>
      <c r="BV36">
        <v>181106</v>
      </c>
      <c r="BW36">
        <v>12972</v>
      </c>
      <c r="BX36">
        <v>129.79147571039999</v>
      </c>
      <c r="BY36">
        <v>129.4427227875</v>
      </c>
      <c r="CA36" t="s">
        <v>414</v>
      </c>
      <c r="CB36" t="s">
        <v>855</v>
      </c>
      <c r="CC36" t="s">
        <v>984</v>
      </c>
      <c r="CD36">
        <v>1359</v>
      </c>
      <c r="CE36">
        <v>198</v>
      </c>
      <c r="CF36">
        <v>77.626195732200003</v>
      </c>
      <c r="CG36">
        <v>3390</v>
      </c>
      <c r="CH36">
        <v>261</v>
      </c>
      <c r="CI36">
        <v>126.57345132739999</v>
      </c>
      <c r="CJ36">
        <v>120.6360153257</v>
      </c>
      <c r="CL36" t="s">
        <v>414</v>
      </c>
      <c r="CM36" t="s">
        <v>824</v>
      </c>
      <c r="CN36" t="s">
        <v>830</v>
      </c>
      <c r="CO36">
        <v>120</v>
      </c>
      <c r="CP36">
        <v>17</v>
      </c>
      <c r="CQ36">
        <v>64.883333333300001</v>
      </c>
      <c r="CR36">
        <v>376</v>
      </c>
      <c r="CS36">
        <v>43</v>
      </c>
      <c r="CT36">
        <v>93.462765957399995</v>
      </c>
      <c r="CU36">
        <v>83.046511627900003</v>
      </c>
      <c r="CW36" t="s">
        <v>414</v>
      </c>
      <c r="CX36" t="s">
        <v>840</v>
      </c>
      <c r="CY36" t="s">
        <v>846</v>
      </c>
      <c r="CZ36">
        <v>23</v>
      </c>
      <c r="DA36">
        <v>3</v>
      </c>
      <c r="DB36">
        <v>66.304347826099999</v>
      </c>
      <c r="DC36">
        <v>50</v>
      </c>
      <c r="DD36">
        <v>4</v>
      </c>
      <c r="DE36">
        <v>145.46</v>
      </c>
      <c r="DF36">
        <v>82.75</v>
      </c>
      <c r="DH36" t="s">
        <v>414</v>
      </c>
      <c r="DI36" t="s">
        <v>808</v>
      </c>
      <c r="DJ36" t="s">
        <v>814</v>
      </c>
      <c r="DK36">
        <v>7</v>
      </c>
      <c r="DL36">
        <v>2</v>
      </c>
      <c r="DM36">
        <v>72.285714285699996</v>
      </c>
      <c r="DN36">
        <v>49</v>
      </c>
      <c r="DO36">
        <v>2</v>
      </c>
      <c r="DP36">
        <v>136.26530612240001</v>
      </c>
      <c r="DQ36">
        <v>219.5</v>
      </c>
    </row>
    <row r="37" spans="2:121" x14ac:dyDescent="0.2">
      <c r="B37" t="s">
        <v>21</v>
      </c>
      <c r="C37">
        <v>34786</v>
      </c>
      <c r="D37">
        <v>9816</v>
      </c>
      <c r="F37" t="s">
        <v>64</v>
      </c>
      <c r="G37">
        <v>2942</v>
      </c>
      <c r="H37">
        <v>236.9061862678</v>
      </c>
      <c r="I37">
        <v>4800</v>
      </c>
      <c r="J37">
        <v>683</v>
      </c>
      <c r="K37">
        <v>5594</v>
      </c>
      <c r="L37">
        <v>1949</v>
      </c>
      <c r="M37">
        <v>925</v>
      </c>
      <c r="N37">
        <v>510</v>
      </c>
      <c r="O37">
        <v>1265</v>
      </c>
      <c r="P37">
        <v>763</v>
      </c>
      <c r="Q37">
        <v>0</v>
      </c>
      <c r="R37">
        <v>82</v>
      </c>
      <c r="T37" t="s">
        <v>389</v>
      </c>
      <c r="U37">
        <v>3531</v>
      </c>
      <c r="V37">
        <v>63.9824412348</v>
      </c>
      <c r="W37">
        <v>5683</v>
      </c>
      <c r="X37">
        <v>590</v>
      </c>
      <c r="Y37">
        <v>5334</v>
      </c>
      <c r="Z37">
        <v>515</v>
      </c>
      <c r="AA37">
        <v>13</v>
      </c>
      <c r="AB37">
        <v>12</v>
      </c>
      <c r="AC37">
        <v>380</v>
      </c>
      <c r="AD37">
        <v>101</v>
      </c>
      <c r="AE37">
        <v>2385</v>
      </c>
      <c r="AF37">
        <v>742</v>
      </c>
      <c r="AH37" t="s">
        <v>418</v>
      </c>
      <c r="AI37">
        <v>234</v>
      </c>
      <c r="AJ37">
        <v>174.30769230769999</v>
      </c>
      <c r="AK37">
        <v>624</v>
      </c>
      <c r="AL37">
        <v>100</v>
      </c>
      <c r="AM37">
        <v>871</v>
      </c>
      <c r="AN37">
        <v>111</v>
      </c>
      <c r="AO37">
        <v>146</v>
      </c>
      <c r="AP37">
        <v>71</v>
      </c>
      <c r="AQ37">
        <v>156</v>
      </c>
      <c r="AR37">
        <v>99</v>
      </c>
      <c r="AS37">
        <v>1</v>
      </c>
      <c r="AT37">
        <v>2</v>
      </c>
      <c r="AV37" t="s">
        <v>424</v>
      </c>
      <c r="AW37">
        <v>2808</v>
      </c>
      <c r="AX37">
        <v>102.76103988600001</v>
      </c>
      <c r="AY37">
        <v>3553</v>
      </c>
      <c r="AZ37">
        <v>632</v>
      </c>
      <c r="BA37">
        <v>3696</v>
      </c>
      <c r="BB37">
        <v>1266</v>
      </c>
      <c r="BC37">
        <v>16</v>
      </c>
      <c r="BD37">
        <v>15</v>
      </c>
      <c r="BE37">
        <v>136</v>
      </c>
      <c r="BF37">
        <v>44</v>
      </c>
      <c r="BG37">
        <v>482</v>
      </c>
      <c r="BH37">
        <v>595</v>
      </c>
      <c r="BJ37" t="s">
        <v>525</v>
      </c>
      <c r="BK37" t="s">
        <v>368</v>
      </c>
      <c r="BL37">
        <v>8621</v>
      </c>
      <c r="BM37">
        <v>2683</v>
      </c>
      <c r="BN37">
        <v>119.1147198701</v>
      </c>
      <c r="BO37">
        <v>18696</v>
      </c>
      <c r="BP37">
        <v>1297</v>
      </c>
      <c r="BQ37">
        <v>148.3049315362</v>
      </c>
      <c r="BR37">
        <v>145.9622205089</v>
      </c>
      <c r="BS37">
        <v>2915</v>
      </c>
      <c r="BT37">
        <v>1081</v>
      </c>
      <c r="BU37">
        <v>134.53516295029999</v>
      </c>
      <c r="BV37">
        <v>19158</v>
      </c>
      <c r="BW37">
        <v>1454</v>
      </c>
      <c r="BX37">
        <v>145.55804363710001</v>
      </c>
      <c r="BY37">
        <v>138.54057771660001</v>
      </c>
      <c r="CA37" t="s">
        <v>373</v>
      </c>
      <c r="CB37" t="s">
        <v>855</v>
      </c>
      <c r="CC37" t="s">
        <v>985</v>
      </c>
      <c r="CD37">
        <v>4455</v>
      </c>
      <c r="CE37">
        <v>1245</v>
      </c>
      <c r="CF37">
        <v>107.806285073</v>
      </c>
      <c r="CG37">
        <v>9906</v>
      </c>
      <c r="CH37">
        <v>677</v>
      </c>
      <c r="CI37">
        <v>137.8483747224</v>
      </c>
      <c r="CJ37">
        <v>142.88774002950001</v>
      </c>
      <c r="CL37" t="s">
        <v>373</v>
      </c>
      <c r="CM37" t="s">
        <v>824</v>
      </c>
      <c r="CN37" t="s">
        <v>831</v>
      </c>
      <c r="CO37">
        <v>530</v>
      </c>
      <c r="CP37">
        <v>81</v>
      </c>
      <c r="CQ37">
        <v>73.988679245300006</v>
      </c>
      <c r="CR37">
        <v>1630</v>
      </c>
      <c r="CS37">
        <v>158</v>
      </c>
      <c r="CT37">
        <v>96.773619631900004</v>
      </c>
      <c r="CU37">
        <v>98.658227848099997</v>
      </c>
      <c r="CW37" t="s">
        <v>373</v>
      </c>
      <c r="CX37" t="s">
        <v>840</v>
      </c>
      <c r="CY37" t="s">
        <v>847</v>
      </c>
      <c r="CZ37">
        <v>82</v>
      </c>
      <c r="DA37">
        <v>12</v>
      </c>
      <c r="DB37">
        <v>67.573170731700003</v>
      </c>
      <c r="DC37">
        <v>224</v>
      </c>
      <c r="DD37">
        <v>22</v>
      </c>
      <c r="DE37">
        <v>144.9508928571</v>
      </c>
      <c r="DF37">
        <v>114.7272727273</v>
      </c>
      <c r="DH37" t="s">
        <v>373</v>
      </c>
      <c r="DI37" t="s">
        <v>808</v>
      </c>
      <c r="DJ37" t="s">
        <v>815</v>
      </c>
      <c r="DK37">
        <v>72</v>
      </c>
      <c r="DL37">
        <v>12</v>
      </c>
      <c r="DM37">
        <v>71.541666666699996</v>
      </c>
      <c r="DN37">
        <v>168</v>
      </c>
      <c r="DO37">
        <v>10</v>
      </c>
      <c r="DP37">
        <v>135.7678571429</v>
      </c>
      <c r="DQ37">
        <v>116.1</v>
      </c>
    </row>
    <row r="38" spans="2:121" x14ac:dyDescent="0.2">
      <c r="B38" t="s">
        <v>99</v>
      </c>
      <c r="C38">
        <v>22295</v>
      </c>
      <c r="D38">
        <v>3923</v>
      </c>
      <c r="F38" t="s">
        <v>43</v>
      </c>
      <c r="G38">
        <v>226</v>
      </c>
      <c r="H38">
        <v>91.1238938053</v>
      </c>
      <c r="I38">
        <v>1075</v>
      </c>
      <c r="J38">
        <v>148</v>
      </c>
      <c r="K38">
        <v>1012</v>
      </c>
      <c r="L38">
        <v>30</v>
      </c>
      <c r="M38">
        <v>149</v>
      </c>
      <c r="N38">
        <v>61</v>
      </c>
      <c r="O38">
        <v>64</v>
      </c>
      <c r="P38">
        <v>35</v>
      </c>
      <c r="Q38">
        <v>0</v>
      </c>
      <c r="R38">
        <v>0</v>
      </c>
      <c r="T38" t="s">
        <v>379</v>
      </c>
      <c r="U38">
        <v>8428</v>
      </c>
      <c r="V38">
        <v>102.615448505</v>
      </c>
      <c r="W38">
        <v>8998</v>
      </c>
      <c r="X38">
        <v>1514</v>
      </c>
      <c r="Y38">
        <v>10896</v>
      </c>
      <c r="Z38">
        <v>3677</v>
      </c>
      <c r="AA38">
        <v>27</v>
      </c>
      <c r="AB38">
        <v>24</v>
      </c>
      <c r="AC38">
        <v>445</v>
      </c>
      <c r="AD38">
        <v>128</v>
      </c>
      <c r="AE38">
        <v>1350</v>
      </c>
      <c r="AF38">
        <v>1554</v>
      </c>
      <c r="AH38" t="s">
        <v>390</v>
      </c>
      <c r="AI38">
        <v>4723</v>
      </c>
      <c r="AJ38">
        <v>528.34956595380004</v>
      </c>
      <c r="AK38">
        <v>8484</v>
      </c>
      <c r="AL38">
        <v>1583</v>
      </c>
      <c r="AM38">
        <v>10004</v>
      </c>
      <c r="AN38">
        <v>4741</v>
      </c>
      <c r="AO38">
        <v>3049</v>
      </c>
      <c r="AP38">
        <v>2721</v>
      </c>
      <c r="AQ38">
        <v>4318</v>
      </c>
      <c r="AR38">
        <v>3111</v>
      </c>
      <c r="AS38">
        <v>1222</v>
      </c>
      <c r="AT38">
        <v>336</v>
      </c>
      <c r="AV38" t="s">
        <v>406</v>
      </c>
      <c r="AW38">
        <v>1123</v>
      </c>
      <c r="AX38">
        <v>67.910952804999994</v>
      </c>
      <c r="AY38">
        <v>1631</v>
      </c>
      <c r="AZ38">
        <v>70</v>
      </c>
      <c r="BA38">
        <v>2045</v>
      </c>
      <c r="BB38">
        <v>244</v>
      </c>
      <c r="BC38">
        <v>11</v>
      </c>
      <c r="BD38">
        <v>9</v>
      </c>
      <c r="BE38">
        <v>101</v>
      </c>
      <c r="BF38">
        <v>49</v>
      </c>
      <c r="BG38">
        <v>1627</v>
      </c>
      <c r="BH38">
        <v>466</v>
      </c>
      <c r="BJ38" t="s">
        <v>528</v>
      </c>
      <c r="BK38" t="s">
        <v>368</v>
      </c>
      <c r="BL38">
        <v>4742</v>
      </c>
      <c r="BM38">
        <v>1514</v>
      </c>
      <c r="BN38">
        <v>114.2340784479</v>
      </c>
      <c r="BO38">
        <v>10607</v>
      </c>
      <c r="BP38">
        <v>891</v>
      </c>
      <c r="BQ38">
        <v>157.7267841991</v>
      </c>
      <c r="BR38">
        <v>162.28507295169999</v>
      </c>
      <c r="BS38">
        <v>802</v>
      </c>
      <c r="BT38">
        <v>433</v>
      </c>
      <c r="BU38">
        <v>150.49750623439999</v>
      </c>
      <c r="BV38">
        <v>9050</v>
      </c>
      <c r="BW38">
        <v>696</v>
      </c>
      <c r="BX38">
        <v>173.15193370169999</v>
      </c>
      <c r="BY38">
        <v>201.97988505750001</v>
      </c>
      <c r="CA38" t="s">
        <v>60</v>
      </c>
      <c r="CB38" t="s">
        <v>855</v>
      </c>
      <c r="CC38" t="s">
        <v>517</v>
      </c>
      <c r="CD38">
        <v>9267</v>
      </c>
      <c r="CE38">
        <v>2184</v>
      </c>
      <c r="CF38">
        <v>97.996223157399996</v>
      </c>
      <c r="CG38">
        <v>22735</v>
      </c>
      <c r="CH38">
        <v>1624</v>
      </c>
      <c r="CI38">
        <v>129.74554651419999</v>
      </c>
      <c r="CJ38">
        <v>128.30172413790001</v>
      </c>
      <c r="CL38" t="s">
        <v>60</v>
      </c>
      <c r="CM38" t="s">
        <v>824</v>
      </c>
      <c r="CN38" t="s">
        <v>832</v>
      </c>
      <c r="CO38">
        <v>1220</v>
      </c>
      <c r="CP38">
        <v>165</v>
      </c>
      <c r="CQ38">
        <v>72.816393442600003</v>
      </c>
      <c r="CR38">
        <v>4190</v>
      </c>
      <c r="CS38">
        <v>462</v>
      </c>
      <c r="CT38">
        <v>99.300954653900007</v>
      </c>
      <c r="CU38">
        <v>102.91341991340001</v>
      </c>
      <c r="CW38" t="s">
        <v>60</v>
      </c>
      <c r="CX38" t="s">
        <v>840</v>
      </c>
      <c r="CY38" t="s">
        <v>848</v>
      </c>
      <c r="CZ38">
        <v>213</v>
      </c>
      <c r="DA38">
        <v>18</v>
      </c>
      <c r="DB38">
        <v>65.408450704200007</v>
      </c>
      <c r="DC38">
        <v>499</v>
      </c>
      <c r="DD38">
        <v>44</v>
      </c>
      <c r="DE38">
        <v>138.7875751503</v>
      </c>
      <c r="DF38">
        <v>110.6590909091</v>
      </c>
      <c r="DH38" t="s">
        <v>60</v>
      </c>
      <c r="DI38" t="s">
        <v>808</v>
      </c>
      <c r="DJ38" t="s">
        <v>816</v>
      </c>
      <c r="DK38">
        <v>131</v>
      </c>
      <c r="DL38">
        <v>18</v>
      </c>
      <c r="DM38">
        <v>66.351145038200002</v>
      </c>
      <c r="DN38">
        <v>369</v>
      </c>
      <c r="DO38">
        <v>33</v>
      </c>
      <c r="DP38">
        <v>129.9241192412</v>
      </c>
      <c r="DQ38">
        <v>106.06060606059999</v>
      </c>
    </row>
    <row r="39" spans="2:121" x14ac:dyDescent="0.2">
      <c r="B39" t="s">
        <v>109</v>
      </c>
      <c r="C39">
        <v>17290</v>
      </c>
      <c r="D39">
        <v>14259</v>
      </c>
      <c r="F39" t="s">
        <v>37</v>
      </c>
      <c r="G39">
        <v>4442</v>
      </c>
      <c r="H39">
        <v>495.62989644300001</v>
      </c>
      <c r="I39">
        <v>6536</v>
      </c>
      <c r="J39">
        <v>1694</v>
      </c>
      <c r="K39">
        <v>7559</v>
      </c>
      <c r="L39">
        <v>4458</v>
      </c>
      <c r="M39">
        <v>1744</v>
      </c>
      <c r="N39">
        <v>1628</v>
      </c>
      <c r="O39">
        <v>1488</v>
      </c>
      <c r="P39">
        <v>918</v>
      </c>
      <c r="Q39">
        <v>1</v>
      </c>
      <c r="R39">
        <v>219</v>
      </c>
      <c r="T39" t="s">
        <v>368</v>
      </c>
      <c r="U39">
        <v>7498</v>
      </c>
      <c r="V39">
        <v>106.8103494265</v>
      </c>
      <c r="W39">
        <v>10013</v>
      </c>
      <c r="X39">
        <v>1896</v>
      </c>
      <c r="Y39">
        <v>10023</v>
      </c>
      <c r="Z39">
        <v>3341</v>
      </c>
      <c r="AA39">
        <v>173</v>
      </c>
      <c r="AB39">
        <v>168</v>
      </c>
      <c r="AC39">
        <v>443</v>
      </c>
      <c r="AD39">
        <v>133</v>
      </c>
      <c r="AE39">
        <v>1289</v>
      </c>
      <c r="AF39">
        <v>1857</v>
      </c>
      <c r="AH39" t="s">
        <v>411</v>
      </c>
      <c r="AI39">
        <v>1675</v>
      </c>
      <c r="AJ39">
        <v>151.58447761190001</v>
      </c>
      <c r="AK39">
        <v>6090</v>
      </c>
      <c r="AL39">
        <v>632</v>
      </c>
      <c r="AM39">
        <v>4857</v>
      </c>
      <c r="AN39">
        <v>666</v>
      </c>
      <c r="AO39">
        <v>1087</v>
      </c>
      <c r="AP39">
        <v>495</v>
      </c>
      <c r="AQ39">
        <v>2971</v>
      </c>
      <c r="AR39">
        <v>1804</v>
      </c>
      <c r="AS39">
        <v>5</v>
      </c>
      <c r="AT39">
        <v>16</v>
      </c>
      <c r="AV39" t="s">
        <v>396</v>
      </c>
      <c r="AW39">
        <v>493</v>
      </c>
      <c r="AX39">
        <v>67.050709939100003</v>
      </c>
      <c r="AY39">
        <v>719</v>
      </c>
      <c r="AZ39">
        <v>86</v>
      </c>
      <c r="BA39">
        <v>712</v>
      </c>
      <c r="BB39">
        <v>62</v>
      </c>
      <c r="BC39">
        <v>3</v>
      </c>
      <c r="BD39">
        <v>3</v>
      </c>
      <c r="BE39">
        <v>44</v>
      </c>
      <c r="BF39">
        <v>14</v>
      </c>
      <c r="BG39">
        <v>111</v>
      </c>
      <c r="BH39">
        <v>62</v>
      </c>
      <c r="BJ39" t="s">
        <v>513</v>
      </c>
      <c r="BK39" t="s">
        <v>368</v>
      </c>
      <c r="BL39">
        <v>2969</v>
      </c>
      <c r="BM39">
        <v>361</v>
      </c>
      <c r="BN39">
        <v>68.013135735899994</v>
      </c>
      <c r="BO39">
        <v>17480</v>
      </c>
      <c r="BP39">
        <v>1281</v>
      </c>
      <c r="BQ39">
        <v>56.5308352403</v>
      </c>
      <c r="BR39">
        <v>59.120999219399998</v>
      </c>
      <c r="BS39">
        <v>1845</v>
      </c>
      <c r="BT39">
        <v>164</v>
      </c>
      <c r="BU39">
        <v>58.290514905099997</v>
      </c>
      <c r="BV39">
        <v>21164</v>
      </c>
      <c r="BW39">
        <v>1676</v>
      </c>
      <c r="BX39">
        <v>72.257229257199995</v>
      </c>
      <c r="BY39">
        <v>63.1658711217</v>
      </c>
      <c r="CA39" t="s">
        <v>381</v>
      </c>
      <c r="CB39" t="s">
        <v>855</v>
      </c>
      <c r="CC39" t="s">
        <v>986</v>
      </c>
      <c r="CD39">
        <v>17145</v>
      </c>
      <c r="CE39">
        <v>4059</v>
      </c>
      <c r="CF39">
        <v>93.413123359599993</v>
      </c>
      <c r="CG39">
        <v>41236</v>
      </c>
      <c r="CH39">
        <v>3209</v>
      </c>
      <c r="CI39">
        <v>136.011591813</v>
      </c>
      <c r="CJ39">
        <v>131.35431598630001</v>
      </c>
      <c r="CL39" t="s">
        <v>381</v>
      </c>
      <c r="CM39" t="s">
        <v>824</v>
      </c>
      <c r="CN39" t="s">
        <v>833</v>
      </c>
      <c r="CO39">
        <v>1356</v>
      </c>
      <c r="CP39">
        <v>220</v>
      </c>
      <c r="CQ39">
        <v>76.389380531</v>
      </c>
      <c r="CR39">
        <v>4239</v>
      </c>
      <c r="CS39">
        <v>447</v>
      </c>
      <c r="CT39">
        <v>97.085633404099994</v>
      </c>
      <c r="CU39">
        <v>98.738255033599998</v>
      </c>
      <c r="CW39" t="s">
        <v>381</v>
      </c>
      <c r="CX39" t="s">
        <v>840</v>
      </c>
      <c r="CY39" t="s">
        <v>849</v>
      </c>
      <c r="CZ39">
        <v>470</v>
      </c>
      <c r="DA39">
        <v>60</v>
      </c>
      <c r="DB39">
        <v>71.514893616999998</v>
      </c>
      <c r="DC39">
        <v>1110</v>
      </c>
      <c r="DD39">
        <v>71</v>
      </c>
      <c r="DE39">
        <v>150.32612612610001</v>
      </c>
      <c r="DF39">
        <v>122.6901408451</v>
      </c>
      <c r="DH39" t="s">
        <v>381</v>
      </c>
      <c r="DI39" t="s">
        <v>808</v>
      </c>
      <c r="DJ39" t="s">
        <v>817</v>
      </c>
      <c r="DK39">
        <v>708</v>
      </c>
      <c r="DL39">
        <v>69</v>
      </c>
      <c r="DM39">
        <v>59.807909604499997</v>
      </c>
      <c r="DN39">
        <v>1989</v>
      </c>
      <c r="DO39">
        <v>116</v>
      </c>
      <c r="DP39">
        <v>141.23730517850001</v>
      </c>
      <c r="DQ39">
        <v>120.8793103448</v>
      </c>
    </row>
    <row r="40" spans="2:121" x14ac:dyDescent="0.2">
      <c r="B40" t="s">
        <v>102</v>
      </c>
      <c r="C40">
        <v>24383</v>
      </c>
      <c r="D40">
        <v>16880</v>
      </c>
      <c r="F40" t="s">
        <v>8</v>
      </c>
      <c r="G40">
        <v>86</v>
      </c>
      <c r="H40">
        <v>400.26744186050001</v>
      </c>
      <c r="I40">
        <v>114</v>
      </c>
      <c r="J40">
        <v>38</v>
      </c>
      <c r="K40">
        <v>242</v>
      </c>
      <c r="L40">
        <v>90</v>
      </c>
      <c r="M40">
        <v>94</v>
      </c>
      <c r="N40">
        <v>40</v>
      </c>
      <c r="O40">
        <v>65120</v>
      </c>
      <c r="P40">
        <v>39178</v>
      </c>
      <c r="Q40">
        <v>0</v>
      </c>
      <c r="R40">
        <v>1</v>
      </c>
      <c r="T40" t="s">
        <v>384</v>
      </c>
      <c r="U40">
        <v>2536</v>
      </c>
      <c r="V40">
        <v>68.719637223999996</v>
      </c>
      <c r="W40">
        <v>2955</v>
      </c>
      <c r="X40">
        <v>184</v>
      </c>
      <c r="Y40">
        <v>3947</v>
      </c>
      <c r="Z40">
        <v>420</v>
      </c>
      <c r="AA40">
        <v>24</v>
      </c>
      <c r="AB40">
        <v>22</v>
      </c>
      <c r="AC40">
        <v>219</v>
      </c>
      <c r="AD40">
        <v>80</v>
      </c>
      <c r="AE40">
        <v>3252</v>
      </c>
      <c r="AF40">
        <v>838</v>
      </c>
      <c r="AH40" t="s">
        <v>408</v>
      </c>
      <c r="AI40">
        <v>5429</v>
      </c>
      <c r="AJ40">
        <v>407.50506538960002</v>
      </c>
      <c r="AK40">
        <v>4742</v>
      </c>
      <c r="AL40">
        <v>893</v>
      </c>
      <c r="AM40">
        <v>9064</v>
      </c>
      <c r="AN40">
        <v>5145</v>
      </c>
      <c r="AO40">
        <v>3308</v>
      </c>
      <c r="AP40">
        <v>2798</v>
      </c>
      <c r="AQ40">
        <v>3183</v>
      </c>
      <c r="AR40">
        <v>2255</v>
      </c>
      <c r="AS40">
        <v>9</v>
      </c>
      <c r="AT40">
        <v>103</v>
      </c>
      <c r="AV40" t="s">
        <v>80</v>
      </c>
      <c r="AW40">
        <v>206</v>
      </c>
      <c r="AX40">
        <v>65.199029126200003</v>
      </c>
      <c r="AY40">
        <v>341</v>
      </c>
      <c r="AZ40">
        <v>13</v>
      </c>
      <c r="BA40">
        <v>445</v>
      </c>
      <c r="BB40">
        <v>69</v>
      </c>
      <c r="BC40">
        <v>0</v>
      </c>
      <c r="BE40">
        <v>21</v>
      </c>
      <c r="BF40">
        <v>10</v>
      </c>
      <c r="BG40">
        <v>551</v>
      </c>
      <c r="BH40">
        <v>120</v>
      </c>
      <c r="BJ40" t="s">
        <v>534</v>
      </c>
      <c r="BK40" t="s">
        <v>368</v>
      </c>
      <c r="BL40">
        <v>11187</v>
      </c>
      <c r="BM40">
        <v>2209</v>
      </c>
      <c r="BN40">
        <v>89.561455260599999</v>
      </c>
      <c r="BO40">
        <v>28134</v>
      </c>
      <c r="BP40">
        <v>2102</v>
      </c>
      <c r="BQ40">
        <v>135.8760574394</v>
      </c>
      <c r="BR40">
        <v>133.2031398668</v>
      </c>
      <c r="BS40">
        <v>2718</v>
      </c>
      <c r="BT40">
        <v>787</v>
      </c>
      <c r="BU40">
        <v>102.51655629139999</v>
      </c>
      <c r="BV40">
        <v>28123</v>
      </c>
      <c r="BW40">
        <v>2051</v>
      </c>
      <c r="BX40">
        <v>133.0159655798</v>
      </c>
      <c r="BY40">
        <v>136.48902974160001</v>
      </c>
      <c r="CA40" t="s">
        <v>374</v>
      </c>
      <c r="CB40" t="s">
        <v>855</v>
      </c>
      <c r="CC40" t="s">
        <v>987</v>
      </c>
      <c r="CD40">
        <v>9782</v>
      </c>
      <c r="CE40">
        <v>2824</v>
      </c>
      <c r="CF40">
        <v>112.7428951135</v>
      </c>
      <c r="CG40">
        <v>23063</v>
      </c>
      <c r="CH40">
        <v>1678</v>
      </c>
      <c r="CI40">
        <v>140.33876772319999</v>
      </c>
      <c r="CJ40">
        <v>143.7973778308</v>
      </c>
      <c r="CL40" t="s">
        <v>374</v>
      </c>
      <c r="CM40" t="s">
        <v>824</v>
      </c>
      <c r="CN40" t="s">
        <v>834</v>
      </c>
      <c r="CO40">
        <v>1546</v>
      </c>
      <c r="CP40">
        <v>196</v>
      </c>
      <c r="CQ40">
        <v>72.5937904269</v>
      </c>
      <c r="CR40">
        <v>4918</v>
      </c>
      <c r="CS40">
        <v>482</v>
      </c>
      <c r="CT40">
        <v>96.437982919899994</v>
      </c>
      <c r="CU40">
        <v>100.80705394189999</v>
      </c>
      <c r="CW40" t="s">
        <v>374</v>
      </c>
      <c r="CX40" t="s">
        <v>840</v>
      </c>
      <c r="CY40" t="s">
        <v>850</v>
      </c>
      <c r="CZ40">
        <v>160</v>
      </c>
      <c r="DA40">
        <v>20</v>
      </c>
      <c r="DB40">
        <v>68.337500000000006</v>
      </c>
      <c r="DC40">
        <v>409</v>
      </c>
      <c r="DD40">
        <v>30</v>
      </c>
      <c r="DE40">
        <v>141.26650366749999</v>
      </c>
      <c r="DF40">
        <v>111.6666666667</v>
      </c>
      <c r="DH40" t="s">
        <v>374</v>
      </c>
      <c r="DI40" t="s">
        <v>808</v>
      </c>
      <c r="DJ40" t="s">
        <v>818</v>
      </c>
      <c r="DK40">
        <v>110</v>
      </c>
      <c r="DL40">
        <v>18</v>
      </c>
      <c r="DM40">
        <v>76.7</v>
      </c>
      <c r="DN40">
        <v>337</v>
      </c>
      <c r="DO40">
        <v>19</v>
      </c>
      <c r="DP40">
        <v>131.4955489614</v>
      </c>
      <c r="DQ40">
        <v>145</v>
      </c>
    </row>
    <row r="41" spans="2:121" x14ac:dyDescent="0.2">
      <c r="B41" t="s">
        <v>1057</v>
      </c>
      <c r="C41">
        <v>997</v>
      </c>
      <c r="D41">
        <v>531</v>
      </c>
      <c r="F41" t="s">
        <v>62</v>
      </c>
      <c r="G41">
        <v>7451</v>
      </c>
      <c r="H41">
        <v>451.9190712656</v>
      </c>
      <c r="I41">
        <v>11379</v>
      </c>
      <c r="J41">
        <v>2740</v>
      </c>
      <c r="K41">
        <v>13230</v>
      </c>
      <c r="L41">
        <v>8308</v>
      </c>
      <c r="M41">
        <v>3726</v>
      </c>
      <c r="N41">
        <v>3457</v>
      </c>
      <c r="O41">
        <v>2632</v>
      </c>
      <c r="P41">
        <v>2114</v>
      </c>
      <c r="Q41">
        <v>0</v>
      </c>
      <c r="R41">
        <v>47</v>
      </c>
      <c r="T41" t="s">
        <v>8</v>
      </c>
      <c r="U41">
        <v>180</v>
      </c>
      <c r="V41">
        <v>101.85</v>
      </c>
      <c r="W41">
        <v>222</v>
      </c>
      <c r="X41">
        <v>118</v>
      </c>
      <c r="Y41">
        <v>366</v>
      </c>
      <c r="Z41">
        <v>213</v>
      </c>
      <c r="AA41">
        <v>6</v>
      </c>
      <c r="AB41">
        <v>6</v>
      </c>
      <c r="AC41">
        <v>9</v>
      </c>
      <c r="AD41">
        <v>4</v>
      </c>
      <c r="AE41">
        <v>62</v>
      </c>
      <c r="AF41">
        <v>26</v>
      </c>
      <c r="AH41" t="s">
        <v>8</v>
      </c>
      <c r="AI41">
        <v>3108</v>
      </c>
      <c r="AJ41">
        <v>335.09652509649999</v>
      </c>
      <c r="AK41">
        <v>4448</v>
      </c>
      <c r="AL41">
        <v>1761</v>
      </c>
      <c r="AM41">
        <v>5090</v>
      </c>
      <c r="AN41">
        <v>2916</v>
      </c>
      <c r="AO41">
        <v>1489</v>
      </c>
      <c r="AP41">
        <v>986</v>
      </c>
      <c r="AQ41">
        <v>1263</v>
      </c>
      <c r="AR41">
        <v>816</v>
      </c>
      <c r="AS41">
        <v>487</v>
      </c>
      <c r="AT41">
        <v>157</v>
      </c>
      <c r="AV41" t="s">
        <v>373</v>
      </c>
      <c r="AW41">
        <v>510</v>
      </c>
      <c r="AX41">
        <v>104.1784313725</v>
      </c>
      <c r="AY41">
        <v>702</v>
      </c>
      <c r="AZ41">
        <v>138</v>
      </c>
      <c r="BA41">
        <v>680</v>
      </c>
      <c r="BB41">
        <v>221</v>
      </c>
      <c r="BC41">
        <v>1</v>
      </c>
      <c r="BD41">
        <v>1</v>
      </c>
      <c r="BE41">
        <v>24</v>
      </c>
      <c r="BF41">
        <v>7</v>
      </c>
      <c r="BG41">
        <v>76</v>
      </c>
      <c r="BH41">
        <v>138</v>
      </c>
      <c r="BJ41" t="s">
        <v>626</v>
      </c>
      <c r="BK41" t="s">
        <v>368</v>
      </c>
      <c r="BL41">
        <v>1514</v>
      </c>
      <c r="BM41">
        <v>178</v>
      </c>
      <c r="BN41">
        <v>67.980845442499998</v>
      </c>
      <c r="BO41">
        <v>4169</v>
      </c>
      <c r="BP41">
        <v>335</v>
      </c>
      <c r="BQ41">
        <v>103.7994722955</v>
      </c>
      <c r="BR41">
        <v>93.056716417900006</v>
      </c>
      <c r="BS41">
        <v>1722</v>
      </c>
      <c r="BT41">
        <v>158</v>
      </c>
      <c r="BU41">
        <v>75.004645760700001</v>
      </c>
      <c r="BV41">
        <v>14131</v>
      </c>
      <c r="BW41">
        <v>1131</v>
      </c>
      <c r="BX41">
        <v>125.4376901847</v>
      </c>
      <c r="BY41">
        <v>89.709106985000005</v>
      </c>
      <c r="CA41" t="s">
        <v>371</v>
      </c>
      <c r="CB41" t="s">
        <v>855</v>
      </c>
      <c r="CC41" t="s">
        <v>988</v>
      </c>
      <c r="CD41">
        <v>904</v>
      </c>
      <c r="CE41">
        <v>157</v>
      </c>
      <c r="CF41">
        <v>86.4900442478</v>
      </c>
      <c r="CG41">
        <v>2708</v>
      </c>
      <c r="CH41">
        <v>222</v>
      </c>
      <c r="CI41">
        <v>106.82348596750001</v>
      </c>
      <c r="CJ41">
        <v>102.1711711712</v>
      </c>
      <c r="CL41" t="s">
        <v>371</v>
      </c>
      <c r="CM41" t="s">
        <v>824</v>
      </c>
      <c r="CN41" t="s">
        <v>835</v>
      </c>
      <c r="CO41">
        <v>104</v>
      </c>
      <c r="CP41">
        <v>9</v>
      </c>
      <c r="CQ41">
        <v>68.730769230799993</v>
      </c>
      <c r="CR41">
        <v>380</v>
      </c>
      <c r="CS41">
        <v>39</v>
      </c>
      <c r="CT41">
        <v>98</v>
      </c>
      <c r="CU41">
        <v>123.4358974359</v>
      </c>
      <c r="CW41" t="s">
        <v>371</v>
      </c>
      <c r="CX41" t="s">
        <v>840</v>
      </c>
      <c r="CY41" t="s">
        <v>851</v>
      </c>
      <c r="CZ41">
        <v>5</v>
      </c>
      <c r="DA41">
        <v>0</v>
      </c>
      <c r="DB41">
        <v>59.2</v>
      </c>
      <c r="DC41">
        <v>27</v>
      </c>
      <c r="DD41">
        <v>0</v>
      </c>
      <c r="DE41">
        <v>156.6296296296</v>
      </c>
      <c r="DF41">
        <v>0</v>
      </c>
      <c r="DH41" t="s">
        <v>371</v>
      </c>
      <c r="DI41" t="s">
        <v>808</v>
      </c>
      <c r="DJ41" t="s">
        <v>819</v>
      </c>
      <c r="DK41">
        <v>8</v>
      </c>
      <c r="DL41">
        <v>1</v>
      </c>
      <c r="DM41">
        <v>72.5</v>
      </c>
      <c r="DN41">
        <v>23</v>
      </c>
      <c r="DO41">
        <v>2</v>
      </c>
      <c r="DP41">
        <v>124.9565217391</v>
      </c>
      <c r="DQ41">
        <v>71</v>
      </c>
    </row>
    <row r="42" spans="2:121" x14ac:dyDescent="0.2">
      <c r="B42" t="s">
        <v>117</v>
      </c>
      <c r="C42">
        <v>5491</v>
      </c>
      <c r="D42">
        <v>1122</v>
      </c>
      <c r="F42" t="s">
        <v>54</v>
      </c>
      <c r="G42">
        <v>958</v>
      </c>
      <c r="H42">
        <v>263.13048016699997</v>
      </c>
      <c r="I42">
        <v>1227</v>
      </c>
      <c r="J42">
        <v>178</v>
      </c>
      <c r="K42">
        <v>1803</v>
      </c>
      <c r="L42">
        <v>769</v>
      </c>
      <c r="M42">
        <v>213</v>
      </c>
      <c r="N42">
        <v>139</v>
      </c>
      <c r="O42">
        <v>141</v>
      </c>
      <c r="P42">
        <v>48</v>
      </c>
      <c r="Q42">
        <v>0</v>
      </c>
      <c r="R42">
        <v>1</v>
      </c>
      <c r="T42" t="s">
        <v>403</v>
      </c>
      <c r="U42">
        <v>2068</v>
      </c>
      <c r="V42">
        <v>66.8176982592</v>
      </c>
      <c r="W42">
        <v>2967</v>
      </c>
      <c r="X42">
        <v>128</v>
      </c>
      <c r="Y42">
        <v>3815</v>
      </c>
      <c r="Z42">
        <v>468</v>
      </c>
      <c r="AA42">
        <v>14</v>
      </c>
      <c r="AB42">
        <v>12</v>
      </c>
      <c r="AC42">
        <v>178</v>
      </c>
      <c r="AD42">
        <v>83</v>
      </c>
      <c r="AE42">
        <v>3791</v>
      </c>
      <c r="AF42">
        <v>879</v>
      </c>
      <c r="AH42" t="s">
        <v>374</v>
      </c>
      <c r="AI42">
        <v>5178</v>
      </c>
      <c r="AJ42">
        <v>393.54383932019999</v>
      </c>
      <c r="AK42">
        <v>9907</v>
      </c>
      <c r="AL42">
        <v>2791</v>
      </c>
      <c r="AM42">
        <v>11659</v>
      </c>
      <c r="AN42">
        <v>5811</v>
      </c>
      <c r="AO42">
        <v>2334</v>
      </c>
      <c r="AP42">
        <v>1948</v>
      </c>
      <c r="AQ42">
        <v>6418</v>
      </c>
      <c r="AR42">
        <v>5246</v>
      </c>
      <c r="AS42">
        <v>1602</v>
      </c>
      <c r="AT42">
        <v>16</v>
      </c>
      <c r="AV42" t="s">
        <v>407</v>
      </c>
      <c r="AW42">
        <v>69</v>
      </c>
      <c r="AX42">
        <v>65.391304347800002</v>
      </c>
      <c r="AY42">
        <v>92</v>
      </c>
      <c r="AZ42">
        <v>3</v>
      </c>
      <c r="BA42">
        <v>126</v>
      </c>
      <c r="BB42">
        <v>15</v>
      </c>
      <c r="BC42">
        <v>1</v>
      </c>
      <c r="BD42">
        <v>1</v>
      </c>
      <c r="BE42">
        <v>3</v>
      </c>
      <c r="BF42">
        <v>1</v>
      </c>
      <c r="BG42">
        <v>123</v>
      </c>
      <c r="BH42">
        <v>20</v>
      </c>
      <c r="BJ42" t="s">
        <v>628</v>
      </c>
      <c r="BK42" t="s">
        <v>368</v>
      </c>
      <c r="BL42">
        <v>541</v>
      </c>
      <c r="BM42">
        <v>136</v>
      </c>
      <c r="BN42">
        <v>96.360443622899993</v>
      </c>
      <c r="BO42">
        <v>1240</v>
      </c>
      <c r="BP42">
        <v>141</v>
      </c>
      <c r="BQ42">
        <v>137.02822580649999</v>
      </c>
      <c r="BR42">
        <v>150.97872340430001</v>
      </c>
      <c r="BS42">
        <v>270</v>
      </c>
      <c r="BT42">
        <v>95</v>
      </c>
      <c r="BU42">
        <v>106.8814814815</v>
      </c>
      <c r="BV42">
        <v>1814</v>
      </c>
      <c r="BW42">
        <v>149</v>
      </c>
      <c r="BX42">
        <v>143.5959206174</v>
      </c>
      <c r="BY42">
        <v>159.27516778520001</v>
      </c>
      <c r="CA42" t="s">
        <v>416</v>
      </c>
      <c r="CB42" t="s">
        <v>855</v>
      </c>
      <c r="CC42" t="s">
        <v>989</v>
      </c>
      <c r="CD42">
        <v>532</v>
      </c>
      <c r="CE42">
        <v>132</v>
      </c>
      <c r="CF42">
        <v>95.054511278199996</v>
      </c>
      <c r="CG42">
        <v>1218</v>
      </c>
      <c r="CH42">
        <v>139</v>
      </c>
      <c r="CI42">
        <v>131.36945812810001</v>
      </c>
      <c r="CJ42">
        <v>136.48920863309999</v>
      </c>
      <c r="CL42" t="s">
        <v>416</v>
      </c>
      <c r="CM42" t="s">
        <v>824</v>
      </c>
      <c r="CN42" t="s">
        <v>836</v>
      </c>
      <c r="CO42">
        <v>42</v>
      </c>
      <c r="CP42">
        <v>6</v>
      </c>
      <c r="CQ42">
        <v>67.166666666699996</v>
      </c>
      <c r="CR42">
        <v>135</v>
      </c>
      <c r="CS42">
        <v>7</v>
      </c>
      <c r="CT42">
        <v>101.2666666667</v>
      </c>
      <c r="CU42">
        <v>91.857142857100001</v>
      </c>
      <c r="CW42" t="s">
        <v>416</v>
      </c>
      <c r="CX42" t="s">
        <v>840</v>
      </c>
      <c r="CY42" t="s">
        <v>852</v>
      </c>
      <c r="CZ42">
        <v>8</v>
      </c>
      <c r="DA42">
        <v>1</v>
      </c>
      <c r="DB42">
        <v>60.75</v>
      </c>
      <c r="DC42">
        <v>12</v>
      </c>
      <c r="DD42">
        <v>1</v>
      </c>
      <c r="DE42">
        <v>138.9166666667</v>
      </c>
      <c r="DF42">
        <v>78</v>
      </c>
      <c r="DH42" t="s">
        <v>416</v>
      </c>
      <c r="DI42" t="s">
        <v>808</v>
      </c>
      <c r="DJ42" t="s">
        <v>820</v>
      </c>
      <c r="DK42">
        <v>6</v>
      </c>
      <c r="DL42">
        <v>1</v>
      </c>
      <c r="DM42">
        <v>82.666666666699996</v>
      </c>
      <c r="DN42">
        <v>12</v>
      </c>
      <c r="DO42">
        <v>0</v>
      </c>
      <c r="DP42">
        <v>115.4166666667</v>
      </c>
      <c r="DQ42">
        <v>0</v>
      </c>
    </row>
    <row r="43" spans="2:121" x14ac:dyDescent="0.2">
      <c r="B43" t="s">
        <v>110</v>
      </c>
      <c r="C43">
        <v>1044</v>
      </c>
      <c r="D43">
        <v>353</v>
      </c>
      <c r="F43" t="s">
        <v>24</v>
      </c>
      <c r="G43">
        <v>569</v>
      </c>
      <c r="H43">
        <v>192.76449912129999</v>
      </c>
      <c r="I43">
        <v>3866</v>
      </c>
      <c r="J43">
        <v>780</v>
      </c>
      <c r="K43">
        <v>2939</v>
      </c>
      <c r="L43">
        <v>940</v>
      </c>
      <c r="M43">
        <v>981</v>
      </c>
      <c r="N43">
        <v>667</v>
      </c>
      <c r="O43">
        <v>303</v>
      </c>
      <c r="P43">
        <v>137</v>
      </c>
      <c r="Q43">
        <v>0</v>
      </c>
      <c r="R43">
        <v>0</v>
      </c>
      <c r="AH43" t="s">
        <v>426</v>
      </c>
      <c r="AI43">
        <v>1170</v>
      </c>
      <c r="AJ43">
        <v>252.2512820513</v>
      </c>
      <c r="AK43">
        <v>2841</v>
      </c>
      <c r="AL43">
        <v>606</v>
      </c>
      <c r="AM43">
        <v>4765</v>
      </c>
      <c r="AN43">
        <v>1876</v>
      </c>
      <c r="AO43">
        <v>1018</v>
      </c>
      <c r="AP43">
        <v>836</v>
      </c>
      <c r="AQ43">
        <v>1693</v>
      </c>
      <c r="AR43">
        <v>1232</v>
      </c>
      <c r="AS43">
        <v>420</v>
      </c>
      <c r="AT43">
        <v>2</v>
      </c>
      <c r="AV43" t="s">
        <v>372</v>
      </c>
      <c r="AW43">
        <v>216</v>
      </c>
      <c r="AX43">
        <v>110.8148148148</v>
      </c>
      <c r="AY43">
        <v>391</v>
      </c>
      <c r="AZ43">
        <v>60</v>
      </c>
      <c r="BA43">
        <v>285</v>
      </c>
      <c r="BB43">
        <v>91</v>
      </c>
      <c r="BC43">
        <v>0</v>
      </c>
      <c r="BE43">
        <v>19</v>
      </c>
      <c r="BF43">
        <v>3</v>
      </c>
      <c r="BG43">
        <v>30</v>
      </c>
      <c r="BH43">
        <v>48</v>
      </c>
      <c r="BJ43" t="s">
        <v>642</v>
      </c>
      <c r="BK43" t="s">
        <v>368</v>
      </c>
      <c r="BL43">
        <v>833</v>
      </c>
      <c r="BM43">
        <v>174</v>
      </c>
      <c r="BN43">
        <v>90.018007202899994</v>
      </c>
      <c r="BO43">
        <v>1989</v>
      </c>
      <c r="BP43">
        <v>137</v>
      </c>
      <c r="BQ43">
        <v>140.1045751634</v>
      </c>
      <c r="BR43">
        <v>141.97080291969999</v>
      </c>
      <c r="BS43">
        <v>196</v>
      </c>
      <c r="BT43">
        <v>101</v>
      </c>
      <c r="BU43">
        <v>146.08673469390001</v>
      </c>
      <c r="BV43">
        <v>1190</v>
      </c>
      <c r="BW43">
        <v>90</v>
      </c>
      <c r="BX43">
        <v>131.35798319329999</v>
      </c>
      <c r="BY43">
        <v>191.14444444439999</v>
      </c>
      <c r="CA43" t="s">
        <v>377</v>
      </c>
      <c r="CB43" t="s">
        <v>855</v>
      </c>
      <c r="CC43" t="s">
        <v>990</v>
      </c>
      <c r="CD43">
        <v>10955</v>
      </c>
      <c r="CE43">
        <v>1943</v>
      </c>
      <c r="CF43">
        <v>84.609584664500005</v>
      </c>
      <c r="CG43">
        <v>29213</v>
      </c>
      <c r="CH43">
        <v>2169</v>
      </c>
      <c r="CI43">
        <v>130.5350700031</v>
      </c>
      <c r="CJ43">
        <v>125.5440295067</v>
      </c>
      <c r="CL43" t="s">
        <v>377</v>
      </c>
      <c r="CM43" t="s">
        <v>824</v>
      </c>
      <c r="CN43" t="s">
        <v>837</v>
      </c>
      <c r="CO43">
        <v>928</v>
      </c>
      <c r="CP43">
        <v>133</v>
      </c>
      <c r="CQ43">
        <v>72.828663793100006</v>
      </c>
      <c r="CR43">
        <v>2649</v>
      </c>
      <c r="CS43">
        <v>266</v>
      </c>
      <c r="CT43">
        <v>101.3125707814</v>
      </c>
      <c r="CU43">
        <v>97.680451127799998</v>
      </c>
      <c r="CW43" t="s">
        <v>377</v>
      </c>
      <c r="CX43" t="s">
        <v>840</v>
      </c>
      <c r="CY43" t="s">
        <v>853</v>
      </c>
      <c r="CZ43">
        <v>510</v>
      </c>
      <c r="DA43">
        <v>62</v>
      </c>
      <c r="DB43">
        <v>73.339215686299994</v>
      </c>
      <c r="DC43">
        <v>1285</v>
      </c>
      <c r="DD43">
        <v>109</v>
      </c>
      <c r="DE43">
        <v>153.79455252919999</v>
      </c>
      <c r="DF43">
        <v>127.47706422020001</v>
      </c>
      <c r="DH43" t="s">
        <v>377</v>
      </c>
      <c r="DI43" t="s">
        <v>808</v>
      </c>
      <c r="DJ43" t="s">
        <v>821</v>
      </c>
      <c r="DK43">
        <v>679</v>
      </c>
      <c r="DL43">
        <v>89</v>
      </c>
      <c r="DM43">
        <v>67.368188512499998</v>
      </c>
      <c r="DN43">
        <v>2156</v>
      </c>
      <c r="DO43">
        <v>126</v>
      </c>
      <c r="DP43">
        <v>147.82421150280001</v>
      </c>
      <c r="DQ43">
        <v>128.46825396829999</v>
      </c>
    </row>
    <row r="44" spans="2:121" x14ac:dyDescent="0.2">
      <c r="B44" t="s">
        <v>100</v>
      </c>
      <c r="C44">
        <v>338</v>
      </c>
      <c r="D44">
        <v>263</v>
      </c>
      <c r="F44" t="s">
        <v>44</v>
      </c>
      <c r="G44">
        <v>580</v>
      </c>
      <c r="H44">
        <v>283.72758620690001</v>
      </c>
      <c r="I44">
        <v>1805</v>
      </c>
      <c r="J44">
        <v>335</v>
      </c>
      <c r="K44">
        <v>2491</v>
      </c>
      <c r="L44">
        <v>711</v>
      </c>
      <c r="M44">
        <v>443</v>
      </c>
      <c r="N44">
        <v>238</v>
      </c>
      <c r="O44">
        <v>819</v>
      </c>
      <c r="P44">
        <v>682</v>
      </c>
      <c r="Q44">
        <v>0</v>
      </c>
      <c r="R44">
        <v>5</v>
      </c>
      <c r="AH44" t="s">
        <v>371</v>
      </c>
      <c r="AI44">
        <v>265</v>
      </c>
      <c r="AJ44">
        <v>223.12830188679999</v>
      </c>
      <c r="AK44">
        <v>921</v>
      </c>
      <c r="AL44">
        <v>160</v>
      </c>
      <c r="AM44">
        <v>1071</v>
      </c>
      <c r="AN44">
        <v>263</v>
      </c>
      <c r="AO44">
        <v>223</v>
      </c>
      <c r="AP44">
        <v>167</v>
      </c>
      <c r="AQ44">
        <v>231</v>
      </c>
      <c r="AR44">
        <v>123</v>
      </c>
      <c r="AS44">
        <v>193</v>
      </c>
      <c r="AT44">
        <v>3</v>
      </c>
      <c r="AV44" t="s">
        <v>405</v>
      </c>
      <c r="AW44">
        <v>77</v>
      </c>
      <c r="AX44">
        <v>64.077922077899998</v>
      </c>
      <c r="AY44">
        <v>150</v>
      </c>
      <c r="AZ44">
        <v>4</v>
      </c>
      <c r="BA44">
        <v>145</v>
      </c>
      <c r="BB44">
        <v>14</v>
      </c>
      <c r="BC44">
        <v>0</v>
      </c>
      <c r="BE44">
        <v>2</v>
      </c>
      <c r="BG44">
        <v>189</v>
      </c>
      <c r="BH44">
        <v>25</v>
      </c>
      <c r="BJ44" t="s">
        <v>542</v>
      </c>
      <c r="BK44" t="s">
        <v>368</v>
      </c>
      <c r="BL44">
        <v>17803</v>
      </c>
      <c r="BM44">
        <v>4208</v>
      </c>
      <c r="BN44">
        <v>93.570184800299998</v>
      </c>
      <c r="BO44">
        <v>40695</v>
      </c>
      <c r="BP44">
        <v>3180</v>
      </c>
      <c r="BQ44">
        <v>143.4441331859</v>
      </c>
      <c r="BR44">
        <v>136.2911949686</v>
      </c>
      <c r="BS44">
        <v>4148</v>
      </c>
      <c r="BT44">
        <v>1166</v>
      </c>
      <c r="BU44">
        <v>103.568466731</v>
      </c>
      <c r="BV44">
        <v>25863</v>
      </c>
      <c r="BW44">
        <v>1789</v>
      </c>
      <c r="BX44">
        <v>141.84174303060001</v>
      </c>
      <c r="BY44">
        <v>157.32196757969999</v>
      </c>
      <c r="CA44" t="s">
        <v>378</v>
      </c>
      <c r="CB44" t="s">
        <v>855</v>
      </c>
      <c r="CC44" t="s">
        <v>991</v>
      </c>
      <c r="CD44">
        <v>2423</v>
      </c>
      <c r="CE44">
        <v>446</v>
      </c>
      <c r="CF44">
        <v>84.606685926500006</v>
      </c>
      <c r="CG44">
        <v>7670</v>
      </c>
      <c r="CH44">
        <v>677</v>
      </c>
      <c r="CI44">
        <v>116.8644067797</v>
      </c>
      <c r="CJ44">
        <v>114.0694239291</v>
      </c>
      <c r="CL44" t="s">
        <v>378</v>
      </c>
      <c r="CM44" t="s">
        <v>824</v>
      </c>
      <c r="CN44" t="s">
        <v>838</v>
      </c>
      <c r="CO44">
        <v>249</v>
      </c>
      <c r="CP44">
        <v>27</v>
      </c>
      <c r="CQ44">
        <v>67.763052208800005</v>
      </c>
      <c r="CR44">
        <v>874</v>
      </c>
      <c r="CS44">
        <v>78</v>
      </c>
      <c r="CT44">
        <v>99.173913043499994</v>
      </c>
      <c r="CU44">
        <v>104.2948717949</v>
      </c>
      <c r="CW44" t="s">
        <v>378</v>
      </c>
      <c r="CX44" t="s">
        <v>840</v>
      </c>
      <c r="CY44" t="s">
        <v>854</v>
      </c>
      <c r="CZ44">
        <v>22</v>
      </c>
      <c r="DA44">
        <v>2</v>
      </c>
      <c r="DB44">
        <v>61.9545454545</v>
      </c>
      <c r="DC44">
        <v>44</v>
      </c>
      <c r="DD44">
        <v>3</v>
      </c>
      <c r="DE44">
        <v>143.4772727273</v>
      </c>
      <c r="DF44">
        <v>112.6666666667</v>
      </c>
      <c r="DH44" t="s">
        <v>378</v>
      </c>
      <c r="DI44" t="s">
        <v>808</v>
      </c>
      <c r="DJ44" t="s">
        <v>822</v>
      </c>
      <c r="DK44">
        <v>14</v>
      </c>
      <c r="DL44">
        <v>0</v>
      </c>
      <c r="DM44">
        <v>70.571428571400006</v>
      </c>
      <c r="DN44">
        <v>74</v>
      </c>
      <c r="DO44">
        <v>2</v>
      </c>
      <c r="DP44">
        <v>125.7567567568</v>
      </c>
      <c r="DQ44">
        <v>21.5</v>
      </c>
    </row>
    <row r="45" spans="2:121" x14ac:dyDescent="0.2">
      <c r="B45" t="s">
        <v>92</v>
      </c>
      <c r="C45">
        <v>5</v>
      </c>
      <c r="D45">
        <v>2</v>
      </c>
      <c r="F45" t="s">
        <v>57</v>
      </c>
      <c r="G45">
        <v>10322</v>
      </c>
      <c r="H45">
        <v>356.10279015690003</v>
      </c>
      <c r="I45">
        <v>7646</v>
      </c>
      <c r="J45">
        <v>1922</v>
      </c>
      <c r="K45">
        <v>14292</v>
      </c>
      <c r="L45">
        <v>8407</v>
      </c>
      <c r="M45">
        <v>4145</v>
      </c>
      <c r="N45">
        <v>3783</v>
      </c>
      <c r="O45">
        <v>1622</v>
      </c>
      <c r="P45">
        <v>612</v>
      </c>
      <c r="Q45">
        <v>0</v>
      </c>
      <c r="R45">
        <v>415</v>
      </c>
      <c r="AH45" t="s">
        <v>382</v>
      </c>
      <c r="AI45">
        <v>7069</v>
      </c>
      <c r="AJ45">
        <v>340.46866600649997</v>
      </c>
      <c r="AK45">
        <v>9933</v>
      </c>
      <c r="AL45">
        <v>2584</v>
      </c>
      <c r="AM45">
        <v>12839</v>
      </c>
      <c r="AN45">
        <v>7277</v>
      </c>
      <c r="AO45">
        <v>3037</v>
      </c>
      <c r="AP45">
        <v>2335</v>
      </c>
      <c r="AQ45">
        <v>3762</v>
      </c>
      <c r="AR45">
        <v>2505</v>
      </c>
      <c r="AS45">
        <v>742</v>
      </c>
      <c r="AT45">
        <v>64</v>
      </c>
      <c r="AV45" t="s">
        <v>378</v>
      </c>
      <c r="AW45">
        <v>312</v>
      </c>
      <c r="AX45">
        <v>110.55128205130001</v>
      </c>
      <c r="AY45">
        <v>244</v>
      </c>
      <c r="AZ45">
        <v>39</v>
      </c>
      <c r="BA45">
        <v>393</v>
      </c>
      <c r="BB45">
        <v>138</v>
      </c>
      <c r="BC45">
        <v>0</v>
      </c>
      <c r="BE45">
        <v>14</v>
      </c>
      <c r="BF45">
        <v>3</v>
      </c>
      <c r="BG45">
        <v>65</v>
      </c>
      <c r="BH45">
        <v>69</v>
      </c>
      <c r="BJ45" t="s">
        <v>8</v>
      </c>
      <c r="BK45" t="s">
        <v>8</v>
      </c>
      <c r="BL45">
        <v>141</v>
      </c>
      <c r="BM45">
        <v>61</v>
      </c>
      <c r="BN45">
        <v>164.15602836880001</v>
      </c>
      <c r="BO45">
        <v>567</v>
      </c>
      <c r="BP45">
        <v>16</v>
      </c>
      <c r="BQ45">
        <v>228.68253968249999</v>
      </c>
      <c r="BR45">
        <v>264.5</v>
      </c>
      <c r="BS45">
        <v>228625</v>
      </c>
      <c r="BT45">
        <v>42401</v>
      </c>
      <c r="BU45">
        <v>86.210519409499994</v>
      </c>
      <c r="BV45">
        <v>15</v>
      </c>
      <c r="BW45">
        <v>2</v>
      </c>
      <c r="BX45">
        <v>146.13333333329999</v>
      </c>
      <c r="BY45">
        <v>114</v>
      </c>
      <c r="CA45" t="s">
        <v>368</v>
      </c>
      <c r="CB45" t="s">
        <v>855</v>
      </c>
      <c r="CD45">
        <v>72039</v>
      </c>
      <c r="CE45">
        <v>16262</v>
      </c>
      <c r="CF45">
        <v>94.734615971899998</v>
      </c>
      <c r="CG45">
        <v>180168</v>
      </c>
      <c r="CH45">
        <v>13559</v>
      </c>
      <c r="CI45">
        <v>131.5534723147</v>
      </c>
      <c r="CJ45">
        <v>129.18504314480001</v>
      </c>
      <c r="CL45" t="s">
        <v>368</v>
      </c>
      <c r="CM45" t="s">
        <v>824</v>
      </c>
      <c r="CO45">
        <v>7560</v>
      </c>
      <c r="CP45">
        <v>1053</v>
      </c>
      <c r="CQ45">
        <v>73.186640211599993</v>
      </c>
      <c r="CR45">
        <v>24090</v>
      </c>
      <c r="CS45">
        <v>2443</v>
      </c>
      <c r="CT45">
        <v>97.843752594400001</v>
      </c>
      <c r="CU45">
        <v>100.41588211219999</v>
      </c>
      <c r="CW45" t="s">
        <v>368</v>
      </c>
      <c r="CX45" t="s">
        <v>840</v>
      </c>
      <c r="CZ45">
        <v>1795</v>
      </c>
      <c r="DA45">
        <v>213</v>
      </c>
      <c r="DB45">
        <v>70.132590529200002</v>
      </c>
      <c r="DC45">
        <v>4585</v>
      </c>
      <c r="DD45">
        <v>356</v>
      </c>
      <c r="DE45">
        <v>147.61112322790001</v>
      </c>
      <c r="DF45">
        <v>117.845505618</v>
      </c>
      <c r="DH45" t="s">
        <v>368</v>
      </c>
      <c r="DI45" t="s">
        <v>808</v>
      </c>
      <c r="DK45">
        <v>2043</v>
      </c>
      <c r="DL45">
        <v>237</v>
      </c>
      <c r="DM45">
        <v>64.925599608400006</v>
      </c>
      <c r="DN45">
        <v>6268</v>
      </c>
      <c r="DO45">
        <v>387</v>
      </c>
      <c r="DP45">
        <v>141.5536056158</v>
      </c>
      <c r="DQ45">
        <v>121.4728682171</v>
      </c>
    </row>
    <row r="46" spans="2:121" x14ac:dyDescent="0.2">
      <c r="B46" t="s">
        <v>101</v>
      </c>
      <c r="C46">
        <v>137861</v>
      </c>
      <c r="D46">
        <v>88086</v>
      </c>
      <c r="F46" t="s">
        <v>33</v>
      </c>
      <c r="G46">
        <v>8024</v>
      </c>
      <c r="H46">
        <v>703.29872881359995</v>
      </c>
      <c r="I46">
        <v>5572</v>
      </c>
      <c r="J46">
        <v>1280</v>
      </c>
      <c r="K46">
        <v>10956</v>
      </c>
      <c r="L46">
        <v>7715</v>
      </c>
      <c r="M46">
        <v>3435</v>
      </c>
      <c r="N46">
        <v>3073</v>
      </c>
      <c r="O46">
        <v>1522</v>
      </c>
      <c r="P46">
        <v>1197</v>
      </c>
      <c r="Q46">
        <v>0</v>
      </c>
      <c r="R46">
        <v>7</v>
      </c>
      <c r="AH46" t="s">
        <v>419</v>
      </c>
      <c r="AI46">
        <v>352</v>
      </c>
      <c r="AJ46">
        <v>155.4005681818</v>
      </c>
      <c r="AK46">
        <v>1016</v>
      </c>
      <c r="AL46">
        <v>262</v>
      </c>
      <c r="AM46">
        <v>1185</v>
      </c>
      <c r="AN46">
        <v>137</v>
      </c>
      <c r="AO46">
        <v>349</v>
      </c>
      <c r="AP46">
        <v>121</v>
      </c>
      <c r="AQ46">
        <v>162</v>
      </c>
      <c r="AR46">
        <v>88</v>
      </c>
      <c r="AS46">
        <v>3</v>
      </c>
      <c r="AT46">
        <v>0</v>
      </c>
      <c r="AV46" t="s">
        <v>380</v>
      </c>
      <c r="AW46">
        <v>1349</v>
      </c>
      <c r="AX46">
        <v>108.72127501849999</v>
      </c>
      <c r="AY46">
        <v>1641</v>
      </c>
      <c r="AZ46">
        <v>328</v>
      </c>
      <c r="BA46">
        <v>1809</v>
      </c>
      <c r="BB46">
        <v>700</v>
      </c>
      <c r="BC46">
        <v>2</v>
      </c>
      <c r="BD46">
        <v>1</v>
      </c>
      <c r="BE46">
        <v>80</v>
      </c>
      <c r="BF46">
        <v>24</v>
      </c>
      <c r="BG46">
        <v>239</v>
      </c>
      <c r="BH46">
        <v>386</v>
      </c>
      <c r="BJ46" t="s">
        <v>685</v>
      </c>
      <c r="BK46" t="s">
        <v>8</v>
      </c>
      <c r="BL46">
        <v>141</v>
      </c>
      <c r="BM46">
        <v>61</v>
      </c>
      <c r="BN46">
        <v>164.15602836880001</v>
      </c>
      <c r="BO46">
        <v>567</v>
      </c>
      <c r="BP46">
        <v>16</v>
      </c>
      <c r="BQ46">
        <v>228.68253968249999</v>
      </c>
      <c r="BR46">
        <v>264.5</v>
      </c>
      <c r="BS46">
        <v>228625</v>
      </c>
      <c r="BT46">
        <v>42401</v>
      </c>
      <c r="BU46">
        <v>86.210519409499994</v>
      </c>
      <c r="BV46">
        <v>15</v>
      </c>
      <c r="BW46">
        <v>2</v>
      </c>
      <c r="BX46">
        <v>146.13333333329999</v>
      </c>
      <c r="BY46">
        <v>114</v>
      </c>
      <c r="CA46" t="s">
        <v>8</v>
      </c>
      <c r="CB46" t="s">
        <v>685</v>
      </c>
      <c r="CC46" t="s">
        <v>685</v>
      </c>
      <c r="CD46">
        <v>3712</v>
      </c>
      <c r="CE46">
        <v>1348</v>
      </c>
      <c r="CF46">
        <v>118.5164331897</v>
      </c>
      <c r="CG46">
        <v>7548</v>
      </c>
      <c r="CH46">
        <v>674</v>
      </c>
      <c r="CI46">
        <v>171.15156332800001</v>
      </c>
      <c r="CJ46">
        <v>178.0148367953</v>
      </c>
      <c r="CL46" t="s">
        <v>8</v>
      </c>
      <c r="CM46" t="s">
        <v>857</v>
      </c>
      <c r="CN46" t="s">
        <v>857</v>
      </c>
      <c r="CO46">
        <v>228</v>
      </c>
      <c r="CP46">
        <v>47</v>
      </c>
      <c r="CQ46">
        <v>88.026315789500003</v>
      </c>
      <c r="CR46">
        <v>727</v>
      </c>
      <c r="CS46">
        <v>64</v>
      </c>
      <c r="CT46">
        <v>95.683631361799996</v>
      </c>
      <c r="CU46">
        <v>88.109375</v>
      </c>
      <c r="CW46" t="s">
        <v>8</v>
      </c>
      <c r="CX46" t="s">
        <v>858</v>
      </c>
      <c r="CY46" t="s">
        <v>858</v>
      </c>
      <c r="CZ46">
        <v>36</v>
      </c>
      <c r="DA46">
        <v>3</v>
      </c>
      <c r="DB46">
        <v>57.388888888899999</v>
      </c>
      <c r="DC46">
        <v>50</v>
      </c>
      <c r="DD46">
        <v>3</v>
      </c>
      <c r="DE46">
        <v>141.76</v>
      </c>
      <c r="DF46">
        <v>106</v>
      </c>
      <c r="DH46" t="s">
        <v>8</v>
      </c>
      <c r="DI46" t="s">
        <v>856</v>
      </c>
      <c r="DJ46" t="s">
        <v>856</v>
      </c>
      <c r="DK46">
        <v>76</v>
      </c>
      <c r="DL46">
        <v>9</v>
      </c>
      <c r="DM46">
        <v>67.578947368399994</v>
      </c>
      <c r="DN46">
        <v>134</v>
      </c>
      <c r="DO46">
        <v>9</v>
      </c>
      <c r="DP46">
        <v>114.7985074627</v>
      </c>
      <c r="DQ46">
        <v>88.333333333300004</v>
      </c>
    </row>
    <row r="47" spans="2:121" x14ac:dyDescent="0.2">
      <c r="B47" t="s">
        <v>125</v>
      </c>
      <c r="C47">
        <v>36071</v>
      </c>
      <c r="D47">
        <v>8130</v>
      </c>
      <c r="F47" t="s">
        <v>79</v>
      </c>
      <c r="G47">
        <v>9731</v>
      </c>
      <c r="H47">
        <v>302.91645257419998</v>
      </c>
      <c r="I47">
        <v>17185</v>
      </c>
      <c r="J47">
        <v>2966</v>
      </c>
      <c r="K47">
        <v>16597</v>
      </c>
      <c r="L47">
        <v>6986</v>
      </c>
      <c r="M47">
        <v>3551</v>
      </c>
      <c r="N47">
        <v>2251</v>
      </c>
      <c r="O47">
        <v>8346</v>
      </c>
      <c r="P47">
        <v>3912</v>
      </c>
      <c r="Q47">
        <v>3</v>
      </c>
      <c r="R47">
        <v>194</v>
      </c>
      <c r="AH47" t="s">
        <v>383</v>
      </c>
      <c r="AI47">
        <v>4129</v>
      </c>
      <c r="AJ47">
        <v>286.48219907970002</v>
      </c>
      <c r="AK47">
        <v>9573</v>
      </c>
      <c r="AL47">
        <v>1635</v>
      </c>
      <c r="AM47">
        <v>9406</v>
      </c>
      <c r="AN47">
        <v>3655</v>
      </c>
      <c r="AO47">
        <v>2807</v>
      </c>
      <c r="AP47">
        <v>2245</v>
      </c>
      <c r="AQ47">
        <v>3126</v>
      </c>
      <c r="AR47">
        <v>2100</v>
      </c>
      <c r="AS47">
        <v>812</v>
      </c>
      <c r="AT47">
        <v>282</v>
      </c>
      <c r="AV47" t="s">
        <v>409</v>
      </c>
      <c r="AW47">
        <v>1074</v>
      </c>
      <c r="AX47">
        <v>68.072625698300001</v>
      </c>
      <c r="AY47">
        <v>1234</v>
      </c>
      <c r="AZ47">
        <v>52</v>
      </c>
      <c r="BA47">
        <v>1693</v>
      </c>
      <c r="BB47">
        <v>142</v>
      </c>
      <c r="BC47">
        <v>7</v>
      </c>
      <c r="BD47">
        <v>6</v>
      </c>
      <c r="BE47">
        <v>78</v>
      </c>
      <c r="BF47">
        <v>37</v>
      </c>
      <c r="BG47">
        <v>1594</v>
      </c>
      <c r="BH47">
        <v>484</v>
      </c>
      <c r="BJ47" t="s">
        <v>585</v>
      </c>
      <c r="BK47" t="s">
        <v>403</v>
      </c>
      <c r="BL47">
        <v>2961</v>
      </c>
      <c r="BM47">
        <v>613</v>
      </c>
      <c r="BN47">
        <v>88.3833164471</v>
      </c>
      <c r="BO47">
        <v>7369</v>
      </c>
      <c r="BP47">
        <v>467</v>
      </c>
      <c r="BQ47">
        <v>134.2567512553</v>
      </c>
      <c r="BR47">
        <v>125.817987152</v>
      </c>
      <c r="BS47">
        <v>701</v>
      </c>
      <c r="BT47">
        <v>238</v>
      </c>
      <c r="BU47">
        <v>109.17974322400001</v>
      </c>
      <c r="BV47">
        <v>7541</v>
      </c>
      <c r="BW47">
        <v>772</v>
      </c>
      <c r="BX47">
        <v>131.7798700438</v>
      </c>
      <c r="BY47">
        <v>124.457253886</v>
      </c>
      <c r="CA47" t="s">
        <v>8</v>
      </c>
      <c r="CB47" t="s">
        <v>685</v>
      </c>
      <c r="CC47" t="s">
        <v>685</v>
      </c>
      <c r="CD47">
        <v>3712</v>
      </c>
      <c r="CE47">
        <v>1348</v>
      </c>
      <c r="CF47">
        <v>118.5164331897</v>
      </c>
      <c r="CG47">
        <v>7548</v>
      </c>
      <c r="CH47">
        <v>674</v>
      </c>
      <c r="CI47">
        <v>171.15156332800001</v>
      </c>
      <c r="CJ47">
        <v>178.0148367953</v>
      </c>
      <c r="CL47" t="s">
        <v>8</v>
      </c>
      <c r="CM47" t="s">
        <v>857</v>
      </c>
      <c r="CN47" t="s">
        <v>857</v>
      </c>
      <c r="CO47">
        <v>228</v>
      </c>
      <c r="CP47">
        <v>47</v>
      </c>
      <c r="CQ47">
        <v>88.026315789500003</v>
      </c>
      <c r="CR47">
        <v>727</v>
      </c>
      <c r="CS47">
        <v>64</v>
      </c>
      <c r="CT47">
        <v>95.683631361799996</v>
      </c>
      <c r="CU47">
        <v>88.109375</v>
      </c>
      <c r="CW47" t="s">
        <v>8</v>
      </c>
      <c r="CX47" t="s">
        <v>858</v>
      </c>
      <c r="CY47" t="s">
        <v>858</v>
      </c>
      <c r="CZ47">
        <v>36</v>
      </c>
      <c r="DA47">
        <v>3</v>
      </c>
      <c r="DB47">
        <v>57.388888888899999</v>
      </c>
      <c r="DC47">
        <v>50</v>
      </c>
      <c r="DD47">
        <v>3</v>
      </c>
      <c r="DE47">
        <v>141.76</v>
      </c>
      <c r="DF47">
        <v>106</v>
      </c>
      <c r="DH47" t="s">
        <v>8</v>
      </c>
      <c r="DI47" t="s">
        <v>856</v>
      </c>
      <c r="DJ47" t="s">
        <v>856</v>
      </c>
      <c r="DK47">
        <v>76</v>
      </c>
      <c r="DL47">
        <v>9</v>
      </c>
      <c r="DM47">
        <v>67.578947368399994</v>
      </c>
      <c r="DN47">
        <v>134</v>
      </c>
      <c r="DO47">
        <v>9</v>
      </c>
      <c r="DP47">
        <v>114.7985074627</v>
      </c>
      <c r="DQ47">
        <v>88.333333333300004</v>
      </c>
    </row>
    <row r="48" spans="2:121" x14ac:dyDescent="0.2">
      <c r="B48" t="s">
        <v>104</v>
      </c>
      <c r="C48">
        <v>34638</v>
      </c>
      <c r="D48">
        <v>24130</v>
      </c>
      <c r="F48" t="s">
        <v>39</v>
      </c>
      <c r="G48">
        <v>7612</v>
      </c>
      <c r="H48">
        <v>331.55530740939997</v>
      </c>
      <c r="I48">
        <v>9484</v>
      </c>
      <c r="J48">
        <v>2429</v>
      </c>
      <c r="K48">
        <v>14163</v>
      </c>
      <c r="L48">
        <v>8362</v>
      </c>
      <c r="M48">
        <v>2810</v>
      </c>
      <c r="N48">
        <v>2182</v>
      </c>
      <c r="O48">
        <v>1565</v>
      </c>
      <c r="P48">
        <v>1032</v>
      </c>
      <c r="Q48">
        <v>1</v>
      </c>
      <c r="R48">
        <v>60</v>
      </c>
      <c r="AH48" t="s">
        <v>409</v>
      </c>
      <c r="AI48">
        <v>22252</v>
      </c>
      <c r="AJ48">
        <v>332.98427107679998</v>
      </c>
      <c r="AK48">
        <v>37082</v>
      </c>
      <c r="AL48">
        <v>7532</v>
      </c>
      <c r="AM48">
        <v>41357</v>
      </c>
      <c r="AN48">
        <v>19731</v>
      </c>
      <c r="AO48">
        <v>9524</v>
      </c>
      <c r="AP48">
        <v>6858</v>
      </c>
      <c r="AQ48">
        <v>19100</v>
      </c>
      <c r="AR48">
        <v>11146</v>
      </c>
      <c r="AS48">
        <v>20</v>
      </c>
      <c r="AT48">
        <v>439</v>
      </c>
      <c r="AV48" t="s">
        <v>400</v>
      </c>
      <c r="AW48">
        <v>241</v>
      </c>
      <c r="AX48">
        <v>66.618257261400004</v>
      </c>
      <c r="AY48">
        <v>271</v>
      </c>
      <c r="AZ48">
        <v>5</v>
      </c>
      <c r="BA48">
        <v>348</v>
      </c>
      <c r="BB48">
        <v>38</v>
      </c>
      <c r="BC48">
        <v>1</v>
      </c>
      <c r="BD48">
        <v>1</v>
      </c>
      <c r="BE48">
        <v>21</v>
      </c>
      <c r="BF48">
        <v>6</v>
      </c>
      <c r="BG48">
        <v>847</v>
      </c>
      <c r="BH48">
        <v>66</v>
      </c>
      <c r="BJ48" t="s">
        <v>644</v>
      </c>
      <c r="BK48" t="s">
        <v>403</v>
      </c>
      <c r="BL48">
        <v>1208</v>
      </c>
      <c r="BM48">
        <v>307</v>
      </c>
      <c r="BN48">
        <v>95.724337748300002</v>
      </c>
      <c r="BO48">
        <v>2598</v>
      </c>
      <c r="BP48">
        <v>195</v>
      </c>
      <c r="BQ48">
        <v>139.77521170130001</v>
      </c>
      <c r="BR48">
        <v>137</v>
      </c>
      <c r="BS48">
        <v>356</v>
      </c>
      <c r="BT48">
        <v>173</v>
      </c>
      <c r="BU48">
        <v>132.31741573030001</v>
      </c>
      <c r="BV48">
        <v>2137</v>
      </c>
      <c r="BW48">
        <v>120</v>
      </c>
      <c r="BX48">
        <v>148.00842302289999</v>
      </c>
      <c r="BY48">
        <v>151.9166666667</v>
      </c>
      <c r="CA48" t="s">
        <v>8</v>
      </c>
      <c r="CB48" t="s">
        <v>685</v>
      </c>
      <c r="CC48" t="s">
        <v>685</v>
      </c>
      <c r="CD48">
        <v>3712</v>
      </c>
      <c r="CE48">
        <v>1348</v>
      </c>
      <c r="CF48">
        <v>118.5164331897</v>
      </c>
      <c r="CG48">
        <v>7548</v>
      </c>
      <c r="CH48">
        <v>674</v>
      </c>
      <c r="CI48">
        <v>171.15156332800001</v>
      </c>
      <c r="CJ48">
        <v>178.0148367953</v>
      </c>
      <c r="CL48" t="s">
        <v>8</v>
      </c>
      <c r="CM48" t="s">
        <v>857</v>
      </c>
      <c r="CN48" t="s">
        <v>857</v>
      </c>
      <c r="CO48">
        <v>228</v>
      </c>
      <c r="CP48">
        <v>47</v>
      </c>
      <c r="CQ48">
        <v>88.026315789500003</v>
      </c>
      <c r="CR48">
        <v>727</v>
      </c>
      <c r="CS48">
        <v>64</v>
      </c>
      <c r="CT48">
        <v>95.683631361799996</v>
      </c>
      <c r="CU48">
        <v>88.109375</v>
      </c>
      <c r="CW48" t="s">
        <v>8</v>
      </c>
      <c r="CX48" t="s">
        <v>858</v>
      </c>
      <c r="CY48" t="s">
        <v>858</v>
      </c>
      <c r="CZ48">
        <v>36</v>
      </c>
      <c r="DA48">
        <v>3</v>
      </c>
      <c r="DB48">
        <v>57.388888888899999</v>
      </c>
      <c r="DC48">
        <v>50</v>
      </c>
      <c r="DD48">
        <v>3</v>
      </c>
      <c r="DE48">
        <v>141.76</v>
      </c>
      <c r="DF48">
        <v>106</v>
      </c>
      <c r="DH48" t="s">
        <v>8</v>
      </c>
      <c r="DI48" t="s">
        <v>856</v>
      </c>
      <c r="DJ48" t="s">
        <v>856</v>
      </c>
      <c r="DK48">
        <v>76</v>
      </c>
      <c r="DL48">
        <v>9</v>
      </c>
      <c r="DM48">
        <v>67.578947368399994</v>
      </c>
      <c r="DN48">
        <v>134</v>
      </c>
      <c r="DO48">
        <v>9</v>
      </c>
      <c r="DP48">
        <v>114.7985074627</v>
      </c>
      <c r="DQ48">
        <v>88.333333333300004</v>
      </c>
    </row>
    <row r="49" spans="2:121" x14ac:dyDescent="0.2">
      <c r="B49" t="s">
        <v>120</v>
      </c>
      <c r="C49">
        <v>190</v>
      </c>
      <c r="D49">
        <v>190</v>
      </c>
      <c r="F49" t="s">
        <v>34</v>
      </c>
      <c r="G49">
        <v>312</v>
      </c>
      <c r="H49">
        <v>78.689102564099997</v>
      </c>
      <c r="I49">
        <v>1718</v>
      </c>
      <c r="J49">
        <v>443</v>
      </c>
      <c r="K49">
        <v>1121</v>
      </c>
      <c r="L49">
        <v>84</v>
      </c>
      <c r="M49">
        <v>112</v>
      </c>
      <c r="N49">
        <v>32</v>
      </c>
      <c r="O49">
        <v>128</v>
      </c>
      <c r="P49">
        <v>75</v>
      </c>
      <c r="Q49">
        <v>0</v>
      </c>
      <c r="R49">
        <v>5</v>
      </c>
      <c r="AH49" t="s">
        <v>405</v>
      </c>
      <c r="AI49">
        <v>758</v>
      </c>
      <c r="AJ49">
        <v>229.08575197889999</v>
      </c>
      <c r="AK49">
        <v>1918</v>
      </c>
      <c r="AL49">
        <v>493</v>
      </c>
      <c r="AM49">
        <v>2018</v>
      </c>
      <c r="AN49">
        <v>515</v>
      </c>
      <c r="AO49">
        <v>545</v>
      </c>
      <c r="AP49">
        <v>286</v>
      </c>
      <c r="AQ49">
        <v>591</v>
      </c>
      <c r="AR49">
        <v>321</v>
      </c>
      <c r="AS49">
        <v>1</v>
      </c>
      <c r="AT49">
        <v>4</v>
      </c>
      <c r="AV49" t="s">
        <v>410</v>
      </c>
      <c r="AW49">
        <v>258</v>
      </c>
      <c r="AX49">
        <v>66.813953488400003</v>
      </c>
      <c r="AY49">
        <v>271</v>
      </c>
      <c r="AZ49">
        <v>22</v>
      </c>
      <c r="BA49">
        <v>353</v>
      </c>
      <c r="BB49">
        <v>38</v>
      </c>
      <c r="BC49">
        <v>4</v>
      </c>
      <c r="BD49">
        <v>4</v>
      </c>
      <c r="BE49">
        <v>20</v>
      </c>
      <c r="BF49">
        <v>5</v>
      </c>
      <c r="BG49">
        <v>84</v>
      </c>
      <c r="BH49">
        <v>41</v>
      </c>
      <c r="BJ49" t="s">
        <v>600</v>
      </c>
      <c r="BK49" t="s">
        <v>403</v>
      </c>
      <c r="BL49">
        <v>1719</v>
      </c>
      <c r="BM49">
        <v>445</v>
      </c>
      <c r="BN49">
        <v>97.204188481700001</v>
      </c>
      <c r="BO49">
        <v>3747</v>
      </c>
      <c r="BP49">
        <v>245</v>
      </c>
      <c r="BQ49">
        <v>115.33413397379999</v>
      </c>
      <c r="BR49">
        <v>130.89795918370001</v>
      </c>
      <c r="BS49">
        <v>897</v>
      </c>
      <c r="BT49">
        <v>324</v>
      </c>
      <c r="BU49">
        <v>111.1872909699</v>
      </c>
      <c r="BV49">
        <v>5099</v>
      </c>
      <c r="BW49">
        <v>423</v>
      </c>
      <c r="BX49">
        <v>117.5279466562</v>
      </c>
      <c r="BY49">
        <v>123.5791962175</v>
      </c>
      <c r="CA49" t="s">
        <v>8</v>
      </c>
      <c r="CB49" t="s">
        <v>685</v>
      </c>
      <c r="CD49">
        <v>3712</v>
      </c>
      <c r="CE49">
        <v>1348</v>
      </c>
      <c r="CF49">
        <v>118.5164331897</v>
      </c>
      <c r="CG49">
        <v>7548</v>
      </c>
      <c r="CH49">
        <v>674</v>
      </c>
      <c r="CI49">
        <v>171.15156332800001</v>
      </c>
      <c r="CJ49">
        <v>178.0148367953</v>
      </c>
      <c r="CL49" t="s">
        <v>8</v>
      </c>
      <c r="CM49" t="s">
        <v>857</v>
      </c>
      <c r="CO49">
        <v>228</v>
      </c>
      <c r="CP49">
        <v>47</v>
      </c>
      <c r="CQ49">
        <v>88.026315789500003</v>
      </c>
      <c r="CR49">
        <v>727</v>
      </c>
      <c r="CS49">
        <v>64</v>
      </c>
      <c r="CT49">
        <v>95.683631361799996</v>
      </c>
      <c r="CU49">
        <v>88.109375</v>
      </c>
      <c r="CW49" t="s">
        <v>8</v>
      </c>
      <c r="CX49" t="s">
        <v>858</v>
      </c>
      <c r="CZ49">
        <v>36</v>
      </c>
      <c r="DA49">
        <v>3</v>
      </c>
      <c r="DB49">
        <v>57.388888888899999</v>
      </c>
      <c r="DC49">
        <v>50</v>
      </c>
      <c r="DD49">
        <v>3</v>
      </c>
      <c r="DE49">
        <v>141.76</v>
      </c>
      <c r="DF49">
        <v>106</v>
      </c>
      <c r="DH49" t="s">
        <v>8</v>
      </c>
      <c r="DI49" t="s">
        <v>856</v>
      </c>
      <c r="DK49">
        <v>76</v>
      </c>
      <c r="DL49">
        <v>9</v>
      </c>
      <c r="DM49">
        <v>67.578947368399994</v>
      </c>
      <c r="DN49">
        <v>134</v>
      </c>
      <c r="DO49">
        <v>9</v>
      </c>
      <c r="DP49">
        <v>114.7985074627</v>
      </c>
      <c r="DQ49">
        <v>88.333333333300004</v>
      </c>
    </row>
    <row r="50" spans="2:121" x14ac:dyDescent="0.2">
      <c r="B50" t="s">
        <v>124</v>
      </c>
      <c r="C50">
        <v>225</v>
      </c>
      <c r="D50">
        <v>91</v>
      </c>
      <c r="F50" t="s">
        <v>35</v>
      </c>
      <c r="G50">
        <v>3400</v>
      </c>
      <c r="H50">
        <v>598.95676470590001</v>
      </c>
      <c r="I50">
        <v>3222</v>
      </c>
      <c r="J50">
        <v>655</v>
      </c>
      <c r="K50">
        <v>6712</v>
      </c>
      <c r="L50">
        <v>3621</v>
      </c>
      <c r="M50">
        <v>2550</v>
      </c>
      <c r="N50">
        <v>2049</v>
      </c>
      <c r="O50">
        <v>627</v>
      </c>
      <c r="P50">
        <v>567</v>
      </c>
      <c r="Q50">
        <v>0</v>
      </c>
      <c r="R50">
        <v>3</v>
      </c>
      <c r="AH50" t="s">
        <v>416</v>
      </c>
      <c r="AI50">
        <v>421</v>
      </c>
      <c r="AJ50">
        <v>337.6555819477</v>
      </c>
      <c r="AK50">
        <v>530</v>
      </c>
      <c r="AL50">
        <v>138</v>
      </c>
      <c r="AM50">
        <v>1080</v>
      </c>
      <c r="AN50">
        <v>435</v>
      </c>
      <c r="AO50">
        <v>238</v>
      </c>
      <c r="AP50">
        <v>185</v>
      </c>
      <c r="AQ50">
        <v>187</v>
      </c>
      <c r="AR50">
        <v>103</v>
      </c>
      <c r="AS50">
        <v>78</v>
      </c>
      <c r="AT50">
        <v>2</v>
      </c>
      <c r="AV50" t="s">
        <v>60</v>
      </c>
      <c r="AW50">
        <v>1089</v>
      </c>
      <c r="AX50">
        <v>107.67952249770001</v>
      </c>
      <c r="AY50">
        <v>2040</v>
      </c>
      <c r="AZ50">
        <v>412</v>
      </c>
      <c r="BA50">
        <v>1559</v>
      </c>
      <c r="BB50">
        <v>488</v>
      </c>
      <c r="BC50">
        <v>4</v>
      </c>
      <c r="BD50">
        <v>4</v>
      </c>
      <c r="BE50">
        <v>44</v>
      </c>
      <c r="BF50">
        <v>18</v>
      </c>
      <c r="BG50">
        <v>205</v>
      </c>
      <c r="BH50">
        <v>284</v>
      </c>
      <c r="BJ50" t="s">
        <v>640</v>
      </c>
      <c r="BK50" t="s">
        <v>403</v>
      </c>
      <c r="BL50">
        <v>2459</v>
      </c>
      <c r="BM50">
        <v>369</v>
      </c>
      <c r="BN50">
        <v>77.237088247299994</v>
      </c>
      <c r="BO50">
        <v>5754</v>
      </c>
      <c r="BP50">
        <v>364</v>
      </c>
      <c r="BQ50">
        <v>125.9727146333</v>
      </c>
      <c r="BR50">
        <v>125.1208791209</v>
      </c>
      <c r="BS50">
        <v>540</v>
      </c>
      <c r="BT50">
        <v>148</v>
      </c>
      <c r="BU50">
        <v>95.031481481499995</v>
      </c>
      <c r="BV50">
        <v>5411</v>
      </c>
      <c r="BW50">
        <v>435</v>
      </c>
      <c r="BX50">
        <v>123.04897431160001</v>
      </c>
      <c r="BY50">
        <v>136.5862068966</v>
      </c>
      <c r="CA50" t="s">
        <v>423</v>
      </c>
      <c r="CB50" t="s">
        <v>889</v>
      </c>
      <c r="CC50" t="s">
        <v>1013</v>
      </c>
      <c r="CD50">
        <v>1218</v>
      </c>
      <c r="CE50">
        <v>307</v>
      </c>
      <c r="CF50">
        <v>94.719211822700004</v>
      </c>
      <c r="CG50">
        <v>3216</v>
      </c>
      <c r="CH50">
        <v>234</v>
      </c>
      <c r="CI50">
        <v>113.815920398</v>
      </c>
      <c r="CJ50">
        <v>117.5769230769</v>
      </c>
      <c r="CL50" t="s">
        <v>423</v>
      </c>
      <c r="CM50" t="s">
        <v>870</v>
      </c>
      <c r="CN50" t="s">
        <v>869</v>
      </c>
      <c r="CO50">
        <v>34</v>
      </c>
      <c r="CP50">
        <v>6</v>
      </c>
      <c r="CQ50">
        <v>83.588235294100002</v>
      </c>
      <c r="CR50">
        <v>168</v>
      </c>
      <c r="CS50">
        <v>15</v>
      </c>
      <c r="CT50">
        <v>73.291666666699996</v>
      </c>
      <c r="CU50">
        <v>81.333333333300004</v>
      </c>
      <c r="CW50" t="s">
        <v>423</v>
      </c>
      <c r="CX50" t="s">
        <v>880</v>
      </c>
      <c r="CY50" t="s">
        <v>879</v>
      </c>
      <c r="CZ50">
        <v>28</v>
      </c>
      <c r="DA50">
        <v>1</v>
      </c>
      <c r="DB50">
        <v>56.678571428600002</v>
      </c>
      <c r="DC50">
        <v>49</v>
      </c>
      <c r="DD50">
        <v>2</v>
      </c>
      <c r="DE50">
        <v>124.81632653059999</v>
      </c>
      <c r="DF50">
        <v>139.5</v>
      </c>
      <c r="DH50" t="s">
        <v>423</v>
      </c>
      <c r="DI50" t="s">
        <v>860</v>
      </c>
      <c r="DJ50" t="s">
        <v>859</v>
      </c>
      <c r="DK50">
        <v>27</v>
      </c>
      <c r="DL50">
        <v>4</v>
      </c>
      <c r="DM50">
        <v>81.814814814800002</v>
      </c>
      <c r="DN50">
        <v>89</v>
      </c>
      <c r="DO50">
        <v>3</v>
      </c>
      <c r="DP50">
        <v>122.1460674157</v>
      </c>
      <c r="DQ50">
        <v>101.3333333333</v>
      </c>
    </row>
    <row r="51" spans="2:121" x14ac:dyDescent="0.2">
      <c r="B51" t="s">
        <v>103</v>
      </c>
      <c r="C51">
        <v>24</v>
      </c>
      <c r="D51">
        <v>22</v>
      </c>
      <c r="F51" t="s">
        <v>47</v>
      </c>
      <c r="G51">
        <v>1953</v>
      </c>
      <c r="H51">
        <v>255.6559139785</v>
      </c>
      <c r="I51">
        <v>2232</v>
      </c>
      <c r="J51">
        <v>410</v>
      </c>
      <c r="K51">
        <v>3617</v>
      </c>
      <c r="L51">
        <v>1883</v>
      </c>
      <c r="M51">
        <v>459</v>
      </c>
      <c r="N51">
        <v>365</v>
      </c>
      <c r="O51">
        <v>1281</v>
      </c>
      <c r="P51">
        <v>947</v>
      </c>
      <c r="Q51">
        <v>0</v>
      </c>
      <c r="R51">
        <v>6</v>
      </c>
      <c r="AH51" t="s">
        <v>377</v>
      </c>
      <c r="AI51">
        <v>15515</v>
      </c>
      <c r="AJ51">
        <v>340.89403802769999</v>
      </c>
      <c r="AK51">
        <v>12089</v>
      </c>
      <c r="AL51">
        <v>2102</v>
      </c>
      <c r="AM51">
        <v>23262</v>
      </c>
      <c r="AN51">
        <v>11931</v>
      </c>
      <c r="AO51">
        <v>8633</v>
      </c>
      <c r="AP51">
        <v>6861</v>
      </c>
      <c r="AQ51">
        <v>7885</v>
      </c>
      <c r="AR51">
        <v>5992</v>
      </c>
      <c r="AS51">
        <v>1088</v>
      </c>
      <c r="AT51">
        <v>21</v>
      </c>
      <c r="AV51" t="s">
        <v>423</v>
      </c>
      <c r="AW51">
        <v>11</v>
      </c>
      <c r="AX51">
        <v>67.272727272699996</v>
      </c>
      <c r="AY51">
        <v>16</v>
      </c>
      <c r="AZ51">
        <v>1</v>
      </c>
      <c r="BA51">
        <v>27</v>
      </c>
      <c r="BB51">
        <v>2</v>
      </c>
      <c r="BC51">
        <v>0</v>
      </c>
      <c r="BE51">
        <v>2</v>
      </c>
      <c r="BF51">
        <v>1</v>
      </c>
      <c r="BG51">
        <v>39</v>
      </c>
      <c r="BH51">
        <v>12</v>
      </c>
      <c r="BJ51" t="s">
        <v>592</v>
      </c>
      <c r="BK51" t="s">
        <v>403</v>
      </c>
      <c r="BL51">
        <v>10762</v>
      </c>
      <c r="BM51">
        <v>2175</v>
      </c>
      <c r="BN51">
        <v>87.032335997000004</v>
      </c>
      <c r="BO51">
        <v>23356</v>
      </c>
      <c r="BP51">
        <v>1885</v>
      </c>
      <c r="BQ51">
        <v>133.23942455900001</v>
      </c>
      <c r="BR51">
        <v>132.9734748011</v>
      </c>
      <c r="BS51">
        <v>2298</v>
      </c>
      <c r="BT51">
        <v>856</v>
      </c>
      <c r="BU51">
        <v>111.864229765</v>
      </c>
      <c r="BV51">
        <v>19329</v>
      </c>
      <c r="BW51">
        <v>1525</v>
      </c>
      <c r="BX51">
        <v>125.303274872</v>
      </c>
      <c r="BY51">
        <v>147.3370491803</v>
      </c>
      <c r="CA51" t="s">
        <v>425</v>
      </c>
      <c r="CB51" t="s">
        <v>889</v>
      </c>
      <c r="CC51" t="s">
        <v>1014</v>
      </c>
      <c r="CD51">
        <v>5511</v>
      </c>
      <c r="CE51">
        <v>912</v>
      </c>
      <c r="CF51">
        <v>82.519506441700003</v>
      </c>
      <c r="CG51">
        <v>16981</v>
      </c>
      <c r="CH51">
        <v>1091</v>
      </c>
      <c r="CI51">
        <v>123.2475119251</v>
      </c>
      <c r="CJ51">
        <v>128.20531622359999</v>
      </c>
      <c r="CL51" t="s">
        <v>425</v>
      </c>
      <c r="CM51" t="s">
        <v>870</v>
      </c>
      <c r="CN51" t="s">
        <v>871</v>
      </c>
      <c r="CO51">
        <v>486</v>
      </c>
      <c r="CP51">
        <v>41</v>
      </c>
      <c r="CQ51">
        <v>64.806584362099997</v>
      </c>
      <c r="CR51">
        <v>2836</v>
      </c>
      <c r="CS51">
        <v>248</v>
      </c>
      <c r="CT51">
        <v>67.926657263799996</v>
      </c>
      <c r="CU51">
        <v>66.604838709700005</v>
      </c>
      <c r="CW51" t="s">
        <v>425</v>
      </c>
      <c r="CX51" t="s">
        <v>880</v>
      </c>
      <c r="CY51" t="s">
        <v>881</v>
      </c>
      <c r="CZ51">
        <v>148</v>
      </c>
      <c r="DA51">
        <v>15</v>
      </c>
      <c r="DB51">
        <v>62.108108108099998</v>
      </c>
      <c r="DC51">
        <v>445</v>
      </c>
      <c r="DD51">
        <v>31</v>
      </c>
      <c r="DE51">
        <v>129.81573033710001</v>
      </c>
      <c r="DF51">
        <v>115.5161290323</v>
      </c>
      <c r="DH51" t="s">
        <v>425</v>
      </c>
      <c r="DI51" t="s">
        <v>860</v>
      </c>
      <c r="DJ51" t="s">
        <v>861</v>
      </c>
      <c r="DK51">
        <v>100</v>
      </c>
      <c r="DL51">
        <v>12</v>
      </c>
      <c r="DM51">
        <v>69.14</v>
      </c>
      <c r="DN51">
        <v>338</v>
      </c>
      <c r="DO51">
        <v>18</v>
      </c>
      <c r="DP51">
        <v>126.7455621302</v>
      </c>
      <c r="DQ51">
        <v>138.05555555559999</v>
      </c>
    </row>
    <row r="52" spans="2:121" x14ac:dyDescent="0.2">
      <c r="F52" t="s">
        <v>46</v>
      </c>
      <c r="G52">
        <v>9889</v>
      </c>
      <c r="H52">
        <v>373.3381535039</v>
      </c>
      <c r="I52">
        <v>17412</v>
      </c>
      <c r="J52">
        <v>4172</v>
      </c>
      <c r="K52">
        <v>17898</v>
      </c>
      <c r="L52">
        <v>9901</v>
      </c>
      <c r="M52">
        <v>3646</v>
      </c>
      <c r="N52">
        <v>2947</v>
      </c>
      <c r="O52">
        <v>3314</v>
      </c>
      <c r="P52">
        <v>2729</v>
      </c>
      <c r="Q52">
        <v>1</v>
      </c>
      <c r="R52">
        <v>251</v>
      </c>
      <c r="AH52" t="s">
        <v>80</v>
      </c>
      <c r="AI52">
        <v>8883</v>
      </c>
      <c r="AJ52">
        <v>380.0403016999</v>
      </c>
      <c r="AK52">
        <v>7511</v>
      </c>
      <c r="AL52">
        <v>1417</v>
      </c>
      <c r="AM52">
        <v>16149</v>
      </c>
      <c r="AN52">
        <v>9173</v>
      </c>
      <c r="AO52">
        <v>4091</v>
      </c>
      <c r="AP52">
        <v>2788</v>
      </c>
      <c r="AQ52">
        <v>5906</v>
      </c>
      <c r="AR52">
        <v>4457</v>
      </c>
      <c r="AS52">
        <v>15</v>
      </c>
      <c r="AT52">
        <v>151</v>
      </c>
      <c r="AV52" t="s">
        <v>392</v>
      </c>
      <c r="AW52">
        <v>269</v>
      </c>
      <c r="AX52">
        <v>67.572490706300002</v>
      </c>
      <c r="AY52">
        <v>432</v>
      </c>
      <c r="AZ52">
        <v>49</v>
      </c>
      <c r="BA52">
        <v>453</v>
      </c>
      <c r="BB52">
        <v>57</v>
      </c>
      <c r="BC52">
        <v>2</v>
      </c>
      <c r="BD52">
        <v>1</v>
      </c>
      <c r="BE52">
        <v>44</v>
      </c>
      <c r="BF52">
        <v>10</v>
      </c>
      <c r="BG52">
        <v>84</v>
      </c>
      <c r="BH52">
        <v>64</v>
      </c>
      <c r="BJ52" t="s">
        <v>614</v>
      </c>
      <c r="BK52" t="s">
        <v>403</v>
      </c>
      <c r="BL52">
        <v>787</v>
      </c>
      <c r="BM52">
        <v>242</v>
      </c>
      <c r="BN52">
        <v>106.3519695044</v>
      </c>
      <c r="BO52">
        <v>2195</v>
      </c>
      <c r="BP52">
        <v>150</v>
      </c>
      <c r="BQ52">
        <v>130.4751708428</v>
      </c>
      <c r="BR52">
        <v>144.38666666669999</v>
      </c>
      <c r="BS52">
        <v>767</v>
      </c>
      <c r="BT52">
        <v>214</v>
      </c>
      <c r="BU52">
        <v>112.02737940030001</v>
      </c>
      <c r="BV52">
        <v>4847</v>
      </c>
      <c r="BW52">
        <v>389</v>
      </c>
      <c r="BX52">
        <v>154.2991541159</v>
      </c>
      <c r="BY52">
        <v>117.92544987150001</v>
      </c>
      <c r="CA52" t="s">
        <v>406</v>
      </c>
      <c r="CB52" t="s">
        <v>889</v>
      </c>
      <c r="CC52" t="s">
        <v>1015</v>
      </c>
      <c r="CD52">
        <v>32230</v>
      </c>
      <c r="CE52">
        <v>6668</v>
      </c>
      <c r="CF52">
        <v>89.013186472200005</v>
      </c>
      <c r="CG52">
        <v>75086</v>
      </c>
      <c r="CH52">
        <v>5313</v>
      </c>
      <c r="CI52">
        <v>131.1177583038</v>
      </c>
      <c r="CJ52">
        <v>130.2761151892</v>
      </c>
      <c r="CL52" t="s">
        <v>406</v>
      </c>
      <c r="CM52" t="s">
        <v>870</v>
      </c>
      <c r="CN52" t="s">
        <v>872</v>
      </c>
      <c r="CO52">
        <v>1985</v>
      </c>
      <c r="CP52">
        <v>169</v>
      </c>
      <c r="CQ52">
        <v>61.784886649900002</v>
      </c>
      <c r="CR52">
        <v>11253</v>
      </c>
      <c r="CS52">
        <v>903</v>
      </c>
      <c r="CT52">
        <v>66.711987914299996</v>
      </c>
      <c r="CU52">
        <v>69.903654485000004</v>
      </c>
      <c r="CW52" t="s">
        <v>406</v>
      </c>
      <c r="CX52" t="s">
        <v>880</v>
      </c>
      <c r="CY52" t="s">
        <v>882</v>
      </c>
      <c r="CZ52">
        <v>1153</v>
      </c>
      <c r="DA52">
        <v>132</v>
      </c>
      <c r="DB52">
        <v>64.703382480499997</v>
      </c>
      <c r="DC52">
        <v>3013</v>
      </c>
      <c r="DD52">
        <v>183</v>
      </c>
      <c r="DE52">
        <v>128.89910388320001</v>
      </c>
      <c r="DF52">
        <v>119.7704918033</v>
      </c>
      <c r="DH52" t="s">
        <v>406</v>
      </c>
      <c r="DI52" t="s">
        <v>860</v>
      </c>
      <c r="DJ52" t="s">
        <v>862</v>
      </c>
      <c r="DK52">
        <v>679</v>
      </c>
      <c r="DL52">
        <v>76</v>
      </c>
      <c r="DM52">
        <v>67.948453608199998</v>
      </c>
      <c r="DN52">
        <v>1788</v>
      </c>
      <c r="DO52">
        <v>98</v>
      </c>
      <c r="DP52">
        <v>119.6079418345</v>
      </c>
      <c r="DQ52">
        <v>114.3367346939</v>
      </c>
    </row>
    <row r="53" spans="2:121" x14ac:dyDescent="0.2">
      <c r="F53" t="s">
        <v>82</v>
      </c>
      <c r="G53">
        <v>498</v>
      </c>
      <c r="H53">
        <v>427.25702811240001</v>
      </c>
      <c r="I53">
        <v>796</v>
      </c>
      <c r="J53">
        <v>169</v>
      </c>
      <c r="K53">
        <v>850</v>
      </c>
      <c r="L53">
        <v>425</v>
      </c>
      <c r="M53">
        <v>49</v>
      </c>
      <c r="N53">
        <v>46</v>
      </c>
      <c r="O53">
        <v>81</v>
      </c>
      <c r="P53">
        <v>46</v>
      </c>
      <c r="Q53">
        <v>0</v>
      </c>
      <c r="R53">
        <v>0</v>
      </c>
      <c r="AH53" t="s">
        <v>378</v>
      </c>
      <c r="AI53">
        <v>2029</v>
      </c>
      <c r="AJ53">
        <v>285.47757516019999</v>
      </c>
      <c r="AK53">
        <v>2487</v>
      </c>
      <c r="AL53">
        <v>461</v>
      </c>
      <c r="AM53">
        <v>3607</v>
      </c>
      <c r="AN53">
        <v>1945</v>
      </c>
      <c r="AO53">
        <v>477</v>
      </c>
      <c r="AP53">
        <v>345</v>
      </c>
      <c r="AQ53">
        <v>1520</v>
      </c>
      <c r="AR53">
        <v>1044</v>
      </c>
      <c r="AS53">
        <v>372</v>
      </c>
      <c r="AT53">
        <v>8</v>
      </c>
      <c r="AV53" t="s">
        <v>391</v>
      </c>
      <c r="AW53">
        <v>297</v>
      </c>
      <c r="AX53">
        <v>64.730639730600004</v>
      </c>
      <c r="AY53">
        <v>565</v>
      </c>
      <c r="AZ53">
        <v>66</v>
      </c>
      <c r="BA53">
        <v>499</v>
      </c>
      <c r="BB53">
        <v>53</v>
      </c>
      <c r="BC53">
        <v>2</v>
      </c>
      <c r="BD53">
        <v>2</v>
      </c>
      <c r="BE53">
        <v>49</v>
      </c>
      <c r="BF53">
        <v>17</v>
      </c>
      <c r="BG53">
        <v>58</v>
      </c>
      <c r="BH53">
        <v>81</v>
      </c>
      <c r="BJ53" t="s">
        <v>590</v>
      </c>
      <c r="BK53" t="s">
        <v>403</v>
      </c>
      <c r="BL53">
        <v>11437</v>
      </c>
      <c r="BM53">
        <v>2834</v>
      </c>
      <c r="BN53">
        <v>98.871032613400004</v>
      </c>
      <c r="BO53">
        <v>25195</v>
      </c>
      <c r="BP53">
        <v>1876</v>
      </c>
      <c r="BQ53">
        <v>146.02151220479999</v>
      </c>
      <c r="BR53">
        <v>141.04477611940001</v>
      </c>
      <c r="BS53">
        <v>2480</v>
      </c>
      <c r="BT53">
        <v>961</v>
      </c>
      <c r="BU53">
        <v>121.3217741935</v>
      </c>
      <c r="BV53">
        <v>14415</v>
      </c>
      <c r="BW53">
        <v>1088</v>
      </c>
      <c r="BX53">
        <v>149.7061394381</v>
      </c>
      <c r="BY53">
        <v>150.1314338235</v>
      </c>
      <c r="CA53" t="s">
        <v>427</v>
      </c>
      <c r="CB53" t="s">
        <v>889</v>
      </c>
      <c r="CC53" t="s">
        <v>1016</v>
      </c>
      <c r="CD53">
        <v>2038</v>
      </c>
      <c r="CE53">
        <v>286</v>
      </c>
      <c r="CF53">
        <v>75.767419038300005</v>
      </c>
      <c r="CG53">
        <v>5867</v>
      </c>
      <c r="CH53">
        <v>364</v>
      </c>
      <c r="CI53">
        <v>108.3414010568</v>
      </c>
      <c r="CJ53">
        <v>106.4478021978</v>
      </c>
      <c r="CL53" t="s">
        <v>427</v>
      </c>
      <c r="CM53" t="s">
        <v>870</v>
      </c>
      <c r="CN53" t="s">
        <v>873</v>
      </c>
      <c r="CO53">
        <v>65</v>
      </c>
      <c r="CP53">
        <v>11</v>
      </c>
      <c r="CQ53">
        <v>82.523076923100007</v>
      </c>
      <c r="CR53">
        <v>346</v>
      </c>
      <c r="CS53">
        <v>28</v>
      </c>
      <c r="CT53">
        <v>71.242774566500003</v>
      </c>
      <c r="CU53">
        <v>60.928571428600002</v>
      </c>
      <c r="CW53" t="s">
        <v>427</v>
      </c>
      <c r="CX53" t="s">
        <v>880</v>
      </c>
      <c r="CY53" t="s">
        <v>883</v>
      </c>
      <c r="CZ53">
        <v>29</v>
      </c>
      <c r="DA53">
        <v>2</v>
      </c>
      <c r="DB53">
        <v>65.137931034499999</v>
      </c>
      <c r="DC53">
        <v>96</v>
      </c>
      <c r="DD53">
        <v>9</v>
      </c>
      <c r="DE53">
        <v>124.6458333333</v>
      </c>
      <c r="DF53">
        <v>112.3333333333</v>
      </c>
      <c r="DH53" t="s">
        <v>427</v>
      </c>
      <c r="DI53" t="s">
        <v>860</v>
      </c>
      <c r="DJ53" t="s">
        <v>863</v>
      </c>
      <c r="DK53">
        <v>105</v>
      </c>
      <c r="DL53">
        <v>5</v>
      </c>
      <c r="DM53">
        <v>56.304761904800003</v>
      </c>
      <c r="DN53">
        <v>176</v>
      </c>
      <c r="DO53">
        <v>6</v>
      </c>
      <c r="DP53">
        <v>117.25</v>
      </c>
      <c r="DQ53">
        <v>75.666666666699996</v>
      </c>
    </row>
    <row r="54" spans="2:121" x14ac:dyDescent="0.2">
      <c r="F54" t="s">
        <v>135</v>
      </c>
      <c r="G54">
        <v>494</v>
      </c>
      <c r="H54">
        <v>337.33198380570002</v>
      </c>
      <c r="I54">
        <v>506</v>
      </c>
      <c r="J54">
        <v>133</v>
      </c>
      <c r="K54">
        <v>1076</v>
      </c>
      <c r="L54">
        <v>451</v>
      </c>
      <c r="M54">
        <v>150</v>
      </c>
      <c r="N54">
        <v>120</v>
      </c>
      <c r="O54">
        <v>180</v>
      </c>
      <c r="P54">
        <v>100</v>
      </c>
      <c r="Q54">
        <v>0</v>
      </c>
      <c r="R54">
        <v>2</v>
      </c>
      <c r="AH54" t="s">
        <v>395</v>
      </c>
      <c r="AI54">
        <v>3019</v>
      </c>
      <c r="AJ54">
        <v>232.89963564089999</v>
      </c>
      <c r="AK54">
        <v>4042</v>
      </c>
      <c r="AL54">
        <v>655</v>
      </c>
      <c r="AM54">
        <v>5913</v>
      </c>
      <c r="AN54">
        <v>2162</v>
      </c>
      <c r="AO54">
        <v>919</v>
      </c>
      <c r="AP54">
        <v>669</v>
      </c>
      <c r="AQ54">
        <v>1078</v>
      </c>
      <c r="AR54">
        <v>670</v>
      </c>
      <c r="AS54">
        <v>689</v>
      </c>
      <c r="AT54">
        <v>7</v>
      </c>
      <c r="AV54" t="s">
        <v>415</v>
      </c>
      <c r="AW54">
        <v>128</v>
      </c>
      <c r="AX54">
        <v>106.375</v>
      </c>
      <c r="AY54">
        <v>136</v>
      </c>
      <c r="AZ54">
        <v>22</v>
      </c>
      <c r="BA54">
        <v>169</v>
      </c>
      <c r="BB54">
        <v>54</v>
      </c>
      <c r="BC54">
        <v>1</v>
      </c>
      <c r="BD54">
        <v>1</v>
      </c>
      <c r="BE54">
        <v>10</v>
      </c>
      <c r="BF54">
        <v>4</v>
      </c>
      <c r="BG54">
        <v>34</v>
      </c>
      <c r="BH54">
        <v>20</v>
      </c>
      <c r="BJ54" t="s">
        <v>403</v>
      </c>
      <c r="BK54" t="s">
        <v>403</v>
      </c>
      <c r="BL54">
        <v>64149</v>
      </c>
      <c r="BM54">
        <v>12882</v>
      </c>
      <c r="BN54">
        <v>88.098582986500006</v>
      </c>
      <c r="BO54">
        <v>176899</v>
      </c>
      <c r="BP54">
        <v>12537</v>
      </c>
      <c r="BQ54">
        <v>114.9789597454</v>
      </c>
      <c r="BR54">
        <v>113.85865837119999</v>
      </c>
      <c r="BS54">
        <v>20216</v>
      </c>
      <c r="BT54">
        <v>5632</v>
      </c>
      <c r="BU54">
        <v>100.7307578156</v>
      </c>
      <c r="BV54">
        <v>175458</v>
      </c>
      <c r="BW54">
        <v>14076</v>
      </c>
      <c r="BX54">
        <v>112.93124850389999</v>
      </c>
      <c r="BY54">
        <v>111.16190679170001</v>
      </c>
      <c r="CA54" t="s">
        <v>407</v>
      </c>
      <c r="CB54" t="s">
        <v>889</v>
      </c>
      <c r="CC54" t="s">
        <v>1017</v>
      </c>
      <c r="CD54">
        <v>1796</v>
      </c>
      <c r="CE54">
        <v>454</v>
      </c>
      <c r="CF54">
        <v>96.3028953229</v>
      </c>
      <c r="CG54">
        <v>4073</v>
      </c>
      <c r="CH54">
        <v>269</v>
      </c>
      <c r="CI54">
        <v>113.1993616499</v>
      </c>
      <c r="CJ54">
        <v>126.34572490710001</v>
      </c>
      <c r="CL54" t="s">
        <v>407</v>
      </c>
      <c r="CM54" t="s">
        <v>870</v>
      </c>
      <c r="CN54" t="s">
        <v>874</v>
      </c>
      <c r="CO54">
        <v>120</v>
      </c>
      <c r="CP54">
        <v>12</v>
      </c>
      <c r="CQ54">
        <v>68.641666666700004</v>
      </c>
      <c r="CR54">
        <v>648</v>
      </c>
      <c r="CS54">
        <v>42</v>
      </c>
      <c r="CT54">
        <v>65.404320987700004</v>
      </c>
      <c r="CU54">
        <v>64.738095238100001</v>
      </c>
      <c r="CW54" t="s">
        <v>407</v>
      </c>
      <c r="CX54" t="s">
        <v>880</v>
      </c>
      <c r="CY54" t="s">
        <v>884</v>
      </c>
      <c r="CZ54">
        <v>37</v>
      </c>
      <c r="DA54">
        <v>8</v>
      </c>
      <c r="DB54">
        <v>81.513513513500001</v>
      </c>
      <c r="DC54">
        <v>81</v>
      </c>
      <c r="DD54">
        <v>5</v>
      </c>
      <c r="DE54">
        <v>136.61728395060001</v>
      </c>
      <c r="DF54">
        <v>121.2</v>
      </c>
      <c r="DH54" t="s">
        <v>407</v>
      </c>
      <c r="DI54" t="s">
        <v>860</v>
      </c>
      <c r="DJ54" t="s">
        <v>864</v>
      </c>
      <c r="DK54">
        <v>35</v>
      </c>
      <c r="DL54">
        <v>3</v>
      </c>
      <c r="DM54">
        <v>61</v>
      </c>
      <c r="DN54">
        <v>120</v>
      </c>
      <c r="DO54">
        <v>8</v>
      </c>
      <c r="DP54">
        <v>118.7666666667</v>
      </c>
      <c r="DQ54">
        <v>89.5</v>
      </c>
    </row>
    <row r="55" spans="2:121" x14ac:dyDescent="0.2">
      <c r="F55" t="s">
        <v>38</v>
      </c>
      <c r="G55">
        <v>4185</v>
      </c>
      <c r="H55">
        <v>403.22413381119998</v>
      </c>
      <c r="I55">
        <v>7640</v>
      </c>
      <c r="J55">
        <v>1379</v>
      </c>
      <c r="K55">
        <v>7962</v>
      </c>
      <c r="L55">
        <v>3344</v>
      </c>
      <c r="M55">
        <v>1890</v>
      </c>
      <c r="N55">
        <v>1700</v>
      </c>
      <c r="O55">
        <v>2911</v>
      </c>
      <c r="P55">
        <v>2284</v>
      </c>
      <c r="Q55">
        <v>1</v>
      </c>
      <c r="R55">
        <v>330</v>
      </c>
      <c r="AH55" t="s">
        <v>420</v>
      </c>
      <c r="AI55">
        <v>301</v>
      </c>
      <c r="AJ55">
        <v>309.30897009969999</v>
      </c>
      <c r="AK55">
        <v>718</v>
      </c>
      <c r="AL55">
        <v>75</v>
      </c>
      <c r="AM55">
        <v>843</v>
      </c>
      <c r="AN55">
        <v>325</v>
      </c>
      <c r="AO55">
        <v>230</v>
      </c>
      <c r="AP55">
        <v>139</v>
      </c>
      <c r="AQ55">
        <v>188</v>
      </c>
      <c r="AR55">
        <v>117</v>
      </c>
      <c r="AS55">
        <v>2</v>
      </c>
      <c r="AT55">
        <v>1</v>
      </c>
      <c r="AV55" t="s">
        <v>417</v>
      </c>
      <c r="AW55">
        <v>39</v>
      </c>
      <c r="AX55">
        <v>83.307692307699995</v>
      </c>
      <c r="AY55">
        <v>65</v>
      </c>
      <c r="AZ55">
        <v>5</v>
      </c>
      <c r="BA55">
        <v>82</v>
      </c>
      <c r="BB55">
        <v>10</v>
      </c>
      <c r="BC55">
        <v>0</v>
      </c>
      <c r="BE55">
        <v>1</v>
      </c>
      <c r="BF55">
        <v>1</v>
      </c>
      <c r="BG55">
        <v>127</v>
      </c>
      <c r="BH55">
        <v>24</v>
      </c>
      <c r="BJ55" t="s">
        <v>594</v>
      </c>
      <c r="BK55" t="s">
        <v>403</v>
      </c>
      <c r="BL55">
        <v>5064</v>
      </c>
      <c r="BM55">
        <v>695</v>
      </c>
      <c r="BN55">
        <v>77.973736176900005</v>
      </c>
      <c r="BO55">
        <v>12993</v>
      </c>
      <c r="BP55">
        <v>903</v>
      </c>
      <c r="BQ55">
        <v>125.34849534360001</v>
      </c>
      <c r="BR55">
        <v>125.83388704319999</v>
      </c>
      <c r="BS55">
        <v>2682</v>
      </c>
      <c r="BT55">
        <v>508</v>
      </c>
      <c r="BU55">
        <v>85.563758389300006</v>
      </c>
      <c r="BV55">
        <v>20820</v>
      </c>
      <c r="BW55">
        <v>2274</v>
      </c>
      <c r="BX55">
        <v>125.6566762728</v>
      </c>
      <c r="BY55">
        <v>109.3135444151</v>
      </c>
      <c r="CA55" t="s">
        <v>412</v>
      </c>
      <c r="CB55" t="s">
        <v>889</v>
      </c>
      <c r="CC55" t="s">
        <v>1018</v>
      </c>
      <c r="CD55">
        <v>4149</v>
      </c>
      <c r="CE55">
        <v>1018</v>
      </c>
      <c r="CF55">
        <v>95.186791998100006</v>
      </c>
      <c r="CG55">
        <v>9435</v>
      </c>
      <c r="CH55">
        <v>818</v>
      </c>
      <c r="CI55">
        <v>137.48648648650001</v>
      </c>
      <c r="CJ55">
        <v>134.16748166260001</v>
      </c>
      <c r="CL55" t="s">
        <v>412</v>
      </c>
      <c r="CM55" t="s">
        <v>870</v>
      </c>
      <c r="CN55" t="s">
        <v>875</v>
      </c>
      <c r="CO55">
        <v>195</v>
      </c>
      <c r="CP55">
        <v>19</v>
      </c>
      <c r="CQ55">
        <v>66.353846153800006</v>
      </c>
      <c r="CR55">
        <v>1242</v>
      </c>
      <c r="CS55">
        <v>114</v>
      </c>
      <c r="CT55">
        <v>68.264895330100003</v>
      </c>
      <c r="CU55">
        <v>72.324561403499999</v>
      </c>
      <c r="CW55" t="s">
        <v>412</v>
      </c>
      <c r="CX55" t="s">
        <v>880</v>
      </c>
      <c r="CY55" t="s">
        <v>885</v>
      </c>
      <c r="CZ55">
        <v>76</v>
      </c>
      <c r="DA55">
        <v>5</v>
      </c>
      <c r="DB55">
        <v>56</v>
      </c>
      <c r="DC55">
        <v>240</v>
      </c>
      <c r="DD55">
        <v>18</v>
      </c>
      <c r="DE55">
        <v>131.7291666667</v>
      </c>
      <c r="DF55">
        <v>100.7222222222</v>
      </c>
      <c r="DH55" t="s">
        <v>412</v>
      </c>
      <c r="DI55" t="s">
        <v>860</v>
      </c>
      <c r="DJ55" t="s">
        <v>865</v>
      </c>
      <c r="DK55">
        <v>84</v>
      </c>
      <c r="DL55">
        <v>7</v>
      </c>
      <c r="DM55">
        <v>63.214285714299997</v>
      </c>
      <c r="DN55">
        <v>266</v>
      </c>
      <c r="DO55">
        <v>7</v>
      </c>
      <c r="DP55">
        <v>119.3834586466</v>
      </c>
      <c r="DQ55">
        <v>123.42857142859999</v>
      </c>
    </row>
    <row r="56" spans="2:121" x14ac:dyDescent="0.2">
      <c r="F56" t="s">
        <v>60</v>
      </c>
      <c r="G56">
        <v>2338</v>
      </c>
      <c r="H56">
        <v>306.3609923011</v>
      </c>
      <c r="I56">
        <v>4739</v>
      </c>
      <c r="J56">
        <v>1378</v>
      </c>
      <c r="K56">
        <v>5220</v>
      </c>
      <c r="L56">
        <v>2064</v>
      </c>
      <c r="M56">
        <v>2047</v>
      </c>
      <c r="N56">
        <v>1773</v>
      </c>
      <c r="O56">
        <v>3963</v>
      </c>
      <c r="P56">
        <v>2687</v>
      </c>
      <c r="Q56">
        <v>0</v>
      </c>
      <c r="R56">
        <v>1</v>
      </c>
      <c r="BJ56" t="s">
        <v>602</v>
      </c>
      <c r="BK56" t="s">
        <v>403</v>
      </c>
      <c r="BL56">
        <v>5048</v>
      </c>
      <c r="BM56">
        <v>938</v>
      </c>
      <c r="BN56">
        <v>86.3979793978</v>
      </c>
      <c r="BO56">
        <v>12492</v>
      </c>
      <c r="BP56">
        <v>917</v>
      </c>
      <c r="BQ56">
        <v>135.8039545309</v>
      </c>
      <c r="BR56">
        <v>132.92693565979999</v>
      </c>
      <c r="BS56">
        <v>1744</v>
      </c>
      <c r="BT56">
        <v>426</v>
      </c>
      <c r="BU56">
        <v>98.073967889900004</v>
      </c>
      <c r="BV56">
        <v>12088</v>
      </c>
      <c r="BW56">
        <v>877</v>
      </c>
      <c r="BX56">
        <v>135.82420582399999</v>
      </c>
      <c r="BY56">
        <v>134.33409350060001</v>
      </c>
      <c r="CA56" t="s">
        <v>404</v>
      </c>
      <c r="CB56" t="s">
        <v>889</v>
      </c>
      <c r="CC56" t="s">
        <v>1019</v>
      </c>
      <c r="CD56">
        <v>2707</v>
      </c>
      <c r="CE56">
        <v>581</v>
      </c>
      <c r="CF56">
        <v>88.542297746599999</v>
      </c>
      <c r="CG56">
        <v>6905</v>
      </c>
      <c r="CH56">
        <v>441</v>
      </c>
      <c r="CI56">
        <v>133.717595945</v>
      </c>
      <c r="CJ56">
        <v>128.8140589569</v>
      </c>
      <c r="CL56" t="s">
        <v>404</v>
      </c>
      <c r="CM56" t="s">
        <v>870</v>
      </c>
      <c r="CN56" t="s">
        <v>876</v>
      </c>
      <c r="CO56">
        <v>170</v>
      </c>
      <c r="CP56">
        <v>22</v>
      </c>
      <c r="CQ56">
        <v>73.405882352899994</v>
      </c>
      <c r="CR56">
        <v>992</v>
      </c>
      <c r="CS56">
        <v>63</v>
      </c>
      <c r="CT56">
        <v>60.988911290300003</v>
      </c>
      <c r="CU56">
        <v>69.507936507899998</v>
      </c>
      <c r="CW56" t="s">
        <v>404</v>
      </c>
      <c r="CX56" t="s">
        <v>880</v>
      </c>
      <c r="CY56" t="s">
        <v>886</v>
      </c>
      <c r="CZ56">
        <v>63</v>
      </c>
      <c r="DA56">
        <v>13</v>
      </c>
      <c r="DB56">
        <v>76.825396825400006</v>
      </c>
      <c r="DC56">
        <v>124</v>
      </c>
      <c r="DD56">
        <v>9</v>
      </c>
      <c r="DE56">
        <v>146.4112903226</v>
      </c>
      <c r="DF56">
        <v>121</v>
      </c>
      <c r="DH56" t="s">
        <v>404</v>
      </c>
      <c r="DI56" t="s">
        <v>860</v>
      </c>
      <c r="DJ56" t="s">
        <v>866</v>
      </c>
      <c r="DK56">
        <v>57</v>
      </c>
      <c r="DL56">
        <v>6</v>
      </c>
      <c r="DM56">
        <v>64.035087719299995</v>
      </c>
      <c r="DN56">
        <v>168</v>
      </c>
      <c r="DO56">
        <v>6</v>
      </c>
      <c r="DP56">
        <v>127.755952381</v>
      </c>
      <c r="DQ56">
        <v>115.5</v>
      </c>
    </row>
    <row r="57" spans="2:121" x14ac:dyDescent="0.2">
      <c r="F57" t="s">
        <v>56</v>
      </c>
      <c r="G57">
        <v>4615</v>
      </c>
      <c r="H57">
        <v>169.39501625139999</v>
      </c>
      <c r="I57">
        <v>6848</v>
      </c>
      <c r="J57">
        <v>1141</v>
      </c>
      <c r="K57">
        <v>8331</v>
      </c>
      <c r="L57">
        <v>2369</v>
      </c>
      <c r="M57">
        <v>914</v>
      </c>
      <c r="N57">
        <v>639</v>
      </c>
      <c r="O57">
        <v>648</v>
      </c>
      <c r="P57">
        <v>380</v>
      </c>
      <c r="Q57">
        <v>9192</v>
      </c>
      <c r="R57">
        <v>0</v>
      </c>
      <c r="BJ57" t="s">
        <v>610</v>
      </c>
      <c r="BK57" t="s">
        <v>403</v>
      </c>
      <c r="BL57">
        <v>3808</v>
      </c>
      <c r="BM57">
        <v>1003</v>
      </c>
      <c r="BN57">
        <v>100.3883928571</v>
      </c>
      <c r="BO57">
        <v>8709</v>
      </c>
      <c r="BP57">
        <v>789</v>
      </c>
      <c r="BQ57">
        <v>141.78149041219999</v>
      </c>
      <c r="BR57">
        <v>136.7160963245</v>
      </c>
      <c r="BS57">
        <v>654</v>
      </c>
      <c r="BT57">
        <v>221</v>
      </c>
      <c r="BU57">
        <v>117.9525993884</v>
      </c>
      <c r="BV57">
        <v>7807</v>
      </c>
      <c r="BW57">
        <v>720</v>
      </c>
      <c r="BX57">
        <v>131.39746381449999</v>
      </c>
      <c r="BY57">
        <v>149.19999999999999</v>
      </c>
      <c r="CA57" t="s">
        <v>408</v>
      </c>
      <c r="CB57" t="s">
        <v>889</v>
      </c>
      <c r="CC57" t="s">
        <v>1020</v>
      </c>
      <c r="CD57">
        <v>4882</v>
      </c>
      <c r="CE57">
        <v>858</v>
      </c>
      <c r="CF57">
        <v>86.739451044700004</v>
      </c>
      <c r="CG57">
        <v>12633</v>
      </c>
      <c r="CH57">
        <v>956</v>
      </c>
      <c r="CI57">
        <v>135.0801076546</v>
      </c>
      <c r="CJ57">
        <v>127.98430962339999</v>
      </c>
      <c r="CL57" t="s">
        <v>408</v>
      </c>
      <c r="CM57" t="s">
        <v>870</v>
      </c>
      <c r="CN57" t="s">
        <v>877</v>
      </c>
      <c r="CO57">
        <v>315</v>
      </c>
      <c r="CP57">
        <v>30</v>
      </c>
      <c r="CQ57">
        <v>65.717460317499999</v>
      </c>
      <c r="CR57">
        <v>1835</v>
      </c>
      <c r="CS57">
        <v>137</v>
      </c>
      <c r="CT57">
        <v>69.2817438692</v>
      </c>
      <c r="CU57">
        <v>79.948905109500004</v>
      </c>
      <c r="CW57" t="s">
        <v>408</v>
      </c>
      <c r="CX57" t="s">
        <v>880</v>
      </c>
      <c r="CY57" t="s">
        <v>887</v>
      </c>
      <c r="CZ57">
        <v>68</v>
      </c>
      <c r="DA57">
        <v>9</v>
      </c>
      <c r="DB57">
        <v>61.955882352899998</v>
      </c>
      <c r="DC57">
        <v>222</v>
      </c>
      <c r="DD57">
        <v>14</v>
      </c>
      <c r="DE57">
        <v>136.27477477479999</v>
      </c>
      <c r="DF57">
        <v>98.142857142899999</v>
      </c>
      <c r="DH57" t="s">
        <v>408</v>
      </c>
      <c r="DI57" t="s">
        <v>860</v>
      </c>
      <c r="DJ57" t="s">
        <v>867</v>
      </c>
      <c r="DK57">
        <v>32</v>
      </c>
      <c r="DL57">
        <v>5</v>
      </c>
      <c r="DM57">
        <v>67.53125</v>
      </c>
      <c r="DN57">
        <v>127</v>
      </c>
      <c r="DO57">
        <v>7</v>
      </c>
      <c r="DP57">
        <v>122.86614173229999</v>
      </c>
      <c r="DQ57">
        <v>102.42857142859999</v>
      </c>
    </row>
    <row r="58" spans="2:121" x14ac:dyDescent="0.2">
      <c r="F58" t="s">
        <v>52</v>
      </c>
      <c r="G58">
        <v>6214</v>
      </c>
      <c r="H58">
        <v>445.72578049570001</v>
      </c>
      <c r="I58">
        <v>10808</v>
      </c>
      <c r="J58">
        <v>2079</v>
      </c>
      <c r="K58">
        <v>10585</v>
      </c>
      <c r="L58">
        <v>5638</v>
      </c>
      <c r="M58">
        <v>1004</v>
      </c>
      <c r="N58">
        <v>860</v>
      </c>
      <c r="O58">
        <v>3953</v>
      </c>
      <c r="P58">
        <v>3312</v>
      </c>
      <c r="Q58">
        <v>4</v>
      </c>
      <c r="R58">
        <v>34</v>
      </c>
      <c r="BJ58" t="s">
        <v>623</v>
      </c>
      <c r="BK58" t="s">
        <v>403</v>
      </c>
      <c r="BL58">
        <v>10532</v>
      </c>
      <c r="BM58">
        <v>1805</v>
      </c>
      <c r="BN58">
        <v>82.882453475099993</v>
      </c>
      <c r="BO58">
        <v>26396</v>
      </c>
      <c r="BP58">
        <v>1560</v>
      </c>
      <c r="BQ58">
        <v>123.7033641461</v>
      </c>
      <c r="BR58">
        <v>128.4166666667</v>
      </c>
      <c r="BS58">
        <v>3450</v>
      </c>
      <c r="BT58">
        <v>852</v>
      </c>
      <c r="BU58">
        <v>99.272463768099996</v>
      </c>
      <c r="BV58">
        <v>27501</v>
      </c>
      <c r="BW58">
        <v>2064</v>
      </c>
      <c r="BX58">
        <v>126.361077779</v>
      </c>
      <c r="BY58">
        <v>115.86967054260001</v>
      </c>
      <c r="CA58" t="s">
        <v>80</v>
      </c>
      <c r="CB58" t="s">
        <v>889</v>
      </c>
      <c r="CC58" t="s">
        <v>1021</v>
      </c>
      <c r="CD58">
        <v>7207</v>
      </c>
      <c r="CE58">
        <v>1396</v>
      </c>
      <c r="CF58">
        <v>89.744970167899993</v>
      </c>
      <c r="CG58">
        <v>19694</v>
      </c>
      <c r="CH58">
        <v>1249</v>
      </c>
      <c r="CI58">
        <v>108.59337869399999</v>
      </c>
      <c r="CJ58">
        <v>108.5004003203</v>
      </c>
      <c r="CL58" t="s">
        <v>80</v>
      </c>
      <c r="CM58" t="s">
        <v>870</v>
      </c>
      <c r="CN58" t="s">
        <v>878</v>
      </c>
      <c r="CO58">
        <v>491</v>
      </c>
      <c r="CP58">
        <v>51</v>
      </c>
      <c r="CQ58">
        <v>70.912423625299994</v>
      </c>
      <c r="CR58">
        <v>2744</v>
      </c>
      <c r="CS58">
        <v>201</v>
      </c>
      <c r="CT58">
        <v>71.4384110787</v>
      </c>
      <c r="CU58">
        <v>73.194029850700005</v>
      </c>
      <c r="CW58" t="s">
        <v>80</v>
      </c>
      <c r="CX58" t="s">
        <v>880</v>
      </c>
      <c r="CY58" t="s">
        <v>888</v>
      </c>
      <c r="CZ58">
        <v>288</v>
      </c>
      <c r="DA58">
        <v>25</v>
      </c>
      <c r="DB58">
        <v>58.923611111100001</v>
      </c>
      <c r="DC58">
        <v>738</v>
      </c>
      <c r="DD58">
        <v>60</v>
      </c>
      <c r="DE58">
        <v>123.5108401084</v>
      </c>
      <c r="DF58">
        <v>104.0833333333</v>
      </c>
      <c r="DH58" t="s">
        <v>80</v>
      </c>
      <c r="DI58" t="s">
        <v>860</v>
      </c>
      <c r="DJ58" t="s">
        <v>868</v>
      </c>
      <c r="DK58">
        <v>414</v>
      </c>
      <c r="DL58">
        <v>37</v>
      </c>
      <c r="DM58">
        <v>60.673913043500001</v>
      </c>
      <c r="DN58">
        <v>1083</v>
      </c>
      <c r="DO58">
        <v>45</v>
      </c>
      <c r="DP58">
        <v>119.06648199449999</v>
      </c>
      <c r="DQ58">
        <v>117.8888888889</v>
      </c>
    </row>
    <row r="59" spans="2:121" x14ac:dyDescent="0.2">
      <c r="F59" t="s">
        <v>55</v>
      </c>
      <c r="G59">
        <v>510</v>
      </c>
      <c r="H59">
        <v>190.2254901961</v>
      </c>
      <c r="I59">
        <v>827</v>
      </c>
      <c r="J59">
        <v>248</v>
      </c>
      <c r="K59">
        <v>818</v>
      </c>
      <c r="L59">
        <v>364</v>
      </c>
      <c r="M59">
        <v>350</v>
      </c>
      <c r="N59">
        <v>285</v>
      </c>
      <c r="O59">
        <v>229</v>
      </c>
      <c r="P59">
        <v>124</v>
      </c>
      <c r="Q59">
        <v>454</v>
      </c>
      <c r="R59">
        <v>166</v>
      </c>
      <c r="BJ59" t="s">
        <v>596</v>
      </c>
      <c r="BK59" t="s">
        <v>403</v>
      </c>
      <c r="BL59">
        <v>8364</v>
      </c>
      <c r="BM59">
        <v>1456</v>
      </c>
      <c r="BN59">
        <v>81.271640363499998</v>
      </c>
      <c r="BO59">
        <v>46095</v>
      </c>
      <c r="BP59">
        <v>3186</v>
      </c>
      <c r="BQ59">
        <v>63.513938605100002</v>
      </c>
      <c r="BR59">
        <v>57.666666666700003</v>
      </c>
      <c r="BS59">
        <v>3647</v>
      </c>
      <c r="BT59">
        <v>711</v>
      </c>
      <c r="BU59">
        <v>81.617768028499995</v>
      </c>
      <c r="BV59">
        <v>48463</v>
      </c>
      <c r="BW59">
        <v>3389</v>
      </c>
      <c r="BX59">
        <v>65.055238016600001</v>
      </c>
      <c r="BY59">
        <v>56.606963706099997</v>
      </c>
      <c r="CA59" t="s">
        <v>403</v>
      </c>
      <c r="CB59" t="s">
        <v>889</v>
      </c>
      <c r="CD59">
        <v>61738</v>
      </c>
      <c r="CE59">
        <v>12480</v>
      </c>
      <c r="CF59">
        <v>88.620784605899999</v>
      </c>
      <c r="CG59">
        <v>153890</v>
      </c>
      <c r="CH59">
        <v>10735</v>
      </c>
      <c r="CI59">
        <v>126.49500292419999</v>
      </c>
      <c r="CJ59">
        <v>126.38118304610001</v>
      </c>
      <c r="CL59" t="s">
        <v>403</v>
      </c>
      <c r="CM59" t="s">
        <v>870</v>
      </c>
      <c r="CO59">
        <v>3861</v>
      </c>
      <c r="CP59">
        <v>361</v>
      </c>
      <c r="CQ59">
        <v>65.143486143499999</v>
      </c>
      <c r="CR59">
        <v>22064</v>
      </c>
      <c r="CS59">
        <v>1751</v>
      </c>
      <c r="CT59">
        <v>67.582487309599998</v>
      </c>
      <c r="CU59">
        <v>70.573957738399997</v>
      </c>
      <c r="CW59" t="s">
        <v>403</v>
      </c>
      <c r="CX59" t="s">
        <v>880</v>
      </c>
      <c r="CZ59">
        <v>1890</v>
      </c>
      <c r="DA59">
        <v>210</v>
      </c>
      <c r="DB59">
        <v>63.791534391500001</v>
      </c>
      <c r="DC59">
        <v>5008</v>
      </c>
      <c r="DD59">
        <v>331</v>
      </c>
      <c r="DE59">
        <v>129.0860623003</v>
      </c>
      <c r="DF59">
        <v>114.54984894259999</v>
      </c>
      <c r="DH59" t="s">
        <v>403</v>
      </c>
      <c r="DI59" t="s">
        <v>860</v>
      </c>
      <c r="DK59">
        <v>1533</v>
      </c>
      <c r="DL59">
        <v>155</v>
      </c>
      <c r="DM59">
        <v>64.936073059400002</v>
      </c>
      <c r="DN59">
        <v>4155</v>
      </c>
      <c r="DO59">
        <v>198</v>
      </c>
      <c r="DP59">
        <v>120.3922984356</v>
      </c>
      <c r="DQ59">
        <v>114.86363636359999</v>
      </c>
    </row>
    <row r="60" spans="2:121" x14ac:dyDescent="0.2">
      <c r="F60" t="s">
        <v>49</v>
      </c>
      <c r="G60">
        <v>2982</v>
      </c>
      <c r="H60">
        <v>400.9503688799</v>
      </c>
      <c r="I60">
        <v>4612</v>
      </c>
      <c r="J60">
        <v>1468</v>
      </c>
      <c r="K60">
        <v>6891</v>
      </c>
      <c r="L60">
        <v>3901</v>
      </c>
      <c r="M60">
        <v>2608</v>
      </c>
      <c r="N60">
        <v>2001</v>
      </c>
      <c r="O60">
        <v>795</v>
      </c>
      <c r="P60">
        <v>612</v>
      </c>
      <c r="Q60">
        <v>47</v>
      </c>
      <c r="R60">
        <v>288</v>
      </c>
      <c r="BJ60" t="s">
        <v>538</v>
      </c>
      <c r="BK60" t="s">
        <v>379</v>
      </c>
      <c r="BL60">
        <v>18609</v>
      </c>
      <c r="BM60">
        <v>5370</v>
      </c>
      <c r="BN60">
        <v>99.794615508600003</v>
      </c>
      <c r="BO60">
        <v>37733</v>
      </c>
      <c r="BP60">
        <v>2740</v>
      </c>
      <c r="BQ60">
        <v>145.30363342429999</v>
      </c>
      <c r="BR60">
        <v>144.37810218979999</v>
      </c>
      <c r="BS60">
        <v>3321</v>
      </c>
      <c r="BT60">
        <v>1082</v>
      </c>
      <c r="BU60">
        <v>118.7106293285</v>
      </c>
      <c r="BV60">
        <v>28758</v>
      </c>
      <c r="BW60">
        <v>1170</v>
      </c>
      <c r="BX60">
        <v>141.0654774324</v>
      </c>
      <c r="BY60">
        <v>177.26923076919999</v>
      </c>
      <c r="CA60" t="s">
        <v>387</v>
      </c>
      <c r="CB60" t="s">
        <v>914</v>
      </c>
      <c r="CC60" t="s">
        <v>1022</v>
      </c>
      <c r="CD60">
        <v>8250</v>
      </c>
      <c r="CE60">
        <v>2050</v>
      </c>
      <c r="CF60">
        <v>98.311515151500004</v>
      </c>
      <c r="CG60">
        <v>19656</v>
      </c>
      <c r="CH60">
        <v>1386</v>
      </c>
      <c r="CI60">
        <v>146.31766381770001</v>
      </c>
      <c r="CJ60">
        <v>136.71789321790001</v>
      </c>
      <c r="CL60" t="s">
        <v>387</v>
      </c>
      <c r="CM60" t="s">
        <v>899</v>
      </c>
      <c r="CN60" t="s">
        <v>898</v>
      </c>
      <c r="CO60">
        <v>667</v>
      </c>
      <c r="CP60">
        <v>88</v>
      </c>
      <c r="CQ60">
        <v>73.563718140899994</v>
      </c>
      <c r="CR60">
        <v>3753</v>
      </c>
      <c r="CS60">
        <v>232</v>
      </c>
      <c r="CT60">
        <v>67.596589395199999</v>
      </c>
      <c r="CU60">
        <v>73.431034482800001</v>
      </c>
      <c r="CW60" t="s">
        <v>387</v>
      </c>
      <c r="CX60" t="s">
        <v>907</v>
      </c>
      <c r="CY60" t="s">
        <v>906</v>
      </c>
      <c r="CZ60">
        <v>132</v>
      </c>
      <c r="DA60">
        <v>20</v>
      </c>
      <c r="DB60">
        <v>79.386363636400006</v>
      </c>
      <c r="DC60">
        <v>349</v>
      </c>
      <c r="DD60">
        <v>21</v>
      </c>
      <c r="DE60">
        <v>155.23495702010001</v>
      </c>
      <c r="DF60">
        <v>165.80952380950001</v>
      </c>
      <c r="DH60" t="s">
        <v>387</v>
      </c>
      <c r="DI60" t="s">
        <v>891</v>
      </c>
      <c r="DJ60" t="s">
        <v>890</v>
      </c>
      <c r="DK60">
        <v>115</v>
      </c>
      <c r="DL60">
        <v>19</v>
      </c>
      <c r="DM60">
        <v>79.286956521700006</v>
      </c>
      <c r="DN60">
        <v>419</v>
      </c>
      <c r="DO60">
        <v>28</v>
      </c>
      <c r="DP60">
        <v>146.02863961809999</v>
      </c>
      <c r="DQ60">
        <v>116.92857142859999</v>
      </c>
    </row>
    <row r="61" spans="2:121" x14ac:dyDescent="0.2">
      <c r="F61" t="s">
        <v>36</v>
      </c>
      <c r="G61">
        <v>223</v>
      </c>
      <c r="H61">
        <v>272.30493273539997</v>
      </c>
      <c r="I61">
        <v>676</v>
      </c>
      <c r="J61">
        <v>72</v>
      </c>
      <c r="K61">
        <v>696</v>
      </c>
      <c r="L61">
        <v>207</v>
      </c>
      <c r="M61">
        <v>178</v>
      </c>
      <c r="N61">
        <v>91</v>
      </c>
      <c r="O61">
        <v>112</v>
      </c>
      <c r="P61">
        <v>51</v>
      </c>
      <c r="Q61">
        <v>2</v>
      </c>
      <c r="R61">
        <v>5</v>
      </c>
      <c r="BJ61" t="s">
        <v>546</v>
      </c>
      <c r="BK61" t="s">
        <v>379</v>
      </c>
      <c r="BL61">
        <v>9503</v>
      </c>
      <c r="BM61">
        <v>2378</v>
      </c>
      <c r="BN61">
        <v>98.372934862700006</v>
      </c>
      <c r="BO61">
        <v>20901</v>
      </c>
      <c r="BP61">
        <v>1466</v>
      </c>
      <c r="BQ61">
        <v>134.76101621929999</v>
      </c>
      <c r="BR61">
        <v>135.5109140518</v>
      </c>
      <c r="BS61">
        <v>3927</v>
      </c>
      <c r="BT61">
        <v>1127</v>
      </c>
      <c r="BU61">
        <v>104.7685255921</v>
      </c>
      <c r="BV61">
        <v>21918</v>
      </c>
      <c r="BW61">
        <v>1558</v>
      </c>
      <c r="BX61">
        <v>132.2671776622</v>
      </c>
      <c r="BY61">
        <v>134.63863928110001</v>
      </c>
      <c r="CA61" t="s">
        <v>424</v>
      </c>
      <c r="CB61" t="s">
        <v>914</v>
      </c>
      <c r="CC61" t="s">
        <v>1023</v>
      </c>
      <c r="CD61">
        <v>26540</v>
      </c>
      <c r="CE61">
        <v>6611</v>
      </c>
      <c r="CF61">
        <v>96.187716654100001</v>
      </c>
      <c r="CG61">
        <v>59033</v>
      </c>
      <c r="CH61">
        <v>4343</v>
      </c>
      <c r="CI61">
        <v>138.4535937526</v>
      </c>
      <c r="CJ61">
        <v>137.52498273079999</v>
      </c>
      <c r="CL61" t="s">
        <v>424</v>
      </c>
      <c r="CM61" t="s">
        <v>899</v>
      </c>
      <c r="CN61" t="s">
        <v>900</v>
      </c>
      <c r="CO61">
        <v>2802</v>
      </c>
      <c r="CP61">
        <v>351</v>
      </c>
      <c r="CQ61">
        <v>70.208422555300004</v>
      </c>
      <c r="CR61">
        <v>8591</v>
      </c>
      <c r="CS61">
        <v>825</v>
      </c>
      <c r="CT61">
        <v>95.802467698800001</v>
      </c>
      <c r="CU61">
        <v>102.16242424239999</v>
      </c>
      <c r="CW61" t="s">
        <v>424</v>
      </c>
      <c r="CX61" t="s">
        <v>907</v>
      </c>
      <c r="CY61" t="s">
        <v>908</v>
      </c>
      <c r="CZ61">
        <v>613</v>
      </c>
      <c r="DA61">
        <v>79</v>
      </c>
      <c r="DB61">
        <v>73.104404567700001</v>
      </c>
      <c r="DC61">
        <v>1572</v>
      </c>
      <c r="DD61">
        <v>122</v>
      </c>
      <c r="DE61">
        <v>150.5782442748</v>
      </c>
      <c r="DF61">
        <v>127.6885245902</v>
      </c>
      <c r="DH61" t="s">
        <v>424</v>
      </c>
      <c r="DI61" t="s">
        <v>891</v>
      </c>
      <c r="DJ61" t="s">
        <v>892</v>
      </c>
      <c r="DK61">
        <v>655</v>
      </c>
      <c r="DL61">
        <v>92</v>
      </c>
      <c r="DM61">
        <v>69.189312977100002</v>
      </c>
      <c r="DN61">
        <v>2228</v>
      </c>
      <c r="DO61">
        <v>170</v>
      </c>
      <c r="DP61">
        <v>140.039497307</v>
      </c>
      <c r="DQ61">
        <v>114.4470588235</v>
      </c>
    </row>
    <row r="62" spans="2:121" x14ac:dyDescent="0.2">
      <c r="BJ62" t="s">
        <v>562</v>
      </c>
      <c r="BK62" t="s">
        <v>379</v>
      </c>
      <c r="BL62">
        <v>4069</v>
      </c>
      <c r="BM62">
        <v>795</v>
      </c>
      <c r="BN62">
        <v>92.416072745099996</v>
      </c>
      <c r="BO62">
        <v>12679</v>
      </c>
      <c r="BP62">
        <v>822</v>
      </c>
      <c r="BQ62">
        <v>129.72829087470001</v>
      </c>
      <c r="BR62">
        <v>114.6776155718</v>
      </c>
      <c r="BS62">
        <v>1521</v>
      </c>
      <c r="BT62">
        <v>431</v>
      </c>
      <c r="BU62">
        <v>108.9592373439</v>
      </c>
      <c r="BV62">
        <v>18303</v>
      </c>
      <c r="BW62">
        <v>1579</v>
      </c>
      <c r="BX62">
        <v>149.09938261490001</v>
      </c>
      <c r="BY62">
        <v>129.20962634579999</v>
      </c>
      <c r="CA62" t="s">
        <v>380</v>
      </c>
      <c r="CB62" t="s">
        <v>914</v>
      </c>
      <c r="CC62" t="s">
        <v>1024</v>
      </c>
      <c r="CD62">
        <v>19836</v>
      </c>
      <c r="CE62">
        <v>5492</v>
      </c>
      <c r="CF62">
        <v>99.897207098199999</v>
      </c>
      <c r="CG62">
        <v>42494</v>
      </c>
      <c r="CH62">
        <v>3214</v>
      </c>
      <c r="CI62">
        <v>136.6574104579</v>
      </c>
      <c r="CJ62">
        <v>135.8528313628</v>
      </c>
      <c r="CL62" t="s">
        <v>380</v>
      </c>
      <c r="CM62" t="s">
        <v>899</v>
      </c>
      <c r="CN62" t="s">
        <v>901</v>
      </c>
      <c r="CO62">
        <v>1441</v>
      </c>
      <c r="CP62">
        <v>199</v>
      </c>
      <c r="CQ62">
        <v>71.948646773099995</v>
      </c>
      <c r="CR62">
        <v>4318</v>
      </c>
      <c r="CS62">
        <v>409</v>
      </c>
      <c r="CT62">
        <v>99.221167206999993</v>
      </c>
      <c r="CU62">
        <v>108.2836185819</v>
      </c>
      <c r="CW62" t="s">
        <v>380</v>
      </c>
      <c r="CX62" t="s">
        <v>907</v>
      </c>
      <c r="CY62" t="s">
        <v>909</v>
      </c>
      <c r="CZ62">
        <v>401</v>
      </c>
      <c r="DA62">
        <v>59</v>
      </c>
      <c r="DB62">
        <v>75.548628428900003</v>
      </c>
      <c r="DC62">
        <v>927</v>
      </c>
      <c r="DD62">
        <v>68</v>
      </c>
      <c r="DE62">
        <v>151.380798274</v>
      </c>
      <c r="DF62">
        <v>128.0588235294</v>
      </c>
      <c r="DH62" t="s">
        <v>380</v>
      </c>
      <c r="DI62" t="s">
        <v>891</v>
      </c>
      <c r="DJ62" t="s">
        <v>893</v>
      </c>
      <c r="DK62">
        <v>341</v>
      </c>
      <c r="DL62">
        <v>49</v>
      </c>
      <c r="DM62">
        <v>76.917888563000005</v>
      </c>
      <c r="DN62">
        <v>1102</v>
      </c>
      <c r="DO62">
        <v>76</v>
      </c>
      <c r="DP62">
        <v>138.7250453721</v>
      </c>
      <c r="DQ62">
        <v>102.1184210526</v>
      </c>
    </row>
    <row r="63" spans="2:121" x14ac:dyDescent="0.2">
      <c r="BJ63" t="s">
        <v>552</v>
      </c>
      <c r="BK63" t="s">
        <v>379</v>
      </c>
      <c r="BL63">
        <v>8016</v>
      </c>
      <c r="BM63">
        <v>2089</v>
      </c>
      <c r="BN63">
        <v>101.70409181639999</v>
      </c>
      <c r="BO63">
        <v>18857</v>
      </c>
      <c r="BP63">
        <v>1333</v>
      </c>
      <c r="BQ63">
        <v>153.4217531951</v>
      </c>
      <c r="BR63">
        <v>150.44261065270001</v>
      </c>
      <c r="BS63">
        <v>2044</v>
      </c>
      <c r="BT63">
        <v>804</v>
      </c>
      <c r="BU63">
        <v>123.43248532290001</v>
      </c>
      <c r="BV63">
        <v>17677</v>
      </c>
      <c r="BW63">
        <v>1178</v>
      </c>
      <c r="BX63">
        <v>150.4493975222</v>
      </c>
      <c r="BY63">
        <v>153.8251273345</v>
      </c>
      <c r="CA63" t="s">
        <v>392</v>
      </c>
      <c r="CB63" t="s">
        <v>914</v>
      </c>
      <c r="CC63" t="s">
        <v>1025</v>
      </c>
      <c r="CD63">
        <v>3664</v>
      </c>
      <c r="CE63">
        <v>513</v>
      </c>
      <c r="CF63">
        <v>76.843886462900002</v>
      </c>
      <c r="CG63">
        <v>12916</v>
      </c>
      <c r="CH63">
        <v>865</v>
      </c>
      <c r="CI63">
        <v>115.4972127594</v>
      </c>
      <c r="CJ63">
        <v>103.3641618497</v>
      </c>
      <c r="CL63" t="s">
        <v>392</v>
      </c>
      <c r="CM63" t="s">
        <v>899</v>
      </c>
      <c r="CN63" t="s">
        <v>902</v>
      </c>
      <c r="CO63">
        <v>343</v>
      </c>
      <c r="CP63">
        <v>48</v>
      </c>
      <c r="CQ63">
        <v>69.157434402299998</v>
      </c>
      <c r="CR63">
        <v>1986</v>
      </c>
      <c r="CS63">
        <v>109</v>
      </c>
      <c r="CT63">
        <v>70.797583081599996</v>
      </c>
      <c r="CU63">
        <v>78.642201834900007</v>
      </c>
      <c r="CW63" t="s">
        <v>392</v>
      </c>
      <c r="CX63" t="s">
        <v>907</v>
      </c>
      <c r="CY63" t="s">
        <v>910</v>
      </c>
      <c r="CZ63">
        <v>83</v>
      </c>
      <c r="DA63">
        <v>6</v>
      </c>
      <c r="DB63">
        <v>65.734939759</v>
      </c>
      <c r="DC63">
        <v>219</v>
      </c>
      <c r="DD63">
        <v>17</v>
      </c>
      <c r="DE63">
        <v>145.55707762559999</v>
      </c>
      <c r="DF63">
        <v>117.9411764706</v>
      </c>
      <c r="DH63" t="s">
        <v>392</v>
      </c>
      <c r="DI63" t="s">
        <v>891</v>
      </c>
      <c r="DJ63" t="s">
        <v>894</v>
      </c>
      <c r="DK63">
        <v>112</v>
      </c>
      <c r="DL63">
        <v>16</v>
      </c>
      <c r="DM63">
        <v>66.919642857100001</v>
      </c>
      <c r="DN63">
        <v>352</v>
      </c>
      <c r="DO63">
        <v>22</v>
      </c>
      <c r="DP63">
        <v>134.5284090909</v>
      </c>
      <c r="DQ63">
        <v>83.454545454500007</v>
      </c>
    </row>
    <row r="64" spans="2:121" x14ac:dyDescent="0.2">
      <c r="BJ64" t="s">
        <v>548</v>
      </c>
      <c r="BK64" t="s">
        <v>379</v>
      </c>
      <c r="BL64">
        <v>9313</v>
      </c>
      <c r="BM64">
        <v>1418</v>
      </c>
      <c r="BN64">
        <v>80.316332009000007</v>
      </c>
      <c r="BO64">
        <v>25004</v>
      </c>
      <c r="BP64">
        <v>1675</v>
      </c>
      <c r="BQ64">
        <v>120.0123980163</v>
      </c>
      <c r="BR64">
        <v>113.4955223881</v>
      </c>
      <c r="BS64">
        <v>3624</v>
      </c>
      <c r="BT64">
        <v>741</v>
      </c>
      <c r="BU64">
        <v>93.738410595999994</v>
      </c>
      <c r="BV64">
        <v>25854</v>
      </c>
      <c r="BW64">
        <v>1821</v>
      </c>
      <c r="BX64">
        <v>124.9130115263</v>
      </c>
      <c r="BY64">
        <v>114.02855573860001</v>
      </c>
      <c r="CA64" t="s">
        <v>426</v>
      </c>
      <c r="CB64" t="s">
        <v>914</v>
      </c>
      <c r="CC64" t="s">
        <v>1026</v>
      </c>
      <c r="CD64">
        <v>2743</v>
      </c>
      <c r="CE64">
        <v>576</v>
      </c>
      <c r="CF64">
        <v>100.37586584029999</v>
      </c>
      <c r="CG64">
        <v>7738</v>
      </c>
      <c r="CH64">
        <v>502</v>
      </c>
      <c r="CI64">
        <v>148.00516929439999</v>
      </c>
      <c r="CJ64">
        <v>131.7111553785</v>
      </c>
      <c r="CL64" t="s">
        <v>426</v>
      </c>
      <c r="CM64" t="s">
        <v>899</v>
      </c>
      <c r="CN64" t="s">
        <v>903</v>
      </c>
      <c r="CO64">
        <v>588</v>
      </c>
      <c r="CP64">
        <v>78</v>
      </c>
      <c r="CQ64">
        <v>73.794217687100002</v>
      </c>
      <c r="CR64">
        <v>1553</v>
      </c>
      <c r="CS64">
        <v>149</v>
      </c>
      <c r="CT64">
        <v>107.7443657437</v>
      </c>
      <c r="CU64">
        <v>113.2214765101</v>
      </c>
      <c r="CW64" t="s">
        <v>426</v>
      </c>
      <c r="CX64" t="s">
        <v>907</v>
      </c>
      <c r="CY64" t="s">
        <v>911</v>
      </c>
      <c r="CZ64">
        <v>19</v>
      </c>
      <c r="DA64">
        <v>4</v>
      </c>
      <c r="DB64">
        <v>90.526315789500003</v>
      </c>
      <c r="DC64">
        <v>20</v>
      </c>
      <c r="DD64">
        <v>3</v>
      </c>
      <c r="DE64">
        <v>134.75</v>
      </c>
      <c r="DF64">
        <v>111.6666666667</v>
      </c>
      <c r="DH64" t="s">
        <v>426</v>
      </c>
      <c r="DI64" t="s">
        <v>891</v>
      </c>
      <c r="DJ64" t="s">
        <v>895</v>
      </c>
      <c r="DK64">
        <v>18</v>
      </c>
      <c r="DL64">
        <v>3</v>
      </c>
      <c r="DM64">
        <v>72.055555555599994</v>
      </c>
      <c r="DN64">
        <v>42</v>
      </c>
      <c r="DO64">
        <v>2</v>
      </c>
      <c r="DP64">
        <v>123.69047619049999</v>
      </c>
      <c r="DQ64">
        <v>122.5</v>
      </c>
    </row>
    <row r="65" spans="62:121" x14ac:dyDescent="0.2">
      <c r="BJ65" t="s">
        <v>612</v>
      </c>
      <c r="BK65" t="s">
        <v>379</v>
      </c>
      <c r="BL65">
        <v>1757</v>
      </c>
      <c r="BM65">
        <v>561</v>
      </c>
      <c r="BN65">
        <v>123.3073420603</v>
      </c>
      <c r="BO65">
        <v>7633</v>
      </c>
      <c r="BP65">
        <v>456</v>
      </c>
      <c r="BQ65">
        <v>150.95571859029999</v>
      </c>
      <c r="BR65">
        <v>139.23684210530001</v>
      </c>
      <c r="BS65">
        <v>863</v>
      </c>
      <c r="BT65">
        <v>283</v>
      </c>
      <c r="BU65">
        <v>118.3511008111</v>
      </c>
      <c r="BV65">
        <v>8788</v>
      </c>
      <c r="BW65">
        <v>872</v>
      </c>
      <c r="BX65">
        <v>149.4154528903</v>
      </c>
      <c r="BY65">
        <v>129.11238532109999</v>
      </c>
      <c r="CA65" t="s">
        <v>382</v>
      </c>
      <c r="CB65" t="s">
        <v>914</v>
      </c>
      <c r="CC65" t="s">
        <v>1027</v>
      </c>
      <c r="CD65">
        <v>9563</v>
      </c>
      <c r="CE65">
        <v>2441</v>
      </c>
      <c r="CF65">
        <v>99.884032207499999</v>
      </c>
      <c r="CG65">
        <v>22258</v>
      </c>
      <c r="CH65">
        <v>1537</v>
      </c>
      <c r="CI65">
        <v>132.1119148171</v>
      </c>
      <c r="CJ65">
        <v>133.0995445673</v>
      </c>
      <c r="CL65" t="s">
        <v>382</v>
      </c>
      <c r="CM65" t="s">
        <v>899</v>
      </c>
      <c r="CN65" t="s">
        <v>904</v>
      </c>
      <c r="CO65">
        <v>945</v>
      </c>
      <c r="CP65">
        <v>142</v>
      </c>
      <c r="CQ65">
        <v>75.065608465599993</v>
      </c>
      <c r="CR65">
        <v>2594</v>
      </c>
      <c r="CS65">
        <v>272</v>
      </c>
      <c r="CT65">
        <v>94.835774865100007</v>
      </c>
      <c r="CU65">
        <v>100.2242647059</v>
      </c>
      <c r="CW65" t="s">
        <v>382</v>
      </c>
      <c r="CX65" t="s">
        <v>907</v>
      </c>
      <c r="CY65" t="s">
        <v>912</v>
      </c>
      <c r="CZ65">
        <v>163</v>
      </c>
      <c r="DA65">
        <v>35</v>
      </c>
      <c r="DB65">
        <v>88.233128834400006</v>
      </c>
      <c r="DC65">
        <v>471</v>
      </c>
      <c r="DD65">
        <v>41</v>
      </c>
      <c r="DE65">
        <v>159.79830148619999</v>
      </c>
      <c r="DF65">
        <v>133.65853658539999</v>
      </c>
      <c r="DH65" t="s">
        <v>382</v>
      </c>
      <c r="DI65" t="s">
        <v>891</v>
      </c>
      <c r="DJ65" t="s">
        <v>896</v>
      </c>
      <c r="DK65">
        <v>195</v>
      </c>
      <c r="DL65">
        <v>49</v>
      </c>
      <c r="DM65">
        <v>84.876923076899999</v>
      </c>
      <c r="DN65">
        <v>557</v>
      </c>
      <c r="DO65">
        <v>51</v>
      </c>
      <c r="DP65">
        <v>139.10053859959999</v>
      </c>
      <c r="DQ65">
        <v>111.3333333333</v>
      </c>
    </row>
    <row r="66" spans="62:121" x14ac:dyDescent="0.2">
      <c r="BJ66" t="s">
        <v>379</v>
      </c>
      <c r="BK66" t="s">
        <v>379</v>
      </c>
      <c r="BL66">
        <v>76703</v>
      </c>
      <c r="BM66">
        <v>18735</v>
      </c>
      <c r="BN66">
        <v>96.191387559800006</v>
      </c>
      <c r="BO66">
        <v>176396</v>
      </c>
      <c r="BP66">
        <v>12464</v>
      </c>
      <c r="BQ66">
        <v>139.69104174700001</v>
      </c>
      <c r="BR66">
        <v>136.43316752250001</v>
      </c>
      <c r="BS66">
        <v>24140</v>
      </c>
      <c r="BT66">
        <v>7096</v>
      </c>
      <c r="BU66">
        <v>109.0977216239</v>
      </c>
      <c r="BV66">
        <v>166160</v>
      </c>
      <c r="BW66">
        <v>9555</v>
      </c>
      <c r="BX66">
        <v>139.1114708714</v>
      </c>
      <c r="BY66">
        <v>143.25913134480001</v>
      </c>
      <c r="CA66" t="s">
        <v>383</v>
      </c>
      <c r="CB66" t="s">
        <v>914</v>
      </c>
      <c r="CC66" t="s">
        <v>1028</v>
      </c>
      <c r="CD66">
        <v>9515</v>
      </c>
      <c r="CE66">
        <v>1504</v>
      </c>
      <c r="CF66">
        <v>81.408723068800001</v>
      </c>
      <c r="CG66">
        <v>25744</v>
      </c>
      <c r="CH66">
        <v>1776</v>
      </c>
      <c r="CI66">
        <v>117.124766936</v>
      </c>
      <c r="CJ66">
        <v>108.88626126130001</v>
      </c>
      <c r="CL66" t="s">
        <v>383</v>
      </c>
      <c r="CM66" t="s">
        <v>899</v>
      </c>
      <c r="CN66" t="s">
        <v>905</v>
      </c>
      <c r="CO66">
        <v>661</v>
      </c>
      <c r="CP66">
        <v>94</v>
      </c>
      <c r="CQ66">
        <v>68.937972768500003</v>
      </c>
      <c r="CR66">
        <v>3417</v>
      </c>
      <c r="CS66">
        <v>247</v>
      </c>
      <c r="CT66">
        <v>69.500438981599999</v>
      </c>
      <c r="CU66">
        <v>71.919028340099999</v>
      </c>
      <c r="CW66" t="s">
        <v>383</v>
      </c>
      <c r="CX66" t="s">
        <v>907</v>
      </c>
      <c r="CY66" t="s">
        <v>913</v>
      </c>
      <c r="CZ66">
        <v>195</v>
      </c>
      <c r="DA66">
        <v>38</v>
      </c>
      <c r="DB66">
        <v>82.841025641000002</v>
      </c>
      <c r="DC66">
        <v>463</v>
      </c>
      <c r="DD66">
        <v>39</v>
      </c>
      <c r="DE66">
        <v>156.7451403888</v>
      </c>
      <c r="DF66">
        <v>156.8461538462</v>
      </c>
      <c r="DH66" t="s">
        <v>383</v>
      </c>
      <c r="DI66" t="s">
        <v>891</v>
      </c>
      <c r="DJ66" t="s">
        <v>897</v>
      </c>
      <c r="DK66">
        <v>237</v>
      </c>
      <c r="DL66">
        <v>36</v>
      </c>
      <c r="DM66">
        <v>74.092827004200004</v>
      </c>
      <c r="DN66">
        <v>927</v>
      </c>
      <c r="DO66">
        <v>58</v>
      </c>
      <c r="DP66">
        <v>139.3182308522</v>
      </c>
      <c r="DQ66">
        <v>123.1206896552</v>
      </c>
    </row>
    <row r="67" spans="62:121" x14ac:dyDescent="0.2">
      <c r="BJ67" t="s">
        <v>540</v>
      </c>
      <c r="BK67" t="s">
        <v>379</v>
      </c>
      <c r="BL67">
        <v>25436</v>
      </c>
      <c r="BM67">
        <v>6124</v>
      </c>
      <c r="BN67">
        <v>95.546233684499995</v>
      </c>
      <c r="BO67">
        <v>53589</v>
      </c>
      <c r="BP67">
        <v>3972</v>
      </c>
      <c r="BQ67">
        <v>142.76483979919999</v>
      </c>
      <c r="BR67">
        <v>140.44461228599999</v>
      </c>
      <c r="BS67">
        <v>8840</v>
      </c>
      <c r="BT67">
        <v>2628</v>
      </c>
      <c r="BU67">
        <v>109.51210407240001</v>
      </c>
      <c r="BV67">
        <v>44862</v>
      </c>
      <c r="BW67">
        <v>1377</v>
      </c>
      <c r="BX67">
        <v>138.82450626369999</v>
      </c>
      <c r="BY67">
        <v>178.80101670299999</v>
      </c>
      <c r="CA67" t="s">
        <v>379</v>
      </c>
      <c r="CB67" t="s">
        <v>914</v>
      </c>
      <c r="CD67">
        <v>80111</v>
      </c>
      <c r="CE67">
        <v>19187</v>
      </c>
      <c r="CF67">
        <v>95.269501067299998</v>
      </c>
      <c r="CG67">
        <v>189839</v>
      </c>
      <c r="CH67">
        <v>13623</v>
      </c>
      <c r="CI67">
        <v>134.0573011868</v>
      </c>
      <c r="CJ67">
        <v>130.43221023269999</v>
      </c>
      <c r="CL67" t="s">
        <v>379</v>
      </c>
      <c r="CM67" t="s">
        <v>899</v>
      </c>
      <c r="CO67">
        <v>7447</v>
      </c>
      <c r="CP67">
        <v>1000</v>
      </c>
      <c r="CQ67">
        <v>71.583993554499997</v>
      </c>
      <c r="CR67">
        <v>26212</v>
      </c>
      <c r="CS67">
        <v>2243</v>
      </c>
      <c r="CT67">
        <v>87.615748512099998</v>
      </c>
      <c r="CU67">
        <v>96.333036112299993</v>
      </c>
      <c r="CW67" t="s">
        <v>379</v>
      </c>
      <c r="CX67" t="s">
        <v>907</v>
      </c>
      <c r="CZ67">
        <v>1606</v>
      </c>
      <c r="DA67">
        <v>241</v>
      </c>
      <c r="DB67">
        <v>76.773972602699999</v>
      </c>
      <c r="DC67">
        <v>4021</v>
      </c>
      <c r="DD67">
        <v>311</v>
      </c>
      <c r="DE67">
        <v>152.60532205920001</v>
      </c>
      <c r="DF67">
        <v>134.0996784566</v>
      </c>
      <c r="DH67" t="s">
        <v>379</v>
      </c>
      <c r="DI67" t="s">
        <v>891</v>
      </c>
      <c r="DK67">
        <v>1673</v>
      </c>
      <c r="DL67">
        <v>264</v>
      </c>
      <c r="DM67">
        <v>73.860729228899999</v>
      </c>
      <c r="DN67">
        <v>5627</v>
      </c>
      <c r="DO67">
        <v>407</v>
      </c>
      <c r="DP67">
        <v>139.54949351339999</v>
      </c>
      <c r="DQ67">
        <v>111.5257985258</v>
      </c>
    </row>
    <row r="68" spans="62:121" x14ac:dyDescent="0.2">
      <c r="BJ68" t="s">
        <v>308</v>
      </c>
      <c r="BK68" t="s">
        <v>694</v>
      </c>
      <c r="BL68">
        <v>6664</v>
      </c>
      <c r="BM68">
        <v>836</v>
      </c>
      <c r="BN68">
        <v>68.406962785100006</v>
      </c>
      <c r="BO68">
        <v>19744</v>
      </c>
      <c r="BP68">
        <v>1242</v>
      </c>
      <c r="BQ68">
        <v>129.33412682330001</v>
      </c>
      <c r="BR68">
        <v>115.8043478261</v>
      </c>
      <c r="BS68">
        <v>6719</v>
      </c>
      <c r="BT68">
        <v>696</v>
      </c>
      <c r="BU68">
        <v>61.349605596099998</v>
      </c>
      <c r="BV68">
        <v>5780</v>
      </c>
      <c r="BW68">
        <v>278</v>
      </c>
      <c r="BX68">
        <v>127.8088235294</v>
      </c>
      <c r="BY68">
        <v>117.3920863309</v>
      </c>
      <c r="CA68" t="s">
        <v>697</v>
      </c>
      <c r="CD68">
        <v>379516</v>
      </c>
      <c r="CE68">
        <v>77667</v>
      </c>
      <c r="CF68">
        <v>89.273759209100007</v>
      </c>
      <c r="CG68">
        <v>1018350</v>
      </c>
      <c r="CH68">
        <v>73704</v>
      </c>
      <c r="CI68">
        <v>123.22773702560001</v>
      </c>
      <c r="CJ68">
        <v>121.24401660700001</v>
      </c>
      <c r="CL68" t="s">
        <v>697</v>
      </c>
      <c r="CO68">
        <v>379516</v>
      </c>
      <c r="CP68">
        <v>77667</v>
      </c>
      <c r="CQ68">
        <v>89.273759209100007</v>
      </c>
      <c r="CR68">
        <v>1018350</v>
      </c>
      <c r="CS68">
        <v>73704</v>
      </c>
      <c r="CT68">
        <v>123.22773702560001</v>
      </c>
      <c r="CU68">
        <v>121.24401660700001</v>
      </c>
      <c r="CW68" t="s">
        <v>697</v>
      </c>
      <c r="CZ68">
        <v>379516</v>
      </c>
      <c r="DA68">
        <v>77667</v>
      </c>
      <c r="DB68">
        <v>89.273759209100007</v>
      </c>
      <c r="DC68">
        <v>1018350</v>
      </c>
      <c r="DD68">
        <v>73704</v>
      </c>
      <c r="DE68">
        <v>123.22773702560001</v>
      </c>
      <c r="DF68">
        <v>121.24401660700001</v>
      </c>
      <c r="DH68" t="s">
        <v>697</v>
      </c>
      <c r="DK68">
        <v>379516</v>
      </c>
      <c r="DL68">
        <v>77667</v>
      </c>
      <c r="DM68">
        <v>89.273759209100007</v>
      </c>
      <c r="DN68">
        <v>1018350</v>
      </c>
      <c r="DO68">
        <v>73704</v>
      </c>
      <c r="DP68">
        <v>123.22773702560001</v>
      </c>
      <c r="DQ68">
        <v>121.24401660700001</v>
      </c>
    </row>
    <row r="69" spans="62:121" x14ac:dyDescent="0.2">
      <c r="BJ69" t="s">
        <v>211</v>
      </c>
      <c r="BK69" t="s">
        <v>694</v>
      </c>
      <c r="BL69">
        <v>54</v>
      </c>
      <c r="BM69">
        <v>9</v>
      </c>
      <c r="BN69">
        <v>71.833333333300004</v>
      </c>
      <c r="BO69">
        <v>180</v>
      </c>
      <c r="BP69">
        <v>11</v>
      </c>
      <c r="BQ69">
        <v>129.55000000000001</v>
      </c>
      <c r="BR69">
        <v>128.54545454550001</v>
      </c>
      <c r="BS69">
        <v>497</v>
      </c>
      <c r="BT69">
        <v>105</v>
      </c>
      <c r="BU69">
        <v>104.661971831</v>
      </c>
      <c r="BV69">
        <v>9482</v>
      </c>
      <c r="BW69">
        <v>605</v>
      </c>
      <c r="BX69">
        <v>118.92786332</v>
      </c>
      <c r="BY69">
        <v>115.0247933884</v>
      </c>
    </row>
    <row r="70" spans="62:121" x14ac:dyDescent="0.2">
      <c r="BJ70" t="s">
        <v>694</v>
      </c>
      <c r="BK70" t="s">
        <v>694</v>
      </c>
      <c r="BL70">
        <v>7746</v>
      </c>
      <c r="BM70">
        <v>967</v>
      </c>
      <c r="BN70">
        <v>67.789052414099999</v>
      </c>
      <c r="BO70">
        <v>23688</v>
      </c>
      <c r="BP70">
        <v>1443</v>
      </c>
      <c r="BQ70">
        <v>131.4363390746</v>
      </c>
      <c r="BR70">
        <v>116.4913374913</v>
      </c>
      <c r="BS70">
        <v>7746</v>
      </c>
      <c r="BT70">
        <v>967</v>
      </c>
      <c r="BU70">
        <v>67.789052414099999</v>
      </c>
      <c r="BV70">
        <v>23688</v>
      </c>
      <c r="BW70">
        <v>1443</v>
      </c>
      <c r="BX70">
        <v>131.4363390746</v>
      </c>
      <c r="BY70">
        <v>116.4913374913</v>
      </c>
    </row>
    <row r="71" spans="62:121" x14ac:dyDescent="0.2">
      <c r="BJ71" t="s">
        <v>213</v>
      </c>
      <c r="BK71" t="s">
        <v>694</v>
      </c>
      <c r="BL71">
        <v>1028</v>
      </c>
      <c r="BM71">
        <v>122</v>
      </c>
      <c r="BN71">
        <v>63.571011673199997</v>
      </c>
      <c r="BO71">
        <v>3764</v>
      </c>
      <c r="BP71">
        <v>190</v>
      </c>
      <c r="BQ71">
        <v>142.5536663124</v>
      </c>
      <c r="BR71">
        <v>120.2842105263</v>
      </c>
      <c r="BS71">
        <v>530</v>
      </c>
      <c r="BT71">
        <v>166</v>
      </c>
      <c r="BU71">
        <v>114.84716981130001</v>
      </c>
      <c r="BV71">
        <v>8426</v>
      </c>
      <c r="BW71">
        <v>560</v>
      </c>
      <c r="BX71">
        <v>148.0008307619</v>
      </c>
      <c r="BY71">
        <v>117.6285714286</v>
      </c>
    </row>
    <row r="72" spans="62:121" x14ac:dyDescent="0.2">
      <c r="BJ72" t="s">
        <v>209</v>
      </c>
      <c r="BK72" t="s">
        <v>695</v>
      </c>
      <c r="BL72">
        <v>6145</v>
      </c>
      <c r="BM72">
        <v>742</v>
      </c>
      <c r="BN72">
        <v>67.405207485800005</v>
      </c>
      <c r="BO72">
        <v>33166</v>
      </c>
      <c r="BP72">
        <v>2064</v>
      </c>
      <c r="BQ72">
        <v>70.903756859400005</v>
      </c>
      <c r="BR72">
        <v>73.774224806199996</v>
      </c>
      <c r="BS72">
        <v>6290</v>
      </c>
      <c r="BT72">
        <v>722</v>
      </c>
      <c r="BU72">
        <v>67.0038155803</v>
      </c>
      <c r="BV72">
        <v>33498</v>
      </c>
      <c r="BW72">
        <v>2211</v>
      </c>
      <c r="BX72">
        <v>71.161770852000004</v>
      </c>
      <c r="BY72">
        <v>75.040705563100005</v>
      </c>
    </row>
    <row r="73" spans="62:121" x14ac:dyDescent="0.2">
      <c r="BJ73" t="s">
        <v>224</v>
      </c>
      <c r="BK73" t="s">
        <v>695</v>
      </c>
      <c r="BL73">
        <v>865</v>
      </c>
      <c r="BM73">
        <v>432</v>
      </c>
      <c r="BN73">
        <v>183.36069364159999</v>
      </c>
      <c r="BO73">
        <v>4364</v>
      </c>
      <c r="BP73">
        <v>344</v>
      </c>
      <c r="BQ73">
        <v>61.756874427100001</v>
      </c>
      <c r="BR73">
        <v>78.049418604699994</v>
      </c>
      <c r="BS73">
        <v>827</v>
      </c>
      <c r="BT73">
        <v>472</v>
      </c>
      <c r="BU73">
        <v>202.18863361550001</v>
      </c>
      <c r="BV73">
        <v>3575</v>
      </c>
      <c r="BW73">
        <v>277</v>
      </c>
      <c r="BX73">
        <v>49.2872727273</v>
      </c>
      <c r="BY73">
        <v>67.8592057762</v>
      </c>
    </row>
    <row r="74" spans="62:121" x14ac:dyDescent="0.2">
      <c r="BJ74" t="s">
        <v>210</v>
      </c>
      <c r="BK74" t="s">
        <v>695</v>
      </c>
      <c r="BL74">
        <v>12939</v>
      </c>
      <c r="BM74">
        <v>1642</v>
      </c>
      <c r="BN74">
        <v>68.892572841800003</v>
      </c>
      <c r="BO74">
        <v>39253</v>
      </c>
      <c r="BP74">
        <v>3947</v>
      </c>
      <c r="BQ74">
        <v>98.979542964900006</v>
      </c>
      <c r="BR74">
        <v>102.4018241703</v>
      </c>
      <c r="BS74">
        <v>12608</v>
      </c>
      <c r="BT74">
        <v>1641</v>
      </c>
      <c r="BU74">
        <v>68.582963198000002</v>
      </c>
      <c r="BV74">
        <v>39249</v>
      </c>
      <c r="BW74">
        <v>3718</v>
      </c>
      <c r="BX74">
        <v>99.519019592899994</v>
      </c>
      <c r="BY74">
        <v>104.4744486283</v>
      </c>
    </row>
    <row r="75" spans="62:121" x14ac:dyDescent="0.2">
      <c r="BJ75" t="s">
        <v>212</v>
      </c>
      <c r="BK75" t="s">
        <v>695</v>
      </c>
      <c r="BL75">
        <v>7473</v>
      </c>
      <c r="BM75">
        <v>605</v>
      </c>
      <c r="BN75">
        <v>61.892011240499997</v>
      </c>
      <c r="BO75">
        <v>42394</v>
      </c>
      <c r="BP75">
        <v>3423</v>
      </c>
      <c r="BQ75">
        <v>68.145468698399995</v>
      </c>
      <c r="BR75">
        <v>71.896289804299997</v>
      </c>
      <c r="BS75">
        <v>7696</v>
      </c>
      <c r="BT75">
        <v>585</v>
      </c>
      <c r="BU75">
        <v>61.441268191299997</v>
      </c>
      <c r="BV75">
        <v>42855</v>
      </c>
      <c r="BW75">
        <v>3572</v>
      </c>
      <c r="BX75">
        <v>68.353821024400006</v>
      </c>
      <c r="BY75">
        <v>71.739081746899998</v>
      </c>
    </row>
    <row r="76" spans="62:121" x14ac:dyDescent="0.2">
      <c r="BJ76" t="s">
        <v>695</v>
      </c>
      <c r="BK76" t="s">
        <v>695</v>
      </c>
      <c r="BL76">
        <v>27422</v>
      </c>
      <c r="BM76">
        <v>3421</v>
      </c>
      <c r="BN76">
        <v>70.262271169100003</v>
      </c>
      <c r="BO76">
        <v>119177</v>
      </c>
      <c r="BP76">
        <v>9778</v>
      </c>
      <c r="BQ76">
        <v>78.834875856899998</v>
      </c>
      <c r="BR76">
        <v>84.823072202899993</v>
      </c>
      <c r="BS76">
        <v>27421</v>
      </c>
      <c r="BT76">
        <v>3420</v>
      </c>
      <c r="BU76">
        <v>70.245797016899999</v>
      </c>
      <c r="BV76">
        <v>119177</v>
      </c>
      <c r="BW76">
        <v>9778</v>
      </c>
      <c r="BX76">
        <v>78.834875856899998</v>
      </c>
      <c r="BY76">
        <v>84.823072202899993</v>
      </c>
    </row>
    <row r="77" spans="62:121" x14ac:dyDescent="0.2">
      <c r="BJ77" t="s">
        <v>307</v>
      </c>
      <c r="BK77" t="s">
        <v>696</v>
      </c>
      <c r="BL77">
        <v>5151</v>
      </c>
      <c r="BM77">
        <v>727</v>
      </c>
      <c r="BN77">
        <v>72.850320326200006</v>
      </c>
      <c r="BO77">
        <v>13600</v>
      </c>
      <c r="BP77">
        <v>1077</v>
      </c>
      <c r="BQ77">
        <v>140.05970588240001</v>
      </c>
      <c r="BR77">
        <v>121.2441968431</v>
      </c>
      <c r="BS77">
        <v>6272</v>
      </c>
      <c r="BT77">
        <v>642</v>
      </c>
      <c r="BU77">
        <v>62.691007653100002</v>
      </c>
      <c r="BV77">
        <v>3794</v>
      </c>
      <c r="BW77">
        <v>158</v>
      </c>
      <c r="BX77">
        <v>133.5946230891</v>
      </c>
      <c r="BY77">
        <v>124.5</v>
      </c>
    </row>
    <row r="78" spans="62:121" x14ac:dyDescent="0.2">
      <c r="BJ78" t="s">
        <v>955</v>
      </c>
      <c r="BK78" t="s">
        <v>696</v>
      </c>
      <c r="BL78">
        <v>1335</v>
      </c>
      <c r="BM78">
        <v>132</v>
      </c>
      <c r="BN78">
        <v>60.794756554300001</v>
      </c>
      <c r="BO78">
        <v>3830</v>
      </c>
      <c r="BP78">
        <v>205</v>
      </c>
      <c r="BQ78">
        <v>124.5352480418</v>
      </c>
      <c r="BR78">
        <v>111.1804878049</v>
      </c>
      <c r="BS78">
        <v>921</v>
      </c>
      <c r="BT78">
        <v>196</v>
      </c>
      <c r="BU78">
        <v>91.910966340900004</v>
      </c>
      <c r="BV78">
        <v>9207</v>
      </c>
      <c r="BW78">
        <v>756</v>
      </c>
      <c r="BX78">
        <v>125.97653958940001</v>
      </c>
      <c r="BY78">
        <v>114.19444444440001</v>
      </c>
    </row>
    <row r="79" spans="62:121" x14ac:dyDescent="0.2">
      <c r="BJ79" t="s">
        <v>696</v>
      </c>
      <c r="BK79" t="s">
        <v>696</v>
      </c>
      <c r="BL79">
        <v>7627</v>
      </c>
      <c r="BM79">
        <v>987</v>
      </c>
      <c r="BN79">
        <v>69.450898125099997</v>
      </c>
      <c r="BO79">
        <v>20739</v>
      </c>
      <c r="BP79">
        <v>1517</v>
      </c>
      <c r="BQ79">
        <v>138.77626693670001</v>
      </c>
      <c r="BR79">
        <v>119.551087673</v>
      </c>
      <c r="BS79">
        <v>7627</v>
      </c>
      <c r="BT79">
        <v>987</v>
      </c>
      <c r="BU79">
        <v>69.450898125099997</v>
      </c>
      <c r="BV79">
        <v>20739</v>
      </c>
      <c r="BW79">
        <v>1517</v>
      </c>
      <c r="BX79">
        <v>138.77626693670001</v>
      </c>
      <c r="BY79">
        <v>119.551087673</v>
      </c>
    </row>
    <row r="80" spans="62:121" x14ac:dyDescent="0.2">
      <c r="BJ80" t="s">
        <v>956</v>
      </c>
      <c r="BK80" t="s">
        <v>696</v>
      </c>
      <c r="BL80">
        <v>1141</v>
      </c>
      <c r="BM80">
        <v>128</v>
      </c>
      <c r="BN80">
        <v>64.232252410200005</v>
      </c>
      <c r="BO80">
        <v>3309</v>
      </c>
      <c r="BP80">
        <v>235</v>
      </c>
      <c r="BQ80">
        <v>149.98458748869999</v>
      </c>
      <c r="BR80">
        <v>119.09361702130001</v>
      </c>
      <c r="BS80">
        <v>434</v>
      </c>
      <c r="BT80">
        <v>149</v>
      </c>
      <c r="BU80">
        <v>119.4792626728</v>
      </c>
      <c r="BV80">
        <v>7738</v>
      </c>
      <c r="BW80">
        <v>603</v>
      </c>
      <c r="BX80">
        <v>156.54652364949999</v>
      </c>
      <c r="BY80">
        <v>124.9701492537</v>
      </c>
    </row>
    <row r="81" spans="62:77" x14ac:dyDescent="0.2">
      <c r="BJ81" t="s">
        <v>697</v>
      </c>
      <c r="BL81">
        <v>379516</v>
      </c>
      <c r="BM81">
        <v>77667</v>
      </c>
      <c r="BN81" s="153">
        <v>89.273759209100007</v>
      </c>
      <c r="BO81">
        <v>1018350</v>
      </c>
      <c r="BP81">
        <v>73704</v>
      </c>
      <c r="BQ81">
        <v>123.22773702560001</v>
      </c>
      <c r="BR81">
        <v>121.24401660700001</v>
      </c>
      <c r="BS81">
        <v>379516</v>
      </c>
      <c r="BT81">
        <v>77667</v>
      </c>
      <c r="BU81">
        <v>89.273759209100007</v>
      </c>
      <c r="BV81">
        <v>1018350</v>
      </c>
      <c r="BW81">
        <v>73704</v>
      </c>
      <c r="BX81">
        <v>123.22773702560001</v>
      </c>
      <c r="BY81">
        <v>121.24401660700001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379516</CP_Inventory>
    <Fiscal_Year xmlns="c9744be7-b815-40bc-84fa-afc9c406d9bc">2016</Fiscal_Year>
    <CP_Backlog xmlns="c9744be7-b815-40bc-84fa-afc9c406d9bc">77667</CP_Backlog>
    <Creation_date xmlns="c9744be7-b815-40bc-84fa-afc9c406d9bc">2016-07-25T03:00:00</Creation_date>
    <Data_date xmlns="c9744be7-b815-40bc-84fa-afc9c406d9bc">2016-07-23T01:00:00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elements/1.1/"/>
    <ds:schemaRef ds:uri="http://purl.org/dc/terms/"/>
    <ds:schemaRef ds:uri="http://schemas.microsoft.com/office/infopath/2007/PartnerControls"/>
    <ds:schemaRef ds:uri="http://schemas.microsoft.com/office/2006/metadata/properties"/>
    <ds:schemaRef ds:uri="http://purl.org/dc/dcmitype/"/>
    <ds:schemaRef ds:uri="http://schemas.microsoft.com/office/2006/documentManagement/types"/>
    <ds:schemaRef ds:uri="fef9c9dc-374b-4157-9e06-089f148416e5"/>
    <ds:schemaRef ds:uri="http://www.w3.org/XML/1998/namespace"/>
    <ds:schemaRef ds:uri="http://schemas.openxmlformats.org/package/2006/metadata/core-properties"/>
    <ds:schemaRef ds:uri="c9744be7-b815-40bc-84fa-afc9c406d9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25,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2016-07-25T13:44:36Z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